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Владимир\Desktop\Новая папка\Высокое\"/>
    </mc:Choice>
  </mc:AlternateContent>
  <bookViews>
    <workbookView showHorizontalScroll="0" showVerticalScroll="0" showSheetTabs="0" xWindow="0" yWindow="0" windowWidth="19170" windowHeight="11520" tabRatio="829"/>
  </bookViews>
  <sheets>
    <sheet name="Смета" sheetId="6" r:id="rId1"/>
    <sheet name="2019-2020" sheetId="5" r:id="rId2"/>
    <sheet name="2019" sheetId="3" r:id="rId3"/>
    <sheet name="2020" sheetId="1" r:id="rId4"/>
    <sheet name="Лист1" sheetId="2" r:id="rId5"/>
    <sheet name="Лист3" sheetId="4" r:id="rId6"/>
  </sheets>
  <calcPr calcId="152511" concurrentCalc="0"/>
</workbook>
</file>

<file path=xl/calcChain.xml><?xml version="1.0" encoding="utf-8"?>
<calcChain xmlns="http://schemas.openxmlformats.org/spreadsheetml/2006/main">
  <c r="H3" i="6" l="1"/>
  <c r="B31" i="6"/>
  <c r="C18" i="6"/>
  <c r="D18" i="6"/>
  <c r="E18" i="6"/>
  <c r="F18" i="6"/>
  <c r="G18" i="6"/>
  <c r="B18" i="6"/>
  <c r="G43" i="6"/>
  <c r="G5" i="6"/>
  <c r="H43" i="6"/>
  <c r="H5" i="6"/>
  <c r="H18" i="6"/>
  <c r="H4" i="6"/>
  <c r="B59" i="6"/>
  <c r="B62" i="6"/>
  <c r="B73" i="6"/>
  <c r="B77" i="6"/>
  <c r="B43" i="6"/>
  <c r="C3" i="6"/>
  <c r="C59" i="6"/>
  <c r="C60" i="6"/>
  <c r="C63" i="6"/>
  <c r="C73" i="6"/>
  <c r="C77" i="6"/>
  <c r="C43" i="6"/>
  <c r="D3" i="6"/>
  <c r="D59" i="6"/>
  <c r="D60" i="6"/>
  <c r="D69" i="6"/>
  <c r="D73" i="6"/>
  <c r="D77" i="6"/>
  <c r="D80" i="6"/>
  <c r="D43" i="6"/>
  <c r="E3" i="6"/>
  <c r="E59" i="6"/>
  <c r="E63" i="6"/>
  <c r="E73" i="6"/>
  <c r="E77" i="6"/>
  <c r="E43" i="6"/>
  <c r="F3" i="6"/>
  <c r="F60" i="6"/>
  <c r="F72" i="6"/>
  <c r="F79" i="6"/>
  <c r="F43" i="6"/>
  <c r="G3" i="6"/>
  <c r="F24" i="6"/>
  <c r="F25" i="6"/>
  <c r="F42" i="6"/>
  <c r="G2" i="6"/>
  <c r="H2" i="6"/>
  <c r="H1" i="6"/>
  <c r="T8" i="5"/>
  <c r="S24" i="5"/>
  <c r="S25" i="5"/>
  <c r="S40" i="5"/>
  <c r="S18" i="5"/>
  <c r="T2" i="5"/>
  <c r="O57" i="5"/>
  <c r="O60" i="5"/>
  <c r="O71" i="5"/>
  <c r="O75" i="5"/>
  <c r="O41" i="5"/>
  <c r="P3" i="5"/>
  <c r="P57" i="5"/>
  <c r="P58" i="5"/>
  <c r="P61" i="5"/>
  <c r="P71" i="5"/>
  <c r="P75" i="5"/>
  <c r="P41" i="5"/>
  <c r="Q3" i="5"/>
  <c r="Q57" i="5"/>
  <c r="Q58" i="5"/>
  <c r="Q67" i="5"/>
  <c r="Q71" i="5"/>
  <c r="Q75" i="5"/>
  <c r="Q78" i="5"/>
  <c r="Q41" i="5"/>
  <c r="R3" i="5"/>
  <c r="R57" i="5"/>
  <c r="R61" i="5"/>
  <c r="R71" i="5"/>
  <c r="R75" i="5"/>
  <c r="R41" i="5"/>
  <c r="S3" i="5"/>
  <c r="S58" i="5"/>
  <c r="S70" i="5"/>
  <c r="S77" i="5"/>
  <c r="S41" i="5"/>
  <c r="T3" i="5"/>
  <c r="T1" i="5"/>
  <c r="T18" i="5"/>
  <c r="T4" i="5"/>
  <c r="T41" i="5"/>
  <c r="T5" i="5"/>
  <c r="T6" i="5"/>
  <c r="T87" i="5"/>
  <c r="S8" i="5"/>
  <c r="S1" i="5"/>
  <c r="S6" i="5"/>
  <c r="S87" i="5"/>
  <c r="R8" i="5"/>
  <c r="R1" i="5"/>
  <c r="R24" i="5"/>
  <c r="R30" i="5"/>
  <c r="R40" i="5"/>
  <c r="R18" i="5"/>
  <c r="R4" i="5"/>
  <c r="R5" i="5"/>
  <c r="R6" i="5"/>
  <c r="R87" i="5"/>
  <c r="Q12" i="5"/>
  <c r="Q14" i="5"/>
  <c r="Q8" i="5"/>
  <c r="O10" i="5"/>
  <c r="O23" i="5"/>
  <c r="O24" i="5"/>
  <c r="O30" i="5"/>
  <c r="O18" i="5"/>
  <c r="P2" i="5"/>
  <c r="P10" i="5"/>
  <c r="P21" i="5"/>
  <c r="P24" i="5"/>
  <c r="P30" i="5"/>
  <c r="P40" i="5"/>
  <c r="P18" i="5"/>
  <c r="Q2" i="5"/>
  <c r="Q1" i="5"/>
  <c r="Q24" i="5"/>
  <c r="Q25" i="5"/>
  <c r="Q30" i="5"/>
  <c r="Q40" i="5"/>
  <c r="Q18" i="5"/>
  <c r="Q4" i="5"/>
  <c r="Q5" i="5"/>
  <c r="Q6" i="5"/>
  <c r="Q87" i="5"/>
  <c r="P8" i="5"/>
  <c r="P1" i="5"/>
  <c r="P4" i="5"/>
  <c r="P5" i="5"/>
  <c r="P6" i="5"/>
  <c r="P87" i="5"/>
  <c r="O8" i="5"/>
  <c r="O1" i="5"/>
  <c r="O4" i="5"/>
  <c r="O5" i="5"/>
  <c r="O6" i="5"/>
  <c r="O87" i="5"/>
  <c r="T16" i="5"/>
  <c r="S16" i="5"/>
  <c r="R16" i="5"/>
  <c r="Q16" i="5"/>
  <c r="P16" i="5"/>
  <c r="O16" i="5"/>
  <c r="S5" i="5"/>
  <c r="S4" i="5"/>
  <c r="P70" i="6"/>
  <c r="P58" i="6"/>
  <c r="P63" i="6"/>
  <c r="P64" i="6"/>
  <c r="N98" i="6"/>
  <c r="N97" i="6"/>
  <c r="N96" i="6"/>
  <c r="M8" i="6"/>
  <c r="M18" i="6"/>
  <c r="M43" i="6"/>
  <c r="M16" i="6"/>
  <c r="M89" i="6"/>
  <c r="L8" i="6"/>
  <c r="L18" i="6"/>
  <c r="L4" i="6"/>
  <c r="L43" i="6"/>
  <c r="L5" i="6"/>
  <c r="L6" i="6"/>
  <c r="L89" i="6"/>
  <c r="K8" i="6"/>
  <c r="K18" i="6"/>
  <c r="K4" i="6"/>
  <c r="K43" i="6"/>
  <c r="K5" i="6"/>
  <c r="K6" i="6"/>
  <c r="K89" i="6"/>
  <c r="J8" i="6"/>
  <c r="J18" i="6"/>
  <c r="J4" i="6"/>
  <c r="J43" i="6"/>
  <c r="J5" i="6"/>
  <c r="J6" i="6"/>
  <c r="J89" i="6"/>
  <c r="I8" i="6"/>
  <c r="I18" i="6"/>
  <c r="I4" i="6"/>
  <c r="I43" i="6"/>
  <c r="I5" i="6"/>
  <c r="I6" i="6"/>
  <c r="I89" i="6"/>
  <c r="H8" i="6"/>
  <c r="H6" i="6"/>
  <c r="H89" i="6"/>
  <c r="G8" i="6"/>
  <c r="G1" i="6"/>
  <c r="G4" i="6"/>
  <c r="G6" i="6"/>
  <c r="G89" i="6"/>
  <c r="F8" i="6"/>
  <c r="F1" i="6"/>
  <c r="F6" i="6"/>
  <c r="F89" i="6"/>
  <c r="E8" i="6"/>
  <c r="E1" i="6"/>
  <c r="E24" i="6"/>
  <c r="E30" i="6"/>
  <c r="E42" i="6"/>
  <c r="E4" i="6"/>
  <c r="E5" i="6"/>
  <c r="E6" i="6"/>
  <c r="E89" i="6"/>
  <c r="D12" i="6"/>
  <c r="D14" i="6"/>
  <c r="D8" i="6"/>
  <c r="B10" i="6"/>
  <c r="B23" i="6"/>
  <c r="B24" i="6"/>
  <c r="B30" i="6"/>
  <c r="C2" i="6"/>
  <c r="C10" i="6"/>
  <c r="C21" i="6"/>
  <c r="C24" i="6"/>
  <c r="C30" i="6"/>
  <c r="C42" i="6"/>
  <c r="D2" i="6"/>
  <c r="D1" i="6"/>
  <c r="D24" i="6"/>
  <c r="D25" i="6"/>
  <c r="D30" i="6"/>
  <c r="D42" i="6"/>
  <c r="D4" i="6"/>
  <c r="D5" i="6"/>
  <c r="D6" i="6"/>
  <c r="D89" i="6"/>
  <c r="C8" i="6"/>
  <c r="C1" i="6"/>
  <c r="C4" i="6"/>
  <c r="C5" i="6"/>
  <c r="C6" i="6"/>
  <c r="C89" i="6"/>
  <c r="B8" i="6"/>
  <c r="B1" i="6"/>
  <c r="B4" i="6"/>
  <c r="B5" i="6"/>
  <c r="B6" i="6"/>
  <c r="B89" i="6"/>
  <c r="L16" i="6"/>
  <c r="K16" i="6"/>
  <c r="J16" i="6"/>
  <c r="I16" i="6"/>
  <c r="H16" i="6"/>
  <c r="G16" i="6"/>
  <c r="F16" i="6"/>
  <c r="E16" i="6"/>
  <c r="D16" i="6"/>
  <c r="C16" i="6"/>
  <c r="B16" i="6"/>
  <c r="N8" i="6"/>
  <c r="N7" i="6"/>
  <c r="M4" i="6"/>
  <c r="M5" i="6"/>
  <c r="M6" i="6"/>
  <c r="N6" i="6"/>
  <c r="F5" i="6"/>
  <c r="F4" i="6"/>
  <c r="D12" i="1"/>
  <c r="D14" i="1"/>
  <c r="D8" i="1"/>
  <c r="D67" i="1"/>
  <c r="N7" i="1"/>
  <c r="B10" i="1"/>
  <c r="B8" i="1"/>
  <c r="C10" i="1"/>
  <c r="C8" i="1"/>
  <c r="E8" i="1"/>
  <c r="F8" i="1"/>
  <c r="G8" i="1"/>
  <c r="H8" i="1"/>
  <c r="I8" i="1"/>
  <c r="J8" i="1"/>
  <c r="K8" i="1"/>
  <c r="L8" i="1"/>
  <c r="M8" i="1"/>
  <c r="N8" i="1"/>
  <c r="B57" i="1"/>
  <c r="B60" i="1"/>
  <c r="B71" i="1"/>
  <c r="B75" i="1"/>
  <c r="B41" i="1"/>
  <c r="B5" i="1"/>
  <c r="B23" i="1"/>
  <c r="B24" i="1"/>
  <c r="B30" i="1"/>
  <c r="B18" i="1"/>
  <c r="B4" i="1"/>
  <c r="B6" i="1"/>
  <c r="C57" i="1"/>
  <c r="C58" i="1"/>
  <c r="C61" i="1"/>
  <c r="C71" i="1"/>
  <c r="C75" i="1"/>
  <c r="C41" i="1"/>
  <c r="C5" i="1"/>
  <c r="C21" i="1"/>
  <c r="C24" i="1"/>
  <c r="C30" i="1"/>
  <c r="C40" i="1"/>
  <c r="C18" i="1"/>
  <c r="C4" i="1"/>
  <c r="C6" i="1"/>
  <c r="D57" i="1"/>
  <c r="D58" i="1"/>
  <c r="D71" i="1"/>
  <c r="D78" i="1"/>
  <c r="D75" i="1"/>
  <c r="D41" i="1"/>
  <c r="D5" i="1"/>
  <c r="D24" i="1"/>
  <c r="D25" i="1"/>
  <c r="D30" i="1"/>
  <c r="D40" i="1"/>
  <c r="D18" i="1"/>
  <c r="D4" i="1"/>
  <c r="D6" i="1"/>
  <c r="E57" i="1"/>
  <c r="E61" i="1"/>
  <c r="E71" i="1"/>
  <c r="E75" i="1"/>
  <c r="E41" i="1"/>
  <c r="E5" i="1"/>
  <c r="E24" i="1"/>
  <c r="E30" i="1"/>
  <c r="E40" i="1"/>
  <c r="E18" i="1"/>
  <c r="E4" i="1"/>
  <c r="E6" i="1"/>
  <c r="F58" i="1"/>
  <c r="F70" i="1"/>
  <c r="F77" i="1"/>
  <c r="F41" i="1"/>
  <c r="F24" i="1"/>
  <c r="F25" i="1"/>
  <c r="F40" i="1"/>
  <c r="F18" i="1"/>
  <c r="F6" i="1"/>
  <c r="G41" i="1"/>
  <c r="G5" i="1"/>
  <c r="G18" i="1"/>
  <c r="G4" i="1"/>
  <c r="G6" i="1"/>
  <c r="H41" i="1"/>
  <c r="H5" i="1"/>
  <c r="H18" i="1"/>
  <c r="H4" i="1"/>
  <c r="H6" i="1"/>
  <c r="I41" i="1"/>
  <c r="I5" i="1"/>
  <c r="I18" i="1"/>
  <c r="I4" i="1"/>
  <c r="I6" i="1"/>
  <c r="J41" i="1"/>
  <c r="J5" i="1"/>
  <c r="J18" i="1"/>
  <c r="J4" i="1"/>
  <c r="J6" i="1"/>
  <c r="K41" i="1"/>
  <c r="K5" i="1"/>
  <c r="K18" i="1"/>
  <c r="K4" i="1"/>
  <c r="K6" i="1"/>
  <c r="L41" i="1"/>
  <c r="L5" i="1"/>
  <c r="L18" i="1"/>
  <c r="L4" i="1"/>
  <c r="L6" i="1"/>
  <c r="M41" i="1"/>
  <c r="M5" i="1"/>
  <c r="M18" i="1"/>
  <c r="M4" i="1"/>
  <c r="M6" i="1"/>
  <c r="N6" i="1"/>
  <c r="L8" i="5"/>
  <c r="K8" i="5"/>
  <c r="J8" i="5"/>
  <c r="I8" i="5"/>
  <c r="H11" i="5"/>
  <c r="H8" i="5"/>
  <c r="G8" i="5"/>
  <c r="F8" i="5"/>
  <c r="E8" i="5"/>
  <c r="D8" i="5"/>
  <c r="C8" i="5"/>
  <c r="B8" i="5"/>
  <c r="B19" i="5"/>
  <c r="B18" i="5"/>
  <c r="B4" i="5"/>
  <c r="B41" i="5"/>
  <c r="B5" i="5"/>
  <c r="B6" i="5"/>
  <c r="B1" i="5"/>
  <c r="C1" i="5"/>
  <c r="C19" i="5"/>
  <c r="C18" i="5"/>
  <c r="C4" i="5"/>
  <c r="C57" i="5"/>
  <c r="C41" i="5"/>
  <c r="C5" i="5"/>
  <c r="C6" i="5"/>
  <c r="D1" i="5"/>
  <c r="D19" i="5"/>
  <c r="D18" i="5"/>
  <c r="D4" i="5"/>
  <c r="D67" i="5"/>
  <c r="D41" i="5"/>
  <c r="D5" i="5"/>
  <c r="D6" i="5"/>
  <c r="E1" i="5"/>
  <c r="E19" i="5"/>
  <c r="E18" i="5"/>
  <c r="E4" i="5"/>
  <c r="E67" i="5"/>
  <c r="E41" i="5"/>
  <c r="E5" i="5"/>
  <c r="E6" i="5"/>
  <c r="F1" i="5"/>
  <c r="F19" i="5"/>
  <c r="F18" i="5"/>
  <c r="F4" i="5"/>
  <c r="F55" i="5"/>
  <c r="F61" i="5"/>
  <c r="F68" i="5"/>
  <c r="F75" i="5"/>
  <c r="F41" i="5"/>
  <c r="F5" i="5"/>
  <c r="F6" i="5"/>
  <c r="G1" i="5"/>
  <c r="G19" i="5"/>
  <c r="G29" i="5"/>
  <c r="G18" i="5"/>
  <c r="G4" i="5"/>
  <c r="G43" i="5"/>
  <c r="G48" i="5"/>
  <c r="G57" i="5"/>
  <c r="G61" i="5"/>
  <c r="G68" i="5"/>
  <c r="G71" i="5"/>
  <c r="G73" i="5"/>
  <c r="G41" i="5"/>
  <c r="G5" i="5"/>
  <c r="G6" i="5"/>
  <c r="H1" i="5"/>
  <c r="H19" i="5"/>
  <c r="H18" i="5"/>
  <c r="H4" i="5"/>
  <c r="H43" i="5"/>
  <c r="H45" i="5"/>
  <c r="H55" i="5"/>
  <c r="H41" i="5"/>
  <c r="H5" i="5"/>
  <c r="H6" i="5"/>
  <c r="I1" i="5"/>
  <c r="I19" i="5"/>
  <c r="I18" i="5"/>
  <c r="I4" i="5"/>
  <c r="I43" i="5"/>
  <c r="I57" i="5"/>
  <c r="I68" i="5"/>
  <c r="I71" i="5"/>
  <c r="I75" i="5"/>
  <c r="I76" i="5"/>
  <c r="I41" i="5"/>
  <c r="I5" i="5"/>
  <c r="I6" i="5"/>
  <c r="J1" i="5"/>
  <c r="J19" i="5"/>
  <c r="J18" i="5"/>
  <c r="J4" i="5"/>
  <c r="J41" i="5"/>
  <c r="J5" i="5"/>
  <c r="J6" i="5"/>
  <c r="K1" i="5"/>
  <c r="K19" i="5"/>
  <c r="K18" i="5"/>
  <c r="K4" i="5"/>
  <c r="K45" i="5"/>
  <c r="K46" i="5"/>
  <c r="K57" i="5"/>
  <c r="K58" i="5"/>
  <c r="K63" i="5"/>
  <c r="K69" i="5"/>
  <c r="K41" i="5"/>
  <c r="K5" i="5"/>
  <c r="K6" i="5"/>
  <c r="L1" i="5"/>
  <c r="L29" i="5"/>
  <c r="L18" i="5"/>
  <c r="L4" i="5"/>
  <c r="L57" i="5"/>
  <c r="L69" i="5"/>
  <c r="L73" i="5"/>
  <c r="L75" i="5"/>
  <c r="L41" i="5"/>
  <c r="L5" i="5"/>
  <c r="L6" i="5"/>
  <c r="M1" i="5"/>
  <c r="M8" i="5"/>
  <c r="M29" i="5"/>
  <c r="M32" i="5"/>
  <c r="M28" i="5"/>
  <c r="M18" i="5"/>
  <c r="M57" i="5"/>
  <c r="M63" i="5"/>
  <c r="M69" i="5"/>
  <c r="M41" i="5"/>
  <c r="M16" i="5"/>
  <c r="M80" i="5"/>
  <c r="L80" i="5"/>
  <c r="K80" i="5"/>
  <c r="J80" i="5"/>
  <c r="I80" i="5"/>
  <c r="H80" i="5"/>
  <c r="G80" i="5"/>
  <c r="F80" i="5"/>
  <c r="E80" i="5"/>
  <c r="D80" i="5"/>
  <c r="C80" i="5"/>
  <c r="B16" i="5"/>
  <c r="B80" i="5"/>
  <c r="L16" i="5"/>
  <c r="K16" i="5"/>
  <c r="J16" i="5"/>
  <c r="I16" i="5"/>
  <c r="H16" i="5"/>
  <c r="G16" i="5"/>
  <c r="F16" i="5"/>
  <c r="E16" i="5"/>
  <c r="D16" i="5"/>
  <c r="C16" i="5"/>
  <c r="M4" i="5"/>
  <c r="M5" i="5"/>
  <c r="M6" i="5"/>
  <c r="M3" i="5"/>
  <c r="L3" i="5"/>
  <c r="K3" i="5"/>
  <c r="J3" i="5"/>
  <c r="I3" i="5"/>
  <c r="H3" i="5"/>
  <c r="G3" i="5"/>
  <c r="F3" i="5"/>
  <c r="E3" i="5"/>
  <c r="D3" i="5"/>
  <c r="C3" i="5"/>
  <c r="L8" i="3"/>
  <c r="K8" i="3"/>
  <c r="J8" i="3"/>
  <c r="I8" i="3"/>
  <c r="H11" i="3"/>
  <c r="H8" i="3"/>
  <c r="G8" i="3"/>
  <c r="F8" i="3"/>
  <c r="E8" i="3"/>
  <c r="D8" i="3"/>
  <c r="C8" i="3"/>
  <c r="B8" i="3"/>
  <c r="B18" i="3"/>
  <c r="B17" i="3"/>
  <c r="B4" i="3"/>
  <c r="B32" i="3"/>
  <c r="B5" i="3"/>
  <c r="B6" i="3"/>
  <c r="B1" i="3"/>
  <c r="C1" i="3"/>
  <c r="C18" i="3"/>
  <c r="C17" i="3"/>
  <c r="C4" i="3"/>
  <c r="C48" i="3"/>
  <c r="C32" i="3"/>
  <c r="C5" i="3"/>
  <c r="C6" i="3"/>
  <c r="D1" i="3"/>
  <c r="D18" i="3"/>
  <c r="D17" i="3"/>
  <c r="D4" i="3"/>
  <c r="D58" i="3"/>
  <c r="D32" i="3"/>
  <c r="D5" i="3"/>
  <c r="D6" i="3"/>
  <c r="E1" i="3"/>
  <c r="E18" i="3"/>
  <c r="E17" i="3"/>
  <c r="E4" i="3"/>
  <c r="E58" i="3"/>
  <c r="E32" i="3"/>
  <c r="E5" i="3"/>
  <c r="E6" i="3"/>
  <c r="F1" i="3"/>
  <c r="F18" i="3"/>
  <c r="F17" i="3"/>
  <c r="F4" i="3"/>
  <c r="F46" i="3"/>
  <c r="F52" i="3"/>
  <c r="F59" i="3"/>
  <c r="F66" i="3"/>
  <c r="F32" i="3"/>
  <c r="F5" i="3"/>
  <c r="F6" i="3"/>
  <c r="G1" i="3"/>
  <c r="G18" i="3"/>
  <c r="G28" i="3"/>
  <c r="G17" i="3"/>
  <c r="G4" i="3"/>
  <c r="G34" i="3"/>
  <c r="G39" i="3"/>
  <c r="G48" i="3"/>
  <c r="G52" i="3"/>
  <c r="G59" i="3"/>
  <c r="G62" i="3"/>
  <c r="G64" i="3"/>
  <c r="G32" i="3"/>
  <c r="G5" i="3"/>
  <c r="G6" i="3"/>
  <c r="H1" i="3"/>
  <c r="H18" i="3"/>
  <c r="H17" i="3"/>
  <c r="H4" i="3"/>
  <c r="H34" i="3"/>
  <c r="H36" i="3"/>
  <c r="H46" i="3"/>
  <c r="H32" i="3"/>
  <c r="H5" i="3"/>
  <c r="H6" i="3"/>
  <c r="I1" i="3"/>
  <c r="I18" i="3"/>
  <c r="I17" i="3"/>
  <c r="I4" i="3"/>
  <c r="I34" i="3"/>
  <c r="I48" i="3"/>
  <c r="I59" i="3"/>
  <c r="I62" i="3"/>
  <c r="I66" i="3"/>
  <c r="I67" i="3"/>
  <c r="I32" i="3"/>
  <c r="I5" i="3"/>
  <c r="I6" i="3"/>
  <c r="J1" i="3"/>
  <c r="J18" i="3"/>
  <c r="J17" i="3"/>
  <c r="J4" i="3"/>
  <c r="J32" i="3"/>
  <c r="J5" i="3"/>
  <c r="J6" i="3"/>
  <c r="K1" i="3"/>
  <c r="K18" i="3"/>
  <c r="K17" i="3"/>
  <c r="K4" i="3"/>
  <c r="K36" i="3"/>
  <c r="K37" i="3"/>
  <c r="K48" i="3"/>
  <c r="K49" i="3"/>
  <c r="K54" i="3"/>
  <c r="K60" i="3"/>
  <c r="K32" i="3"/>
  <c r="K5" i="3"/>
  <c r="K6" i="3"/>
  <c r="L1" i="3"/>
  <c r="L28" i="3"/>
  <c r="L17" i="3"/>
  <c r="L4" i="3"/>
  <c r="L48" i="3"/>
  <c r="L60" i="3"/>
  <c r="L64" i="3"/>
  <c r="L66" i="3"/>
  <c r="L32" i="3"/>
  <c r="L5" i="3"/>
  <c r="L6" i="3"/>
  <c r="M1" i="3"/>
  <c r="M8" i="3"/>
  <c r="M28" i="3"/>
  <c r="M31" i="3"/>
  <c r="M27" i="3"/>
  <c r="M17" i="3"/>
  <c r="M48" i="3"/>
  <c r="M54" i="3"/>
  <c r="M60" i="3"/>
  <c r="M32" i="3"/>
  <c r="M15" i="3"/>
  <c r="M71" i="3"/>
  <c r="L71" i="3"/>
  <c r="K71" i="3"/>
  <c r="J71" i="3"/>
  <c r="I71" i="3"/>
  <c r="H71" i="3"/>
  <c r="G71" i="3"/>
  <c r="F71" i="3"/>
  <c r="E71" i="3"/>
  <c r="D71" i="3"/>
  <c r="C71" i="3"/>
  <c r="B15" i="3"/>
  <c r="B71" i="3"/>
  <c r="L15" i="3"/>
  <c r="K15" i="3"/>
  <c r="J15" i="3"/>
  <c r="I15" i="3"/>
  <c r="H15" i="3"/>
  <c r="G15" i="3"/>
  <c r="F15" i="3"/>
  <c r="E15" i="3"/>
  <c r="D15" i="3"/>
  <c r="C15" i="3"/>
  <c r="N6" i="3"/>
  <c r="M4" i="3"/>
  <c r="M5" i="3"/>
  <c r="M6" i="3"/>
  <c r="N3" i="3"/>
  <c r="M3" i="3"/>
  <c r="L3" i="3"/>
  <c r="K3" i="3"/>
  <c r="J3" i="3"/>
  <c r="I3" i="3"/>
  <c r="H3" i="3"/>
  <c r="G3" i="3"/>
  <c r="F3" i="3"/>
  <c r="E3" i="3"/>
  <c r="D3" i="3"/>
  <c r="C3" i="3"/>
  <c r="N2" i="3"/>
  <c r="N1" i="3"/>
  <c r="I3" i="2"/>
  <c r="I4" i="2"/>
  <c r="I2" i="2"/>
  <c r="J3" i="2"/>
  <c r="J4" i="2"/>
  <c r="J2" i="2"/>
  <c r="K3" i="2"/>
  <c r="K4" i="2"/>
  <c r="K2" i="2"/>
  <c r="L3" i="2"/>
  <c r="L4" i="2"/>
  <c r="L2" i="2"/>
  <c r="M3" i="2"/>
  <c r="M4" i="2"/>
  <c r="M2" i="2"/>
  <c r="N3" i="2"/>
  <c r="N4" i="2"/>
  <c r="N2" i="2"/>
  <c r="O24" i="2"/>
  <c r="O27" i="2"/>
  <c r="O35" i="2"/>
  <c r="O39" i="2"/>
  <c r="O3" i="2"/>
  <c r="O8" i="2"/>
  <c r="O14" i="2"/>
  <c r="O4" i="2"/>
  <c r="O2" i="2"/>
  <c r="P24" i="2"/>
  <c r="P25" i="2"/>
  <c r="P28" i="2"/>
  <c r="P35" i="2"/>
  <c r="P39" i="2"/>
  <c r="P3" i="2"/>
  <c r="P8" i="2"/>
  <c r="P14" i="2"/>
  <c r="P17" i="2"/>
  <c r="P4" i="2"/>
  <c r="P2" i="2"/>
  <c r="Q24" i="2"/>
  <c r="Q25" i="2"/>
  <c r="Q35" i="2"/>
  <c r="Q37" i="2"/>
  <c r="Q39" i="2"/>
  <c r="Q42" i="2"/>
  <c r="Q3" i="2"/>
  <c r="Q8" i="2"/>
  <c r="Q9" i="2"/>
  <c r="Q14" i="2"/>
  <c r="Q17" i="2"/>
  <c r="Q4" i="2"/>
  <c r="Q2" i="2"/>
  <c r="R24" i="2"/>
  <c r="R28" i="2"/>
  <c r="R35" i="2"/>
  <c r="R39" i="2"/>
  <c r="R3" i="2"/>
  <c r="R8" i="2"/>
  <c r="R14" i="2"/>
  <c r="R17" i="2"/>
  <c r="R4" i="2"/>
  <c r="R2" i="2"/>
  <c r="S25" i="2"/>
  <c r="S34" i="2"/>
  <c r="S41" i="2"/>
  <c r="S3" i="2"/>
  <c r="S8" i="2"/>
  <c r="S9" i="2"/>
  <c r="S17" i="2"/>
  <c r="S4" i="2"/>
  <c r="S2" i="2"/>
  <c r="T3" i="2"/>
  <c r="T4" i="2"/>
  <c r="T2" i="2"/>
  <c r="H3" i="2"/>
  <c r="H4" i="2"/>
  <c r="H2" i="2"/>
  <c r="C3" i="1"/>
  <c r="D3" i="1"/>
  <c r="E3" i="1"/>
  <c r="F3" i="1"/>
  <c r="G3" i="1"/>
  <c r="G2" i="1"/>
  <c r="G1" i="1"/>
  <c r="G87" i="1"/>
  <c r="E16" i="1"/>
  <c r="F1" i="1"/>
  <c r="E1" i="1"/>
  <c r="E87" i="1"/>
  <c r="C2" i="1"/>
  <c r="D2" i="1"/>
  <c r="D1" i="1"/>
  <c r="B1" i="1"/>
  <c r="F87" i="1"/>
  <c r="F4" i="1"/>
  <c r="F5" i="1"/>
  <c r="M16" i="1"/>
  <c r="L16" i="1"/>
  <c r="G16" i="1"/>
  <c r="F16" i="1"/>
  <c r="I16" i="1"/>
  <c r="H16" i="1"/>
  <c r="J16" i="1"/>
  <c r="K16" i="1"/>
  <c r="K87" i="1"/>
  <c r="I87" i="1"/>
  <c r="D16" i="1"/>
  <c r="J87" i="1"/>
  <c r="M87" i="1"/>
  <c r="L87" i="1"/>
  <c r="H87" i="1"/>
  <c r="C16" i="1"/>
  <c r="B87" i="1"/>
  <c r="B16" i="1"/>
  <c r="D87" i="1"/>
  <c r="C1" i="1"/>
  <c r="C87" i="1"/>
</calcChain>
</file>

<file path=xl/sharedStrings.xml><?xml version="1.0" encoding="utf-8"?>
<sst xmlns="http://schemas.openxmlformats.org/spreadsheetml/2006/main" count="555" uniqueCount="144">
  <si>
    <t>Поступления, всего</t>
  </si>
  <si>
    <t>Расходы, всего</t>
  </si>
  <si>
    <t>в том числе:</t>
  </si>
  <si>
    <t>в т.ч. на расчетном счете:</t>
  </si>
  <si>
    <t>Расходы на интернет(домик КПП)</t>
  </si>
  <si>
    <t>Расходы на чистку дорог от  снега</t>
  </si>
  <si>
    <t>Оплата сайта</t>
  </si>
  <si>
    <t>Оплата услуг нотариуса Р14001</t>
  </si>
  <si>
    <t>Подготовка заявления Р14001</t>
  </si>
  <si>
    <t>Мобильная связь</t>
  </si>
  <si>
    <t>Потрачено безнал</t>
  </si>
  <si>
    <t>Потрачено нал</t>
  </si>
  <si>
    <t xml:space="preserve">Остаток ден. сред. на нач. периода </t>
  </si>
  <si>
    <t>С расчетного счета расходы</t>
  </si>
  <si>
    <t>Остаток денежных средств на конец месяца</t>
  </si>
  <si>
    <t>Канцтовары</t>
  </si>
  <si>
    <t>ЧВ на расчетный счет Сб.банк</t>
  </si>
  <si>
    <t>Расходы всего</t>
  </si>
  <si>
    <t>по кассе:</t>
  </si>
  <si>
    <t>Расходы налич/расч</t>
  </si>
  <si>
    <t xml:space="preserve">Заработная плата </t>
  </si>
  <si>
    <t>Оплата НДФЛ и страх. взносов</t>
  </si>
  <si>
    <t>ЧВ касса</t>
  </si>
  <si>
    <t>За электричество нал/безнал.расч.</t>
  </si>
  <si>
    <t>Возврат  излишне списанных средств по ИЛ-11307</t>
  </si>
  <si>
    <t>Пени/недоимки по  страх.взнос.</t>
  </si>
  <si>
    <t>Оплата проезда</t>
  </si>
  <si>
    <t>Плата за НВОС</t>
  </si>
  <si>
    <t>Комиссия банка</t>
  </si>
  <si>
    <t>Оплата  электроэнергии (Освещение)</t>
  </si>
  <si>
    <t>Земельный налог</t>
  </si>
  <si>
    <t>Оплата аренды юрид.адреса</t>
  </si>
  <si>
    <t>Почтовые расходы (отправление отчетов,писем)</t>
  </si>
  <si>
    <t>Оплата госпошлины(подача иска)</t>
  </si>
  <si>
    <t xml:space="preserve">    Заработная плата</t>
  </si>
  <si>
    <t>Оплата НДФЛ,  страх.взносов</t>
  </si>
  <si>
    <t>Оплата пеней по налогу на землю</t>
  </si>
  <si>
    <t>оплата неустойки</t>
  </si>
  <si>
    <t>Оплата по исполнительному листу ПАО МОСЭНЕРГОСБЫТ</t>
  </si>
  <si>
    <r>
      <rPr>
        <b/>
        <i/>
        <u/>
        <sz val="11"/>
        <color theme="1"/>
        <rFont val="Times New Roman"/>
        <family val="1"/>
        <charset val="204"/>
      </rPr>
      <t>в том числе:</t>
    </r>
    <r>
      <rPr>
        <i/>
        <sz val="11"/>
        <color theme="1"/>
        <rFont val="Times New Roman"/>
        <family val="1"/>
        <charset val="204"/>
      </rPr>
      <t xml:space="preserve"> оплата долга за эл/эн</t>
    </r>
  </si>
  <si>
    <t>возмещение суд.расх. МЭС</t>
  </si>
  <si>
    <t>ООО "Экопромсервис"(вывоз мусора)</t>
  </si>
  <si>
    <t>Услуги Типографии(печать бюллютеней)</t>
  </si>
  <si>
    <t>Аренда клуба(Собрание)</t>
  </si>
  <si>
    <t>Оплата работ по обработке борщевика</t>
  </si>
  <si>
    <t>Расходы на оплату ВЫПИСКИ ЕГРН, кадастр</t>
  </si>
  <si>
    <t>Доски, профиль металл, брус\стройматериалы, ПГС</t>
  </si>
  <si>
    <t>Возврат ошибочно перечисленных Чл.Вз. уч. 87</t>
  </si>
  <si>
    <t>Оплата услуг банка (расчетно кассовое обслуж)</t>
  </si>
  <si>
    <t>Оплата ремонта МФУ</t>
  </si>
  <si>
    <t>Оплата работы трактора</t>
  </si>
  <si>
    <t>Вывоз мусора (ООО "Экопромсервис")</t>
  </si>
  <si>
    <t>Оплата лицензии Астрал Отчетность</t>
  </si>
  <si>
    <t>Оплата  ремонта ворот</t>
  </si>
  <si>
    <t>Оплата аренды клуба</t>
  </si>
  <si>
    <t>НП СЗУ "Высокое" 2020г.</t>
  </si>
  <si>
    <t>Май 20</t>
  </si>
  <si>
    <t>Исполнительский сбор Клинский РОСП</t>
  </si>
  <si>
    <t>Налог на землю за 2019 г.</t>
  </si>
  <si>
    <t>Довровольный взнос на ремонт.дорог</t>
  </si>
  <si>
    <t>Январь 20</t>
  </si>
  <si>
    <t>Февраль 20</t>
  </si>
  <si>
    <t>Март 20</t>
  </si>
  <si>
    <t>Апрель 20</t>
  </si>
  <si>
    <t>Июнь 20</t>
  </si>
  <si>
    <t>Июль 20</t>
  </si>
  <si>
    <t>Август 20</t>
  </si>
  <si>
    <t>Сентябрь 20</t>
  </si>
  <si>
    <t>Октябрь 20</t>
  </si>
  <si>
    <t>Ноябрь 20</t>
  </si>
  <si>
    <t>декабрь 20</t>
  </si>
  <si>
    <t>возмещение суд расходов.</t>
  </si>
  <si>
    <t>Оплата юридических услуг( иск )</t>
  </si>
  <si>
    <t>Июнь 19</t>
  </si>
  <si>
    <t>Июль 19</t>
  </si>
  <si>
    <t>Август 19</t>
  </si>
  <si>
    <t>Сентябрь 19</t>
  </si>
  <si>
    <t>Октябрь 19</t>
  </si>
  <si>
    <t>Ноябрь 19</t>
  </si>
  <si>
    <t>декабрь 19</t>
  </si>
  <si>
    <t>НП СЗУ "Высокое" 2019г.</t>
  </si>
  <si>
    <t>Покупка катриджа</t>
  </si>
  <si>
    <t>Расходы на ГСМ</t>
  </si>
  <si>
    <t xml:space="preserve">Покупка моб.телефона </t>
  </si>
  <si>
    <t>Покупка электрощитка</t>
  </si>
  <si>
    <t>Подключение ЭДО</t>
  </si>
  <si>
    <t>Покупка замка, личины.батарейка.саморезы, леска, катушка для тримера,сверло, кабель, скотч, кисть, мешки д/мус)</t>
  </si>
  <si>
    <t>Покупка насоса</t>
  </si>
  <si>
    <t>Покупка масла для бензотримера, краска, растворитель, антирсептика, топливо на покос травы, мастики</t>
  </si>
  <si>
    <t>Расходы юристу иск Сидельникова, услуги юриста</t>
  </si>
  <si>
    <t>Покупка триммера, косовища, тачки, трубы дреннажной, замка, трубы переливной</t>
  </si>
  <si>
    <t>Расходы нал</t>
  </si>
  <si>
    <t>Расходы р\сч</t>
  </si>
  <si>
    <t>Наличные</t>
  </si>
  <si>
    <t xml:space="preserve">Покупка турбостойки,  плитки, досок, трубы(Ремонт Домика КПП), </t>
  </si>
  <si>
    <t>Покупка стабилизатора для ворот</t>
  </si>
  <si>
    <t>Электоровары для текущ ремонта</t>
  </si>
  <si>
    <t>Аренда Трактора</t>
  </si>
  <si>
    <t>Трубы</t>
  </si>
  <si>
    <t>Борщевик</t>
  </si>
  <si>
    <t>Ремонт ворот</t>
  </si>
  <si>
    <t>Январь 19</t>
  </si>
  <si>
    <t>Февраль 19</t>
  </si>
  <si>
    <t>Март 19</t>
  </si>
  <si>
    <t>Апрель 19</t>
  </si>
  <si>
    <t>Май 19</t>
  </si>
  <si>
    <t>Возмащение судебных расходов</t>
  </si>
  <si>
    <t>Налог на землю за 2018 г.</t>
  </si>
  <si>
    <t>В январе 2019 наличная касса от Борисова ОА новому председателю Валееву АР передана не была</t>
  </si>
  <si>
    <t>До 19 января 2019 прием ЧВ и наличные траты денежных средств производил Борисов ОА</t>
  </si>
  <si>
    <t>Передача печати и прием ЧВ Председателем Валеевым с 19 января 2019</t>
  </si>
  <si>
    <t>В отчете указаны траты Председателя Валеева АР</t>
  </si>
  <si>
    <t>Борисов ОА выложит свой отчет позже</t>
  </si>
  <si>
    <t>В феврале передана наличная касса 5 000 руб</t>
  </si>
  <si>
    <t>Всего</t>
  </si>
  <si>
    <t>Резерв оплата договоров</t>
  </si>
  <si>
    <t>Установка видеонаблюдения</t>
  </si>
  <si>
    <t>Электроэнергии (Освещение)</t>
  </si>
  <si>
    <t>Нотариус</t>
  </si>
  <si>
    <t>Чистка дорог от  снега</t>
  </si>
  <si>
    <t>Аренда юр адреса</t>
  </si>
  <si>
    <t>Ремонт оргтехники</t>
  </si>
  <si>
    <t>Расходы на топливо, дизтополиво для трактора, бензин для генератора</t>
  </si>
  <si>
    <t>Ремонт забора (метал уголок)</t>
  </si>
  <si>
    <t>Насос (КОЛОДЕЦ)</t>
  </si>
  <si>
    <t>Покупка  лески, катушки и ГСМ д/триммера</t>
  </si>
  <si>
    <t>Катридж</t>
  </si>
  <si>
    <t>Покупка электротоваров (Провод, разетки, выключатели, АЗС, предохранители, кабеля)</t>
  </si>
  <si>
    <t>Ремонт ворот, калитки, мусорки</t>
  </si>
  <si>
    <t>Обработка борщевика</t>
  </si>
  <si>
    <t>Аренда трактора, эксковатора Масюгино</t>
  </si>
  <si>
    <t>Камера, покрышка для минитрактора</t>
  </si>
  <si>
    <t>Ремонт дорог, тротуаров трубы, доски, профиль металл, брус\стройматериалы</t>
  </si>
  <si>
    <t>Ремонт дорог, проездов ПГС, Щебень, Песок Асфальтовая крошка</t>
  </si>
  <si>
    <t>Ремонт домика правления, сторожки, колодца</t>
  </si>
  <si>
    <t>Покупка замка, личины.батарейка.саморезы, леска,сверло, кабель, скотч, кисть, мешки д/мус, ВАЛИК)</t>
  </si>
  <si>
    <t>Услуги Типографии бюлетени, банер, таблички</t>
  </si>
  <si>
    <t>Видеонаблюдение, камеры, регистратор, монитор</t>
  </si>
  <si>
    <t>Резерв</t>
  </si>
  <si>
    <t>Сигнализация</t>
  </si>
  <si>
    <t>Стабилизатор</t>
  </si>
  <si>
    <t>Оплата НДФЛ и страх. Взносов:</t>
  </si>
  <si>
    <t>Страховые взносы</t>
  </si>
  <si>
    <t>в том числе :                                 НДФЛ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</si>
</sst>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2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b/>
      <sz val="12"/>
      <color theme="1"/>
      <name val="Times New Roman"/>
      <family val="2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theme="11"/>
      <name val="Calibri"/>
      <family val="2"/>
      <charset val="204"/>
      <scheme val="minor"/>
    </font>
    <font>
      <b/>
      <i/>
      <sz val="14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8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u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2"/>
      <charset val="204"/>
    </font>
    <font>
      <sz val="9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rgb="FF00CCFF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double">
        <color auto="1"/>
      </top>
      <bottom style="double">
        <color auto="1"/>
      </bottom>
      <diagonal/>
    </border>
    <border>
      <left style="hair">
        <color auto="1"/>
      </left>
      <right/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60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22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208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0" applyFont="1"/>
    <xf numFmtId="0" fontId="4" fillId="0" borderId="1" xfId="0" applyFont="1" applyBorder="1" applyAlignment="1">
      <alignment wrapText="1"/>
    </xf>
    <xf numFmtId="0" fontId="5" fillId="0" borderId="1" xfId="0" applyFont="1" applyBorder="1" applyAlignment="1">
      <alignment horizontal="left" wrapText="1" indent="2"/>
    </xf>
    <xf numFmtId="0" fontId="9" fillId="0" borderId="2" xfId="0" applyFont="1" applyBorder="1" applyAlignment="1">
      <alignment wrapText="1"/>
    </xf>
    <xf numFmtId="0" fontId="10" fillId="0" borderId="2" xfId="0" applyFont="1" applyBorder="1" applyAlignment="1">
      <alignment wrapText="1"/>
    </xf>
    <xf numFmtId="0" fontId="11" fillId="0" borderId="4" xfId="0" applyFont="1" applyBorder="1"/>
    <xf numFmtId="49" fontId="4" fillId="0" borderId="0" xfId="0" applyNumberFormat="1" applyFont="1"/>
    <xf numFmtId="0" fontId="12" fillId="2" borderId="5" xfId="0" applyFont="1" applyFill="1" applyBorder="1" applyAlignment="1">
      <alignment wrapText="1"/>
    </xf>
    <xf numFmtId="49" fontId="4" fillId="3" borderId="6" xfId="0" applyNumberFormat="1" applyFont="1" applyFill="1" applyBorder="1"/>
    <xf numFmtId="0" fontId="5" fillId="0" borderId="0" xfId="0" applyFont="1" applyAlignment="1">
      <alignment vertical="center" wrapText="1"/>
    </xf>
    <xf numFmtId="4" fontId="4" fillId="0" borderId="0" xfId="0" applyNumberFormat="1" applyFont="1" applyBorder="1" applyAlignment="1">
      <alignment horizontal="right"/>
    </xf>
    <xf numFmtId="4" fontId="4" fillId="0" borderId="4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center"/>
    </xf>
    <xf numFmtId="4" fontId="12" fillId="2" borderId="5" xfId="0" applyNumberFormat="1" applyFont="1" applyFill="1" applyBorder="1" applyAlignment="1">
      <alignment horizontal="center"/>
    </xf>
    <xf numFmtId="4" fontId="12" fillId="4" borderId="8" xfId="0" applyNumberFormat="1" applyFont="1" applyFill="1" applyBorder="1" applyAlignment="1">
      <alignment horizontal="right" vertical="center" wrapText="1"/>
    </xf>
    <xf numFmtId="49" fontId="4" fillId="3" borderId="7" xfId="0" applyNumberFormat="1" applyFont="1" applyFill="1" applyBorder="1" applyAlignment="1">
      <alignment horizontal="center"/>
    </xf>
    <xf numFmtId="0" fontId="14" fillId="0" borderId="1" xfId="0" applyFont="1" applyBorder="1" applyAlignment="1">
      <alignment horizontal="left" wrapText="1" indent="2"/>
    </xf>
    <xf numFmtId="4" fontId="12" fillId="6" borderId="0" xfId="0" applyNumberFormat="1" applyFont="1" applyFill="1" applyBorder="1" applyAlignment="1">
      <alignment horizontal="center"/>
    </xf>
    <xf numFmtId="4" fontId="18" fillId="0" borderId="1" xfId="0" applyNumberFormat="1" applyFont="1" applyBorder="1" applyAlignment="1">
      <alignment horizontal="right"/>
    </xf>
    <xf numFmtId="0" fontId="19" fillId="0" borderId="1" xfId="0" applyFont="1" applyBorder="1" applyAlignment="1">
      <alignment horizontal="right" wrapText="1" indent="2"/>
    </xf>
    <xf numFmtId="4" fontId="4" fillId="6" borderId="1" xfId="0" applyNumberFormat="1" applyFont="1" applyFill="1" applyBorder="1" applyAlignment="1">
      <alignment horizontal="center"/>
    </xf>
    <xf numFmtId="4" fontId="4" fillId="6" borderId="3" xfId="0" applyNumberFormat="1" applyFont="1" applyFill="1" applyBorder="1" applyAlignment="1">
      <alignment horizontal="center"/>
    </xf>
    <xf numFmtId="4" fontId="3" fillId="6" borderId="3" xfId="0" applyNumberFormat="1" applyFont="1" applyFill="1" applyBorder="1" applyAlignment="1">
      <alignment horizontal="right"/>
    </xf>
    <xf numFmtId="4" fontId="3" fillId="6" borderId="1" xfId="0" applyNumberFormat="1" applyFont="1" applyFill="1" applyBorder="1" applyAlignment="1">
      <alignment horizontal="right"/>
    </xf>
    <xf numFmtId="4" fontId="3" fillId="0" borderId="9" xfId="0" applyNumberFormat="1" applyFont="1" applyBorder="1" applyAlignment="1">
      <alignment horizontal="right"/>
    </xf>
    <xf numFmtId="49" fontId="21" fillId="3" borderId="7" xfId="0" applyNumberFormat="1" applyFont="1" applyFill="1" applyBorder="1" applyAlignment="1">
      <alignment horizontal="center"/>
    </xf>
    <xf numFmtId="0" fontId="5" fillId="0" borderId="1" xfId="0" applyFont="1" applyBorder="1"/>
    <xf numFmtId="4" fontId="5" fillId="0" borderId="1" xfId="0" applyNumberFormat="1" applyFont="1" applyBorder="1"/>
    <xf numFmtId="4" fontId="12" fillId="7" borderId="5" xfId="0" applyNumberFormat="1" applyFont="1" applyFill="1" applyBorder="1" applyAlignment="1">
      <alignment horizontal="center"/>
    </xf>
    <xf numFmtId="4" fontId="12" fillId="9" borderId="5" xfId="0" applyNumberFormat="1" applyFont="1" applyFill="1" applyBorder="1" applyAlignment="1">
      <alignment horizontal="center"/>
    </xf>
    <xf numFmtId="44" fontId="12" fillId="9" borderId="5" xfId="0" applyNumberFormat="1" applyFont="1" applyFill="1" applyBorder="1" applyAlignment="1">
      <alignment horizontal="left"/>
    </xf>
    <xf numFmtId="4" fontId="12" fillId="8" borderId="8" xfId="0" applyNumberFormat="1" applyFont="1" applyFill="1" applyBorder="1" applyAlignment="1">
      <alignment horizontal="right" vertical="center" wrapText="1"/>
    </xf>
    <xf numFmtId="43" fontId="15" fillId="0" borderId="1" xfId="41" applyFont="1" applyBorder="1" applyAlignment="1">
      <alignment horizontal="right"/>
    </xf>
    <xf numFmtId="43" fontId="15" fillId="0" borderId="1" xfId="41" applyFont="1" applyBorder="1" applyAlignment="1">
      <alignment horizontal="center"/>
    </xf>
    <xf numFmtId="4" fontId="15" fillId="0" borderId="1" xfId="0" applyNumberFormat="1" applyFont="1" applyBorder="1" applyAlignment="1">
      <alignment horizontal="center"/>
    </xf>
    <xf numFmtId="4" fontId="3" fillId="10" borderId="1" xfId="0" applyNumberFormat="1" applyFont="1" applyFill="1" applyBorder="1" applyAlignment="1">
      <alignment horizontal="right"/>
    </xf>
    <xf numFmtId="2" fontId="15" fillId="0" borderId="1" xfId="0" applyNumberFormat="1" applyFont="1" applyBorder="1" applyAlignment="1">
      <alignment horizontal="center"/>
    </xf>
    <xf numFmtId="4" fontId="4" fillId="6" borderId="0" xfId="0" applyNumberFormat="1" applyFont="1" applyFill="1" applyBorder="1" applyAlignment="1">
      <alignment horizontal="center"/>
    </xf>
    <xf numFmtId="0" fontId="21" fillId="4" borderId="8" xfId="0" applyFont="1" applyFill="1" applyBorder="1" applyAlignment="1">
      <alignment vertical="center" wrapText="1"/>
    </xf>
    <xf numFmtId="0" fontId="5" fillId="0" borderId="1" xfId="0" applyFont="1" applyBorder="1" applyAlignment="1">
      <alignment wrapText="1"/>
    </xf>
    <xf numFmtId="0" fontId="14" fillId="0" borderId="1" xfId="0" applyFont="1" applyBorder="1" applyAlignment="1">
      <alignment wrapText="1"/>
    </xf>
    <xf numFmtId="4" fontId="25" fillId="6" borderId="1" xfId="0" applyNumberFormat="1" applyFont="1" applyFill="1" applyBorder="1" applyAlignment="1">
      <alignment horizontal="right"/>
    </xf>
    <xf numFmtId="4" fontId="5" fillId="0" borderId="0" xfId="0" applyNumberFormat="1" applyFont="1"/>
    <xf numFmtId="0" fontId="26" fillId="0" borderId="0" xfId="0" applyFont="1"/>
    <xf numFmtId="0" fontId="5" fillId="10" borderId="1" xfId="0" applyFont="1" applyFill="1" applyBorder="1" applyAlignment="1">
      <alignment horizontal="left" wrapText="1" indent="2"/>
    </xf>
    <xf numFmtId="3" fontId="12" fillId="9" borderId="5" xfId="0" applyNumberFormat="1" applyFont="1" applyFill="1" applyBorder="1" applyAlignment="1">
      <alignment horizontal="left"/>
    </xf>
    <xf numFmtId="3" fontId="26" fillId="0" borderId="0" xfId="0" applyNumberFormat="1" applyFont="1"/>
    <xf numFmtId="3" fontId="10" fillId="5" borderId="1" xfId="0" applyNumberFormat="1" applyFont="1" applyFill="1" applyBorder="1" applyAlignment="1">
      <alignment horizontal="center" vertical="center"/>
    </xf>
    <xf numFmtId="3" fontId="10" fillId="0" borderId="1" xfId="41" applyNumberFormat="1" applyFont="1" applyBorder="1" applyAlignment="1">
      <alignment horizontal="center" vertical="center"/>
    </xf>
    <xf numFmtId="3" fontId="10" fillId="0" borderId="1" xfId="0" applyNumberFormat="1" applyFont="1" applyBorder="1" applyAlignment="1">
      <alignment horizontal="center" vertical="center"/>
    </xf>
    <xf numFmtId="3" fontId="10" fillId="10" borderId="1" xfId="41" applyNumberFormat="1" applyFont="1" applyFill="1" applyBorder="1" applyAlignment="1">
      <alignment horizontal="center" vertical="center"/>
    </xf>
    <xf numFmtId="3" fontId="10" fillId="10" borderId="1" xfId="0" applyNumberFormat="1" applyFont="1" applyFill="1" applyBorder="1" applyAlignment="1">
      <alignment horizontal="center" vertical="center"/>
    </xf>
    <xf numFmtId="3" fontId="3" fillId="0" borderId="1" xfId="41" applyNumberFormat="1" applyFont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3" fontId="4" fillId="3" borderId="7" xfId="0" applyNumberFormat="1" applyFont="1" applyFill="1" applyBorder="1" applyAlignment="1">
      <alignment horizontal="center" vertical="center"/>
    </xf>
    <xf numFmtId="3" fontId="12" fillId="9" borderId="5" xfId="0" applyNumberFormat="1" applyFont="1" applyFill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3" fontId="3" fillId="5" borderId="1" xfId="41" applyNumberFormat="1" applyFont="1" applyFill="1" applyBorder="1" applyAlignment="1">
      <alignment horizontal="center" vertical="center"/>
    </xf>
    <xf numFmtId="3" fontId="3" fillId="10" borderId="1" xfId="0" applyNumberFormat="1" applyFont="1" applyFill="1" applyBorder="1" applyAlignment="1">
      <alignment horizontal="center" vertical="center"/>
    </xf>
    <xf numFmtId="3" fontId="3" fillId="0" borderId="1" xfId="41" applyNumberFormat="1" applyFont="1" applyFill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0" fontId="27" fillId="0" borderId="0" xfId="0" applyFont="1"/>
    <xf numFmtId="3" fontId="27" fillId="0" borderId="0" xfId="0" applyNumberFormat="1" applyFont="1" applyAlignment="1">
      <alignment horizontal="center" vertical="center"/>
    </xf>
    <xf numFmtId="0" fontId="5" fillId="0" borderId="10" xfId="0" applyFont="1" applyBorder="1" applyAlignment="1">
      <alignment horizontal="left" wrapText="1" indent="2"/>
    </xf>
    <xf numFmtId="3" fontId="3" fillId="0" borderId="10" xfId="0" applyNumberFormat="1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3" fontId="10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wrapText="1"/>
    </xf>
    <xf numFmtId="3" fontId="4" fillId="0" borderId="12" xfId="0" applyNumberFormat="1" applyFont="1" applyBorder="1" applyAlignment="1">
      <alignment horizontal="center" vertical="center"/>
    </xf>
    <xf numFmtId="3" fontId="4" fillId="0" borderId="13" xfId="0" applyNumberFormat="1" applyFont="1" applyBorder="1" applyAlignment="1">
      <alignment horizontal="center" vertical="center"/>
    </xf>
    <xf numFmtId="49" fontId="4" fillId="3" borderId="12" xfId="0" applyNumberFormat="1" applyFont="1" applyFill="1" applyBorder="1"/>
    <xf numFmtId="0" fontId="4" fillId="0" borderId="12" xfId="0" applyFont="1" applyBorder="1" applyAlignment="1">
      <alignment wrapText="1"/>
    </xf>
    <xf numFmtId="43" fontId="10" fillId="0" borderId="0" xfId="0" applyNumberFormat="1" applyFont="1" applyBorder="1" applyAlignment="1">
      <alignment horizontal="center"/>
    </xf>
    <xf numFmtId="4" fontId="10" fillId="0" borderId="0" xfId="0" applyNumberFormat="1" applyFont="1" applyBorder="1" applyAlignment="1">
      <alignment horizontal="center"/>
    </xf>
    <xf numFmtId="43" fontId="3" fillId="0" borderId="1" xfId="41" applyFont="1" applyBorder="1" applyAlignment="1">
      <alignment horizontal="right"/>
    </xf>
    <xf numFmtId="43" fontId="3" fillId="0" borderId="1" xfId="4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left" wrapText="1" indent="2"/>
    </xf>
    <xf numFmtId="4" fontId="10" fillId="6" borderId="1" xfId="0" applyNumberFormat="1" applyFont="1" applyFill="1" applyBorder="1" applyAlignment="1">
      <alignment horizontal="right"/>
    </xf>
    <xf numFmtId="43" fontId="10" fillId="6" borderId="1" xfId="41" applyFont="1" applyFill="1" applyBorder="1" applyAlignment="1">
      <alignment horizontal="right"/>
    </xf>
    <xf numFmtId="4" fontId="10" fillId="0" borderId="1" xfId="0" applyNumberFormat="1" applyFont="1" applyBorder="1" applyAlignment="1">
      <alignment horizontal="right"/>
    </xf>
    <xf numFmtId="43" fontId="10" fillId="0" borderId="1" xfId="41" applyFont="1" applyBorder="1"/>
    <xf numFmtId="4" fontId="10" fillId="0" borderId="1" xfId="41" applyNumberFormat="1" applyFont="1" applyBorder="1"/>
    <xf numFmtId="0" fontId="11" fillId="0" borderId="1" xfId="0" applyFont="1" applyBorder="1"/>
    <xf numFmtId="4" fontId="6" fillId="0" borderId="1" xfId="0" applyNumberFormat="1" applyFont="1" applyBorder="1"/>
    <xf numFmtId="0" fontId="6" fillId="0" borderId="1" xfId="0" applyFont="1" applyBorder="1"/>
    <xf numFmtId="0" fontId="1" fillId="0" borderId="1" xfId="0" applyFont="1" applyBorder="1"/>
    <xf numFmtId="43" fontId="3" fillId="0" borderId="1" xfId="41" applyFont="1" applyBorder="1"/>
    <xf numFmtId="4" fontId="3" fillId="0" borderId="1" xfId="41" applyNumberFormat="1" applyFont="1" applyBorder="1"/>
    <xf numFmtId="4" fontId="1" fillId="0" borderId="1" xfId="0" applyNumberFormat="1" applyFont="1" applyBorder="1"/>
    <xf numFmtId="4" fontId="4" fillId="0" borderId="1" xfId="0" applyNumberFormat="1" applyFont="1" applyBorder="1"/>
    <xf numFmtId="4" fontId="10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2" fontId="10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left" wrapText="1"/>
    </xf>
    <xf numFmtId="2" fontId="10" fillId="0" borderId="1" xfId="0" applyNumberFormat="1" applyFont="1" applyBorder="1"/>
    <xf numFmtId="0" fontId="10" fillId="0" borderId="1" xfId="0" applyFont="1" applyBorder="1"/>
    <xf numFmtId="4" fontId="10" fillId="0" borderId="1" xfId="0" applyNumberFormat="1" applyFont="1" applyBorder="1"/>
    <xf numFmtId="43" fontId="3" fillId="5" borderId="1" xfId="41" applyFont="1" applyFill="1" applyBorder="1" applyAlignment="1"/>
    <xf numFmtId="4" fontId="10" fillId="5" borderId="1" xfId="0" applyNumberFormat="1" applyFont="1" applyFill="1" applyBorder="1" applyAlignment="1">
      <alignment vertical="center"/>
    </xf>
    <xf numFmtId="2" fontId="10" fillId="5" borderId="1" xfId="0" applyNumberFormat="1" applyFont="1" applyFill="1" applyBorder="1" applyAlignment="1">
      <alignment vertical="center"/>
    </xf>
    <xf numFmtId="0" fontId="10" fillId="5" borderId="1" xfId="0" applyFont="1" applyFill="1" applyBorder="1" applyAlignment="1">
      <alignment vertical="center"/>
    </xf>
    <xf numFmtId="43" fontId="10" fillId="0" borderId="1" xfId="41" applyFont="1" applyBorder="1" applyAlignment="1">
      <alignment vertical="center"/>
    </xf>
    <xf numFmtId="4" fontId="10" fillId="0" borderId="1" xfId="0" applyNumberFormat="1" applyFont="1" applyBorder="1" applyAlignment="1">
      <alignment vertical="center"/>
    </xf>
    <xf numFmtId="2" fontId="10" fillId="0" borderId="1" xfId="0" applyNumberFormat="1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43" fontId="10" fillId="10" borderId="1" xfId="41" applyFont="1" applyFill="1" applyBorder="1" applyAlignment="1">
      <alignment vertical="center"/>
    </xf>
    <xf numFmtId="4" fontId="10" fillId="10" borderId="1" xfId="0" applyNumberFormat="1" applyFont="1" applyFill="1" applyBorder="1" applyAlignment="1">
      <alignment vertical="center"/>
    </xf>
    <xf numFmtId="2" fontId="10" fillId="10" borderId="1" xfId="0" applyNumberFormat="1" applyFont="1" applyFill="1" applyBorder="1" applyAlignment="1">
      <alignment vertical="center"/>
    </xf>
    <xf numFmtId="0" fontId="10" fillId="10" borderId="1" xfId="0" applyFont="1" applyFill="1" applyBorder="1" applyAlignment="1">
      <alignment vertical="center"/>
    </xf>
    <xf numFmtId="43" fontId="3" fillId="0" borderId="1" xfId="41" applyFont="1" applyBorder="1" applyAlignment="1"/>
    <xf numFmtId="43" fontId="3" fillId="0" borderId="1" xfId="41" applyFont="1" applyBorder="1" applyAlignment="1">
      <alignment vertical="center"/>
    </xf>
    <xf numFmtId="43" fontId="3" fillId="0" borderId="1" xfId="41" applyFont="1" applyFill="1" applyBorder="1"/>
    <xf numFmtId="0" fontId="5" fillId="0" borderId="9" xfId="0" applyFont="1" applyBorder="1" applyAlignment="1">
      <alignment horizontal="left" wrapText="1" indent="2"/>
    </xf>
    <xf numFmtId="0" fontId="4" fillId="4" borderId="8" xfId="0" applyFont="1" applyFill="1" applyBorder="1" applyAlignment="1">
      <alignment vertical="center" wrapText="1"/>
    </xf>
    <xf numFmtId="0" fontId="16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4" fontId="17" fillId="0" borderId="1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2" fontId="17" fillId="0" borderId="1" xfId="0" applyNumberFormat="1" applyFont="1" applyBorder="1" applyAlignment="1">
      <alignment horizontal="center" vertical="center"/>
    </xf>
    <xf numFmtId="4" fontId="17" fillId="6" borderId="1" xfId="0" applyNumberFormat="1" applyFont="1" applyFill="1" applyBorder="1" applyAlignment="1">
      <alignment horizontal="center" vertical="center"/>
    </xf>
    <xf numFmtId="43" fontId="17" fillId="6" borderId="1" xfId="41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4" fontId="18" fillId="0" borderId="1" xfId="0" applyNumberFormat="1" applyFont="1" applyBorder="1" applyAlignment="1">
      <alignment horizontal="center" vertical="center"/>
    </xf>
    <xf numFmtId="43" fontId="17" fillId="0" borderId="1" xfId="41" applyFont="1" applyBorder="1" applyAlignment="1">
      <alignment horizontal="center" vertical="center"/>
    </xf>
    <xf numFmtId="4" fontId="17" fillId="0" borderId="1" xfId="41" applyNumberFormat="1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4" fontId="16" fillId="0" borderId="1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43" fontId="15" fillId="0" borderId="1" xfId="41" applyFont="1" applyBorder="1" applyAlignment="1">
      <alignment horizontal="center" vertical="center"/>
    </xf>
    <xf numFmtId="4" fontId="15" fillId="0" borderId="1" xfId="41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4" fontId="24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4" fontId="21" fillId="0" borderId="1" xfId="0" applyNumberFormat="1" applyFont="1" applyBorder="1" applyAlignment="1">
      <alignment horizontal="center" vertical="center"/>
    </xf>
    <xf numFmtId="4" fontId="14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left" vertical="center" wrapText="1"/>
    </xf>
    <xf numFmtId="4" fontId="3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2" fontId="17" fillId="0" borderId="10" xfId="0" applyNumberFormat="1" applyFont="1" applyBorder="1" applyAlignment="1">
      <alignment horizontal="center" vertical="center"/>
    </xf>
    <xf numFmtId="0" fontId="4" fillId="3" borderId="8" xfId="0" applyFont="1" applyFill="1" applyBorder="1" applyAlignment="1">
      <alignment wrapText="1"/>
    </xf>
    <xf numFmtId="4" fontId="4" fillId="3" borderId="8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wrapText="1"/>
    </xf>
    <xf numFmtId="4" fontId="4" fillId="3" borderId="1" xfId="0" applyNumberFormat="1" applyFont="1" applyFill="1" applyBorder="1" applyAlignment="1">
      <alignment horizontal="center"/>
    </xf>
    <xf numFmtId="0" fontId="10" fillId="0" borderId="4" xfId="0" applyFont="1" applyBorder="1"/>
    <xf numFmtId="0" fontId="14" fillId="0" borderId="14" xfId="0" applyFont="1" applyBorder="1" applyAlignment="1">
      <alignment horizontal="left" vertical="center" wrapText="1"/>
    </xf>
    <xf numFmtId="0" fontId="14" fillId="10" borderId="1" xfId="0" applyFont="1" applyFill="1" applyBorder="1" applyAlignment="1">
      <alignment horizontal="left" vertical="center" wrapText="1"/>
    </xf>
    <xf numFmtId="0" fontId="14" fillId="0" borderId="9" xfId="0" applyFont="1" applyBorder="1" applyAlignment="1">
      <alignment horizontal="left" vertical="center" wrapText="1"/>
    </xf>
    <xf numFmtId="4" fontId="17" fillId="5" borderId="1" xfId="0" applyNumberFormat="1" applyFont="1" applyFill="1" applyBorder="1" applyAlignment="1">
      <alignment horizontal="center" vertical="center"/>
    </xf>
    <xf numFmtId="2" fontId="17" fillId="5" borderId="1" xfId="0" applyNumberFormat="1" applyFont="1" applyFill="1" applyBorder="1" applyAlignment="1">
      <alignment horizontal="center" vertical="center"/>
    </xf>
    <xf numFmtId="0" fontId="17" fillId="5" borderId="1" xfId="0" applyFont="1" applyFill="1" applyBorder="1" applyAlignment="1">
      <alignment horizontal="center" vertical="center"/>
    </xf>
    <xf numFmtId="43" fontId="17" fillId="10" borderId="1" xfId="41" applyFont="1" applyFill="1" applyBorder="1" applyAlignment="1">
      <alignment horizontal="center" vertical="center"/>
    </xf>
    <xf numFmtId="4" fontId="17" fillId="10" borderId="1" xfId="0" applyNumberFormat="1" applyFont="1" applyFill="1" applyBorder="1" applyAlignment="1">
      <alignment horizontal="center" vertical="center"/>
    </xf>
    <xf numFmtId="2" fontId="17" fillId="10" borderId="1" xfId="0" applyNumberFormat="1" applyFont="1" applyFill="1" applyBorder="1" applyAlignment="1">
      <alignment horizontal="center" vertical="center"/>
    </xf>
    <xf numFmtId="0" fontId="17" fillId="10" borderId="1" xfId="0" applyFont="1" applyFill="1" applyBorder="1" applyAlignment="1">
      <alignment horizontal="center" vertical="center"/>
    </xf>
    <xf numFmtId="4" fontId="4" fillId="0" borderId="14" xfId="0" applyNumberFormat="1" applyFont="1" applyBorder="1" applyAlignment="1">
      <alignment horizontal="center" vertical="center"/>
    </xf>
    <xf numFmtId="4" fontId="15" fillId="0" borderId="14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4" fontId="17" fillId="0" borderId="14" xfId="0" applyNumberFormat="1" applyFont="1" applyBorder="1" applyAlignment="1">
      <alignment horizontal="center" vertical="center"/>
    </xf>
    <xf numFmtId="4" fontId="3" fillId="6" borderId="1" xfId="0" applyNumberFormat="1" applyFont="1" applyFill="1" applyBorder="1" applyAlignment="1">
      <alignment horizontal="center" vertical="center"/>
    </xf>
    <xf numFmtId="43" fontId="15" fillId="5" borderId="1" xfId="41" applyFont="1" applyFill="1" applyBorder="1" applyAlignment="1">
      <alignment horizontal="center" vertical="center"/>
    </xf>
    <xf numFmtId="4" fontId="3" fillId="10" borderId="1" xfId="0" applyNumberFormat="1" applyFont="1" applyFill="1" applyBorder="1" applyAlignment="1">
      <alignment horizontal="center" vertical="center"/>
    </xf>
    <xf numFmtId="43" fontId="15" fillId="0" borderId="1" xfId="41" applyFont="1" applyFill="1" applyBorder="1" applyAlignment="1">
      <alignment horizontal="center" vertical="center"/>
    </xf>
    <xf numFmtId="4" fontId="4" fillId="0" borderId="0" xfId="0" applyNumberFormat="1" applyFont="1" applyBorder="1" applyAlignment="1">
      <alignment horizontal="center" vertical="center"/>
    </xf>
    <xf numFmtId="4" fontId="3" fillId="0" borderId="9" xfId="0" applyNumberFormat="1" applyFont="1" applyBorder="1" applyAlignment="1">
      <alignment horizontal="center" vertical="center"/>
    </xf>
    <xf numFmtId="0" fontId="4" fillId="0" borderId="0" xfId="0" applyFont="1"/>
    <xf numFmtId="0" fontId="5" fillId="0" borderId="0" xfId="0" applyFont="1"/>
    <xf numFmtId="0" fontId="5" fillId="0" borderId="1" xfId="0" applyFont="1" applyBorder="1" applyAlignment="1">
      <alignment horizontal="left" wrapText="1" indent="2"/>
    </xf>
    <xf numFmtId="0" fontId="9" fillId="0" borderId="2" xfId="0" applyFont="1" applyBorder="1" applyAlignment="1">
      <alignment wrapText="1"/>
    </xf>
    <xf numFmtId="0" fontId="10" fillId="0" borderId="2" xfId="0" applyFont="1" applyBorder="1" applyAlignment="1">
      <alignment wrapText="1"/>
    </xf>
    <xf numFmtId="0" fontId="11" fillId="0" borderId="4" xfId="0" applyFont="1" applyBorder="1"/>
    <xf numFmtId="0" fontId="12" fillId="2" borderId="5" xfId="0" applyFont="1" applyFill="1" applyBorder="1" applyAlignment="1">
      <alignment wrapText="1"/>
    </xf>
    <xf numFmtId="49" fontId="4" fillId="3" borderId="6" xfId="0" applyNumberFormat="1" applyFont="1" applyFill="1" applyBorder="1"/>
    <xf numFmtId="4" fontId="4" fillId="0" borderId="0" xfId="0" applyNumberFormat="1" applyFont="1" applyBorder="1" applyAlignment="1">
      <alignment horizontal="right"/>
    </xf>
    <xf numFmtId="4" fontId="4" fillId="0" borderId="4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4" fontId="12" fillId="2" borderId="5" xfId="0" applyNumberFormat="1" applyFont="1" applyFill="1" applyBorder="1" applyAlignment="1">
      <alignment horizontal="center"/>
    </xf>
    <xf numFmtId="4" fontId="12" fillId="4" borderId="8" xfId="0" applyNumberFormat="1" applyFont="1" applyFill="1" applyBorder="1" applyAlignment="1">
      <alignment horizontal="right" vertical="center" wrapText="1"/>
    </xf>
    <xf numFmtId="49" fontId="4" fillId="3" borderId="7" xfId="0" applyNumberFormat="1" applyFont="1" applyFill="1" applyBorder="1" applyAlignment="1">
      <alignment horizontal="center"/>
    </xf>
    <xf numFmtId="4" fontId="12" fillId="6" borderId="0" xfId="0" applyNumberFormat="1" applyFont="1" applyFill="1" applyBorder="1" applyAlignment="1">
      <alignment horizontal="center"/>
    </xf>
    <xf numFmtId="4" fontId="4" fillId="6" borderId="3" xfId="0" applyNumberFormat="1" applyFont="1" applyFill="1" applyBorder="1" applyAlignment="1">
      <alignment horizontal="center"/>
    </xf>
    <xf numFmtId="4" fontId="3" fillId="6" borderId="3" xfId="0" applyNumberFormat="1" applyFont="1" applyFill="1" applyBorder="1" applyAlignment="1">
      <alignment horizontal="right"/>
    </xf>
    <xf numFmtId="4" fontId="3" fillId="6" borderId="1" xfId="0" applyNumberFormat="1" applyFont="1" applyFill="1" applyBorder="1" applyAlignment="1">
      <alignment horizontal="right"/>
    </xf>
    <xf numFmtId="0" fontId="5" fillId="0" borderId="1" xfId="0" applyFont="1" applyBorder="1"/>
    <xf numFmtId="4" fontId="5" fillId="0" borderId="1" xfId="0" applyNumberFormat="1" applyFont="1" applyBorder="1"/>
    <xf numFmtId="4" fontId="12" fillId="9" borderId="5" xfId="0" applyNumberFormat="1" applyFont="1" applyFill="1" applyBorder="1" applyAlignment="1">
      <alignment horizontal="center"/>
    </xf>
    <xf numFmtId="44" fontId="12" fillId="9" borderId="5" xfId="0" applyNumberFormat="1" applyFont="1" applyFill="1" applyBorder="1" applyAlignment="1">
      <alignment horizontal="left"/>
    </xf>
    <xf numFmtId="2" fontId="10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wrapText="1"/>
    </xf>
    <xf numFmtId="4" fontId="25" fillId="6" borderId="1" xfId="0" applyNumberFormat="1" applyFont="1" applyFill="1" applyBorder="1" applyAlignment="1">
      <alignment horizontal="right"/>
    </xf>
    <xf numFmtId="4" fontId="5" fillId="0" borderId="0" xfId="0" applyNumberFormat="1" applyFont="1"/>
    <xf numFmtId="0" fontId="5" fillId="0" borderId="1" xfId="0" applyFont="1" applyBorder="1" applyAlignment="1">
      <alignment horizontal="right" vertical="center" wrapText="1"/>
    </xf>
  </cellXfs>
  <cellStyles count="60">
    <cellStyle name="Гиперссылка" xfId="1" builtinId="8" hidden="1"/>
    <cellStyle name="Гиперссылка" xfId="3" builtinId="8" hidden="1"/>
    <cellStyle name="Гиперссылка" xfId="5" builtinId="8" hidden="1"/>
    <cellStyle name="Гиперссылка" xfId="7" builtinId="8" hidden="1"/>
    <cellStyle name="Гиперссылка" xfId="9" builtinId="8" hidden="1"/>
    <cellStyle name="Гиперссылка" xfId="11" builtinId="8" hidden="1"/>
    <cellStyle name="Гиперссылка" xfId="13" builtinId="8" hidden="1"/>
    <cellStyle name="Гиперссылка" xfId="15" builtinId="8" hidden="1"/>
    <cellStyle name="Гиперссылка" xfId="17" builtinId="8" hidden="1"/>
    <cellStyle name="Гиперссылка" xfId="19" builtinId="8" hidden="1"/>
    <cellStyle name="Гиперссылка" xfId="21" builtinId="8" hidden="1"/>
    <cellStyle name="Гиперссылка" xfId="23" builtinId="8" hidden="1"/>
    <cellStyle name="Гиперссылка" xfId="25" builtinId="8" hidden="1"/>
    <cellStyle name="Гиперссылка" xfId="27" builtinId="8" hidden="1"/>
    <cellStyle name="Гиперссылка" xfId="29" builtinId="8" hidden="1"/>
    <cellStyle name="Гиперссылка" xfId="31" builtinId="8" hidden="1"/>
    <cellStyle name="Гиперссылка" xfId="33" builtinId="8" hidden="1"/>
    <cellStyle name="Гиперссылка" xfId="35" builtinId="8" hidden="1"/>
    <cellStyle name="Гиперссылка" xfId="37" builtinId="8" hidden="1"/>
    <cellStyle name="Гиперссылка" xfId="39" builtinId="8" hidden="1"/>
    <cellStyle name="Гиперссылка" xfId="42" builtinId="8" hidden="1"/>
    <cellStyle name="Гиперссылка" xfId="44" builtinId="8" hidden="1"/>
    <cellStyle name="Гиперссылка" xfId="46" builtinId="8" hidden="1"/>
    <cellStyle name="Гиперссылка" xfId="48" builtinId="8" hidden="1"/>
    <cellStyle name="Гиперссылка" xfId="50" builtinId="8" hidden="1"/>
    <cellStyle name="Гиперссылка" xfId="52" builtinId="8" hidden="1"/>
    <cellStyle name="Гиперссылка" xfId="54" builtinId="8" hidden="1"/>
    <cellStyle name="Гиперссылка" xfId="56" builtinId="8" hidden="1"/>
    <cellStyle name="Гиперссылка" xfId="58" builtinId="8" hidden="1"/>
    <cellStyle name="Обычный" xfId="0" builtinId="0"/>
    <cellStyle name="Открывавшаяся гиперссылка" xfId="2" builtinId="9" hidden="1"/>
    <cellStyle name="Открывавшаяся гиперссылка" xfId="4" builtinId="9" hidden="1"/>
    <cellStyle name="Открывавшаяся гиперссылка" xfId="6" builtinId="9" hidden="1"/>
    <cellStyle name="Открывавшаяся гиперссылка" xfId="8" builtinId="9" hidden="1"/>
    <cellStyle name="Открывавшаяся гиперссылка" xfId="10" builtinId="9" hidden="1"/>
    <cellStyle name="Открывавшаяся гиперссылка" xfId="12" builtinId="9" hidden="1"/>
    <cellStyle name="Открывавшаяся гиперссылка" xfId="14" builtinId="9" hidden="1"/>
    <cellStyle name="Открывавшаяся гиперссылка" xfId="16" builtinId="9" hidden="1"/>
    <cellStyle name="Открывавшаяся гиперссылка" xfId="18" builtinId="9" hidden="1"/>
    <cellStyle name="Открывавшаяся гиперссылка" xfId="20" builtinId="9" hidden="1"/>
    <cellStyle name="Открывавшаяся гиперссылка" xfId="22" builtinId="9" hidden="1"/>
    <cellStyle name="Открывавшаяся гиперссылка" xfId="24" builtinId="9" hidden="1"/>
    <cellStyle name="Открывавшаяся гиперссылка" xfId="26" builtinId="9" hidden="1"/>
    <cellStyle name="Открывавшаяся гиперссылка" xfId="28" builtinId="9" hidden="1"/>
    <cellStyle name="Открывавшаяся гиперссылка" xfId="30" builtinId="9" hidden="1"/>
    <cellStyle name="Открывавшаяся гиперссылка" xfId="32" builtinId="9" hidden="1"/>
    <cellStyle name="Открывавшаяся гиперссылка" xfId="34" builtinId="9" hidden="1"/>
    <cellStyle name="Открывавшаяся гиперссылка" xfId="36" builtinId="9" hidden="1"/>
    <cellStyle name="Открывавшаяся гиперссылка" xfId="38" builtinId="9" hidden="1"/>
    <cellStyle name="Открывавшаяся гиперссылка" xfId="40" builtinId="9" hidden="1"/>
    <cellStyle name="Открывавшаяся гиперссылка" xfId="43" builtinId="9" hidden="1"/>
    <cellStyle name="Открывавшаяся гиперссылка" xfId="45" builtinId="9" hidden="1"/>
    <cellStyle name="Открывавшаяся гиперссылка" xfId="47" builtinId="9" hidden="1"/>
    <cellStyle name="Открывавшаяся гиперссылка" xfId="49" builtinId="9" hidden="1"/>
    <cellStyle name="Открывавшаяся гиперссылка" xfId="51" builtinId="9" hidden="1"/>
    <cellStyle name="Открывавшаяся гиперссылка" xfId="53" builtinId="9" hidden="1"/>
    <cellStyle name="Открывавшаяся гиперссылка" xfId="55" builtinId="9" hidden="1"/>
    <cellStyle name="Открывавшаяся гиперссылка" xfId="57" builtinId="9" hidden="1"/>
    <cellStyle name="Открывавшаяся гиперссылка" xfId="59" builtinId="9" hidden="1"/>
    <cellStyle name="Финансовый" xfId="41" builtinId="3"/>
  </cellStyles>
  <dxfs count="0"/>
  <tableStyles count="0" defaultTableStyle="TableStyleMedium9" defaultPivotStyle="PivotStyleLight16"/>
  <colors>
    <mruColors>
      <color rgb="FF33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01"/>
  <sheetViews>
    <sheetView tabSelected="1" workbookViewId="0">
      <pane xSplit="1" ySplit="8" topLeftCell="B82" activePane="bottomRight" state="frozen"/>
      <selection pane="topRight" activeCell="B1" sqref="B1"/>
      <selection pane="bottomLeft" activeCell="A9" sqref="A9"/>
      <selection pane="bottomRight" activeCell="H4" sqref="H4"/>
    </sheetView>
  </sheetViews>
  <sheetFormatPr defaultColWidth="8.85546875" defaultRowHeight="23.1" customHeight="1" x14ac:dyDescent="0.3"/>
  <cols>
    <col min="1" max="1" width="52.42578125" style="2" customWidth="1"/>
    <col min="2" max="2" width="16.85546875" style="13" customWidth="1"/>
    <col min="3" max="7" width="15.42578125" style="13" customWidth="1"/>
    <col min="8" max="8" width="16.28515625" style="13" customWidth="1"/>
    <col min="9" max="9" width="15.7109375" style="2" customWidth="1"/>
    <col min="10" max="14" width="15.42578125" style="2" customWidth="1"/>
    <col min="15" max="15" width="8.85546875" style="2"/>
    <col min="16" max="16" width="10.42578125" style="2" bestFit="1" customWidth="1"/>
    <col min="17" max="16384" width="8.85546875" style="2"/>
  </cols>
  <sheetData>
    <row r="1" spans="1:14" s="1" customFormat="1" ht="18" customHeight="1" x14ac:dyDescent="0.35">
      <c r="A1" s="6" t="s">
        <v>12</v>
      </c>
      <c r="B1" s="25">
        <f t="shared" ref="B1:H1" si="0">SUM(B2:B3)</f>
        <v>249663.57</v>
      </c>
      <c r="C1" s="25">
        <f t="shared" si="0"/>
        <v>69211.370000000024</v>
      </c>
      <c r="D1" s="25">
        <f t="shared" si="0"/>
        <v>158874.69</v>
      </c>
      <c r="E1" s="25">
        <f t="shared" si="0"/>
        <v>68589.400000000009</v>
      </c>
      <c r="F1" s="25">
        <f t="shared" si="0"/>
        <v>119456.65000000001</v>
      </c>
      <c r="G1" s="25">
        <f t="shared" si="0"/>
        <v>131541.10000000003</v>
      </c>
      <c r="H1" s="196">
        <f t="shared" si="0"/>
        <v>215868.14000000004</v>
      </c>
      <c r="I1" s="25"/>
      <c r="J1" s="25"/>
      <c r="K1" s="25"/>
      <c r="L1" s="25"/>
      <c r="M1" s="25"/>
    </row>
    <row r="2" spans="1:14" s="1" customFormat="1" ht="18" customHeight="1" x14ac:dyDescent="0.3">
      <c r="A2" s="7" t="s">
        <v>3</v>
      </c>
      <c r="B2" s="26">
        <v>197922.66</v>
      </c>
      <c r="C2" s="26">
        <f>B2+B10+B14-B18</f>
        <v>29522.080000000016</v>
      </c>
      <c r="D2" s="26">
        <f>C2+C10-C18</f>
        <v>74753.010000000009</v>
      </c>
      <c r="E2" s="26">
        <v>9817.11</v>
      </c>
      <c r="F2" s="26">
        <v>60996.36</v>
      </c>
      <c r="G2" s="26">
        <f>F2+F10+F14-F18</f>
        <v>23662.920000000042</v>
      </c>
      <c r="H2" s="197">
        <f>G2+G10+G14-G18</f>
        <v>132301.65000000005</v>
      </c>
    </row>
    <row r="3" spans="1:14" s="3" customFormat="1" ht="18" customHeight="1" x14ac:dyDescent="0.3">
      <c r="A3" s="7" t="s">
        <v>18</v>
      </c>
      <c r="B3" s="26">
        <v>51740.91</v>
      </c>
      <c r="C3" s="26">
        <f>B3+B11-B43</f>
        <v>39689.290000000008</v>
      </c>
      <c r="D3" s="26">
        <f>C3+C11-C43</f>
        <v>84121.680000000008</v>
      </c>
      <c r="E3" s="26">
        <f>D3+D11-D43</f>
        <v>58772.290000000008</v>
      </c>
      <c r="F3" s="26">
        <f>E3+E11+E14-E43</f>
        <v>58460.290000000008</v>
      </c>
      <c r="G3" s="26">
        <f>F3+F11-F43</f>
        <v>107878.18000000001</v>
      </c>
      <c r="H3" s="197">
        <f>G3+G11-G43</f>
        <v>83566.489999999991</v>
      </c>
      <c r="I3" s="26"/>
      <c r="J3" s="26"/>
      <c r="K3" s="26"/>
      <c r="L3" s="26"/>
      <c r="M3" s="26"/>
    </row>
    <row r="4" spans="1:14" s="1" customFormat="1" ht="18" customHeight="1" x14ac:dyDescent="0.3">
      <c r="A4" s="7" t="s">
        <v>10</v>
      </c>
      <c r="B4" s="26">
        <f t="shared" ref="B4:M4" si="1">B18</f>
        <v>281643.23</v>
      </c>
      <c r="C4" s="26">
        <f t="shared" si="1"/>
        <v>138509.07</v>
      </c>
      <c r="D4" s="26">
        <f t="shared" si="1"/>
        <v>277074.27</v>
      </c>
      <c r="E4" s="26">
        <f t="shared" si="1"/>
        <v>33967.880000000005</v>
      </c>
      <c r="F4" s="26">
        <f t="shared" si="1"/>
        <v>203803.47999999998</v>
      </c>
      <c r="G4" s="26">
        <f t="shared" si="1"/>
        <v>89874.26999999999</v>
      </c>
      <c r="H4" s="197">
        <f t="shared" si="1"/>
        <v>0</v>
      </c>
      <c r="I4" s="26">
        <f t="shared" si="1"/>
        <v>0</v>
      </c>
      <c r="J4" s="26">
        <f t="shared" si="1"/>
        <v>0</v>
      </c>
      <c r="K4" s="26">
        <f t="shared" si="1"/>
        <v>0</v>
      </c>
      <c r="L4" s="26">
        <f t="shared" si="1"/>
        <v>0</v>
      </c>
      <c r="M4" s="26">
        <f t="shared" si="1"/>
        <v>0</v>
      </c>
    </row>
    <row r="5" spans="1:14" s="1" customFormat="1" ht="18" customHeight="1" x14ac:dyDescent="0.3">
      <c r="A5" s="7" t="s">
        <v>11</v>
      </c>
      <c r="B5" s="26">
        <f>B43</f>
        <v>21851.62</v>
      </c>
      <c r="C5" s="26">
        <f>C43</f>
        <v>16287.61</v>
      </c>
      <c r="D5" s="26">
        <f>D43</f>
        <v>50849.39</v>
      </c>
      <c r="E5" s="26">
        <f>E43</f>
        <v>12212</v>
      </c>
      <c r="F5" s="26">
        <f>F43</f>
        <v>49382.11</v>
      </c>
      <c r="G5" s="26">
        <f>G43</f>
        <v>116511.69</v>
      </c>
      <c r="H5" s="197">
        <f>H43</f>
        <v>0</v>
      </c>
      <c r="I5" s="26">
        <f t="shared" ref="I5:M5" si="2">I43</f>
        <v>0</v>
      </c>
      <c r="J5" s="26">
        <f t="shared" si="2"/>
        <v>0</v>
      </c>
      <c r="K5" s="26">
        <f t="shared" si="2"/>
        <v>0</v>
      </c>
      <c r="L5" s="26">
        <f t="shared" si="2"/>
        <v>0</v>
      </c>
      <c r="M5" s="26">
        <f t="shared" si="2"/>
        <v>0</v>
      </c>
      <c r="N5" s="1" t="s">
        <v>114</v>
      </c>
    </row>
    <row r="6" spans="1:14" ht="18" customHeight="1" thickBot="1" x14ac:dyDescent="0.35">
      <c r="A6" s="1" t="s">
        <v>17</v>
      </c>
      <c r="B6" s="21">
        <f t="shared" ref="B6:C6" si="3">SUM(B4:B5)</f>
        <v>303494.84999999998</v>
      </c>
      <c r="C6" s="21">
        <f t="shared" si="3"/>
        <v>154796.68</v>
      </c>
      <c r="D6" s="21">
        <f>SUM(D4:D5)</f>
        <v>327923.66000000003</v>
      </c>
      <c r="E6" s="21">
        <f>SUM(E4:E5)</f>
        <v>46179.880000000005</v>
      </c>
      <c r="F6" s="21">
        <f>F18+F43</f>
        <v>253185.58999999997</v>
      </c>
      <c r="G6" s="21">
        <f t="shared" ref="G6:K6" si="4">SUM(G4:G5)</f>
        <v>206385.96</v>
      </c>
      <c r="H6" s="21">
        <f t="shared" si="4"/>
        <v>0</v>
      </c>
      <c r="I6" s="21">
        <f t="shared" si="4"/>
        <v>0</v>
      </c>
      <c r="J6" s="21">
        <f t="shared" si="4"/>
        <v>0</v>
      </c>
      <c r="K6" s="21">
        <f t="shared" si="4"/>
        <v>0</v>
      </c>
      <c r="L6" s="21">
        <f>SUM(L4:L5)</f>
        <v>0</v>
      </c>
      <c r="M6" s="21">
        <f>SUM(M4:M5)</f>
        <v>0</v>
      </c>
      <c r="N6" s="46">
        <f>SUM(B6:M6)</f>
        <v>1291966.6199999999</v>
      </c>
    </row>
    <row r="7" spans="1:14" s="9" customFormat="1" ht="21" customHeight="1" thickTop="1" thickBot="1" x14ac:dyDescent="0.35">
      <c r="A7" s="11" t="s">
        <v>55</v>
      </c>
      <c r="B7" s="19" t="s">
        <v>60</v>
      </c>
      <c r="C7" s="19" t="s">
        <v>61</v>
      </c>
      <c r="D7" s="19" t="s">
        <v>62</v>
      </c>
      <c r="E7" s="19" t="s">
        <v>63</v>
      </c>
      <c r="F7" s="19" t="s">
        <v>56</v>
      </c>
      <c r="G7" s="19" t="s">
        <v>64</v>
      </c>
      <c r="H7" s="19" t="s">
        <v>65</v>
      </c>
      <c r="I7" s="29" t="s">
        <v>66</v>
      </c>
      <c r="J7" s="29" t="s">
        <v>67</v>
      </c>
      <c r="K7" s="29" t="s">
        <v>68</v>
      </c>
      <c r="L7" s="29" t="s">
        <v>69</v>
      </c>
      <c r="M7" s="29" t="s">
        <v>70</v>
      </c>
      <c r="N7" s="46">
        <f t="shared" ref="N7:N8" si="5">SUM(B7:M7)</f>
        <v>0</v>
      </c>
    </row>
    <row r="8" spans="1:14" s="1" customFormat="1" ht="23.1" customHeight="1" thickTop="1" x14ac:dyDescent="0.3">
      <c r="A8" s="34" t="s">
        <v>0</v>
      </c>
      <c r="B8" s="33">
        <f>B10+B11+B14</f>
        <v>123042.65</v>
      </c>
      <c r="C8" s="33">
        <f>C10+C11</f>
        <v>244460</v>
      </c>
      <c r="D8" s="33">
        <f>SUM(D10:D15)</f>
        <v>240138.37</v>
      </c>
      <c r="E8" s="33">
        <f>SUM(E10:E15)</f>
        <v>97047.13</v>
      </c>
      <c r="F8" s="33">
        <f t="shared" ref="F8:J8" si="6">SUM(F10:F15)</f>
        <v>265270.04000000004</v>
      </c>
      <c r="G8" s="33">
        <f t="shared" si="6"/>
        <v>290713</v>
      </c>
      <c r="H8" s="33">
        <f t="shared" si="6"/>
        <v>0</v>
      </c>
      <c r="I8" s="33">
        <f t="shared" si="6"/>
        <v>0</v>
      </c>
      <c r="J8" s="33">
        <f t="shared" si="6"/>
        <v>0</v>
      </c>
      <c r="K8" s="33">
        <f>SUM(K10:K15)</f>
        <v>0</v>
      </c>
      <c r="L8" s="33">
        <f>SUM(L10:L15)</f>
        <v>0</v>
      </c>
      <c r="M8" s="33">
        <f>SUM(M10:M15)</f>
        <v>0</v>
      </c>
      <c r="N8" s="46">
        <f t="shared" si="5"/>
        <v>1260671.19</v>
      </c>
    </row>
    <row r="9" spans="1:14" ht="12" customHeight="1" x14ac:dyDescent="0.3">
      <c r="A9" s="8" t="s">
        <v>2</v>
      </c>
      <c r="B9" s="14"/>
      <c r="C9" s="14"/>
      <c r="D9" s="14"/>
      <c r="E9" s="14"/>
      <c r="F9" s="14"/>
      <c r="G9" s="14"/>
      <c r="H9" s="14"/>
    </row>
    <row r="10" spans="1:14" ht="23.1" customHeight="1" x14ac:dyDescent="0.3">
      <c r="A10" s="43" t="s">
        <v>16</v>
      </c>
      <c r="B10" s="15">
        <f>105460+7782.65</f>
        <v>113242.65</v>
      </c>
      <c r="C10" s="15">
        <f>183740</f>
        <v>183740</v>
      </c>
      <c r="D10" s="15">
        <v>197268.12</v>
      </c>
      <c r="E10" s="15">
        <v>85134</v>
      </c>
      <c r="F10" s="15">
        <v>166470.04</v>
      </c>
      <c r="G10" s="15">
        <v>198513</v>
      </c>
      <c r="H10" s="15"/>
      <c r="I10" s="36"/>
      <c r="J10" s="37"/>
      <c r="K10" s="37"/>
      <c r="L10" s="36"/>
      <c r="M10" s="36"/>
    </row>
    <row r="11" spans="1:14" ht="23.1" customHeight="1" x14ac:dyDescent="0.3">
      <c r="A11" s="44" t="s">
        <v>22</v>
      </c>
      <c r="B11" s="27">
        <v>9800</v>
      </c>
      <c r="C11" s="27">
        <v>60720</v>
      </c>
      <c r="D11" s="27">
        <v>25500</v>
      </c>
      <c r="E11" s="27">
        <v>10900</v>
      </c>
      <c r="F11" s="27">
        <v>98800</v>
      </c>
      <c r="G11" s="27">
        <v>92200</v>
      </c>
      <c r="H11" s="27"/>
      <c r="I11" s="36"/>
      <c r="J11" s="38"/>
      <c r="K11" s="38"/>
      <c r="L11" s="38"/>
      <c r="M11" s="38"/>
    </row>
    <row r="12" spans="1:14" ht="23.1" customHeight="1" x14ac:dyDescent="0.3">
      <c r="A12" s="44" t="s">
        <v>23</v>
      </c>
      <c r="B12" s="27"/>
      <c r="C12" s="27"/>
      <c r="D12" s="27">
        <f>64.37+14305.88</f>
        <v>14370.25</v>
      </c>
      <c r="E12" s="27"/>
      <c r="F12" s="27"/>
      <c r="G12" s="27"/>
      <c r="H12" s="27"/>
      <c r="I12" s="30"/>
      <c r="J12" s="30"/>
      <c r="K12" s="30"/>
      <c r="L12" s="30"/>
      <c r="M12" s="40"/>
    </row>
    <row r="13" spans="1:14" ht="23.1" customHeight="1" x14ac:dyDescent="0.3">
      <c r="A13" s="44" t="s">
        <v>71</v>
      </c>
      <c r="B13" s="27"/>
      <c r="C13" s="27"/>
      <c r="D13" s="27"/>
      <c r="E13" s="27">
        <v>13.13</v>
      </c>
      <c r="F13" s="27"/>
      <c r="G13" s="27"/>
      <c r="H13" s="27"/>
      <c r="I13" s="30"/>
      <c r="J13" s="30"/>
      <c r="K13" s="30"/>
      <c r="L13" s="30"/>
      <c r="M13" s="40"/>
    </row>
    <row r="14" spans="1:14" ht="23.1" customHeight="1" thickBot="1" x14ac:dyDescent="0.35">
      <c r="A14" s="44" t="s">
        <v>59</v>
      </c>
      <c r="B14" s="27"/>
      <c r="C14" s="27"/>
      <c r="D14" s="27">
        <f>500+2500</f>
        <v>3000</v>
      </c>
      <c r="E14" s="45">
        <v>1000</v>
      </c>
      <c r="F14" s="27"/>
      <c r="G14" s="27"/>
      <c r="H14" s="27"/>
      <c r="I14" s="30"/>
      <c r="J14" s="30"/>
      <c r="K14" s="30"/>
      <c r="L14" s="40"/>
      <c r="M14" s="40"/>
    </row>
    <row r="15" spans="1:14" ht="23.25" hidden="1" customHeight="1" thickBot="1" x14ac:dyDescent="0.35">
      <c r="A15" s="20" t="s">
        <v>24</v>
      </c>
      <c r="B15" s="27"/>
      <c r="C15" s="27"/>
      <c r="D15" s="27"/>
      <c r="E15" s="27"/>
      <c r="F15" s="27"/>
      <c r="G15" s="27"/>
      <c r="H15" s="27"/>
      <c r="I15" s="30"/>
      <c r="J15" s="30"/>
      <c r="K15" s="30"/>
      <c r="L15" s="30"/>
      <c r="M15" s="30"/>
    </row>
    <row r="16" spans="1:14" s="1" customFormat="1" ht="23.1" customHeight="1" thickTop="1" x14ac:dyDescent="0.3">
      <c r="A16" s="10" t="s">
        <v>1</v>
      </c>
      <c r="B16" s="17">
        <f>B18+B43</f>
        <v>303494.84999999998</v>
      </c>
      <c r="C16" s="17">
        <f>C18+C43</f>
        <v>154796.68</v>
      </c>
      <c r="D16" s="17">
        <f>D18+D43</f>
        <v>327923.66000000003</v>
      </c>
      <c r="E16" s="17">
        <f>E18+E43</f>
        <v>46179.880000000005</v>
      </c>
      <c r="F16" s="17">
        <f>F18+F43</f>
        <v>253185.58999999997</v>
      </c>
      <c r="G16" s="17">
        <f>G18+G43</f>
        <v>206385.96</v>
      </c>
      <c r="H16" s="32">
        <f>H18+H43</f>
        <v>0</v>
      </c>
      <c r="I16" s="32">
        <f>I18+I43</f>
        <v>0</v>
      </c>
      <c r="J16" s="32">
        <f>J18+J43</f>
        <v>0</v>
      </c>
      <c r="K16" s="32">
        <f>K18+K43</f>
        <v>0</v>
      </c>
      <c r="L16" s="32">
        <f>L18+L43</f>
        <v>0</v>
      </c>
      <c r="M16" s="32">
        <f>M18+M43</f>
        <v>0</v>
      </c>
    </row>
    <row r="17" spans="1:13" ht="14.1" customHeight="1" x14ac:dyDescent="0.3">
      <c r="A17" s="160" t="s">
        <v>2</v>
      </c>
      <c r="B17" s="14"/>
      <c r="C17" s="14"/>
      <c r="D17" s="14"/>
      <c r="E17" s="14"/>
      <c r="F17" s="14"/>
      <c r="G17" s="14"/>
      <c r="H17" s="14"/>
    </row>
    <row r="18" spans="1:13" ht="23.1" customHeight="1" x14ac:dyDescent="0.3">
      <c r="A18" s="158" t="s">
        <v>13</v>
      </c>
      <c r="B18" s="159">
        <f>SUM(B20:B30)+SUM(B33:B42)</f>
        <v>281643.23</v>
      </c>
      <c r="C18" s="159">
        <f t="shared" ref="C18:G18" si="7">SUM(C20:C30)+SUM(C33:C42)</f>
        <v>138509.07</v>
      </c>
      <c r="D18" s="159">
        <f t="shared" si="7"/>
        <v>277074.27</v>
      </c>
      <c r="E18" s="159">
        <f t="shared" si="7"/>
        <v>33967.880000000005</v>
      </c>
      <c r="F18" s="159">
        <f t="shared" si="7"/>
        <v>203803.47999999998</v>
      </c>
      <c r="G18" s="159">
        <f t="shared" si="7"/>
        <v>89874.26999999999</v>
      </c>
      <c r="H18" s="159">
        <f>SUM(H20:H42)</f>
        <v>0</v>
      </c>
      <c r="I18" s="159">
        <f>SUM(I20:I42)</f>
        <v>0</v>
      </c>
      <c r="J18" s="159">
        <f>SUM(J20:J42)</f>
        <v>0</v>
      </c>
      <c r="K18" s="159">
        <f>SUM(K20:K42)</f>
        <v>0</v>
      </c>
      <c r="L18" s="159">
        <f>SUM(L20:L42)</f>
        <v>0</v>
      </c>
      <c r="M18" s="159">
        <f>SUM(M20:M42)</f>
        <v>0</v>
      </c>
    </row>
    <row r="19" spans="1:13" s="132" customFormat="1" ht="39" customHeight="1" x14ac:dyDescent="0.25">
      <c r="A19" s="124" t="s">
        <v>38</v>
      </c>
      <c r="B19" s="130"/>
      <c r="C19" s="130"/>
      <c r="D19" s="130"/>
      <c r="E19" s="130"/>
      <c r="F19" s="130"/>
      <c r="G19" s="130"/>
      <c r="H19" s="130"/>
      <c r="I19" s="131"/>
      <c r="J19" s="131"/>
      <c r="K19" s="131"/>
      <c r="L19" s="130"/>
      <c r="M19" s="130"/>
    </row>
    <row r="20" spans="1:13" s="132" customFormat="1" ht="39" customHeight="1" x14ac:dyDescent="0.25">
      <c r="A20" s="150" t="s">
        <v>39</v>
      </c>
      <c r="B20" s="130"/>
      <c r="C20" s="127"/>
      <c r="D20" s="133"/>
      <c r="E20" s="127"/>
      <c r="F20" s="127"/>
      <c r="G20" s="127"/>
      <c r="H20" s="127"/>
      <c r="I20" s="134"/>
      <c r="J20" s="135"/>
      <c r="K20" s="134"/>
      <c r="L20" s="134"/>
      <c r="M20" s="134"/>
    </row>
    <row r="21" spans="1:13" s="132" customFormat="1" ht="39" customHeight="1" x14ac:dyDescent="0.25">
      <c r="A21" s="150" t="s">
        <v>37</v>
      </c>
      <c r="B21" s="130">
        <v>80489.48</v>
      </c>
      <c r="C21" s="127">
        <f>55000+23336.42</f>
        <v>78336.42</v>
      </c>
      <c r="D21" s="133"/>
      <c r="E21" s="127"/>
      <c r="F21" s="127"/>
      <c r="G21" s="127"/>
      <c r="H21" s="127"/>
      <c r="I21" s="136"/>
      <c r="J21" s="137"/>
      <c r="K21" s="138"/>
      <c r="L21" s="138"/>
      <c r="M21" s="138"/>
    </row>
    <row r="22" spans="1:13" s="132" customFormat="1" ht="39" customHeight="1" x14ac:dyDescent="0.25">
      <c r="A22" s="150" t="s">
        <v>40</v>
      </c>
      <c r="B22" s="130"/>
      <c r="C22" s="127"/>
      <c r="D22" s="133"/>
      <c r="E22" s="127"/>
      <c r="F22" s="127"/>
      <c r="G22" s="127"/>
      <c r="H22" s="127"/>
      <c r="I22" s="139"/>
      <c r="J22" s="137"/>
      <c r="K22" s="138"/>
      <c r="L22" s="138"/>
      <c r="M22" s="138"/>
    </row>
    <row r="23" spans="1:13" s="132" customFormat="1" ht="39" customHeight="1" x14ac:dyDescent="0.25">
      <c r="A23" s="126" t="s">
        <v>57</v>
      </c>
      <c r="B23" s="130">
        <f>2000+62097.22+1600+2980+4400+8.54+5000+800+1000+1000+1880+6437.92+2600</f>
        <v>91803.68</v>
      </c>
      <c r="C23" s="127"/>
      <c r="D23" s="133"/>
      <c r="E23" s="127"/>
      <c r="F23" s="127"/>
      <c r="G23" s="127"/>
      <c r="H23" s="127"/>
      <c r="I23" s="139"/>
      <c r="J23" s="137"/>
      <c r="K23" s="138"/>
      <c r="L23" s="138"/>
      <c r="M23" s="138"/>
    </row>
    <row r="24" spans="1:13" s="143" customFormat="1" ht="39" customHeight="1" x14ac:dyDescent="0.25">
      <c r="A24" s="125" t="s">
        <v>20</v>
      </c>
      <c r="B24" s="140">
        <f>5981+11962+26100</f>
        <v>44043</v>
      </c>
      <c r="C24" s="140">
        <f>5981+11962</f>
        <v>17943</v>
      </c>
      <c r="D24" s="140">
        <f>6525+13050+26100</f>
        <v>45675</v>
      </c>
      <c r="E24" s="140">
        <f>6525+13050</f>
        <v>19575</v>
      </c>
      <c r="F24" s="140">
        <f>6525+13050+26100</f>
        <v>45675</v>
      </c>
      <c r="G24" s="140">
        <v>19575</v>
      </c>
      <c r="H24" s="140"/>
      <c r="I24" s="141"/>
      <c r="J24" s="142"/>
      <c r="K24" s="141"/>
      <c r="L24" s="134"/>
      <c r="M24" s="134"/>
    </row>
    <row r="25" spans="1:13" s="143" customFormat="1" ht="39" customHeight="1" x14ac:dyDescent="0.25">
      <c r="A25" s="125" t="s">
        <v>58</v>
      </c>
      <c r="B25" s="140"/>
      <c r="C25" s="140"/>
      <c r="D25" s="140">
        <f>37486.5+59724+1000+5600+6000+1000+8000+2.9+637.5+2000+3359.6+5000+5800+1000+2700+1800+2568.12+6000+6000+12000+800+2000+5000+1600+2096.28+14586.61+2000</f>
        <v>195761.51</v>
      </c>
      <c r="E25" s="140"/>
      <c r="F25" s="140">
        <f>63000+51388.49</f>
        <v>114388.48999999999</v>
      </c>
      <c r="G25" s="140"/>
      <c r="H25" s="140"/>
      <c r="I25" s="144"/>
      <c r="J25" s="145"/>
      <c r="K25" s="146"/>
      <c r="L25" s="145"/>
      <c r="M25" s="145"/>
    </row>
    <row r="26" spans="1:13" s="143" customFormat="1" ht="39" customHeight="1" x14ac:dyDescent="0.25">
      <c r="A26" s="125" t="s">
        <v>36</v>
      </c>
      <c r="B26" s="140"/>
      <c r="C26" s="140"/>
      <c r="D26" s="140"/>
      <c r="E26" s="140"/>
      <c r="F26" s="140"/>
      <c r="G26" s="140"/>
      <c r="H26" s="140"/>
      <c r="I26" s="147"/>
      <c r="J26" s="145"/>
      <c r="K26" s="145"/>
      <c r="L26" s="145"/>
      <c r="M26" s="145"/>
    </row>
    <row r="27" spans="1:13" s="143" customFormat="1" ht="39" customHeight="1" x14ac:dyDescent="0.25">
      <c r="A27" s="126" t="s">
        <v>31</v>
      </c>
      <c r="B27" s="140">
        <v>1545</v>
      </c>
      <c r="C27" s="140">
        <v>1545</v>
      </c>
      <c r="D27" s="140">
        <v>1545</v>
      </c>
      <c r="E27" s="140">
        <v>1545</v>
      </c>
      <c r="F27" s="140"/>
      <c r="G27" s="140">
        <v>1545</v>
      </c>
      <c r="H27" s="140"/>
      <c r="I27" s="147"/>
      <c r="J27" s="145"/>
      <c r="K27" s="145"/>
      <c r="L27" s="127"/>
      <c r="M27" s="127"/>
    </row>
    <row r="28" spans="1:13" s="143" customFormat="1" ht="39" customHeight="1" x14ac:dyDescent="0.25">
      <c r="A28" s="126" t="s">
        <v>25</v>
      </c>
      <c r="B28" s="140"/>
      <c r="C28" s="140"/>
      <c r="D28" s="140"/>
      <c r="E28" s="140"/>
      <c r="F28" s="140"/>
      <c r="G28" s="140"/>
      <c r="H28" s="140"/>
      <c r="I28" s="148"/>
      <c r="J28" s="145"/>
      <c r="K28" s="149"/>
      <c r="L28" s="149"/>
      <c r="M28" s="149"/>
    </row>
    <row r="29" spans="1:13" s="143" customFormat="1" ht="39" customHeight="1" x14ac:dyDescent="0.25">
      <c r="A29" s="126" t="s">
        <v>51</v>
      </c>
      <c r="B29" s="140">
        <v>21276.02</v>
      </c>
      <c r="C29" s="140">
        <v>21615.439999999999</v>
      </c>
      <c r="D29" s="140">
        <v>11790.24</v>
      </c>
      <c r="E29" s="140"/>
      <c r="F29" s="140">
        <v>25545.52</v>
      </c>
      <c r="G29" s="140"/>
      <c r="H29" s="140"/>
      <c r="I29" s="148"/>
      <c r="J29" s="145"/>
      <c r="K29" s="149"/>
      <c r="L29" s="149"/>
      <c r="M29" s="128"/>
    </row>
    <row r="30" spans="1:13" s="143" customFormat="1" ht="39" customHeight="1" x14ac:dyDescent="0.25">
      <c r="A30" s="125" t="s">
        <v>141</v>
      </c>
      <c r="B30" s="140">
        <f>6582+362.75+1469+2582+11138+8.54</f>
        <v>22142.29</v>
      </c>
      <c r="C30" s="140">
        <f>2682</f>
        <v>2682</v>
      </c>
      <c r="D30" s="140">
        <f>275.8+1469+2582+6525+11138+4.34</f>
        <v>21994.14</v>
      </c>
      <c r="E30" s="140">
        <f>894+1950</f>
        <v>2844</v>
      </c>
      <c r="F30" s="140">
        <v>6825</v>
      </c>
      <c r="G30" s="140">
        <v>34637</v>
      </c>
      <c r="H30" s="140"/>
      <c r="I30" s="149"/>
      <c r="J30" s="145"/>
      <c r="K30" s="149"/>
      <c r="L30" s="129"/>
      <c r="M30" s="129"/>
    </row>
    <row r="31" spans="1:13" s="143" customFormat="1" ht="39" customHeight="1" x14ac:dyDescent="0.25">
      <c r="A31" s="125" t="s">
        <v>143</v>
      </c>
      <c r="B31" s="140">
        <f>6590.54</f>
        <v>6590.54</v>
      </c>
      <c r="C31" s="140">
        <v>2682</v>
      </c>
      <c r="D31" s="140">
        <v>6525</v>
      </c>
      <c r="E31" s="140">
        <v>2844</v>
      </c>
      <c r="F31" s="140">
        <v>6825</v>
      </c>
      <c r="G31" s="140">
        <v>2925</v>
      </c>
      <c r="H31" s="140"/>
      <c r="I31" s="149"/>
      <c r="J31" s="145"/>
      <c r="K31" s="149"/>
      <c r="L31" s="129"/>
      <c r="M31" s="129"/>
    </row>
    <row r="32" spans="1:13" s="143" customFormat="1" ht="39" customHeight="1" x14ac:dyDescent="0.25">
      <c r="A32" s="207" t="s">
        <v>142</v>
      </c>
      <c r="B32" s="140">
        <v>15552.05</v>
      </c>
      <c r="C32" s="140"/>
      <c r="D32" s="140">
        <v>15469.14</v>
      </c>
      <c r="E32" s="140"/>
      <c r="F32" s="140"/>
      <c r="G32" s="140">
        <v>31712</v>
      </c>
      <c r="H32" s="140"/>
      <c r="I32" s="149"/>
      <c r="J32" s="145"/>
      <c r="K32" s="149"/>
      <c r="L32" s="129"/>
      <c r="M32" s="129"/>
    </row>
    <row r="33" spans="1:13" s="143" customFormat="1" ht="39" customHeight="1" x14ac:dyDescent="0.25">
      <c r="A33" s="126" t="s">
        <v>29</v>
      </c>
      <c r="B33" s="140">
        <v>17963.54</v>
      </c>
      <c r="C33" s="140">
        <v>14097.49</v>
      </c>
      <c r="D33" s="140"/>
      <c r="E33" s="140">
        <v>7826</v>
      </c>
      <c r="F33" s="140">
        <v>7061.09</v>
      </c>
      <c r="G33" s="140">
        <v>1931.39</v>
      </c>
      <c r="H33" s="140"/>
      <c r="I33" s="149"/>
      <c r="J33" s="145"/>
      <c r="K33" s="149"/>
      <c r="L33" s="129"/>
      <c r="M33" s="129"/>
    </row>
    <row r="34" spans="1:13" s="143" customFormat="1" ht="39" customHeight="1" x14ac:dyDescent="0.25">
      <c r="A34" s="125" t="s">
        <v>116</v>
      </c>
      <c r="B34" s="140"/>
      <c r="C34" s="140"/>
      <c r="D34" s="140"/>
      <c r="E34" s="140"/>
      <c r="F34" s="140"/>
      <c r="G34" s="140"/>
      <c r="H34" s="140"/>
      <c r="I34" s="149"/>
      <c r="J34" s="145"/>
      <c r="K34" s="149"/>
      <c r="L34" s="129"/>
      <c r="M34" s="129"/>
    </row>
    <row r="35" spans="1:13" s="143" customFormat="1" ht="39" customHeight="1" x14ac:dyDescent="0.25">
      <c r="A35" s="125" t="s">
        <v>139</v>
      </c>
      <c r="B35" s="140"/>
      <c r="C35" s="140"/>
      <c r="D35" s="140"/>
      <c r="E35" s="140"/>
      <c r="F35" s="140"/>
      <c r="G35" s="140">
        <v>30000</v>
      </c>
      <c r="H35" s="140"/>
      <c r="I35" s="149"/>
      <c r="J35" s="145"/>
      <c r="K35" s="149"/>
      <c r="L35" s="129"/>
      <c r="M35" s="129"/>
    </row>
    <row r="36" spans="1:13" s="143" customFormat="1" ht="39" customHeight="1" x14ac:dyDescent="0.25">
      <c r="A36" s="125" t="s">
        <v>115</v>
      </c>
      <c r="B36" s="140"/>
      <c r="C36" s="140"/>
      <c r="D36" s="140"/>
      <c r="E36" s="140"/>
      <c r="F36" s="140"/>
      <c r="G36" s="140"/>
      <c r="H36" s="140"/>
      <c r="I36" s="149"/>
      <c r="J36" s="145"/>
      <c r="K36" s="149"/>
      <c r="L36" s="129"/>
      <c r="M36" s="129"/>
    </row>
    <row r="37" spans="1:13" s="143" customFormat="1" ht="39" customHeight="1" x14ac:dyDescent="0.25">
      <c r="A37" s="125" t="s">
        <v>115</v>
      </c>
      <c r="B37" s="140"/>
      <c r="C37" s="140"/>
      <c r="D37" s="140"/>
      <c r="E37" s="140"/>
      <c r="F37" s="140"/>
      <c r="G37" s="140"/>
      <c r="H37" s="140"/>
      <c r="I37" s="149"/>
      <c r="J37" s="145"/>
      <c r="K37" s="149"/>
      <c r="L37" s="129"/>
      <c r="M37" s="129"/>
    </row>
    <row r="38" spans="1:13" s="143" customFormat="1" ht="39" customHeight="1" x14ac:dyDescent="0.25">
      <c r="A38" s="125" t="s">
        <v>115</v>
      </c>
      <c r="B38" s="140"/>
      <c r="C38" s="140"/>
      <c r="D38" s="140"/>
      <c r="E38" s="140"/>
      <c r="F38" s="140"/>
      <c r="G38" s="140"/>
      <c r="H38" s="140"/>
      <c r="I38" s="149"/>
      <c r="J38" s="145"/>
      <c r="K38" s="149"/>
      <c r="L38" s="129"/>
      <c r="M38" s="129"/>
    </row>
    <row r="39" spans="1:13" s="143" customFormat="1" ht="39" customHeight="1" x14ac:dyDescent="0.25">
      <c r="A39" s="125" t="s">
        <v>115</v>
      </c>
      <c r="B39" s="140"/>
      <c r="C39" s="140"/>
      <c r="D39" s="140"/>
      <c r="E39" s="140"/>
      <c r="F39" s="140"/>
      <c r="G39" s="140"/>
      <c r="H39" s="140"/>
      <c r="I39" s="149"/>
      <c r="J39" s="145"/>
      <c r="K39" s="149"/>
      <c r="L39" s="129"/>
      <c r="M39" s="129"/>
    </row>
    <row r="40" spans="1:13" s="143" customFormat="1" ht="39" customHeight="1" x14ac:dyDescent="0.25">
      <c r="A40" s="125" t="s">
        <v>115</v>
      </c>
      <c r="B40" s="140"/>
      <c r="C40" s="140"/>
      <c r="D40" s="140"/>
      <c r="E40" s="140"/>
      <c r="F40" s="140"/>
      <c r="G40" s="140"/>
      <c r="H40" s="140"/>
      <c r="I40" s="149"/>
      <c r="J40" s="145"/>
      <c r="K40" s="149"/>
      <c r="L40" s="129"/>
      <c r="M40" s="129"/>
    </row>
    <row r="41" spans="1:13" s="143" customFormat="1" ht="39" customHeight="1" x14ac:dyDescent="0.25">
      <c r="A41" s="126" t="s">
        <v>52</v>
      </c>
      <c r="B41" s="140"/>
      <c r="C41" s="140"/>
      <c r="D41" s="140"/>
      <c r="E41" s="140"/>
      <c r="F41" s="140"/>
      <c r="G41" s="140"/>
      <c r="H41" s="140"/>
      <c r="I41" s="149"/>
      <c r="J41" s="145"/>
      <c r="K41" s="149"/>
      <c r="L41" s="129"/>
      <c r="M41" s="129"/>
    </row>
    <row r="42" spans="1:13" s="143" customFormat="1" ht="39" customHeight="1" thickBot="1" x14ac:dyDescent="0.3">
      <c r="A42" s="151" t="s">
        <v>48</v>
      </c>
      <c r="B42" s="152">
        <v>2380.2199999999998</v>
      </c>
      <c r="C42" s="152">
        <f>40+89.72+40+80+40+2000</f>
        <v>2289.7200000000003</v>
      </c>
      <c r="D42" s="152">
        <f>228.38+80</f>
        <v>308.38</v>
      </c>
      <c r="E42" s="152">
        <f>32.63+40+40+65.25+2000</f>
        <v>2177.88</v>
      </c>
      <c r="F42" s="152">
        <f>40+228.38+40+4000</f>
        <v>4308.38</v>
      </c>
      <c r="G42" s="152">
        <v>2185.88</v>
      </c>
      <c r="H42" s="152"/>
      <c r="I42" s="153"/>
      <c r="J42" s="154"/>
      <c r="K42" s="153"/>
      <c r="L42" s="155"/>
      <c r="M42" s="155"/>
    </row>
    <row r="43" spans="1:13" ht="23.1" customHeight="1" thickTop="1" thickBot="1" x14ac:dyDescent="0.35">
      <c r="A43" s="156" t="s">
        <v>19</v>
      </c>
      <c r="B43" s="157">
        <f>SUM(B44:B88)</f>
        <v>21851.62</v>
      </c>
      <c r="C43" s="157">
        <f t="shared" ref="C43:M43" si="8">SUM(C44:C88)</f>
        <v>16287.61</v>
      </c>
      <c r="D43" s="157">
        <f t="shared" si="8"/>
        <v>50849.39</v>
      </c>
      <c r="E43" s="157">
        <f t="shared" si="8"/>
        <v>12212</v>
      </c>
      <c r="F43" s="157">
        <f t="shared" si="8"/>
        <v>49382.11</v>
      </c>
      <c r="G43" s="157">
        <f t="shared" si="8"/>
        <v>116511.69</v>
      </c>
      <c r="H43" s="157">
        <f t="shared" si="8"/>
        <v>0</v>
      </c>
      <c r="I43" s="157">
        <f t="shared" si="8"/>
        <v>0</v>
      </c>
      <c r="J43" s="157">
        <f t="shared" si="8"/>
        <v>0</v>
      </c>
      <c r="K43" s="157">
        <f t="shared" si="8"/>
        <v>0</v>
      </c>
      <c r="L43" s="157">
        <f t="shared" si="8"/>
        <v>0</v>
      </c>
      <c r="M43" s="157">
        <f t="shared" si="8"/>
        <v>0</v>
      </c>
    </row>
    <row r="44" spans="1:13" ht="23.1" customHeight="1" thickTop="1" x14ac:dyDescent="0.3">
      <c r="A44" s="161" t="s">
        <v>34</v>
      </c>
      <c r="B44" s="171"/>
      <c r="C44" s="171"/>
      <c r="D44" s="171"/>
      <c r="E44" s="172"/>
      <c r="F44" s="171"/>
      <c r="G44" s="171"/>
      <c r="H44" s="171"/>
      <c r="I44" s="173"/>
      <c r="J44" s="174"/>
      <c r="K44" s="173"/>
      <c r="L44" s="173"/>
      <c r="M44" s="173"/>
    </row>
    <row r="45" spans="1:13" ht="35.25" customHeight="1" x14ac:dyDescent="0.3">
      <c r="A45" s="126" t="s">
        <v>35</v>
      </c>
      <c r="B45" s="140"/>
      <c r="C45" s="140"/>
      <c r="D45" s="140"/>
      <c r="E45" s="140"/>
      <c r="F45" s="140"/>
      <c r="G45" s="140"/>
      <c r="H45" s="140"/>
      <c r="I45" s="141"/>
      <c r="J45" s="127"/>
      <c r="K45" s="129"/>
      <c r="L45" s="128"/>
      <c r="M45" s="128"/>
    </row>
    <row r="46" spans="1:13" ht="35.25" customHeight="1" x14ac:dyDescent="0.3">
      <c r="A46" s="126" t="s">
        <v>30</v>
      </c>
      <c r="B46" s="140"/>
      <c r="C46" s="140"/>
      <c r="D46" s="140"/>
      <c r="E46" s="140"/>
      <c r="F46" s="140"/>
      <c r="G46" s="140"/>
      <c r="H46" s="140"/>
      <c r="I46" s="141"/>
      <c r="J46" s="127"/>
      <c r="K46" s="129"/>
      <c r="L46" s="128"/>
      <c r="M46" s="128"/>
    </row>
    <row r="47" spans="1:13" ht="35.25" customHeight="1" x14ac:dyDescent="0.3">
      <c r="A47" s="125" t="s">
        <v>41</v>
      </c>
      <c r="B47" s="140"/>
      <c r="C47" s="140"/>
      <c r="D47" s="175"/>
      <c r="E47" s="175"/>
      <c r="F47" s="175"/>
      <c r="G47" s="140"/>
      <c r="H47" s="140"/>
      <c r="I47" s="176"/>
      <c r="J47" s="164"/>
      <c r="K47" s="165"/>
      <c r="L47" s="166"/>
      <c r="M47" s="166"/>
    </row>
    <row r="48" spans="1:13" ht="35.25" customHeight="1" x14ac:dyDescent="0.3">
      <c r="A48" s="125" t="s">
        <v>117</v>
      </c>
      <c r="B48" s="140"/>
      <c r="C48" s="140"/>
      <c r="D48" s="175">
        <v>17024.36</v>
      </c>
      <c r="E48" s="175"/>
      <c r="F48" s="175"/>
      <c r="G48" s="140"/>
      <c r="H48" s="140"/>
      <c r="I48" s="134"/>
      <c r="J48" s="127"/>
      <c r="K48" s="129"/>
      <c r="L48" s="128"/>
      <c r="M48" s="128"/>
    </row>
    <row r="49" spans="1:16" ht="35.25" customHeight="1" x14ac:dyDescent="0.3">
      <c r="A49" s="162" t="s">
        <v>47</v>
      </c>
      <c r="B49" s="177"/>
      <c r="C49" s="177"/>
      <c r="D49" s="177"/>
      <c r="E49" s="177"/>
      <c r="F49" s="177"/>
      <c r="G49" s="177"/>
      <c r="H49" s="177"/>
      <c r="I49" s="167"/>
      <c r="J49" s="168"/>
      <c r="K49" s="169"/>
      <c r="L49" s="170"/>
      <c r="M49" s="170"/>
    </row>
    <row r="50" spans="1:16" ht="35.25" customHeight="1" x14ac:dyDescent="0.3">
      <c r="A50" s="125" t="s">
        <v>9</v>
      </c>
      <c r="B50" s="140"/>
      <c r="C50" s="140">
        <v>1200</v>
      </c>
      <c r="D50" s="140"/>
      <c r="E50" s="140">
        <v>1200</v>
      </c>
      <c r="F50" s="140">
        <v>1200</v>
      </c>
      <c r="G50" s="140">
        <v>750</v>
      </c>
      <c r="H50" s="140"/>
      <c r="I50" s="141"/>
      <c r="J50" s="127"/>
      <c r="K50" s="129"/>
      <c r="L50" s="128"/>
      <c r="M50" s="128"/>
    </row>
    <row r="51" spans="1:16" ht="35.25" customHeight="1" x14ac:dyDescent="0.3">
      <c r="A51" s="125" t="s">
        <v>118</v>
      </c>
      <c r="B51" s="140"/>
      <c r="C51" s="140"/>
      <c r="D51" s="140"/>
      <c r="E51" s="140"/>
      <c r="F51" s="140"/>
      <c r="G51" s="140"/>
      <c r="H51" s="140"/>
      <c r="I51" s="141"/>
      <c r="J51" s="127"/>
      <c r="K51" s="129"/>
      <c r="L51" s="128"/>
      <c r="M51" s="128"/>
    </row>
    <row r="52" spans="1:16" ht="35.25" customHeight="1" x14ac:dyDescent="0.3">
      <c r="A52" s="125" t="s">
        <v>8</v>
      </c>
      <c r="B52" s="140"/>
      <c r="C52" s="140"/>
      <c r="D52" s="140"/>
      <c r="E52" s="140"/>
      <c r="F52" s="140"/>
      <c r="G52" s="140"/>
      <c r="H52" s="140"/>
      <c r="I52" s="141"/>
      <c r="J52" s="127"/>
      <c r="K52" s="129"/>
      <c r="L52" s="128"/>
      <c r="M52" s="128"/>
    </row>
    <row r="53" spans="1:16" ht="35.25" customHeight="1" x14ac:dyDescent="0.3">
      <c r="A53" s="125" t="s">
        <v>119</v>
      </c>
      <c r="B53" s="140"/>
      <c r="C53" s="140"/>
      <c r="D53" s="140"/>
      <c r="E53" s="140"/>
      <c r="F53" s="140"/>
      <c r="G53" s="140"/>
      <c r="H53" s="140"/>
      <c r="I53" s="141"/>
      <c r="J53" s="127"/>
      <c r="K53" s="129"/>
      <c r="L53" s="128"/>
      <c r="M53" s="128"/>
    </row>
    <row r="54" spans="1:16" ht="35.25" customHeight="1" x14ac:dyDescent="0.3">
      <c r="A54" s="125" t="s">
        <v>4</v>
      </c>
      <c r="B54" s="140"/>
      <c r="C54" s="140"/>
      <c r="D54" s="140"/>
      <c r="E54" s="140"/>
      <c r="F54" s="140"/>
      <c r="G54" s="140"/>
      <c r="H54" s="140"/>
      <c r="I54" s="141"/>
      <c r="J54" s="127"/>
      <c r="K54" s="129"/>
      <c r="L54" s="128"/>
      <c r="M54" s="128"/>
    </row>
    <row r="55" spans="1:16" ht="35.25" customHeight="1" x14ac:dyDescent="0.3">
      <c r="A55" s="125" t="s">
        <v>128</v>
      </c>
      <c r="B55" s="140"/>
      <c r="C55" s="140"/>
      <c r="D55" s="140"/>
      <c r="E55" s="140"/>
      <c r="F55" s="140"/>
      <c r="G55" s="140">
        <v>12000</v>
      </c>
      <c r="H55" s="140"/>
      <c r="I55" s="141"/>
      <c r="J55" s="127"/>
      <c r="K55" s="129"/>
      <c r="L55" s="128"/>
      <c r="M55" s="128"/>
    </row>
    <row r="56" spans="1:16" ht="35.25" customHeight="1" x14ac:dyDescent="0.3">
      <c r="A56" s="125" t="s">
        <v>43</v>
      </c>
      <c r="B56" s="140"/>
      <c r="C56" s="140"/>
      <c r="D56" s="140"/>
      <c r="E56" s="140"/>
      <c r="F56" s="140"/>
      <c r="G56" s="140"/>
      <c r="H56" s="140"/>
      <c r="I56" s="141"/>
      <c r="J56" s="127"/>
      <c r="K56" s="129"/>
      <c r="L56" s="128"/>
      <c r="M56" s="128"/>
    </row>
    <row r="57" spans="1:16" ht="35.25" customHeight="1" x14ac:dyDescent="0.3">
      <c r="A57" s="125" t="s">
        <v>120</v>
      </c>
      <c r="B57" s="140"/>
      <c r="C57" s="140"/>
      <c r="D57" s="140"/>
      <c r="E57" s="140"/>
      <c r="F57" s="140"/>
      <c r="G57" s="140"/>
      <c r="H57" s="140"/>
      <c r="I57" s="141"/>
      <c r="J57" s="127"/>
      <c r="K57" s="129"/>
      <c r="L57" s="128"/>
      <c r="M57" s="128"/>
    </row>
    <row r="58" spans="1:16" ht="35.25" customHeight="1" x14ac:dyDescent="0.3">
      <c r="A58" s="125" t="s">
        <v>6</v>
      </c>
      <c r="B58" s="140"/>
      <c r="C58" s="140"/>
      <c r="D58" s="140"/>
      <c r="E58" s="140"/>
      <c r="F58" s="140"/>
      <c r="G58" s="140"/>
      <c r="H58" s="140"/>
      <c r="I58" s="141"/>
      <c r="J58" s="127"/>
      <c r="K58" s="129"/>
      <c r="L58" s="128"/>
      <c r="M58" s="128"/>
      <c r="P58" s="206" t="e">
        <f>#REF!-G63</f>
        <v>#REF!</v>
      </c>
    </row>
    <row r="59" spans="1:16" ht="35.25" customHeight="1" x14ac:dyDescent="0.3">
      <c r="A59" s="126" t="s">
        <v>32</v>
      </c>
      <c r="B59" s="140">
        <f>630+218.64+411.16+131.92</f>
        <v>1391.72</v>
      </c>
      <c r="C59" s="140">
        <f>107.92+104.92+104.92+198.96+104.92+255.36+104.92+66.92+630+215.04</f>
        <v>1893.8799999999999</v>
      </c>
      <c r="D59" s="140">
        <f>85+195.04+297.65+104.92+66.92+101.92+198.64+198.64+66.92</f>
        <v>1315.6499999999996</v>
      </c>
      <c r="E59" s="140">
        <f>101.92+95</f>
        <v>196.92000000000002</v>
      </c>
      <c r="F59" s="140">
        <v>3664.14</v>
      </c>
      <c r="G59" s="140">
        <v>278.39999999999998</v>
      </c>
      <c r="H59" s="140"/>
      <c r="I59" s="141"/>
      <c r="J59" s="127"/>
      <c r="K59" s="129"/>
      <c r="L59" s="128"/>
      <c r="M59" s="128"/>
    </row>
    <row r="60" spans="1:16" ht="35.25" customHeight="1" x14ac:dyDescent="0.3">
      <c r="A60" s="125" t="s">
        <v>15</v>
      </c>
      <c r="B60" s="140"/>
      <c r="C60" s="140">
        <f>300+765+540</f>
        <v>1605</v>
      </c>
      <c r="D60" s="140">
        <f>270+385</f>
        <v>655</v>
      </c>
      <c r="E60" s="140"/>
      <c r="F60" s="140">
        <f>370+600</f>
        <v>970</v>
      </c>
      <c r="G60" s="140">
        <v>672</v>
      </c>
      <c r="H60" s="140"/>
      <c r="I60" s="141"/>
      <c r="J60" s="127"/>
      <c r="K60" s="129"/>
      <c r="L60" s="128"/>
      <c r="M60" s="128"/>
    </row>
    <row r="61" spans="1:16" ht="35.25" customHeight="1" x14ac:dyDescent="0.3">
      <c r="A61" s="125" t="s">
        <v>121</v>
      </c>
      <c r="B61" s="140"/>
      <c r="C61" s="140"/>
      <c r="D61" s="140"/>
      <c r="E61" s="140"/>
      <c r="F61" s="140"/>
      <c r="G61" s="140"/>
      <c r="H61" s="140"/>
      <c r="I61" s="141"/>
      <c r="J61" s="127"/>
      <c r="K61" s="129"/>
      <c r="L61" s="128"/>
      <c r="M61" s="128"/>
    </row>
    <row r="62" spans="1:16" ht="35.25" customHeight="1" x14ac:dyDescent="0.3">
      <c r="A62" s="125" t="s">
        <v>126</v>
      </c>
      <c r="B62" s="140">
        <f>520</f>
        <v>520</v>
      </c>
      <c r="C62" s="140"/>
      <c r="D62" s="140"/>
      <c r="E62" s="140"/>
      <c r="F62" s="140"/>
      <c r="G62" s="140">
        <v>520</v>
      </c>
      <c r="H62" s="140"/>
      <c r="I62" s="141"/>
      <c r="J62" s="127"/>
      <c r="K62" s="129"/>
      <c r="L62" s="128"/>
      <c r="M62" s="128"/>
    </row>
    <row r="63" spans="1:16" ht="35.25" customHeight="1" x14ac:dyDescent="0.3">
      <c r="A63" s="125" t="s">
        <v>122</v>
      </c>
      <c r="B63" s="140">
        <v>2280.12</v>
      </c>
      <c r="C63" s="140">
        <f>2122.43+813.8</f>
        <v>2936.2299999999996</v>
      </c>
      <c r="D63" s="140">
        <v>2212.0300000000002</v>
      </c>
      <c r="E63" s="140">
        <f>865.8+411.08+2500.2</f>
        <v>3777.08</v>
      </c>
      <c r="F63" s="140">
        <v>2396.12</v>
      </c>
      <c r="G63" s="140">
        <v>2409</v>
      </c>
      <c r="H63" s="140"/>
      <c r="I63" s="178"/>
      <c r="J63" s="127"/>
      <c r="K63" s="129"/>
      <c r="L63" s="128"/>
      <c r="M63" s="128"/>
      <c r="P63" s="206" t="e">
        <f>P70+P58</f>
        <v>#REF!</v>
      </c>
    </row>
    <row r="64" spans="1:16" ht="35.25" customHeight="1" x14ac:dyDescent="0.3">
      <c r="A64" s="125" t="s">
        <v>127</v>
      </c>
      <c r="B64" s="140"/>
      <c r="C64" s="140"/>
      <c r="D64" s="140"/>
      <c r="E64" s="140"/>
      <c r="F64" s="140">
        <v>3971.55</v>
      </c>
      <c r="G64" s="140">
        <v>6747.58</v>
      </c>
      <c r="H64" s="140"/>
      <c r="I64" s="141"/>
      <c r="J64" s="127"/>
      <c r="K64" s="129"/>
      <c r="L64" s="128"/>
      <c r="M64" s="128"/>
      <c r="P64" s="206" t="e">
        <f>#REF!+#REF!</f>
        <v>#REF!</v>
      </c>
    </row>
    <row r="65" spans="1:16" ht="35.25" customHeight="1" x14ac:dyDescent="0.3">
      <c r="A65" s="126" t="s">
        <v>26</v>
      </c>
      <c r="B65" s="140"/>
      <c r="C65" s="140"/>
      <c r="D65" s="140"/>
      <c r="E65" s="140"/>
      <c r="F65" s="140"/>
      <c r="G65" s="140"/>
      <c r="H65" s="140"/>
      <c r="I65" s="141"/>
      <c r="J65" s="127"/>
      <c r="K65" s="129"/>
      <c r="L65" s="128"/>
      <c r="M65" s="128"/>
    </row>
    <row r="66" spans="1:16" ht="35.25" customHeight="1" x14ac:dyDescent="0.3">
      <c r="A66" s="126" t="s">
        <v>27</v>
      </c>
      <c r="B66" s="140"/>
      <c r="C66" s="140"/>
      <c r="D66" s="140"/>
      <c r="E66" s="140"/>
      <c r="F66" s="140"/>
      <c r="G66" s="140"/>
      <c r="H66" s="140"/>
      <c r="I66" s="141"/>
      <c r="J66" s="127"/>
      <c r="K66" s="129"/>
      <c r="L66" s="128"/>
      <c r="M66" s="128"/>
    </row>
    <row r="67" spans="1:16" ht="35.25" customHeight="1" x14ac:dyDescent="0.3">
      <c r="A67" s="125" t="s">
        <v>123</v>
      </c>
      <c r="B67" s="140"/>
      <c r="C67" s="140"/>
      <c r="D67" s="140"/>
      <c r="E67" s="140">
        <v>3950</v>
      </c>
      <c r="F67" s="140"/>
      <c r="G67" s="140"/>
      <c r="H67" s="140"/>
      <c r="I67" s="141"/>
      <c r="J67" s="127"/>
      <c r="K67" s="129"/>
      <c r="L67" s="128"/>
      <c r="M67" s="128"/>
    </row>
    <row r="68" spans="1:16" ht="35.25" customHeight="1" x14ac:dyDescent="0.3">
      <c r="A68" s="125" t="s">
        <v>134</v>
      </c>
      <c r="B68" s="140"/>
      <c r="C68" s="140"/>
      <c r="D68" s="140"/>
      <c r="E68" s="140"/>
      <c r="F68" s="140">
        <v>8240</v>
      </c>
      <c r="G68" s="140">
        <v>4105</v>
      </c>
      <c r="H68" s="140"/>
      <c r="I68" s="141"/>
      <c r="J68" s="127"/>
      <c r="K68" s="129"/>
      <c r="L68" s="128"/>
      <c r="M68" s="128"/>
    </row>
    <row r="69" spans="1:16" ht="35.25" customHeight="1" x14ac:dyDescent="0.3">
      <c r="A69" s="125" t="s">
        <v>132</v>
      </c>
      <c r="B69" s="140"/>
      <c r="C69" s="140"/>
      <c r="D69" s="140">
        <f>5200+1910</f>
        <v>7110</v>
      </c>
      <c r="E69" s="140"/>
      <c r="F69" s="140"/>
      <c r="G69" s="140">
        <v>7440</v>
      </c>
      <c r="H69" s="140"/>
      <c r="I69" s="141"/>
      <c r="J69" s="127"/>
      <c r="K69" s="129"/>
      <c r="L69" s="128"/>
      <c r="M69" s="128"/>
    </row>
    <row r="70" spans="1:16" ht="35.25" customHeight="1" x14ac:dyDescent="0.3">
      <c r="A70" s="125" t="s">
        <v>133</v>
      </c>
      <c r="B70" s="140"/>
      <c r="C70" s="140"/>
      <c r="D70" s="140"/>
      <c r="E70" s="140"/>
      <c r="F70" s="140"/>
      <c r="G70" s="140"/>
      <c r="H70" s="140"/>
      <c r="I70" s="141"/>
      <c r="J70" s="127"/>
      <c r="K70" s="129"/>
      <c r="L70" s="128"/>
      <c r="M70" s="128"/>
      <c r="P70" s="206" t="e">
        <f>#REF!</f>
        <v>#REF!</v>
      </c>
    </row>
    <row r="71" spans="1:16" ht="35.25" customHeight="1" x14ac:dyDescent="0.3">
      <c r="A71" s="126" t="s">
        <v>28</v>
      </c>
      <c r="B71" s="140"/>
      <c r="C71" s="179"/>
      <c r="D71" s="140"/>
      <c r="E71" s="140"/>
      <c r="F71" s="140"/>
      <c r="G71" s="140"/>
      <c r="H71" s="140"/>
      <c r="I71" s="141"/>
      <c r="J71" s="127"/>
      <c r="K71" s="129"/>
      <c r="L71" s="128"/>
      <c r="M71" s="128"/>
    </row>
    <row r="72" spans="1:16" ht="35.25" customHeight="1" x14ac:dyDescent="0.3">
      <c r="A72" s="125" t="s">
        <v>135</v>
      </c>
      <c r="B72" s="140"/>
      <c r="C72" s="140"/>
      <c r="D72" s="140">
        <v>81.760000000000005</v>
      </c>
      <c r="E72" s="140"/>
      <c r="F72" s="140">
        <f>330+700</f>
        <v>1030</v>
      </c>
      <c r="G72" s="140">
        <v>10745.95</v>
      </c>
      <c r="H72" s="140"/>
      <c r="I72" s="141"/>
      <c r="J72" s="127"/>
      <c r="K72" s="129"/>
      <c r="L72" s="128"/>
      <c r="M72" s="128"/>
    </row>
    <row r="73" spans="1:16" ht="35.25" customHeight="1" x14ac:dyDescent="0.3">
      <c r="A73" s="126" t="s">
        <v>33</v>
      </c>
      <c r="B73" s="140">
        <f>2820+1854+424+1507.78</f>
        <v>6605.78</v>
      </c>
      <c r="C73" s="140">
        <f>2498+1864+626.5+658+1606</f>
        <v>7252.5</v>
      </c>
      <c r="D73" s="140">
        <f>496+916+2238.59</f>
        <v>3650.59</v>
      </c>
      <c r="E73" s="140">
        <f>916+586+727+9</f>
        <v>2238</v>
      </c>
      <c r="F73" s="140">
        <v>13493.5</v>
      </c>
      <c r="G73" s="140">
        <v>50</v>
      </c>
      <c r="H73" s="140"/>
      <c r="I73" s="141"/>
      <c r="J73" s="127"/>
      <c r="K73" s="129"/>
      <c r="L73" s="129"/>
      <c r="M73" s="128"/>
    </row>
    <row r="74" spans="1:16" ht="35.25" customHeight="1" x14ac:dyDescent="0.3">
      <c r="A74" s="125" t="s">
        <v>124</v>
      </c>
      <c r="B74" s="140"/>
      <c r="C74" s="140"/>
      <c r="D74" s="140"/>
      <c r="E74" s="140"/>
      <c r="F74" s="140">
        <v>1500</v>
      </c>
      <c r="G74" s="140"/>
      <c r="H74" s="140"/>
      <c r="I74" s="141"/>
      <c r="J74" s="127"/>
      <c r="K74" s="129"/>
      <c r="L74" s="128"/>
      <c r="M74" s="128"/>
    </row>
    <row r="75" spans="1:16" ht="35.25" customHeight="1" x14ac:dyDescent="0.3">
      <c r="A75" s="125"/>
      <c r="B75" s="140"/>
      <c r="C75" s="140"/>
      <c r="D75" s="140"/>
      <c r="E75" s="140"/>
      <c r="F75" s="140"/>
      <c r="G75" s="140"/>
      <c r="H75" s="140"/>
      <c r="I75" s="141"/>
      <c r="J75" s="127"/>
      <c r="K75" s="129"/>
      <c r="L75" s="128"/>
      <c r="M75" s="128"/>
    </row>
    <row r="76" spans="1:16" ht="35.25" customHeight="1" x14ac:dyDescent="0.3">
      <c r="A76" s="125" t="s">
        <v>72</v>
      </c>
      <c r="B76" s="140">
        <v>8000</v>
      </c>
      <c r="C76" s="140"/>
      <c r="D76" s="140">
        <v>16000</v>
      </c>
      <c r="E76" s="140"/>
      <c r="F76" s="140">
        <v>8000</v>
      </c>
      <c r="G76" s="140">
        <v>24000</v>
      </c>
      <c r="H76" s="140"/>
      <c r="I76" s="141"/>
      <c r="J76" s="127"/>
      <c r="K76" s="129"/>
      <c r="L76" s="128"/>
      <c r="M76" s="128"/>
    </row>
    <row r="77" spans="1:16" ht="35.25" customHeight="1" x14ac:dyDescent="0.3">
      <c r="A77" s="126" t="s">
        <v>45</v>
      </c>
      <c r="B77" s="140">
        <f>2040+250+300+214+250</f>
        <v>3054</v>
      </c>
      <c r="C77" s="140">
        <f>150+150+250+150+150+150+250+150</f>
        <v>1400</v>
      </c>
      <c r="D77" s="140">
        <f>500</f>
        <v>500</v>
      </c>
      <c r="E77" s="140">
        <f>150+250+150+150+150</f>
        <v>850</v>
      </c>
      <c r="F77" s="140">
        <v>3133</v>
      </c>
      <c r="G77" s="140">
        <v>894</v>
      </c>
      <c r="H77" s="140"/>
      <c r="I77" s="141"/>
      <c r="J77" s="127"/>
      <c r="K77" s="129"/>
      <c r="L77" s="129"/>
      <c r="M77" s="128"/>
    </row>
    <row r="78" spans="1:16" ht="35.25" customHeight="1" x14ac:dyDescent="0.3">
      <c r="A78" s="125" t="s">
        <v>130</v>
      </c>
      <c r="B78" s="140"/>
      <c r="C78" s="140"/>
      <c r="D78" s="140"/>
      <c r="E78" s="140"/>
      <c r="F78" s="140"/>
      <c r="G78" s="140">
        <v>8500</v>
      </c>
      <c r="H78" s="140"/>
      <c r="I78" s="141"/>
      <c r="J78" s="127"/>
      <c r="K78" s="129"/>
      <c r="L78" s="129"/>
      <c r="M78" s="128"/>
    </row>
    <row r="79" spans="1:16" ht="35.25" customHeight="1" x14ac:dyDescent="0.3">
      <c r="A79" s="125" t="s">
        <v>125</v>
      </c>
      <c r="B79" s="140"/>
      <c r="C79" s="140"/>
      <c r="D79" s="140"/>
      <c r="E79" s="140"/>
      <c r="F79" s="140">
        <f>823.8+960</f>
        <v>1783.8</v>
      </c>
      <c r="G79" s="140">
        <v>4300.76</v>
      </c>
      <c r="H79" s="140"/>
      <c r="I79" s="141"/>
      <c r="J79" s="127"/>
      <c r="K79" s="129"/>
      <c r="L79" s="128"/>
      <c r="M79" s="128"/>
    </row>
    <row r="80" spans="1:16" ht="35.25" customHeight="1" x14ac:dyDescent="0.3">
      <c r="A80" s="125" t="s">
        <v>131</v>
      </c>
      <c r="B80" s="140"/>
      <c r="C80" s="140"/>
      <c r="D80" s="140">
        <f>400+1900</f>
        <v>2300</v>
      </c>
      <c r="E80" s="140"/>
      <c r="F80" s="140"/>
      <c r="G80" s="140"/>
      <c r="H80" s="140"/>
      <c r="I80" s="141"/>
      <c r="J80" s="127"/>
      <c r="K80" s="129"/>
      <c r="L80" s="128"/>
      <c r="M80" s="128"/>
    </row>
    <row r="81" spans="1:14" ht="35.25" customHeight="1" x14ac:dyDescent="0.3">
      <c r="A81" s="125" t="s">
        <v>140</v>
      </c>
      <c r="B81" s="140"/>
      <c r="C81" s="140"/>
      <c r="D81" s="140"/>
      <c r="E81" s="140"/>
      <c r="F81" s="140"/>
      <c r="G81" s="140">
        <v>6485</v>
      </c>
      <c r="H81" s="140"/>
      <c r="I81" s="141"/>
      <c r="J81" s="127"/>
      <c r="K81" s="129"/>
      <c r="L81" s="128"/>
      <c r="M81" s="128"/>
    </row>
    <row r="82" spans="1:14" ht="35.25" customHeight="1" x14ac:dyDescent="0.3">
      <c r="A82" s="125" t="s">
        <v>138</v>
      </c>
      <c r="B82" s="140"/>
      <c r="C82" s="140"/>
      <c r="D82" s="140"/>
      <c r="E82" s="140"/>
      <c r="F82" s="140"/>
      <c r="G82" s="140"/>
      <c r="H82" s="140"/>
      <c r="I82" s="141"/>
      <c r="J82" s="127"/>
      <c r="K82" s="129"/>
      <c r="L82" s="128"/>
      <c r="M82" s="128"/>
    </row>
    <row r="83" spans="1:14" ht="35.25" customHeight="1" x14ac:dyDescent="0.3">
      <c r="A83" s="125" t="s">
        <v>138</v>
      </c>
      <c r="B83" s="140"/>
      <c r="C83" s="140"/>
      <c r="D83" s="140"/>
      <c r="E83" s="140"/>
      <c r="F83" s="140"/>
      <c r="G83" s="140"/>
      <c r="H83" s="140"/>
      <c r="I83" s="141"/>
      <c r="J83" s="127"/>
      <c r="K83" s="129"/>
      <c r="L83" s="128"/>
      <c r="M83" s="128"/>
    </row>
    <row r="84" spans="1:14" ht="35.25" customHeight="1" x14ac:dyDescent="0.3">
      <c r="A84" s="125" t="s">
        <v>138</v>
      </c>
      <c r="B84" s="140"/>
      <c r="C84" s="140"/>
      <c r="D84" s="140"/>
      <c r="E84" s="140"/>
      <c r="F84" s="140"/>
      <c r="G84" s="140"/>
      <c r="H84" s="140"/>
      <c r="I84" s="141"/>
      <c r="J84" s="127"/>
      <c r="K84" s="129"/>
      <c r="L84" s="128"/>
      <c r="M84" s="128"/>
    </row>
    <row r="85" spans="1:14" ht="35.25" customHeight="1" x14ac:dyDescent="0.3">
      <c r="A85" s="125" t="s">
        <v>136</v>
      </c>
      <c r="B85" s="140"/>
      <c r="C85" s="140"/>
      <c r="D85" s="140"/>
      <c r="E85" s="140"/>
      <c r="F85" s="140"/>
      <c r="G85" s="140">
        <v>2400</v>
      </c>
      <c r="H85" s="140"/>
      <c r="I85" s="141"/>
      <c r="J85" s="127"/>
      <c r="K85" s="129"/>
      <c r="L85" s="128"/>
      <c r="M85" s="128"/>
    </row>
    <row r="86" spans="1:14" ht="35.25" customHeight="1" x14ac:dyDescent="0.3">
      <c r="A86" s="125" t="s">
        <v>137</v>
      </c>
      <c r="B86" s="140"/>
      <c r="C86" s="140"/>
      <c r="D86" s="140"/>
      <c r="E86" s="140"/>
      <c r="F86" s="140"/>
      <c r="G86" s="140"/>
      <c r="H86" s="140"/>
      <c r="I86" s="141"/>
      <c r="J86" s="127"/>
      <c r="K86" s="129"/>
      <c r="L86" s="128"/>
      <c r="M86" s="128"/>
    </row>
    <row r="87" spans="1:14" ht="35.25" customHeight="1" x14ac:dyDescent="0.3">
      <c r="A87" s="125" t="s">
        <v>129</v>
      </c>
      <c r="B87" s="140"/>
      <c r="C87" s="140"/>
      <c r="D87" s="140"/>
      <c r="E87" s="140"/>
      <c r="F87" s="140"/>
      <c r="G87" s="140">
        <v>24214</v>
      </c>
      <c r="H87" s="140"/>
      <c r="I87" s="141"/>
      <c r="J87" s="127"/>
      <c r="K87" s="129"/>
      <c r="L87" s="128"/>
      <c r="M87" s="128"/>
    </row>
    <row r="88" spans="1:14" ht="35.25" customHeight="1" thickBot="1" x14ac:dyDescent="0.35">
      <c r="A88" s="163" t="s">
        <v>43</v>
      </c>
      <c r="B88" s="180"/>
      <c r="C88" s="180"/>
      <c r="D88" s="180"/>
      <c r="E88" s="180"/>
      <c r="F88" s="180"/>
      <c r="G88" s="180"/>
      <c r="H88" s="180"/>
      <c r="I88" s="141"/>
      <c r="J88" s="127"/>
      <c r="K88" s="129"/>
      <c r="L88" s="128"/>
      <c r="M88" s="128"/>
    </row>
    <row r="89" spans="1:14" s="12" customFormat="1" ht="39" customHeight="1" thickTop="1" thickBot="1" x14ac:dyDescent="0.3">
      <c r="A89" s="42" t="s">
        <v>14</v>
      </c>
      <c r="B89" s="18">
        <f>B8+B1-B6</f>
        <v>69211.37</v>
      </c>
      <c r="C89" s="18">
        <f>C8+C1-C6</f>
        <v>158874.69</v>
      </c>
      <c r="D89" s="18">
        <f>D8+D1-D6</f>
        <v>71089.399999999965</v>
      </c>
      <c r="E89" s="18">
        <f>E8+E1-E6</f>
        <v>119456.65000000002</v>
      </c>
      <c r="F89" s="18">
        <f>F8+F1-F6</f>
        <v>131541.10000000009</v>
      </c>
      <c r="G89" s="18">
        <f>G8+G1-G6</f>
        <v>215868.14000000004</v>
      </c>
      <c r="H89" s="35">
        <f>H8+H1-H6</f>
        <v>215868.14000000004</v>
      </c>
      <c r="I89" s="35">
        <f>I8+I1-I6</f>
        <v>0</v>
      </c>
      <c r="J89" s="35">
        <f>J8+J1-J6</f>
        <v>0</v>
      </c>
      <c r="K89" s="35">
        <f>K8+K1-K6</f>
        <v>0</v>
      </c>
      <c r="L89" s="35">
        <f>L8+L1-L6</f>
        <v>0</v>
      </c>
      <c r="M89" s="35">
        <f>M1+M8-M16</f>
        <v>0</v>
      </c>
      <c r="N89" s="12">
        <v>249663.57</v>
      </c>
    </row>
    <row r="90" spans="1:14" ht="23.1" customHeight="1" thickTop="1" x14ac:dyDescent="0.3"/>
    <row r="96" spans="1:14" ht="18" customHeight="1" thickBot="1" x14ac:dyDescent="0.35">
      <c r="A96" s="1" t="s">
        <v>17</v>
      </c>
      <c r="B96" s="21">
        <v>303494.84999999998</v>
      </c>
      <c r="C96" s="21">
        <v>154796.68</v>
      </c>
      <c r="D96" s="21">
        <v>327923.66000000003</v>
      </c>
      <c r="E96" s="21">
        <v>46179.880000000005</v>
      </c>
      <c r="F96" s="21">
        <v>253185.58999999997</v>
      </c>
      <c r="G96" s="21">
        <v>0</v>
      </c>
      <c r="H96" s="21">
        <v>0</v>
      </c>
      <c r="I96" s="21">
        <v>0</v>
      </c>
      <c r="J96" s="21">
        <v>0</v>
      </c>
      <c r="K96" s="21">
        <v>0</v>
      </c>
      <c r="L96" s="21">
        <v>0</v>
      </c>
      <c r="M96" s="21">
        <v>0</v>
      </c>
      <c r="N96" s="46">
        <f>SUM(B96:M96)</f>
        <v>1085580.6599999999</v>
      </c>
    </row>
    <row r="97" spans="1:14" s="9" customFormat="1" ht="21" customHeight="1" thickTop="1" thickBot="1" x14ac:dyDescent="0.35">
      <c r="A97" s="11" t="s">
        <v>55</v>
      </c>
      <c r="B97" s="19" t="s">
        <v>60</v>
      </c>
      <c r="C97" s="19" t="s">
        <v>61</v>
      </c>
      <c r="D97" s="19" t="s">
        <v>62</v>
      </c>
      <c r="E97" s="19" t="s">
        <v>63</v>
      </c>
      <c r="F97" s="19" t="s">
        <v>56</v>
      </c>
      <c r="G97" s="19" t="s">
        <v>64</v>
      </c>
      <c r="H97" s="19" t="s">
        <v>65</v>
      </c>
      <c r="I97" s="29" t="s">
        <v>66</v>
      </c>
      <c r="J97" s="29" t="s">
        <v>67</v>
      </c>
      <c r="K97" s="29" t="s">
        <v>68</v>
      </c>
      <c r="L97" s="29" t="s">
        <v>69</v>
      </c>
      <c r="M97" s="29" t="s">
        <v>70</v>
      </c>
      <c r="N97" s="46">
        <f t="shared" ref="N97:N98" si="9">SUM(B97:M97)</f>
        <v>0</v>
      </c>
    </row>
    <row r="98" spans="1:14" s="1" customFormat="1" ht="23.1" customHeight="1" thickTop="1" x14ac:dyDescent="0.3">
      <c r="A98" s="34" t="s">
        <v>0</v>
      </c>
      <c r="B98" s="33">
        <v>123042.65</v>
      </c>
      <c r="C98" s="33">
        <v>244460</v>
      </c>
      <c r="D98" s="33">
        <v>240138.37</v>
      </c>
      <c r="E98" s="33">
        <v>97047.13</v>
      </c>
      <c r="F98" s="33">
        <v>265270.04000000004</v>
      </c>
      <c r="G98" s="33">
        <v>0</v>
      </c>
      <c r="H98" s="33">
        <v>0</v>
      </c>
      <c r="I98" s="33">
        <v>0</v>
      </c>
      <c r="J98" s="33">
        <v>0</v>
      </c>
      <c r="K98" s="33">
        <v>0</v>
      </c>
      <c r="L98" s="33">
        <v>0</v>
      </c>
      <c r="M98" s="33">
        <v>0</v>
      </c>
      <c r="N98" s="46">
        <f t="shared" si="9"/>
        <v>969958.19000000006</v>
      </c>
    </row>
    <row r="99" spans="1:14" ht="23.1" customHeight="1" x14ac:dyDescent="0.3">
      <c r="B99" s="13">
        <v>1085580.6599999999</v>
      </c>
    </row>
    <row r="100" spans="1:14" ht="23.1" customHeight="1" x14ac:dyDescent="0.3">
      <c r="B100" s="13">
        <v>0</v>
      </c>
    </row>
    <row r="101" spans="1:14" ht="23.1" customHeight="1" x14ac:dyDescent="0.3">
      <c r="B101" s="13">
        <v>969958.19000000006</v>
      </c>
    </row>
  </sheetData>
  <pageMargins left="0.16" right="0.28000000000000003" top="0.75000000000000011" bottom="0.75000000000000011" header="0.31" footer="0.31"/>
  <pageSetup paperSize="9" scale="3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99"/>
  <sheetViews>
    <sheetView workbookViewId="0">
      <pane xSplit="1" ySplit="8" topLeftCell="B72" activePane="bottomRight" state="frozen"/>
      <selection pane="topRight" activeCell="B1" sqref="B1"/>
      <selection pane="bottomLeft" activeCell="A9" sqref="A9"/>
      <selection pane="bottomRight" activeCell="D79" sqref="D79"/>
    </sheetView>
  </sheetViews>
  <sheetFormatPr defaultColWidth="8.85546875" defaultRowHeight="23.1" customHeight="1" x14ac:dyDescent="0.3"/>
  <cols>
    <col min="1" max="1" width="45.85546875" style="2" customWidth="1"/>
    <col min="2" max="7" width="15.42578125" style="13" customWidth="1"/>
    <col min="8" max="8" width="16.28515625" style="13" customWidth="1"/>
    <col min="9" max="9" width="15.7109375" style="2" customWidth="1"/>
    <col min="10" max="13" width="15.42578125" style="2" customWidth="1"/>
    <col min="14" max="14" width="52.42578125" style="182" customWidth="1"/>
    <col min="15" max="15" width="16.85546875" style="189" customWidth="1"/>
    <col min="16" max="20" width="15.42578125" style="189" customWidth="1"/>
    <col min="21" max="16384" width="8.85546875" style="2"/>
  </cols>
  <sheetData>
    <row r="1" spans="1:20" s="1" customFormat="1" ht="18" customHeight="1" x14ac:dyDescent="0.35">
      <c r="A1" s="6" t="s">
        <v>12</v>
      </c>
      <c r="B1" s="25">
        <f>SUM(B2:B3)</f>
        <v>859.81</v>
      </c>
      <c r="C1" s="25">
        <f>B8-B6+B1</f>
        <v>48322.929999999993</v>
      </c>
      <c r="D1" s="25">
        <f t="shared" ref="D1:K1" si="0">C8+C1-C6</f>
        <v>39526.319999999978</v>
      </c>
      <c r="E1" s="25">
        <f t="shared" si="0"/>
        <v>29129.73000000001</v>
      </c>
      <c r="F1" s="25">
        <f t="shared" si="0"/>
        <v>61848.390000000014</v>
      </c>
      <c r="G1" s="25">
        <f t="shared" si="0"/>
        <v>115769.86000000002</v>
      </c>
      <c r="H1" s="25">
        <f t="shared" si="0"/>
        <v>139374.47999999998</v>
      </c>
      <c r="I1" s="25">
        <f t="shared" si="0"/>
        <v>9749.4799999999814</v>
      </c>
      <c r="J1" s="25">
        <f t="shared" si="0"/>
        <v>131504.04999999999</v>
      </c>
      <c r="K1" s="25">
        <f t="shared" si="0"/>
        <v>49393</v>
      </c>
      <c r="L1" s="25">
        <f>K8+K1-K6</f>
        <v>50967.369999999995</v>
      </c>
      <c r="M1" s="25">
        <f>L8+L1-L6</f>
        <v>48146.320000000007</v>
      </c>
      <c r="N1" s="184" t="s">
        <v>12</v>
      </c>
      <c r="O1" s="196">
        <f t="shared" ref="O1:T1" si="1">SUM(O2:O3)</f>
        <v>249663.57</v>
      </c>
      <c r="P1" s="196">
        <f t="shared" si="1"/>
        <v>69211.370000000083</v>
      </c>
      <c r="Q1" s="196">
        <f t="shared" si="1"/>
        <v>158874.69000000006</v>
      </c>
      <c r="R1" s="196">
        <f t="shared" si="1"/>
        <v>68589.400000000009</v>
      </c>
      <c r="S1" s="196">
        <f t="shared" si="1"/>
        <v>119456.65000000001</v>
      </c>
      <c r="T1" s="196">
        <f t="shared" si="1"/>
        <v>131541.10000000003</v>
      </c>
    </row>
    <row r="2" spans="1:20" s="1" customFormat="1" ht="18" customHeight="1" x14ac:dyDescent="0.3">
      <c r="A2" s="7" t="s">
        <v>3</v>
      </c>
      <c r="B2" s="26">
        <v>859.81</v>
      </c>
      <c r="C2" s="26">
        <v>0</v>
      </c>
      <c r="D2" s="26">
        <v>0</v>
      </c>
      <c r="E2" s="26">
        <v>8200</v>
      </c>
      <c r="F2" s="26"/>
      <c r="G2" s="26"/>
      <c r="H2" s="26">
        <v>57893</v>
      </c>
      <c r="I2" s="1">
        <v>0</v>
      </c>
      <c r="J2" s="1">
        <v>0</v>
      </c>
      <c r="K2" s="1">
        <v>0</v>
      </c>
      <c r="L2" s="1">
        <v>0</v>
      </c>
      <c r="M2" s="1">
        <v>0</v>
      </c>
      <c r="N2" s="185" t="s">
        <v>3</v>
      </c>
      <c r="O2" s="197">
        <v>197922.66</v>
      </c>
      <c r="P2" s="197">
        <f>O2+O10+O14-O18</f>
        <v>29522.080000000075</v>
      </c>
      <c r="Q2" s="197">
        <f>P2+P10-P18</f>
        <v>74753.010000000068</v>
      </c>
      <c r="R2" s="197">
        <v>9817.11</v>
      </c>
      <c r="S2" s="197">
        <v>60996.36</v>
      </c>
      <c r="T2" s="197">
        <f>S2+S10+S14-S18</f>
        <v>23662.920000000042</v>
      </c>
    </row>
    <row r="3" spans="1:20" s="3" customFormat="1" ht="18" customHeight="1" x14ac:dyDescent="0.3">
      <c r="A3" s="7" t="s">
        <v>18</v>
      </c>
      <c r="B3" s="26">
        <v>0</v>
      </c>
      <c r="C3" s="26">
        <f>C1</f>
        <v>48322.929999999993</v>
      </c>
      <c r="D3" s="26">
        <f>D1</f>
        <v>39526.319999999978</v>
      </c>
      <c r="E3" s="26">
        <f t="shared" ref="E3:L3" si="2">E1-E2</f>
        <v>20929.73000000001</v>
      </c>
      <c r="F3" s="26">
        <f t="shared" si="2"/>
        <v>61848.390000000014</v>
      </c>
      <c r="G3" s="26">
        <f t="shared" si="2"/>
        <v>115769.86000000002</v>
      </c>
      <c r="H3" s="26">
        <f t="shared" si="2"/>
        <v>81481.479999999981</v>
      </c>
      <c r="I3" s="26">
        <f t="shared" si="2"/>
        <v>9749.4799999999814</v>
      </c>
      <c r="J3" s="26">
        <f t="shared" si="2"/>
        <v>131504.04999999999</v>
      </c>
      <c r="K3" s="26">
        <f t="shared" si="2"/>
        <v>49393</v>
      </c>
      <c r="L3" s="26">
        <f t="shared" si="2"/>
        <v>50967.369999999995</v>
      </c>
      <c r="M3" s="26">
        <f>M1-M2</f>
        <v>48146.320000000007</v>
      </c>
      <c r="N3" s="185" t="s">
        <v>18</v>
      </c>
      <c r="O3" s="197">
        <v>51740.91</v>
      </c>
      <c r="P3" s="197">
        <f>O3+O11-O41</f>
        <v>39689.290000000008</v>
      </c>
      <c r="Q3" s="197">
        <f>P3+P11-P41</f>
        <v>84121.680000000008</v>
      </c>
      <c r="R3" s="197">
        <f>Q3+Q11-Q41</f>
        <v>58772.290000000008</v>
      </c>
      <c r="S3" s="197">
        <f>R3+R11+R14-R41</f>
        <v>58460.290000000008</v>
      </c>
      <c r="T3" s="197">
        <f>S3+S11-S41</f>
        <v>107878.18000000001</v>
      </c>
    </row>
    <row r="4" spans="1:20" s="1" customFormat="1" ht="18" hidden="1" customHeight="1" x14ac:dyDescent="0.3">
      <c r="A4" s="7" t="s">
        <v>10</v>
      </c>
      <c r="B4" s="26">
        <f t="shared" ref="B4:M4" si="3">B18</f>
        <v>87659.81</v>
      </c>
      <c r="C4" s="26">
        <f t="shared" si="3"/>
        <v>141610.48000000001</v>
      </c>
      <c r="D4" s="26">
        <f t="shared" si="3"/>
        <v>146991.79999999999</v>
      </c>
      <c r="E4" s="26">
        <f t="shared" si="3"/>
        <v>102650</v>
      </c>
      <c r="F4" s="26">
        <f t="shared" si="3"/>
        <v>193800</v>
      </c>
      <c r="G4" s="26">
        <f t="shared" si="3"/>
        <v>69157</v>
      </c>
      <c r="H4" s="26">
        <f t="shared" si="3"/>
        <v>142373</v>
      </c>
      <c r="I4" s="26">
        <f t="shared" si="3"/>
        <v>137699</v>
      </c>
      <c r="J4" s="26">
        <f t="shared" si="3"/>
        <v>129200</v>
      </c>
      <c r="K4" s="26">
        <f t="shared" si="3"/>
        <v>816316</v>
      </c>
      <c r="L4" s="26">
        <f t="shared" si="3"/>
        <v>136482</v>
      </c>
      <c r="M4" s="26">
        <f t="shared" si="3"/>
        <v>110624.34</v>
      </c>
      <c r="N4" s="185" t="s">
        <v>10</v>
      </c>
      <c r="O4" s="197">
        <f t="shared" ref="O4:T4" si="4">O18</f>
        <v>281643.22999999992</v>
      </c>
      <c r="P4" s="197">
        <f t="shared" si="4"/>
        <v>138509.07</v>
      </c>
      <c r="Q4" s="197">
        <f t="shared" si="4"/>
        <v>277074.27</v>
      </c>
      <c r="R4" s="197">
        <f t="shared" si="4"/>
        <v>33967.879999999997</v>
      </c>
      <c r="S4" s="197">
        <f t="shared" si="4"/>
        <v>203803.47999999998</v>
      </c>
      <c r="T4" s="197">
        <f t="shared" si="4"/>
        <v>89874.27</v>
      </c>
    </row>
    <row r="5" spans="1:20" s="1" customFormat="1" ht="18" hidden="1" customHeight="1" x14ac:dyDescent="0.3">
      <c r="A5" s="7" t="s">
        <v>11</v>
      </c>
      <c r="B5" s="26">
        <f t="shared" ref="B5:M5" si="5">B41</f>
        <v>21877.07</v>
      </c>
      <c r="C5" s="26">
        <f t="shared" si="5"/>
        <v>47796.61</v>
      </c>
      <c r="D5" s="26">
        <f t="shared" si="5"/>
        <v>88396.59</v>
      </c>
      <c r="E5" s="26">
        <f t="shared" si="5"/>
        <v>35931.340000000004</v>
      </c>
      <c r="F5" s="26">
        <f t="shared" si="5"/>
        <v>34978.53</v>
      </c>
      <c r="G5" s="26">
        <f t="shared" si="5"/>
        <v>62488.380000000005</v>
      </c>
      <c r="H5" s="26">
        <f t="shared" si="5"/>
        <v>141768</v>
      </c>
      <c r="I5" s="26">
        <f t="shared" si="5"/>
        <v>103634.43</v>
      </c>
      <c r="J5" s="26">
        <f t="shared" si="5"/>
        <v>92111.05</v>
      </c>
      <c r="K5" s="26">
        <f t="shared" si="5"/>
        <v>78330.63</v>
      </c>
      <c r="L5" s="26">
        <f t="shared" si="5"/>
        <v>36821.050000000003</v>
      </c>
      <c r="M5" s="26">
        <f t="shared" si="5"/>
        <v>18405.41</v>
      </c>
      <c r="N5" s="185" t="s">
        <v>11</v>
      </c>
      <c r="O5" s="197">
        <f t="shared" ref="O5:T5" si="6">O41</f>
        <v>21851.62</v>
      </c>
      <c r="P5" s="197">
        <f t="shared" si="6"/>
        <v>16287.61</v>
      </c>
      <c r="Q5" s="197">
        <f t="shared" si="6"/>
        <v>50849.39</v>
      </c>
      <c r="R5" s="197">
        <f t="shared" si="6"/>
        <v>12212</v>
      </c>
      <c r="S5" s="197">
        <f t="shared" si="6"/>
        <v>49382.11</v>
      </c>
      <c r="T5" s="197">
        <f t="shared" si="6"/>
        <v>116511.69</v>
      </c>
    </row>
    <row r="6" spans="1:20" ht="18" customHeight="1" thickBot="1" x14ac:dyDescent="0.35">
      <c r="A6" s="1" t="s">
        <v>17</v>
      </c>
      <c r="B6" s="21">
        <f t="shared" ref="B6:F6" si="7">SUM(B4:B5)</f>
        <v>109536.88</v>
      </c>
      <c r="C6" s="21">
        <f>SUM(C4:C5)</f>
        <v>189407.09000000003</v>
      </c>
      <c r="D6" s="21">
        <f>SUM(D4:D5)</f>
        <v>235388.38999999998</v>
      </c>
      <c r="E6" s="21">
        <f>SUM(E4:E5)</f>
        <v>138581.34</v>
      </c>
      <c r="F6" s="21">
        <f t="shared" si="7"/>
        <v>228778.53</v>
      </c>
      <c r="G6" s="21">
        <f t="shared" ref="G6:K6" si="8">SUM(G4:G5)</f>
        <v>131645.38</v>
      </c>
      <c r="H6" s="21">
        <f t="shared" si="8"/>
        <v>284141</v>
      </c>
      <c r="I6" s="21">
        <f t="shared" si="8"/>
        <v>241333.43</v>
      </c>
      <c r="J6" s="21">
        <f t="shared" si="8"/>
        <v>221311.05</v>
      </c>
      <c r="K6" s="21">
        <f t="shared" si="8"/>
        <v>894646.63</v>
      </c>
      <c r="L6" s="21">
        <f>SUM(L4:L5)</f>
        <v>173303.05</v>
      </c>
      <c r="M6" s="21">
        <f>SUM(M4:M5)</f>
        <v>129029.75</v>
      </c>
      <c r="N6" s="181" t="s">
        <v>17</v>
      </c>
      <c r="O6" s="195">
        <f t="shared" ref="O6:P6" si="9">SUM(O4:O5)</f>
        <v>303494.84999999992</v>
      </c>
      <c r="P6" s="195">
        <f t="shared" si="9"/>
        <v>154796.68</v>
      </c>
      <c r="Q6" s="195">
        <f>SUM(Q4:Q5)</f>
        <v>327923.66000000003</v>
      </c>
      <c r="R6" s="195">
        <f>SUM(R4:R5)</f>
        <v>46179.88</v>
      </c>
      <c r="S6" s="195">
        <f>S18+S41</f>
        <v>253185.58999999997</v>
      </c>
      <c r="T6" s="195">
        <f t="shared" ref="T6" si="10">SUM(T4:T5)</f>
        <v>206385.96000000002</v>
      </c>
    </row>
    <row r="7" spans="1:20" s="9" customFormat="1" ht="21" customHeight="1" thickTop="1" thickBot="1" x14ac:dyDescent="0.35">
      <c r="A7" s="11" t="s">
        <v>80</v>
      </c>
      <c r="B7" s="19" t="s">
        <v>101</v>
      </c>
      <c r="C7" s="19" t="s">
        <v>102</v>
      </c>
      <c r="D7" s="19" t="s">
        <v>103</v>
      </c>
      <c r="E7" s="19" t="s">
        <v>104</v>
      </c>
      <c r="F7" s="19" t="s">
        <v>105</v>
      </c>
      <c r="G7" s="19" t="s">
        <v>73</v>
      </c>
      <c r="H7" s="19" t="s">
        <v>74</v>
      </c>
      <c r="I7" s="19" t="s">
        <v>75</v>
      </c>
      <c r="J7" s="19" t="s">
        <v>76</v>
      </c>
      <c r="K7" s="19" t="s">
        <v>77</v>
      </c>
      <c r="L7" s="19" t="s">
        <v>78</v>
      </c>
      <c r="M7" s="19" t="s">
        <v>79</v>
      </c>
      <c r="N7" s="188" t="s">
        <v>55</v>
      </c>
      <c r="O7" s="194" t="s">
        <v>60</v>
      </c>
      <c r="P7" s="194" t="s">
        <v>61</v>
      </c>
      <c r="Q7" s="194" t="s">
        <v>62</v>
      </c>
      <c r="R7" s="194" t="s">
        <v>63</v>
      </c>
      <c r="S7" s="194" t="s">
        <v>56</v>
      </c>
      <c r="T7" s="194" t="s">
        <v>64</v>
      </c>
    </row>
    <row r="8" spans="1:20" s="1" customFormat="1" ht="23.1" customHeight="1" thickTop="1" x14ac:dyDescent="0.3">
      <c r="A8" s="34" t="s">
        <v>0</v>
      </c>
      <c r="B8" s="33">
        <f>B10+B11</f>
        <v>157000</v>
      </c>
      <c r="C8" s="33">
        <f>C10+C11</f>
        <v>180610.48</v>
      </c>
      <c r="D8" s="33">
        <f t="shared" ref="D8:M8" si="11">SUM(D10:D15)</f>
        <v>224991.80000000002</v>
      </c>
      <c r="E8" s="33">
        <f t="shared" si="11"/>
        <v>171300</v>
      </c>
      <c r="F8" s="33">
        <f t="shared" si="11"/>
        <v>282700</v>
      </c>
      <c r="G8" s="33">
        <f t="shared" si="11"/>
        <v>155250</v>
      </c>
      <c r="H8" s="33">
        <f t="shared" si="11"/>
        <v>154516</v>
      </c>
      <c r="I8" s="33">
        <f t="shared" si="11"/>
        <v>363088</v>
      </c>
      <c r="J8" s="33">
        <f t="shared" si="11"/>
        <v>139200</v>
      </c>
      <c r="K8" s="33">
        <f t="shared" si="11"/>
        <v>896221</v>
      </c>
      <c r="L8" s="33">
        <f t="shared" si="11"/>
        <v>170482</v>
      </c>
      <c r="M8" s="33">
        <f t="shared" si="11"/>
        <v>330547</v>
      </c>
      <c r="N8" s="202" t="s">
        <v>0</v>
      </c>
      <c r="O8" s="201">
        <f>O10+O11+O14</f>
        <v>123042.65</v>
      </c>
      <c r="P8" s="201">
        <f>P10+P11</f>
        <v>244460</v>
      </c>
      <c r="Q8" s="201">
        <f>SUM(Q10:Q15)</f>
        <v>240138.37</v>
      </c>
      <c r="R8" s="201">
        <f>SUM(R10:R15)</f>
        <v>97047.13</v>
      </c>
      <c r="S8" s="201">
        <f t="shared" ref="S8:T8" si="12">SUM(S10:S15)</f>
        <v>265270.04000000004</v>
      </c>
      <c r="T8" s="201">
        <f t="shared" si="12"/>
        <v>290713</v>
      </c>
    </row>
    <row r="9" spans="1:20" ht="12" customHeight="1" x14ac:dyDescent="0.3">
      <c r="A9" s="8" t="s">
        <v>2</v>
      </c>
      <c r="B9" s="14"/>
      <c r="C9" s="14"/>
      <c r="D9" s="14"/>
      <c r="E9" s="14"/>
      <c r="F9" s="14"/>
      <c r="G9" s="14"/>
      <c r="H9" s="14"/>
      <c r="N9" s="186" t="s">
        <v>2</v>
      </c>
      <c r="O9" s="190"/>
      <c r="P9" s="190"/>
      <c r="Q9" s="190"/>
      <c r="R9" s="190"/>
      <c r="S9" s="190"/>
      <c r="T9" s="190"/>
    </row>
    <row r="10" spans="1:20" ht="23.1" customHeight="1" x14ac:dyDescent="0.3">
      <c r="A10" s="5" t="s">
        <v>16</v>
      </c>
      <c r="B10" s="15">
        <v>86800</v>
      </c>
      <c r="C10" s="15">
        <v>141610.48000000001</v>
      </c>
      <c r="D10" s="15">
        <v>135800</v>
      </c>
      <c r="E10" s="15">
        <v>94450</v>
      </c>
      <c r="F10" s="15">
        <v>193800</v>
      </c>
      <c r="G10" s="15">
        <v>127050</v>
      </c>
      <c r="H10" s="15">
        <v>84480</v>
      </c>
      <c r="I10" s="82">
        <v>137698</v>
      </c>
      <c r="J10" s="83">
        <v>129200</v>
      </c>
      <c r="K10" s="83">
        <v>816321</v>
      </c>
      <c r="L10" s="82">
        <v>135800</v>
      </c>
      <c r="M10" s="82">
        <v>294250</v>
      </c>
      <c r="N10" s="204" t="s">
        <v>16</v>
      </c>
      <c r="O10" s="191">
        <f>105460+7782.65</f>
        <v>113242.65</v>
      </c>
      <c r="P10" s="191">
        <f>183740</f>
        <v>183740</v>
      </c>
      <c r="Q10" s="191">
        <v>197268.12</v>
      </c>
      <c r="R10" s="191">
        <v>85134</v>
      </c>
      <c r="S10" s="191">
        <v>166470.04</v>
      </c>
      <c r="T10" s="191">
        <v>198513</v>
      </c>
    </row>
    <row r="11" spans="1:20" ht="23.1" customHeight="1" x14ac:dyDescent="0.3">
      <c r="A11" s="5" t="s">
        <v>22</v>
      </c>
      <c r="B11" s="27">
        <v>70200</v>
      </c>
      <c r="C11" s="27">
        <v>39000</v>
      </c>
      <c r="D11" s="27">
        <v>69800</v>
      </c>
      <c r="E11" s="27">
        <v>76850</v>
      </c>
      <c r="F11" s="27">
        <v>88900</v>
      </c>
      <c r="G11" s="27">
        <v>28200</v>
      </c>
      <c r="H11" s="27">
        <f>31400+38069</f>
        <v>69469</v>
      </c>
      <c r="I11" s="82">
        <v>225390</v>
      </c>
      <c r="J11" s="84">
        <v>10000</v>
      </c>
      <c r="K11" s="84">
        <v>79900</v>
      </c>
      <c r="L11" s="84">
        <v>34000</v>
      </c>
      <c r="M11" s="84">
        <v>22000</v>
      </c>
      <c r="N11" s="44" t="s">
        <v>22</v>
      </c>
      <c r="O11" s="198">
        <v>9800</v>
      </c>
      <c r="P11" s="198">
        <v>60720</v>
      </c>
      <c r="Q11" s="198">
        <v>25500</v>
      </c>
      <c r="R11" s="198">
        <v>10900</v>
      </c>
      <c r="S11" s="198">
        <v>98800</v>
      </c>
      <c r="T11" s="198">
        <v>92200</v>
      </c>
    </row>
    <row r="12" spans="1:20" ht="23.1" customHeight="1" x14ac:dyDescent="0.3">
      <c r="A12" s="5" t="s">
        <v>23</v>
      </c>
      <c r="B12" s="27"/>
      <c r="C12" s="27"/>
      <c r="D12" s="27">
        <v>16348.38</v>
      </c>
      <c r="E12" s="27"/>
      <c r="F12" s="27"/>
      <c r="G12" s="27"/>
      <c r="H12" s="27">
        <v>567</v>
      </c>
      <c r="I12" s="30"/>
      <c r="J12" s="30"/>
      <c r="K12" s="30"/>
      <c r="L12" s="30"/>
      <c r="M12" s="85">
        <v>13144</v>
      </c>
      <c r="N12" s="44" t="s">
        <v>23</v>
      </c>
      <c r="O12" s="198"/>
      <c r="P12" s="198"/>
      <c r="Q12" s="198">
        <f>64.37+14305.88</f>
        <v>14370.25</v>
      </c>
      <c r="R12" s="198"/>
      <c r="S12" s="198"/>
      <c r="T12" s="198"/>
    </row>
    <row r="13" spans="1:20" ht="23.1" customHeight="1" x14ac:dyDescent="0.3">
      <c r="A13" s="5" t="s">
        <v>106</v>
      </c>
      <c r="B13" s="27"/>
      <c r="C13" s="27"/>
      <c r="D13" s="27"/>
      <c r="E13" s="27"/>
      <c r="F13" s="27"/>
      <c r="G13" s="27"/>
      <c r="H13" s="27"/>
      <c r="I13" s="30"/>
      <c r="J13" s="30"/>
      <c r="K13" s="30"/>
      <c r="L13" s="85">
        <v>682</v>
      </c>
      <c r="M13" s="85">
        <v>1153</v>
      </c>
      <c r="N13" s="44" t="s">
        <v>71</v>
      </c>
      <c r="O13" s="198"/>
      <c r="P13" s="198"/>
      <c r="Q13" s="198"/>
      <c r="R13" s="198">
        <v>13.13</v>
      </c>
      <c r="S13" s="198"/>
      <c r="T13" s="198"/>
    </row>
    <row r="14" spans="1:20" ht="36.75" customHeight="1" x14ac:dyDescent="0.3">
      <c r="A14" s="183"/>
      <c r="B14" s="198"/>
      <c r="C14" s="198"/>
      <c r="D14" s="198"/>
      <c r="E14" s="198"/>
      <c r="F14" s="198"/>
      <c r="G14" s="198"/>
      <c r="H14" s="198"/>
      <c r="I14" s="199"/>
      <c r="J14" s="199"/>
      <c r="K14" s="199"/>
      <c r="L14" s="85"/>
      <c r="M14" s="85"/>
      <c r="N14" s="44" t="s">
        <v>59</v>
      </c>
      <c r="O14" s="198"/>
      <c r="P14" s="198"/>
      <c r="Q14" s="198">
        <f>500+2500</f>
        <v>3000</v>
      </c>
      <c r="R14" s="205">
        <v>1000</v>
      </c>
      <c r="S14" s="198"/>
      <c r="T14" s="198"/>
    </row>
    <row r="15" spans="1:20" s="1" customFormat="1" ht="23.1" customHeight="1" thickBot="1" x14ac:dyDescent="0.35">
      <c r="A15" s="5" t="s">
        <v>24</v>
      </c>
      <c r="B15" s="27"/>
      <c r="C15" s="27"/>
      <c r="D15" s="27">
        <v>3043.42</v>
      </c>
      <c r="E15" s="27"/>
      <c r="F15" s="27"/>
      <c r="G15" s="27"/>
      <c r="H15" s="27"/>
      <c r="I15" s="30"/>
      <c r="J15" s="30"/>
      <c r="K15" s="30"/>
      <c r="L15" s="30"/>
      <c r="M15" s="30"/>
      <c r="N15" s="20" t="s">
        <v>24</v>
      </c>
      <c r="O15" s="198"/>
      <c r="P15" s="198"/>
      <c r="Q15" s="198"/>
      <c r="R15" s="198"/>
      <c r="S15" s="198"/>
      <c r="T15" s="198"/>
    </row>
    <row r="16" spans="1:20" ht="24.75" customHeight="1" thickTop="1" x14ac:dyDescent="0.3">
      <c r="A16" s="10" t="s">
        <v>1</v>
      </c>
      <c r="B16" s="17">
        <f t="shared" ref="B16:M16" si="13">B18+B41</f>
        <v>109536.88</v>
      </c>
      <c r="C16" s="17">
        <f t="shared" si="13"/>
        <v>189407.09000000003</v>
      </c>
      <c r="D16" s="17">
        <f t="shared" si="13"/>
        <v>235388.38999999998</v>
      </c>
      <c r="E16" s="17">
        <f t="shared" si="13"/>
        <v>138581.34</v>
      </c>
      <c r="F16" s="17">
        <f t="shared" si="13"/>
        <v>228778.53</v>
      </c>
      <c r="G16" s="17">
        <f t="shared" si="13"/>
        <v>131645.38</v>
      </c>
      <c r="H16" s="32">
        <f t="shared" si="13"/>
        <v>284141</v>
      </c>
      <c r="I16" s="32">
        <f t="shared" si="13"/>
        <v>241333.43</v>
      </c>
      <c r="J16" s="32">
        <f t="shared" si="13"/>
        <v>221311.05</v>
      </c>
      <c r="K16" s="32">
        <f t="shared" si="13"/>
        <v>894646.63</v>
      </c>
      <c r="L16" s="32">
        <f t="shared" si="13"/>
        <v>173303.05</v>
      </c>
      <c r="M16" s="32">
        <f t="shared" si="13"/>
        <v>129029.75</v>
      </c>
      <c r="N16" s="187" t="s">
        <v>1</v>
      </c>
      <c r="O16" s="192">
        <f t="shared" ref="O16:T16" si="14">O18+O41</f>
        <v>303494.84999999992</v>
      </c>
      <c r="P16" s="192">
        <f t="shared" si="14"/>
        <v>154796.68</v>
      </c>
      <c r="Q16" s="192">
        <f t="shared" si="14"/>
        <v>327923.66000000003</v>
      </c>
      <c r="R16" s="192">
        <f>R18+R41</f>
        <v>46179.88</v>
      </c>
      <c r="S16" s="192">
        <f t="shared" si="14"/>
        <v>253185.58999999997</v>
      </c>
      <c r="T16" s="192">
        <f t="shared" si="14"/>
        <v>206385.96000000002</v>
      </c>
    </row>
    <row r="17" spans="1:20" ht="23.1" customHeight="1" x14ac:dyDescent="0.3">
      <c r="A17" s="8" t="s">
        <v>2</v>
      </c>
      <c r="B17" s="14"/>
      <c r="C17" s="14"/>
      <c r="D17" s="14"/>
      <c r="E17" s="14"/>
      <c r="F17" s="14"/>
      <c r="G17" s="14"/>
      <c r="H17" s="14"/>
      <c r="N17" s="160" t="s">
        <v>2</v>
      </c>
      <c r="O17" s="190"/>
      <c r="P17" s="190"/>
      <c r="Q17" s="190"/>
      <c r="R17" s="190"/>
      <c r="S17" s="190"/>
      <c r="T17" s="190"/>
    </row>
    <row r="18" spans="1:20" s="3" customFormat="1" ht="33.75" customHeight="1" x14ac:dyDescent="0.3">
      <c r="A18" s="158" t="s">
        <v>13</v>
      </c>
      <c r="B18" s="159">
        <f>B19+B23+B24</f>
        <v>87659.81</v>
      </c>
      <c r="C18" s="159">
        <f>C19+C23+C24</f>
        <v>141610.48000000001</v>
      </c>
      <c r="D18" s="159">
        <f>D19+SUM(D23:D29)</f>
        <v>146991.79999999999</v>
      </c>
      <c r="E18" s="159">
        <f>E19+SUM(E23:E29)</f>
        <v>102650</v>
      </c>
      <c r="F18" s="159">
        <f t="shared" ref="F18:G18" si="15">F19+SUM(F23:F29)</f>
        <v>193800</v>
      </c>
      <c r="G18" s="159">
        <f t="shared" si="15"/>
        <v>69157</v>
      </c>
      <c r="H18" s="159">
        <f>H19+SUM(H23:H29)</f>
        <v>142373</v>
      </c>
      <c r="I18" s="159">
        <f>I19+SUM(I23:I29)</f>
        <v>137699</v>
      </c>
      <c r="J18" s="159">
        <f>J19+SUM(J23:J29)</f>
        <v>129200</v>
      </c>
      <c r="K18" s="159">
        <f>K19+SUM(K23:K29)</f>
        <v>816316</v>
      </c>
      <c r="L18" s="159">
        <f>L23+L26+L29+L30+L32</f>
        <v>136482</v>
      </c>
      <c r="M18" s="159">
        <f>M23+M26+M29+M30+M32+M28+M31</f>
        <v>110624.34</v>
      </c>
      <c r="N18" s="158" t="s">
        <v>13</v>
      </c>
      <c r="O18" s="159">
        <f>SUM(O20:O40)</f>
        <v>281643.22999999992</v>
      </c>
      <c r="P18" s="159">
        <f t="shared" ref="P18:T18" si="16">SUM(P20:P40)</f>
        <v>138509.07</v>
      </c>
      <c r="Q18" s="159">
        <f t="shared" si="16"/>
        <v>277074.27</v>
      </c>
      <c r="R18" s="159">
        <f t="shared" si="16"/>
        <v>33967.879999999997</v>
      </c>
      <c r="S18" s="159">
        <f t="shared" si="16"/>
        <v>203803.47999999998</v>
      </c>
      <c r="T18" s="159">
        <f t="shared" si="16"/>
        <v>89874.27</v>
      </c>
    </row>
    <row r="19" spans="1:20" s="3" customFormat="1" ht="20.25" customHeight="1" x14ac:dyDescent="0.3">
      <c r="A19" s="86" t="s">
        <v>38</v>
      </c>
      <c r="B19" s="87">
        <f t="shared" ref="B19:C19" si="17">SUM(B20:B22)</f>
        <v>80459.81</v>
      </c>
      <c r="C19" s="87">
        <f t="shared" si="17"/>
        <v>95589.1</v>
      </c>
      <c r="D19" s="87">
        <f>SUM(D20:D22)</f>
        <v>112011.14</v>
      </c>
      <c r="E19" s="87">
        <f>SUM(E20:E22)</f>
        <v>5232.42</v>
      </c>
      <c r="F19" s="87">
        <f t="shared" ref="F19:K19" si="18">SUM(F20:F22)</f>
        <v>0</v>
      </c>
      <c r="G19" s="87">
        <f t="shared" si="18"/>
        <v>0</v>
      </c>
      <c r="H19" s="87">
        <f t="shared" si="18"/>
        <v>107030</v>
      </c>
      <c r="I19" s="88">
        <f t="shared" si="18"/>
        <v>102356</v>
      </c>
      <c r="J19" s="88">
        <f t="shared" si="18"/>
        <v>85157</v>
      </c>
      <c r="K19" s="88">
        <f t="shared" si="18"/>
        <v>772273</v>
      </c>
      <c r="L19" s="87"/>
      <c r="M19" s="87"/>
      <c r="N19" s="124" t="s">
        <v>38</v>
      </c>
      <c r="O19" s="130"/>
      <c r="P19" s="130"/>
      <c r="Q19" s="130"/>
      <c r="R19" s="130"/>
      <c r="S19" s="130"/>
      <c r="T19" s="130"/>
    </row>
    <row r="20" spans="1:20" s="3" customFormat="1" ht="20.25" customHeight="1" x14ac:dyDescent="0.3">
      <c r="A20" s="23" t="s">
        <v>39</v>
      </c>
      <c r="B20" s="87">
        <v>79721.179999999993</v>
      </c>
      <c r="C20" s="89"/>
      <c r="D20" s="22">
        <v>12562.75</v>
      </c>
      <c r="E20" s="89">
        <v>5232.42</v>
      </c>
      <c r="F20" s="89"/>
      <c r="G20" s="89"/>
      <c r="H20" s="89">
        <v>107030</v>
      </c>
      <c r="I20" s="90">
        <v>102356</v>
      </c>
      <c r="J20" s="91">
        <v>85157</v>
      </c>
      <c r="K20" s="90">
        <v>772273</v>
      </c>
      <c r="L20" s="90"/>
      <c r="M20" s="90"/>
      <c r="N20" s="150" t="s">
        <v>39</v>
      </c>
      <c r="O20" s="130"/>
      <c r="P20" s="127"/>
      <c r="Q20" s="133"/>
      <c r="R20" s="127"/>
      <c r="S20" s="127"/>
      <c r="T20" s="127"/>
    </row>
    <row r="21" spans="1:20" s="3" customFormat="1" ht="20.25" customHeight="1" x14ac:dyDescent="0.3">
      <c r="A21" s="23" t="s">
        <v>37</v>
      </c>
      <c r="B21" s="87">
        <v>738.63</v>
      </c>
      <c r="C21" s="89">
        <v>95589.1</v>
      </c>
      <c r="D21" s="22">
        <v>74474.39</v>
      </c>
      <c r="E21" s="89"/>
      <c r="F21" s="89"/>
      <c r="G21" s="89"/>
      <c r="H21" s="89"/>
      <c r="I21" s="92"/>
      <c r="J21" s="93"/>
      <c r="K21" s="94"/>
      <c r="L21" s="94"/>
      <c r="M21" s="94"/>
      <c r="N21" s="150" t="s">
        <v>37</v>
      </c>
      <c r="O21" s="130">
        <v>80489.48</v>
      </c>
      <c r="P21" s="127">
        <f>55000+23336.42</f>
        <v>78336.42</v>
      </c>
      <c r="Q21" s="133"/>
      <c r="R21" s="127"/>
      <c r="S21" s="127"/>
      <c r="T21" s="127"/>
    </row>
    <row r="22" spans="1:20" ht="23.1" customHeight="1" x14ac:dyDescent="0.3">
      <c r="A22" s="23" t="s">
        <v>40</v>
      </c>
      <c r="B22" s="87"/>
      <c r="C22" s="89"/>
      <c r="D22" s="22">
        <v>24974</v>
      </c>
      <c r="E22" s="89"/>
      <c r="F22" s="89"/>
      <c r="G22" s="89"/>
      <c r="H22" s="89"/>
      <c r="I22" s="95"/>
      <c r="J22" s="93"/>
      <c r="K22" s="94"/>
      <c r="L22" s="94"/>
      <c r="M22" s="94"/>
      <c r="N22" s="150" t="s">
        <v>40</v>
      </c>
      <c r="O22" s="130"/>
      <c r="P22" s="127"/>
      <c r="Q22" s="133"/>
      <c r="R22" s="127"/>
      <c r="S22" s="127"/>
      <c r="T22" s="127"/>
    </row>
    <row r="23" spans="1:20" ht="23.1" customHeight="1" x14ac:dyDescent="0.3">
      <c r="A23" s="5" t="s">
        <v>20</v>
      </c>
      <c r="B23" s="15">
        <v>7200</v>
      </c>
      <c r="C23" s="15">
        <v>46021.38</v>
      </c>
      <c r="D23" s="15">
        <v>34908.75</v>
      </c>
      <c r="E23" s="15"/>
      <c r="F23" s="15">
        <v>26643</v>
      </c>
      <c r="G23" s="15">
        <v>57637</v>
      </c>
      <c r="H23" s="15">
        <v>35343</v>
      </c>
      <c r="I23" s="96">
        <v>35343</v>
      </c>
      <c r="J23" s="97">
        <v>44043</v>
      </c>
      <c r="K23" s="96">
        <v>44043</v>
      </c>
      <c r="L23" s="90">
        <v>44043</v>
      </c>
      <c r="M23" s="90">
        <v>44043</v>
      </c>
      <c r="N23" s="126" t="s">
        <v>57</v>
      </c>
      <c r="O23" s="130">
        <f>2000+62097.22+1600+2980+4400+8.54+5000+800+1000+1000+1880+6437.92+2600</f>
        <v>91803.68</v>
      </c>
      <c r="P23" s="127"/>
      <c r="Q23" s="133"/>
      <c r="R23" s="127"/>
      <c r="S23" s="127"/>
      <c r="T23" s="127"/>
    </row>
    <row r="24" spans="1:20" ht="23.1" customHeight="1" x14ac:dyDescent="0.3">
      <c r="A24" s="5" t="s">
        <v>107</v>
      </c>
      <c r="B24" s="15"/>
      <c r="C24" s="15"/>
      <c r="D24" s="15"/>
      <c r="E24" s="15">
        <v>86279.58</v>
      </c>
      <c r="F24" s="15">
        <v>152619.42000000001</v>
      </c>
      <c r="G24" s="15"/>
      <c r="H24" s="15"/>
      <c r="I24" s="98"/>
      <c r="J24" s="31"/>
      <c r="K24" s="99"/>
      <c r="L24" s="31"/>
      <c r="M24" s="31"/>
      <c r="N24" s="125" t="s">
        <v>20</v>
      </c>
      <c r="O24" s="140">
        <f>5981+11962+26100</f>
        <v>44043</v>
      </c>
      <c r="P24" s="140">
        <f>5981+11962</f>
        <v>17943</v>
      </c>
      <c r="Q24" s="140">
        <f>6525+13050+26100</f>
        <v>45675</v>
      </c>
      <c r="R24" s="140">
        <f>6525+13050</f>
        <v>19575</v>
      </c>
      <c r="S24" s="140">
        <f>6525+13050+26100</f>
        <v>45675</v>
      </c>
      <c r="T24" s="140">
        <v>19575</v>
      </c>
    </row>
    <row r="25" spans="1:20" ht="23.1" customHeight="1" x14ac:dyDescent="0.3">
      <c r="A25" s="5" t="s">
        <v>36</v>
      </c>
      <c r="B25" s="15"/>
      <c r="C25" s="15"/>
      <c r="D25" s="15"/>
      <c r="E25" s="15"/>
      <c r="F25" s="15">
        <v>14537.58</v>
      </c>
      <c r="G25" s="15">
        <v>7595.53</v>
      </c>
      <c r="H25" s="15"/>
      <c r="I25" s="31"/>
      <c r="J25" s="31"/>
      <c r="K25" s="31"/>
      <c r="L25" s="31"/>
      <c r="M25" s="31"/>
      <c r="N25" s="125" t="s">
        <v>58</v>
      </c>
      <c r="O25" s="140"/>
      <c r="P25" s="140"/>
      <c r="Q25" s="140">
        <f>37486.5+59724+1000+5600+6000+1000+8000+2.9+637.5+2000+3359.6+5000+5800+1000+2700+1800+2568.12+6000+6000+12000+800+2000+5000+1600+2096.28+14586.61+2000</f>
        <v>195761.51</v>
      </c>
      <c r="R25" s="140"/>
      <c r="S25" s="140">
        <f>63000+51388.49</f>
        <v>114388.48999999999</v>
      </c>
      <c r="T25" s="140"/>
    </row>
    <row r="26" spans="1:20" ht="23.1" customHeight="1" x14ac:dyDescent="0.3">
      <c r="A26" s="5" t="s">
        <v>31</v>
      </c>
      <c r="B26" s="15"/>
      <c r="C26" s="15"/>
      <c r="D26" s="15"/>
      <c r="E26" s="15"/>
      <c r="F26" s="15"/>
      <c r="G26" s="15"/>
      <c r="H26" s="15"/>
      <c r="I26" s="31"/>
      <c r="J26" s="31"/>
      <c r="K26" s="31"/>
      <c r="L26" s="100">
        <v>1545</v>
      </c>
      <c r="M26" s="100">
        <v>1545</v>
      </c>
      <c r="N26" s="125" t="s">
        <v>36</v>
      </c>
      <c r="O26" s="140"/>
      <c r="P26" s="140"/>
      <c r="Q26" s="140"/>
      <c r="R26" s="140"/>
      <c r="S26" s="140"/>
      <c r="T26" s="140"/>
    </row>
    <row r="27" spans="1:20" ht="35.25" customHeight="1" x14ac:dyDescent="0.3">
      <c r="A27" s="5" t="s">
        <v>25</v>
      </c>
      <c r="B27" s="15"/>
      <c r="C27" s="15"/>
      <c r="D27" s="15">
        <v>71.91</v>
      </c>
      <c r="E27" s="15"/>
      <c r="F27" s="15"/>
      <c r="G27" s="15"/>
      <c r="H27" s="15"/>
      <c r="I27" s="30"/>
      <c r="J27" s="31"/>
      <c r="K27" s="30"/>
      <c r="L27" s="30"/>
      <c r="M27" s="30"/>
      <c r="N27" s="126" t="s">
        <v>31</v>
      </c>
      <c r="O27" s="140">
        <v>1545</v>
      </c>
      <c r="P27" s="140">
        <v>1545</v>
      </c>
      <c r="Q27" s="140">
        <v>1545</v>
      </c>
      <c r="R27" s="140">
        <v>1545</v>
      </c>
      <c r="S27" s="140"/>
      <c r="T27" s="140">
        <v>1545</v>
      </c>
    </row>
    <row r="28" spans="1:20" ht="23.1" customHeight="1" x14ac:dyDescent="0.3">
      <c r="A28" s="5" t="s">
        <v>51</v>
      </c>
      <c r="B28" s="15"/>
      <c r="C28" s="15"/>
      <c r="D28" s="15"/>
      <c r="E28" s="15"/>
      <c r="F28" s="15"/>
      <c r="G28" s="15"/>
      <c r="H28" s="15"/>
      <c r="I28" s="30"/>
      <c r="J28" s="31"/>
      <c r="K28" s="30"/>
      <c r="L28" s="30"/>
      <c r="M28" s="101">
        <f>15720.32+19650.4</f>
        <v>35370.720000000001</v>
      </c>
      <c r="N28" s="126" t="s">
        <v>25</v>
      </c>
      <c r="O28" s="140"/>
      <c r="P28" s="140"/>
      <c r="Q28" s="140"/>
      <c r="R28" s="140"/>
      <c r="S28" s="140"/>
      <c r="T28" s="140"/>
    </row>
    <row r="29" spans="1:20" ht="31.5" customHeight="1" x14ac:dyDescent="0.3">
      <c r="A29" s="5" t="s">
        <v>21</v>
      </c>
      <c r="B29" s="15"/>
      <c r="C29" s="15"/>
      <c r="D29" s="15"/>
      <c r="E29" s="15">
        <v>11138</v>
      </c>
      <c r="F29" s="15"/>
      <c r="G29" s="15">
        <f>1365+2559.47</f>
        <v>3924.47</v>
      </c>
      <c r="H29" s="15"/>
      <c r="I29" s="30"/>
      <c r="J29" s="31"/>
      <c r="K29" s="30"/>
      <c r="L29" s="102">
        <f>5282+2072+8938+8.54+204+399.83+1464.78+4386+6582+82+1179</f>
        <v>30598.15</v>
      </c>
      <c r="M29" s="102">
        <f>1469+2582+11138+4.19</f>
        <v>15193.19</v>
      </c>
      <c r="N29" s="126" t="s">
        <v>51</v>
      </c>
      <c r="O29" s="140">
        <v>21276.02</v>
      </c>
      <c r="P29" s="140">
        <v>21615.439999999999</v>
      </c>
      <c r="Q29" s="140">
        <v>11790.24</v>
      </c>
      <c r="R29" s="140"/>
      <c r="S29" s="140">
        <v>25545.52</v>
      </c>
      <c r="T29" s="140"/>
    </row>
    <row r="30" spans="1:20" ht="43.5" customHeight="1" x14ac:dyDescent="0.3">
      <c r="A30" s="5" t="s">
        <v>29</v>
      </c>
      <c r="B30" s="15"/>
      <c r="C30" s="15"/>
      <c r="D30" s="15"/>
      <c r="E30" s="15"/>
      <c r="F30" s="15"/>
      <c r="G30" s="15"/>
      <c r="H30" s="15"/>
      <c r="I30" s="30"/>
      <c r="J30" s="31"/>
      <c r="K30" s="30"/>
      <c r="L30" s="102">
        <v>10470.73</v>
      </c>
      <c r="M30" s="102">
        <v>10724.5</v>
      </c>
      <c r="N30" s="125" t="s">
        <v>21</v>
      </c>
      <c r="O30" s="140">
        <f>6582+362.75+1469+2582+11138+8.54</f>
        <v>22142.29</v>
      </c>
      <c r="P30" s="140">
        <f>2682</f>
        <v>2682</v>
      </c>
      <c r="Q30" s="140">
        <f>275.8+1469+2582+6525+11138+4.34</f>
        <v>21994.14</v>
      </c>
      <c r="R30" s="140">
        <f>894+1950</f>
        <v>2844</v>
      </c>
      <c r="S30" s="140">
        <v>6825</v>
      </c>
      <c r="T30" s="140">
        <v>34637</v>
      </c>
    </row>
    <row r="31" spans="1:20" ht="34.5" customHeight="1" x14ac:dyDescent="0.3">
      <c r="A31" s="5" t="s">
        <v>52</v>
      </c>
      <c r="B31" s="15"/>
      <c r="C31" s="15"/>
      <c r="D31" s="15"/>
      <c r="E31" s="15"/>
      <c r="F31" s="15"/>
      <c r="G31" s="15"/>
      <c r="H31" s="15"/>
      <c r="I31" s="30"/>
      <c r="J31" s="31"/>
      <c r="K31" s="30"/>
      <c r="L31" s="102"/>
      <c r="M31" s="102">
        <v>1200</v>
      </c>
      <c r="N31" s="126" t="s">
        <v>29</v>
      </c>
      <c r="O31" s="140">
        <v>17963.54</v>
      </c>
      <c r="P31" s="140">
        <v>14097.49</v>
      </c>
      <c r="Q31" s="140"/>
      <c r="R31" s="140">
        <v>7826</v>
      </c>
      <c r="S31" s="140">
        <v>7061.09</v>
      </c>
      <c r="T31" s="140">
        <v>1931.39</v>
      </c>
    </row>
    <row r="32" spans="1:20" ht="23.1" customHeight="1" x14ac:dyDescent="0.3">
      <c r="A32" s="5" t="s">
        <v>48</v>
      </c>
      <c r="B32" s="15"/>
      <c r="C32" s="15"/>
      <c r="D32" s="15"/>
      <c r="E32" s="15"/>
      <c r="F32" s="15"/>
      <c r="G32" s="15"/>
      <c r="H32" s="15"/>
      <c r="I32" s="30"/>
      <c r="J32" s="31"/>
      <c r="K32" s="30"/>
      <c r="L32" s="102">
        <v>49825.120000000003</v>
      </c>
      <c r="M32" s="102">
        <f>127.72+44.36+175.85+40+80+40+40+2000</f>
        <v>2547.9299999999998</v>
      </c>
      <c r="N32" s="125" t="s">
        <v>116</v>
      </c>
      <c r="O32" s="140"/>
      <c r="P32" s="140"/>
      <c r="Q32" s="140"/>
      <c r="R32" s="140"/>
      <c r="S32" s="140"/>
      <c r="T32" s="140"/>
    </row>
    <row r="33" spans="1:20" ht="23.1" customHeight="1" x14ac:dyDescent="0.3">
      <c r="A33" s="183"/>
      <c r="B33" s="191"/>
      <c r="C33" s="191"/>
      <c r="D33" s="191"/>
      <c r="E33" s="191"/>
      <c r="F33" s="191"/>
      <c r="G33" s="191"/>
      <c r="H33" s="191"/>
      <c r="I33" s="199"/>
      <c r="J33" s="200"/>
      <c r="K33" s="199"/>
      <c r="L33" s="203"/>
      <c r="M33" s="203"/>
      <c r="N33" s="125" t="s">
        <v>139</v>
      </c>
      <c r="O33" s="140"/>
      <c r="P33" s="140"/>
      <c r="Q33" s="140"/>
      <c r="R33" s="140"/>
      <c r="S33" s="140"/>
      <c r="T33" s="140">
        <v>30000</v>
      </c>
    </row>
    <row r="34" spans="1:20" ht="23.1" customHeight="1" x14ac:dyDescent="0.3">
      <c r="A34" s="183"/>
      <c r="B34" s="191"/>
      <c r="C34" s="191"/>
      <c r="D34" s="191"/>
      <c r="E34" s="191"/>
      <c r="F34" s="191"/>
      <c r="G34" s="191"/>
      <c r="H34" s="191"/>
      <c r="I34" s="199"/>
      <c r="J34" s="200"/>
      <c r="K34" s="199"/>
      <c r="L34" s="203"/>
      <c r="M34" s="203"/>
      <c r="N34" s="125" t="s">
        <v>115</v>
      </c>
      <c r="O34" s="140"/>
      <c r="P34" s="140"/>
      <c r="Q34" s="140"/>
      <c r="R34" s="140"/>
      <c r="S34" s="140"/>
      <c r="T34" s="140"/>
    </row>
    <row r="35" spans="1:20" ht="23.1" customHeight="1" x14ac:dyDescent="0.3">
      <c r="A35" s="183"/>
      <c r="B35" s="191"/>
      <c r="C35" s="191"/>
      <c r="D35" s="191"/>
      <c r="E35" s="191"/>
      <c r="F35" s="191"/>
      <c r="G35" s="191"/>
      <c r="H35" s="191"/>
      <c r="I35" s="199"/>
      <c r="J35" s="200"/>
      <c r="K35" s="199"/>
      <c r="L35" s="203"/>
      <c r="M35" s="203"/>
      <c r="N35" s="125" t="s">
        <v>115</v>
      </c>
      <c r="O35" s="140"/>
      <c r="P35" s="140"/>
      <c r="Q35" s="140"/>
      <c r="R35" s="140"/>
      <c r="S35" s="140"/>
      <c r="T35" s="140"/>
    </row>
    <row r="36" spans="1:20" ht="36.75" customHeight="1" x14ac:dyDescent="0.3">
      <c r="A36" s="183"/>
      <c r="B36" s="191"/>
      <c r="C36" s="191"/>
      <c r="D36" s="191"/>
      <c r="E36" s="191"/>
      <c r="F36" s="191"/>
      <c r="G36" s="191"/>
      <c r="H36" s="191"/>
      <c r="I36" s="199"/>
      <c r="J36" s="200"/>
      <c r="K36" s="199"/>
      <c r="L36" s="203"/>
      <c r="M36" s="203"/>
      <c r="N36" s="125" t="s">
        <v>115</v>
      </c>
      <c r="O36" s="140"/>
      <c r="P36" s="140"/>
      <c r="Q36" s="140"/>
      <c r="R36" s="140"/>
      <c r="S36" s="140"/>
      <c r="T36" s="140"/>
    </row>
    <row r="37" spans="1:20" ht="33.75" customHeight="1" x14ac:dyDescent="0.3">
      <c r="A37" s="183"/>
      <c r="B37" s="191"/>
      <c r="C37" s="191"/>
      <c r="D37" s="191"/>
      <c r="E37" s="191"/>
      <c r="F37" s="191"/>
      <c r="G37" s="191"/>
      <c r="H37" s="191"/>
      <c r="I37" s="199"/>
      <c r="J37" s="200"/>
      <c r="K37" s="199"/>
      <c r="L37" s="203"/>
      <c r="M37" s="203"/>
      <c r="N37" s="125" t="s">
        <v>115</v>
      </c>
      <c r="O37" s="140"/>
      <c r="P37" s="140"/>
      <c r="Q37" s="140"/>
      <c r="R37" s="140"/>
      <c r="S37" s="140"/>
      <c r="T37" s="140"/>
    </row>
    <row r="38" spans="1:20" ht="33.75" customHeight="1" x14ac:dyDescent="0.3">
      <c r="A38" s="183"/>
      <c r="B38" s="191"/>
      <c r="C38" s="191"/>
      <c r="D38" s="191"/>
      <c r="E38" s="191"/>
      <c r="F38" s="191"/>
      <c r="G38" s="191"/>
      <c r="H38" s="191"/>
      <c r="I38" s="199"/>
      <c r="J38" s="200"/>
      <c r="K38" s="199"/>
      <c r="L38" s="203"/>
      <c r="M38" s="203"/>
      <c r="N38" s="125" t="s">
        <v>115</v>
      </c>
      <c r="O38" s="140"/>
      <c r="P38" s="140"/>
      <c r="Q38" s="140"/>
      <c r="R38" s="140"/>
      <c r="S38" s="140"/>
      <c r="T38" s="140"/>
    </row>
    <row r="39" spans="1:20" ht="23.1" customHeight="1" x14ac:dyDescent="0.3">
      <c r="A39" s="183"/>
      <c r="B39" s="191"/>
      <c r="C39" s="191"/>
      <c r="D39" s="191"/>
      <c r="E39" s="191"/>
      <c r="F39" s="191"/>
      <c r="G39" s="191"/>
      <c r="H39" s="191"/>
      <c r="I39" s="199"/>
      <c r="J39" s="200"/>
      <c r="K39" s="199"/>
      <c r="L39" s="203"/>
      <c r="M39" s="203"/>
      <c r="N39" s="126" t="s">
        <v>52</v>
      </c>
      <c r="O39" s="140"/>
      <c r="P39" s="140"/>
      <c r="Q39" s="140"/>
      <c r="R39" s="140"/>
      <c r="S39" s="140"/>
      <c r="T39" s="140"/>
    </row>
    <row r="40" spans="1:20" ht="23.1" customHeight="1" thickBot="1" x14ac:dyDescent="0.35">
      <c r="A40" s="183"/>
      <c r="B40" s="191"/>
      <c r="C40" s="191"/>
      <c r="D40" s="191"/>
      <c r="E40" s="191"/>
      <c r="F40" s="191"/>
      <c r="G40" s="191"/>
      <c r="H40" s="191"/>
      <c r="I40" s="199"/>
      <c r="J40" s="200"/>
      <c r="K40" s="199"/>
      <c r="L40" s="203"/>
      <c r="M40" s="203"/>
      <c r="N40" s="151" t="s">
        <v>48</v>
      </c>
      <c r="O40" s="152">
        <v>2380.2199999999998</v>
      </c>
      <c r="P40" s="152">
        <f>40+89.72+40+80+40+2000</f>
        <v>2289.7200000000003</v>
      </c>
      <c r="Q40" s="152">
        <f>228.38+80</f>
        <v>308.38</v>
      </c>
      <c r="R40" s="152">
        <f>32.63+40+40+65.25+2000</f>
        <v>2177.88</v>
      </c>
      <c r="S40" s="152">
        <f>40+228.38+40+4000</f>
        <v>4308.38</v>
      </c>
      <c r="T40" s="152">
        <v>2185.88</v>
      </c>
    </row>
    <row r="41" spans="1:20" ht="23.1" customHeight="1" thickTop="1" thickBot="1" x14ac:dyDescent="0.35">
      <c r="A41" s="158" t="s">
        <v>19</v>
      </c>
      <c r="B41" s="159">
        <f>SUM(B43:B64)</f>
        <v>21877.07</v>
      </c>
      <c r="C41" s="159">
        <f>SUM(C43:C77)</f>
        <v>47796.61</v>
      </c>
      <c r="D41" s="159">
        <f>SUM(D43:D77)</f>
        <v>88396.59</v>
      </c>
      <c r="E41" s="159">
        <f>SUM(E42:E77)</f>
        <v>35931.340000000004</v>
      </c>
      <c r="F41" s="159">
        <f>SUM(F43:F77)</f>
        <v>34978.53</v>
      </c>
      <c r="G41" s="159">
        <f>SUM(G43:G77)</f>
        <v>62488.380000000005</v>
      </c>
      <c r="H41" s="159">
        <f>SUM(H43:H79)</f>
        <v>141768</v>
      </c>
      <c r="I41" s="159">
        <f>SUM(I43:I79)</f>
        <v>103634.43</v>
      </c>
      <c r="J41" s="159">
        <f>SUM(J42:J79)</f>
        <v>92111.05</v>
      </c>
      <c r="K41" s="159">
        <f>SUM(K42:K79)</f>
        <v>78330.63</v>
      </c>
      <c r="L41" s="159">
        <f>SUM(L42:L79)</f>
        <v>36821.050000000003</v>
      </c>
      <c r="M41" s="159">
        <f>SUM(M42:M79)</f>
        <v>18405.41</v>
      </c>
      <c r="N41" s="156" t="s">
        <v>19</v>
      </c>
      <c r="O41" s="157">
        <f>SUM(O42:O86)</f>
        <v>21851.62</v>
      </c>
      <c r="P41" s="157">
        <f t="shared" ref="P41:T41" si="19">SUM(P42:P86)</f>
        <v>16287.61</v>
      </c>
      <c r="Q41" s="157">
        <f t="shared" si="19"/>
        <v>50849.39</v>
      </c>
      <c r="R41" s="157">
        <f t="shared" si="19"/>
        <v>12212</v>
      </c>
      <c r="S41" s="157">
        <f t="shared" si="19"/>
        <v>49382.11</v>
      </c>
      <c r="T41" s="157">
        <f t="shared" si="19"/>
        <v>116511.69</v>
      </c>
    </row>
    <row r="42" spans="1:20" ht="23.1" customHeight="1" thickTop="1" x14ac:dyDescent="0.3">
      <c r="A42" s="103" t="s">
        <v>34</v>
      </c>
      <c r="B42" s="16"/>
      <c r="C42" s="16"/>
      <c r="D42" s="16"/>
      <c r="E42" s="15">
        <v>4350</v>
      </c>
      <c r="F42" s="16"/>
      <c r="G42" s="16"/>
      <c r="H42" s="16"/>
      <c r="I42" s="30"/>
      <c r="J42" s="100">
        <v>4000</v>
      </c>
      <c r="K42" s="30"/>
      <c r="L42" s="30"/>
      <c r="M42" s="30"/>
      <c r="N42" s="161" t="s">
        <v>34</v>
      </c>
      <c r="O42" s="171"/>
      <c r="P42" s="171"/>
      <c r="Q42" s="171"/>
      <c r="R42" s="172"/>
      <c r="S42" s="171"/>
      <c r="T42" s="171"/>
    </row>
    <row r="43" spans="1:20" ht="23.1" customHeight="1" x14ac:dyDescent="0.3">
      <c r="A43" s="5" t="s">
        <v>35</v>
      </c>
      <c r="B43" s="15">
        <v>1365</v>
      </c>
      <c r="C43" s="15">
        <v>21892</v>
      </c>
      <c r="D43" s="15">
        <v>20508</v>
      </c>
      <c r="E43" s="15">
        <v>7142</v>
      </c>
      <c r="F43" s="15"/>
      <c r="G43" s="15">
        <f>3332+9250+5282</f>
        <v>17864</v>
      </c>
      <c r="H43" s="15">
        <f>2702+5282+17516</f>
        <v>25500</v>
      </c>
      <c r="I43" s="96">
        <f>17553</f>
        <v>17553</v>
      </c>
      <c r="J43" s="100">
        <v>21873</v>
      </c>
      <c r="K43" s="104">
        <v>6582</v>
      </c>
      <c r="L43" s="105"/>
      <c r="M43" s="105"/>
      <c r="N43" s="126" t="s">
        <v>35</v>
      </c>
      <c r="O43" s="140"/>
      <c r="P43" s="140"/>
      <c r="Q43" s="140"/>
      <c r="R43" s="140"/>
      <c r="S43" s="140"/>
      <c r="T43" s="140"/>
    </row>
    <row r="44" spans="1:20" ht="23.1" customHeight="1" x14ac:dyDescent="0.3">
      <c r="A44" s="5" t="s">
        <v>30</v>
      </c>
      <c r="B44" s="15"/>
      <c r="C44" s="15"/>
      <c r="D44" s="15"/>
      <c r="E44" s="15"/>
      <c r="F44" s="15"/>
      <c r="G44" s="15"/>
      <c r="H44" s="15"/>
      <c r="I44" s="96"/>
      <c r="J44" s="106"/>
      <c r="K44" s="104"/>
      <c r="L44" s="105"/>
      <c r="M44" s="105"/>
      <c r="N44" s="126" t="s">
        <v>30</v>
      </c>
      <c r="O44" s="140"/>
      <c r="P44" s="140"/>
      <c r="Q44" s="140"/>
      <c r="R44" s="140"/>
      <c r="S44" s="140"/>
      <c r="T44" s="140"/>
    </row>
    <row r="45" spans="1:20" ht="23.1" customHeight="1" x14ac:dyDescent="0.3">
      <c r="A45" s="5" t="s">
        <v>41</v>
      </c>
      <c r="B45" s="15"/>
      <c r="C45" s="15"/>
      <c r="D45" s="27">
        <v>21276.03</v>
      </c>
      <c r="E45" s="27">
        <v>6877.64</v>
      </c>
      <c r="F45" s="27">
        <v>15720.32</v>
      </c>
      <c r="G45" s="15">
        <v>17015.46</v>
      </c>
      <c r="H45" s="15">
        <f>17015+2948</f>
        <v>19963</v>
      </c>
      <c r="I45" s="107">
        <v>21489</v>
      </c>
      <c r="J45" s="108"/>
      <c r="K45" s="109">
        <f>21488.78+21488.78</f>
        <v>42977.56</v>
      </c>
      <c r="L45" s="110"/>
      <c r="M45" s="110"/>
      <c r="N45" s="125" t="s">
        <v>41</v>
      </c>
      <c r="O45" s="140"/>
      <c r="P45" s="140"/>
      <c r="Q45" s="175"/>
      <c r="R45" s="175"/>
      <c r="S45" s="175"/>
      <c r="T45" s="140"/>
    </row>
    <row r="46" spans="1:20" ht="23.1" customHeight="1" x14ac:dyDescent="0.3">
      <c r="A46" s="5" t="s">
        <v>29</v>
      </c>
      <c r="B46" s="15"/>
      <c r="C46" s="15">
        <v>13389.46</v>
      </c>
      <c r="D46" s="27">
        <v>7791.3</v>
      </c>
      <c r="E46" s="27">
        <v>9136</v>
      </c>
      <c r="F46" s="27"/>
      <c r="G46" s="15">
        <v>3885.72</v>
      </c>
      <c r="H46" s="15">
        <v>4052</v>
      </c>
      <c r="I46" s="111"/>
      <c r="J46" s="112">
        <v>5433.26</v>
      </c>
      <c r="K46" s="113">
        <f>9921.66+1508.81</f>
        <v>11430.47</v>
      </c>
      <c r="L46" s="114"/>
      <c r="M46" s="114"/>
      <c r="N46" s="125" t="s">
        <v>117</v>
      </c>
      <c r="O46" s="140"/>
      <c r="P46" s="140"/>
      <c r="Q46" s="175">
        <v>17024.36</v>
      </c>
      <c r="R46" s="175"/>
      <c r="S46" s="175"/>
      <c r="T46" s="140"/>
    </row>
    <row r="47" spans="1:20" ht="23.1" customHeight="1" x14ac:dyDescent="0.3">
      <c r="A47" s="48" t="s">
        <v>47</v>
      </c>
      <c r="B47" s="39"/>
      <c r="C47" s="39"/>
      <c r="D47" s="39"/>
      <c r="E47" s="39"/>
      <c r="F47" s="39"/>
      <c r="G47" s="39"/>
      <c r="H47" s="39"/>
      <c r="I47" s="115"/>
      <c r="J47" s="116">
        <v>18000</v>
      </c>
      <c r="K47" s="117"/>
      <c r="L47" s="118"/>
      <c r="M47" s="118"/>
      <c r="N47" s="162" t="s">
        <v>47</v>
      </c>
      <c r="O47" s="177"/>
      <c r="P47" s="177"/>
      <c r="Q47" s="177"/>
      <c r="R47" s="177"/>
      <c r="S47" s="177"/>
      <c r="T47" s="177"/>
    </row>
    <row r="48" spans="1:20" ht="36.75" customHeight="1" x14ac:dyDescent="0.3">
      <c r="A48" s="5" t="s">
        <v>9</v>
      </c>
      <c r="B48" s="15">
        <v>2000</v>
      </c>
      <c r="C48" s="15"/>
      <c r="D48" s="15"/>
      <c r="E48" s="15"/>
      <c r="F48" s="15"/>
      <c r="G48" s="15">
        <f>2400+600</f>
        <v>3000</v>
      </c>
      <c r="H48" s="15">
        <v>1200</v>
      </c>
      <c r="I48" s="119">
        <v>1800</v>
      </c>
      <c r="J48" s="112"/>
      <c r="K48" s="113">
        <v>1300</v>
      </c>
      <c r="L48" s="114"/>
      <c r="M48" s="114">
        <v>1300</v>
      </c>
      <c r="N48" s="125" t="s">
        <v>9</v>
      </c>
      <c r="O48" s="140"/>
      <c r="P48" s="140">
        <v>1200</v>
      </c>
      <c r="Q48" s="140"/>
      <c r="R48" s="140">
        <v>1200</v>
      </c>
      <c r="S48" s="140">
        <v>1200</v>
      </c>
      <c r="T48" s="140">
        <v>750</v>
      </c>
    </row>
    <row r="49" spans="1:20" ht="23.1" customHeight="1" x14ac:dyDescent="0.3">
      <c r="A49" s="5" t="s">
        <v>7</v>
      </c>
      <c r="B49" s="15">
        <v>1700</v>
      </c>
      <c r="C49" s="15"/>
      <c r="D49" s="15"/>
      <c r="E49" s="15"/>
      <c r="F49" s="15"/>
      <c r="G49" s="15"/>
      <c r="H49" s="15"/>
      <c r="I49" s="120"/>
      <c r="J49" s="112"/>
      <c r="K49" s="113"/>
      <c r="L49" s="114"/>
      <c r="M49" s="114"/>
      <c r="N49" s="125" t="s">
        <v>118</v>
      </c>
      <c r="O49" s="140"/>
      <c r="P49" s="140"/>
      <c r="Q49" s="140"/>
      <c r="R49" s="140"/>
      <c r="S49" s="140"/>
      <c r="T49" s="140"/>
    </row>
    <row r="50" spans="1:20" ht="23.1" customHeight="1" x14ac:dyDescent="0.3">
      <c r="A50" s="5" t="s">
        <v>8</v>
      </c>
      <c r="B50" s="15">
        <v>3000</v>
      </c>
      <c r="C50" s="15"/>
      <c r="D50" s="15"/>
      <c r="E50" s="15"/>
      <c r="F50" s="15"/>
      <c r="G50" s="15"/>
      <c r="H50" s="15"/>
      <c r="I50" s="120"/>
      <c r="J50" s="112"/>
      <c r="K50" s="113"/>
      <c r="L50" s="114"/>
      <c r="M50" s="114"/>
      <c r="N50" s="125" t="s">
        <v>8</v>
      </c>
      <c r="O50" s="140"/>
      <c r="P50" s="140"/>
      <c r="Q50" s="140"/>
      <c r="R50" s="140"/>
      <c r="S50" s="140"/>
      <c r="T50" s="140"/>
    </row>
    <row r="51" spans="1:20" ht="23.1" customHeight="1" x14ac:dyDescent="0.3">
      <c r="A51" s="5" t="s">
        <v>5</v>
      </c>
      <c r="B51" s="15">
        <v>7000</v>
      </c>
      <c r="C51" s="15">
        <v>5100</v>
      </c>
      <c r="D51" s="15"/>
      <c r="E51" s="15"/>
      <c r="F51" s="15"/>
      <c r="G51" s="15"/>
      <c r="H51" s="15"/>
      <c r="I51" s="120"/>
      <c r="J51" s="112"/>
      <c r="K51" s="113"/>
      <c r="L51" s="114"/>
      <c r="M51" s="114"/>
      <c r="N51" s="125" t="s">
        <v>119</v>
      </c>
      <c r="O51" s="140"/>
      <c r="P51" s="140"/>
      <c r="Q51" s="140"/>
      <c r="R51" s="140"/>
      <c r="S51" s="140"/>
      <c r="T51" s="140"/>
    </row>
    <row r="52" spans="1:20" ht="23.1" customHeight="1" x14ac:dyDescent="0.3">
      <c r="A52" s="5" t="s">
        <v>4</v>
      </c>
      <c r="B52" s="15"/>
      <c r="C52" s="15"/>
      <c r="D52" s="15"/>
      <c r="E52" s="15"/>
      <c r="F52" s="15"/>
      <c r="G52" s="15"/>
      <c r="H52" s="15"/>
      <c r="I52" s="120"/>
      <c r="J52" s="112"/>
      <c r="K52" s="113"/>
      <c r="L52" s="114"/>
      <c r="M52" s="114"/>
      <c r="N52" s="125" t="s">
        <v>4</v>
      </c>
      <c r="O52" s="140"/>
      <c r="P52" s="140"/>
      <c r="Q52" s="140"/>
      <c r="R52" s="140"/>
      <c r="S52" s="140"/>
      <c r="T52" s="140"/>
    </row>
    <row r="53" spans="1:20" ht="23.1" customHeight="1" x14ac:dyDescent="0.3">
      <c r="A53" s="5" t="s">
        <v>53</v>
      </c>
      <c r="B53" s="15"/>
      <c r="C53" s="15"/>
      <c r="D53" s="15"/>
      <c r="E53" s="15"/>
      <c r="F53" s="15"/>
      <c r="G53" s="15">
        <v>1500</v>
      </c>
      <c r="H53" s="15">
        <v>16800</v>
      </c>
      <c r="I53" s="120"/>
      <c r="J53" s="112"/>
      <c r="K53" s="113"/>
      <c r="L53" s="114"/>
      <c r="M53" s="114"/>
      <c r="N53" s="125" t="s">
        <v>128</v>
      </c>
      <c r="O53" s="140"/>
      <c r="P53" s="140"/>
      <c r="Q53" s="140"/>
      <c r="R53" s="140"/>
      <c r="S53" s="140"/>
      <c r="T53" s="140">
        <v>12000</v>
      </c>
    </row>
    <row r="54" spans="1:20" ht="23.1" customHeight="1" x14ac:dyDescent="0.3">
      <c r="A54" s="5" t="s">
        <v>54</v>
      </c>
      <c r="B54" s="15"/>
      <c r="C54" s="15"/>
      <c r="D54" s="15"/>
      <c r="E54" s="15"/>
      <c r="F54" s="15"/>
      <c r="G54" s="15"/>
      <c r="H54" s="15"/>
      <c r="I54" s="120"/>
      <c r="J54" s="112"/>
      <c r="K54" s="113"/>
      <c r="L54" s="114"/>
      <c r="M54" s="114">
        <v>9600</v>
      </c>
      <c r="N54" s="125" t="s">
        <v>43</v>
      </c>
      <c r="O54" s="140"/>
      <c r="P54" s="140"/>
      <c r="Q54" s="140"/>
      <c r="R54" s="140"/>
      <c r="S54" s="140"/>
      <c r="T54" s="140"/>
    </row>
    <row r="55" spans="1:20" ht="23.1" customHeight="1" x14ac:dyDescent="0.3">
      <c r="A55" s="5" t="s">
        <v>31</v>
      </c>
      <c r="B55" s="15"/>
      <c r="C55" s="15">
        <v>1545</v>
      </c>
      <c r="D55" s="15">
        <v>1545</v>
      </c>
      <c r="E55" s="15">
        <v>1545</v>
      </c>
      <c r="F55" s="15">
        <f>1545+1545</f>
        <v>3090</v>
      </c>
      <c r="G55" s="15"/>
      <c r="H55" s="15">
        <f>1545+1545</f>
        <v>3090</v>
      </c>
      <c r="I55" s="120"/>
      <c r="J55" s="112">
        <v>3090</v>
      </c>
      <c r="K55" s="113"/>
      <c r="L55" s="114"/>
      <c r="M55" s="114"/>
      <c r="N55" s="125" t="s">
        <v>120</v>
      </c>
      <c r="O55" s="140"/>
      <c r="P55" s="140"/>
      <c r="Q55" s="140"/>
      <c r="R55" s="140"/>
      <c r="S55" s="140"/>
      <c r="T55" s="140"/>
    </row>
    <row r="56" spans="1:20" ht="23.1" customHeight="1" x14ac:dyDescent="0.3">
      <c r="A56" s="5" t="s">
        <v>6</v>
      </c>
      <c r="B56" s="15"/>
      <c r="C56" s="15"/>
      <c r="D56" s="15"/>
      <c r="E56" s="15"/>
      <c r="F56" s="15"/>
      <c r="G56" s="15"/>
      <c r="H56" s="15">
        <v>890</v>
      </c>
      <c r="I56" s="120"/>
      <c r="J56" s="112"/>
      <c r="K56" s="113">
        <v>3585.6</v>
      </c>
      <c r="L56" s="114"/>
      <c r="M56" s="114"/>
      <c r="N56" s="125" t="s">
        <v>6</v>
      </c>
      <c r="O56" s="140"/>
      <c r="P56" s="140"/>
      <c r="Q56" s="140"/>
      <c r="R56" s="140"/>
      <c r="S56" s="140"/>
      <c r="T56" s="140"/>
    </row>
    <row r="57" spans="1:20" ht="23.1" customHeight="1" x14ac:dyDescent="0.3">
      <c r="A57" s="5" t="s">
        <v>32</v>
      </c>
      <c r="B57" s="15">
        <v>192.07</v>
      </c>
      <c r="C57" s="15">
        <f>192.04+140.54</f>
        <v>332.58</v>
      </c>
      <c r="D57" s="15">
        <v>181.5</v>
      </c>
      <c r="E57" s="15"/>
      <c r="F57" s="15"/>
      <c r="G57" s="15">
        <f>222</f>
        <v>222</v>
      </c>
      <c r="H57" s="15">
        <v>220</v>
      </c>
      <c r="I57" s="120">
        <f>100</f>
        <v>100</v>
      </c>
      <c r="J57" s="112">
        <v>79.540000000000006</v>
      </c>
      <c r="K57" s="113">
        <f>49+93</f>
        <v>142</v>
      </c>
      <c r="L57" s="114">
        <f>126.54</f>
        <v>126.54</v>
      </c>
      <c r="M57" s="114">
        <f>68+390+79.54</f>
        <v>537.54</v>
      </c>
      <c r="N57" s="126" t="s">
        <v>32</v>
      </c>
      <c r="O57" s="140">
        <f>630+218.64+411.16+131.92</f>
        <v>1391.72</v>
      </c>
      <c r="P57" s="140">
        <f>107.92+104.92+104.92+198.96+104.92+255.36+104.92+66.92+630+215.04</f>
        <v>1893.8799999999999</v>
      </c>
      <c r="Q57" s="140">
        <f>85+195.04+297.65+104.92+66.92+101.92+198.64+198.64+66.92</f>
        <v>1315.6499999999996</v>
      </c>
      <c r="R57" s="140">
        <f>101.92+95</f>
        <v>196.92000000000002</v>
      </c>
      <c r="S57" s="140">
        <v>3664.14</v>
      </c>
      <c r="T57" s="140">
        <v>278.39999999999998</v>
      </c>
    </row>
    <row r="58" spans="1:20" ht="23.1" customHeight="1" x14ac:dyDescent="0.3">
      <c r="A58" s="5" t="s">
        <v>15</v>
      </c>
      <c r="B58" s="15"/>
      <c r="C58" s="15">
        <v>428</v>
      </c>
      <c r="D58" s="15"/>
      <c r="E58" s="15">
        <v>350</v>
      </c>
      <c r="F58" s="15"/>
      <c r="G58" s="15"/>
      <c r="H58" s="15">
        <v>290</v>
      </c>
      <c r="I58" s="120">
        <v>836</v>
      </c>
      <c r="J58" s="112">
        <v>2058</v>
      </c>
      <c r="K58" s="113">
        <f>640+1275+350</f>
        <v>2265</v>
      </c>
      <c r="L58" s="114"/>
      <c r="M58" s="114"/>
      <c r="N58" s="125" t="s">
        <v>15</v>
      </c>
      <c r="O58" s="140"/>
      <c r="P58" s="140">
        <f>300+765+540</f>
        <v>1605</v>
      </c>
      <c r="Q58" s="140">
        <f>270+385</f>
        <v>655</v>
      </c>
      <c r="R58" s="140"/>
      <c r="S58" s="140">
        <f>370+600</f>
        <v>970</v>
      </c>
      <c r="T58" s="140">
        <v>672</v>
      </c>
    </row>
    <row r="59" spans="1:20" ht="55.5" customHeight="1" x14ac:dyDescent="0.3">
      <c r="A59" s="5" t="s">
        <v>49</v>
      </c>
      <c r="B59" s="15"/>
      <c r="C59" s="15"/>
      <c r="D59" s="15"/>
      <c r="E59" s="15"/>
      <c r="F59" s="15"/>
      <c r="G59" s="15"/>
      <c r="H59" s="15"/>
      <c r="I59" s="120"/>
      <c r="J59" s="112"/>
      <c r="K59" s="113"/>
      <c r="L59" s="114">
        <v>2000</v>
      </c>
      <c r="M59" s="114"/>
      <c r="N59" s="125" t="s">
        <v>121</v>
      </c>
      <c r="O59" s="140"/>
      <c r="P59" s="140"/>
      <c r="Q59" s="140"/>
      <c r="R59" s="140"/>
      <c r="S59" s="140"/>
      <c r="T59" s="140"/>
    </row>
    <row r="60" spans="1:20" ht="23.1" customHeight="1" x14ac:dyDescent="0.3">
      <c r="A60" s="5" t="s">
        <v>81</v>
      </c>
      <c r="B60" s="15"/>
      <c r="C60" s="15">
        <v>1400</v>
      </c>
      <c r="D60" s="15"/>
      <c r="E60" s="15">
        <v>750</v>
      </c>
      <c r="F60" s="15"/>
      <c r="G60" s="15"/>
      <c r="H60" s="15"/>
      <c r="I60" s="96"/>
      <c r="J60" s="106"/>
      <c r="K60" s="104"/>
      <c r="L60" s="105"/>
      <c r="M60" s="105">
        <v>520</v>
      </c>
      <c r="N60" s="125" t="s">
        <v>126</v>
      </c>
      <c r="O60" s="140">
        <f>520</f>
        <v>520</v>
      </c>
      <c r="P60" s="140"/>
      <c r="Q60" s="140"/>
      <c r="R60" s="140"/>
      <c r="S60" s="140"/>
      <c r="T60" s="140">
        <v>520</v>
      </c>
    </row>
    <row r="61" spans="1:20" ht="23.1" customHeight="1" x14ac:dyDescent="0.3">
      <c r="A61" s="5" t="s">
        <v>82</v>
      </c>
      <c r="B61" s="15"/>
      <c r="C61" s="15">
        <v>2114.83</v>
      </c>
      <c r="D61" s="15">
        <v>2153.9499999999998</v>
      </c>
      <c r="E61" s="15">
        <v>1977.4</v>
      </c>
      <c r="F61" s="15">
        <f>1346.7+205.95+617.85</f>
        <v>2170.5</v>
      </c>
      <c r="G61" s="15">
        <f>2057.9</f>
        <v>2057.9</v>
      </c>
      <c r="H61" s="15">
        <v>2138</v>
      </c>
      <c r="I61" s="121">
        <v>2148.4299999999998</v>
      </c>
      <c r="J61" s="106">
        <v>2138.5</v>
      </c>
      <c r="K61" s="104">
        <v>2104</v>
      </c>
      <c r="L61" s="105">
        <v>2087.5100000000002</v>
      </c>
      <c r="M61" s="105">
        <v>2230.87</v>
      </c>
      <c r="N61" s="125" t="s">
        <v>122</v>
      </c>
      <c r="O61" s="140">
        <v>2280.12</v>
      </c>
      <c r="P61" s="140">
        <f>2122.43+813.8</f>
        <v>2936.2299999999996</v>
      </c>
      <c r="Q61" s="140">
        <v>2212.0300000000002</v>
      </c>
      <c r="R61" s="140">
        <f>865.8+411.08+2500.2</f>
        <v>3777.08</v>
      </c>
      <c r="S61" s="140">
        <v>2396.12</v>
      </c>
      <c r="T61" s="140">
        <v>2409</v>
      </c>
    </row>
    <row r="62" spans="1:20" ht="52.5" customHeight="1" x14ac:dyDescent="0.3">
      <c r="A62" s="5" t="s">
        <v>83</v>
      </c>
      <c r="B62" s="15">
        <v>5990</v>
      </c>
      <c r="C62" s="15"/>
      <c r="D62" s="15"/>
      <c r="E62" s="15"/>
      <c r="F62" s="15"/>
      <c r="G62" s="15"/>
      <c r="H62" s="15"/>
      <c r="I62" s="96"/>
      <c r="J62" s="106"/>
      <c r="K62" s="104"/>
      <c r="L62" s="105"/>
      <c r="M62" s="105"/>
      <c r="N62" s="125" t="s">
        <v>127</v>
      </c>
      <c r="O62" s="140"/>
      <c r="P62" s="140"/>
      <c r="Q62" s="140"/>
      <c r="R62" s="140"/>
      <c r="S62" s="140">
        <v>3971.55</v>
      </c>
      <c r="T62" s="140">
        <v>6747.58</v>
      </c>
    </row>
    <row r="63" spans="1:20" ht="41.25" customHeight="1" x14ac:dyDescent="0.3">
      <c r="A63" s="5" t="s">
        <v>26</v>
      </c>
      <c r="B63" s="15">
        <v>630</v>
      </c>
      <c r="C63" s="15">
        <v>1260</v>
      </c>
      <c r="D63" s="15">
        <v>315</v>
      </c>
      <c r="E63" s="15">
        <v>540</v>
      </c>
      <c r="F63" s="15">
        <v>630</v>
      </c>
      <c r="G63" s="15"/>
      <c r="H63" s="15"/>
      <c r="I63" s="96"/>
      <c r="J63" s="106"/>
      <c r="K63" s="104">
        <f>105+544</f>
        <v>649</v>
      </c>
      <c r="L63" s="105"/>
      <c r="M63" s="105">
        <f>165+225+161</f>
        <v>551</v>
      </c>
      <c r="N63" s="126" t="s">
        <v>26</v>
      </c>
      <c r="O63" s="140"/>
      <c r="P63" s="140"/>
      <c r="Q63" s="140"/>
      <c r="R63" s="140"/>
      <c r="S63" s="140"/>
      <c r="T63" s="140"/>
    </row>
    <row r="64" spans="1:20" ht="32.25" customHeight="1" x14ac:dyDescent="0.3">
      <c r="A64" s="5" t="s">
        <v>27</v>
      </c>
      <c r="B64" s="15"/>
      <c r="C64" s="15"/>
      <c r="D64" s="15">
        <v>5981</v>
      </c>
      <c r="E64" s="15"/>
      <c r="F64" s="15"/>
      <c r="G64" s="15"/>
      <c r="H64" s="15"/>
      <c r="I64" s="96"/>
      <c r="J64" s="106"/>
      <c r="K64" s="104"/>
      <c r="L64" s="105"/>
      <c r="M64" s="105"/>
      <c r="N64" s="126" t="s">
        <v>27</v>
      </c>
      <c r="O64" s="140"/>
      <c r="P64" s="140"/>
      <c r="Q64" s="140"/>
      <c r="R64" s="140"/>
      <c r="S64" s="140"/>
      <c r="T64" s="140"/>
    </row>
    <row r="65" spans="1:20" ht="32.25" customHeight="1" x14ac:dyDescent="0.3">
      <c r="A65" s="5" t="s">
        <v>84</v>
      </c>
      <c r="B65" s="15"/>
      <c r="C65" s="15"/>
      <c r="D65" s="15"/>
      <c r="E65" s="15"/>
      <c r="F65" s="15"/>
      <c r="G65" s="15"/>
      <c r="H65" s="15"/>
      <c r="I65" s="96"/>
      <c r="J65" s="106"/>
      <c r="K65" s="104"/>
      <c r="L65" s="105"/>
      <c r="M65" s="105">
        <v>1511</v>
      </c>
      <c r="N65" s="125" t="s">
        <v>123</v>
      </c>
      <c r="O65" s="140"/>
      <c r="P65" s="140"/>
      <c r="Q65" s="140"/>
      <c r="R65" s="140">
        <v>3950</v>
      </c>
      <c r="S65" s="140"/>
      <c r="T65" s="140"/>
    </row>
    <row r="66" spans="1:20" ht="63.75" customHeight="1" x14ac:dyDescent="0.3">
      <c r="A66" s="5" t="s">
        <v>85</v>
      </c>
      <c r="B66" s="15"/>
      <c r="C66" s="15"/>
      <c r="D66" s="15"/>
      <c r="E66" s="15"/>
      <c r="F66" s="15"/>
      <c r="G66" s="15"/>
      <c r="H66" s="15"/>
      <c r="I66" s="96">
        <v>1800</v>
      </c>
      <c r="J66" s="106"/>
      <c r="K66" s="104"/>
      <c r="L66" s="105"/>
      <c r="M66" s="105"/>
      <c r="N66" s="125" t="s">
        <v>134</v>
      </c>
      <c r="O66" s="140"/>
      <c r="P66" s="140"/>
      <c r="Q66" s="140"/>
      <c r="R66" s="140"/>
      <c r="S66" s="140">
        <v>8240</v>
      </c>
      <c r="T66" s="140">
        <v>4105</v>
      </c>
    </row>
    <row r="67" spans="1:20" ht="33.75" customHeight="1" x14ac:dyDescent="0.3">
      <c r="A67" s="5" t="s">
        <v>28</v>
      </c>
      <c r="B67" s="15"/>
      <c r="C67" s="15">
        <v>334.74</v>
      </c>
      <c r="D67" s="15">
        <f>59.81+600</f>
        <v>659.81</v>
      </c>
      <c r="E67" s="15">
        <f>91.36+171.94</f>
        <v>263.3</v>
      </c>
      <c r="F67" s="15">
        <v>393.01</v>
      </c>
      <c r="G67" s="15"/>
      <c r="H67" s="15"/>
      <c r="I67" s="96"/>
      <c r="J67" s="106"/>
      <c r="K67" s="104"/>
      <c r="L67" s="105"/>
      <c r="M67" s="105"/>
      <c r="N67" s="125" t="s">
        <v>132</v>
      </c>
      <c r="O67" s="140"/>
      <c r="P67" s="140"/>
      <c r="Q67" s="140">
        <f>5200+1910</f>
        <v>7110</v>
      </c>
      <c r="R67" s="140"/>
      <c r="S67" s="140"/>
      <c r="T67" s="140">
        <v>7440</v>
      </c>
    </row>
    <row r="68" spans="1:20" ht="35.25" customHeight="1" x14ac:dyDescent="0.3">
      <c r="A68" s="5" t="s">
        <v>86</v>
      </c>
      <c r="B68" s="15"/>
      <c r="C68" s="15"/>
      <c r="D68" s="15">
        <v>1030</v>
      </c>
      <c r="E68" s="15"/>
      <c r="F68" s="15">
        <f>285+40+56.7+450+800</f>
        <v>1631.7</v>
      </c>
      <c r="G68" s="15">
        <f>340+120</f>
        <v>460</v>
      </c>
      <c r="H68" s="15">
        <v>933</v>
      </c>
      <c r="I68" s="96">
        <f>120+72+48+290+245</f>
        <v>775</v>
      </c>
      <c r="J68" s="106"/>
      <c r="K68" s="104"/>
      <c r="L68" s="105"/>
      <c r="M68" s="105">
        <v>142</v>
      </c>
      <c r="N68" s="125" t="s">
        <v>133</v>
      </c>
      <c r="O68" s="140"/>
      <c r="P68" s="140"/>
      <c r="Q68" s="140"/>
      <c r="R68" s="140"/>
      <c r="S68" s="140"/>
      <c r="T68" s="140"/>
    </row>
    <row r="69" spans="1:20" ht="35.25" customHeight="1" x14ac:dyDescent="0.3">
      <c r="A69" s="5" t="s">
        <v>33</v>
      </c>
      <c r="B69" s="15"/>
      <c r="C69" s="15"/>
      <c r="D69" s="15">
        <v>6955</v>
      </c>
      <c r="E69" s="15"/>
      <c r="F69" s="15"/>
      <c r="G69" s="15"/>
      <c r="H69" s="15">
        <v>682</v>
      </c>
      <c r="I69" s="96"/>
      <c r="J69" s="106">
        <v>1608.75</v>
      </c>
      <c r="K69" s="104">
        <f>1640+1210+1210+85</f>
        <v>4145</v>
      </c>
      <c r="L69" s="104">
        <f>754+847+862+798+690+907+798+690+754+907</f>
        <v>8007</v>
      </c>
      <c r="M69" s="105">
        <f>1036+727</f>
        <v>1763</v>
      </c>
      <c r="N69" s="126" t="s">
        <v>28</v>
      </c>
      <c r="O69" s="140"/>
      <c r="P69" s="179"/>
      <c r="Q69" s="140"/>
      <c r="R69" s="140"/>
      <c r="S69" s="140"/>
      <c r="T69" s="140"/>
    </row>
    <row r="70" spans="1:20" ht="35.25" customHeight="1" x14ac:dyDescent="0.3">
      <c r="A70" s="5" t="s">
        <v>87</v>
      </c>
      <c r="B70" s="15"/>
      <c r="C70" s="15"/>
      <c r="D70" s="15"/>
      <c r="E70" s="15"/>
      <c r="F70" s="15"/>
      <c r="G70" s="15"/>
      <c r="H70" s="15"/>
      <c r="I70" s="96">
        <v>2100</v>
      </c>
      <c r="J70" s="106"/>
      <c r="K70" s="104"/>
      <c r="L70" s="105"/>
      <c r="M70" s="105"/>
      <c r="N70" s="125" t="s">
        <v>135</v>
      </c>
      <c r="O70" s="140"/>
      <c r="P70" s="140"/>
      <c r="Q70" s="140">
        <v>81.760000000000005</v>
      </c>
      <c r="R70" s="140"/>
      <c r="S70" s="140">
        <f>330+700</f>
        <v>1030</v>
      </c>
      <c r="T70" s="140">
        <v>10745.95</v>
      </c>
    </row>
    <row r="71" spans="1:20" s="12" customFormat="1" ht="39" customHeight="1" x14ac:dyDescent="0.3">
      <c r="A71" s="5" t="s">
        <v>88</v>
      </c>
      <c r="B71" s="15"/>
      <c r="C71" s="15"/>
      <c r="D71" s="15"/>
      <c r="E71" s="15"/>
      <c r="F71" s="15"/>
      <c r="G71" s="15">
        <f>260+470+823.8</f>
        <v>1553.8</v>
      </c>
      <c r="H71" s="15"/>
      <c r="I71" s="96">
        <f>1012+900+540</f>
        <v>2452</v>
      </c>
      <c r="J71" s="106">
        <v>280</v>
      </c>
      <c r="K71" s="104"/>
      <c r="L71" s="105"/>
      <c r="M71" s="105"/>
      <c r="N71" s="126" t="s">
        <v>33</v>
      </c>
      <c r="O71" s="140">
        <f>2820+1854+424+1507.78</f>
        <v>6605.78</v>
      </c>
      <c r="P71" s="140">
        <f>2498+1864+626.5+658+1606</f>
        <v>7252.5</v>
      </c>
      <c r="Q71" s="140">
        <f>496+916+2238.59</f>
        <v>3650.59</v>
      </c>
      <c r="R71" s="140">
        <f>916+586+727+9</f>
        <v>2238</v>
      </c>
      <c r="S71" s="140">
        <v>13493.5</v>
      </c>
      <c r="T71" s="140">
        <v>50</v>
      </c>
    </row>
    <row r="72" spans="1:20" ht="23.1" customHeight="1" x14ac:dyDescent="0.3">
      <c r="A72" s="5" t="s">
        <v>89</v>
      </c>
      <c r="B72" s="15"/>
      <c r="C72" s="15"/>
      <c r="D72" s="15">
        <v>20000</v>
      </c>
      <c r="E72" s="15"/>
      <c r="F72" s="15"/>
      <c r="G72" s="15"/>
      <c r="H72" s="15"/>
      <c r="I72" s="96">
        <v>10000</v>
      </c>
      <c r="J72" s="106"/>
      <c r="K72" s="104"/>
      <c r="L72" s="105">
        <v>1000</v>
      </c>
      <c r="M72" s="105"/>
      <c r="N72" s="125" t="s">
        <v>124</v>
      </c>
      <c r="O72" s="140"/>
      <c r="P72" s="140"/>
      <c r="Q72" s="140"/>
      <c r="R72" s="140"/>
      <c r="S72" s="140">
        <v>1500</v>
      </c>
      <c r="T72" s="140"/>
    </row>
    <row r="73" spans="1:20" ht="23.1" customHeight="1" x14ac:dyDescent="0.3">
      <c r="A73" s="5" t="s">
        <v>45</v>
      </c>
      <c r="B73" s="15"/>
      <c r="C73" s="15"/>
      <c r="D73" s="15"/>
      <c r="E73" s="15">
        <v>450</v>
      </c>
      <c r="F73" s="15"/>
      <c r="G73" s="15">
        <f>2940+374.5+450+1350</f>
        <v>5114.5</v>
      </c>
      <c r="H73" s="15">
        <v>1800</v>
      </c>
      <c r="I73" s="96">
        <v>156</v>
      </c>
      <c r="J73" s="106">
        <v>1800</v>
      </c>
      <c r="K73" s="104">
        <v>3150</v>
      </c>
      <c r="L73" s="104">
        <f>3150+500</f>
        <v>3650</v>
      </c>
      <c r="M73" s="105">
        <v>250</v>
      </c>
      <c r="N73" s="125"/>
      <c r="O73" s="140"/>
      <c r="P73" s="140"/>
      <c r="Q73" s="140"/>
      <c r="R73" s="140"/>
      <c r="S73" s="140"/>
      <c r="T73" s="140"/>
    </row>
    <row r="74" spans="1:20" ht="23.1" customHeight="1" x14ac:dyDescent="0.3">
      <c r="A74" s="5" t="s">
        <v>50</v>
      </c>
      <c r="B74" s="15"/>
      <c r="C74" s="15"/>
      <c r="D74" s="15"/>
      <c r="E74" s="15"/>
      <c r="F74" s="15"/>
      <c r="G74" s="15"/>
      <c r="H74" s="15"/>
      <c r="I74" s="96"/>
      <c r="J74" s="106"/>
      <c r="K74" s="104"/>
      <c r="L74" s="104">
        <v>13600</v>
      </c>
      <c r="M74" s="105"/>
      <c r="N74" s="125" t="s">
        <v>72</v>
      </c>
      <c r="O74" s="140">
        <v>8000</v>
      </c>
      <c r="P74" s="140"/>
      <c r="Q74" s="140">
        <v>16000</v>
      </c>
      <c r="R74" s="140"/>
      <c r="S74" s="140">
        <v>8000</v>
      </c>
      <c r="T74" s="140">
        <v>24000</v>
      </c>
    </row>
    <row r="75" spans="1:20" ht="23.1" customHeight="1" x14ac:dyDescent="0.3">
      <c r="A75" s="5" t="s">
        <v>90</v>
      </c>
      <c r="B75" s="15"/>
      <c r="C75" s="15"/>
      <c r="D75" s="15"/>
      <c r="E75" s="15"/>
      <c r="F75" s="15">
        <f>8458+280+1950</f>
        <v>10688</v>
      </c>
      <c r="G75" s="15"/>
      <c r="H75" s="15"/>
      <c r="I75" s="96">
        <f>10550</f>
        <v>10550</v>
      </c>
      <c r="J75" s="106">
        <v>10550</v>
      </c>
      <c r="K75" s="104"/>
      <c r="L75" s="105">
        <f>150+6200</f>
        <v>6350</v>
      </c>
      <c r="M75" s="105"/>
      <c r="N75" s="126" t="s">
        <v>45</v>
      </c>
      <c r="O75" s="140">
        <f>2040+250+300+214+250</f>
        <v>3054</v>
      </c>
      <c r="P75" s="140">
        <f>150+150+250+150+150+150+250+150</f>
        <v>1400</v>
      </c>
      <c r="Q75" s="140">
        <f>500</f>
        <v>500</v>
      </c>
      <c r="R75" s="140">
        <f>150+250+150+150+150</f>
        <v>850</v>
      </c>
      <c r="S75" s="140">
        <v>3133</v>
      </c>
      <c r="T75" s="140">
        <v>894</v>
      </c>
    </row>
    <row r="76" spans="1:20" ht="23.1" customHeight="1" x14ac:dyDescent="0.3">
      <c r="A76" s="5" t="s">
        <v>46</v>
      </c>
      <c r="B76" s="15"/>
      <c r="C76" s="15"/>
      <c r="D76" s="15"/>
      <c r="E76" s="15">
        <v>2550</v>
      </c>
      <c r="F76" s="15">
        <v>655</v>
      </c>
      <c r="G76" s="15">
        <v>9815</v>
      </c>
      <c r="H76" s="15"/>
      <c r="I76" s="96">
        <f>1615+260+7500+7500+7500+7500</f>
        <v>31875</v>
      </c>
      <c r="J76" s="106">
        <v>21200</v>
      </c>
      <c r="K76" s="104"/>
      <c r="L76" s="105"/>
      <c r="M76" s="105"/>
      <c r="N76" s="125" t="s">
        <v>130</v>
      </c>
      <c r="O76" s="140"/>
      <c r="P76" s="140"/>
      <c r="Q76" s="140"/>
      <c r="R76" s="140"/>
      <c r="S76" s="140"/>
      <c r="T76" s="140">
        <v>8500</v>
      </c>
    </row>
    <row r="77" spans="1:20" ht="23.1" customHeight="1" x14ac:dyDescent="0.3">
      <c r="A77" s="5" t="s">
        <v>42</v>
      </c>
      <c r="B77" s="15"/>
      <c r="C77" s="15"/>
      <c r="D77" s="15"/>
      <c r="E77" s="15"/>
      <c r="F77" s="15"/>
      <c r="G77" s="15"/>
      <c r="H77" s="15">
        <v>5700</v>
      </c>
      <c r="I77" s="96"/>
      <c r="J77" s="106"/>
      <c r="K77" s="104"/>
      <c r="L77" s="105"/>
      <c r="M77" s="105"/>
      <c r="N77" s="125" t="s">
        <v>125</v>
      </c>
      <c r="O77" s="140"/>
      <c r="P77" s="140"/>
      <c r="Q77" s="140"/>
      <c r="R77" s="140"/>
      <c r="S77" s="140">
        <f>823.8+960</f>
        <v>1783.8</v>
      </c>
      <c r="T77" s="140">
        <v>4300.76</v>
      </c>
    </row>
    <row r="78" spans="1:20" ht="23.1" customHeight="1" x14ac:dyDescent="0.3">
      <c r="A78" s="5" t="s">
        <v>44</v>
      </c>
      <c r="B78" s="15"/>
      <c r="C78" s="15"/>
      <c r="D78" s="15"/>
      <c r="E78" s="15"/>
      <c r="F78" s="15"/>
      <c r="G78" s="15"/>
      <c r="H78" s="15">
        <v>49010</v>
      </c>
      <c r="I78" s="96"/>
      <c r="J78" s="106"/>
      <c r="K78" s="104"/>
      <c r="L78" s="105"/>
      <c r="M78" s="105"/>
      <c r="N78" s="125" t="s">
        <v>131</v>
      </c>
      <c r="O78" s="140"/>
      <c r="P78" s="140"/>
      <c r="Q78" s="140">
        <f>400+1900</f>
        <v>2300</v>
      </c>
      <c r="R78" s="140"/>
      <c r="S78" s="140"/>
      <c r="T78" s="140"/>
    </row>
    <row r="79" spans="1:20" ht="23.1" customHeight="1" thickBot="1" x14ac:dyDescent="0.35">
      <c r="A79" s="122" t="s">
        <v>43</v>
      </c>
      <c r="B79" s="28"/>
      <c r="C79" s="28"/>
      <c r="D79" s="28"/>
      <c r="E79" s="28"/>
      <c r="F79" s="28"/>
      <c r="G79" s="28"/>
      <c r="H79" s="28">
        <v>9500</v>
      </c>
      <c r="I79" s="96"/>
      <c r="J79" s="106"/>
      <c r="K79" s="104"/>
      <c r="L79" s="105"/>
      <c r="M79" s="105"/>
      <c r="N79" s="125" t="s">
        <v>140</v>
      </c>
      <c r="O79" s="140"/>
      <c r="P79" s="140"/>
      <c r="Q79" s="140"/>
      <c r="R79" s="140"/>
      <c r="S79" s="140"/>
      <c r="T79" s="140">
        <v>6485</v>
      </c>
    </row>
    <row r="80" spans="1:20" ht="23.1" customHeight="1" thickTop="1" thickBot="1" x14ac:dyDescent="0.35">
      <c r="A80" s="123" t="s">
        <v>14</v>
      </c>
      <c r="B80" s="18">
        <f>B1+B8-B16</f>
        <v>48322.929999999993</v>
      </c>
      <c r="C80" s="18">
        <f t="shared" ref="C80:H80" si="20">C8+C1-C6</f>
        <v>39526.319999999978</v>
      </c>
      <c r="D80" s="18">
        <f t="shared" si="20"/>
        <v>29129.73000000001</v>
      </c>
      <c r="E80" s="18">
        <f t="shared" si="20"/>
        <v>61848.390000000014</v>
      </c>
      <c r="F80" s="18">
        <f t="shared" si="20"/>
        <v>115769.86000000002</v>
      </c>
      <c r="G80" s="18">
        <f t="shared" si="20"/>
        <v>139374.47999999998</v>
      </c>
      <c r="H80" s="35">
        <f t="shared" si="20"/>
        <v>9749.4799999999814</v>
      </c>
      <c r="I80" s="35">
        <f>I8+I1-I6</f>
        <v>131504.04999999999</v>
      </c>
      <c r="J80" s="35">
        <f>J8+J1-J6</f>
        <v>49393</v>
      </c>
      <c r="K80" s="35">
        <f>K8+K1-K6</f>
        <v>50967.369999999995</v>
      </c>
      <c r="L80" s="35">
        <f>L8+L1-L6</f>
        <v>48146.320000000007</v>
      </c>
      <c r="M80" s="35">
        <f>M1+M8-M16</f>
        <v>249663.57</v>
      </c>
      <c r="N80" s="125" t="s">
        <v>138</v>
      </c>
      <c r="O80" s="140"/>
      <c r="P80" s="140"/>
      <c r="Q80" s="140"/>
      <c r="R80" s="140"/>
      <c r="S80" s="140"/>
      <c r="T80" s="140"/>
    </row>
    <row r="81" spans="1:20" ht="23.1" customHeight="1" thickTop="1" x14ac:dyDescent="0.3">
      <c r="A81" s="2" t="s">
        <v>108</v>
      </c>
      <c r="N81" s="125" t="s">
        <v>138</v>
      </c>
      <c r="O81" s="140"/>
      <c r="P81" s="140"/>
      <c r="Q81" s="140"/>
      <c r="R81" s="140"/>
      <c r="S81" s="140"/>
      <c r="T81" s="140"/>
    </row>
    <row r="82" spans="1:20" ht="23.1" customHeight="1" x14ac:dyDescent="0.3">
      <c r="A82" s="2" t="s">
        <v>109</v>
      </c>
      <c r="N82" s="125" t="s">
        <v>138</v>
      </c>
      <c r="O82" s="140"/>
      <c r="P82" s="140"/>
      <c r="Q82" s="140"/>
      <c r="R82" s="140"/>
      <c r="S82" s="140"/>
      <c r="T82" s="140"/>
    </row>
    <row r="83" spans="1:20" ht="23.1" customHeight="1" x14ac:dyDescent="0.3">
      <c r="A83" s="2" t="s">
        <v>110</v>
      </c>
      <c r="N83" s="125" t="s">
        <v>136</v>
      </c>
      <c r="O83" s="140"/>
      <c r="P83" s="140"/>
      <c r="Q83" s="140"/>
      <c r="R83" s="140"/>
      <c r="S83" s="140"/>
      <c r="T83" s="140">
        <v>2400</v>
      </c>
    </row>
    <row r="84" spans="1:20" ht="23.1" customHeight="1" x14ac:dyDescent="0.3">
      <c r="A84" s="2" t="s">
        <v>111</v>
      </c>
      <c r="N84" s="125" t="s">
        <v>137</v>
      </c>
      <c r="O84" s="140"/>
      <c r="P84" s="140"/>
      <c r="Q84" s="140"/>
      <c r="R84" s="140"/>
      <c r="S84" s="140"/>
      <c r="T84" s="140"/>
    </row>
    <row r="85" spans="1:20" ht="23.1" customHeight="1" x14ac:dyDescent="0.3">
      <c r="A85" s="2" t="s">
        <v>112</v>
      </c>
      <c r="N85" s="125" t="s">
        <v>129</v>
      </c>
      <c r="O85" s="140"/>
      <c r="P85" s="140"/>
      <c r="Q85" s="140"/>
      <c r="R85" s="140"/>
      <c r="S85" s="140"/>
      <c r="T85" s="140">
        <v>24214</v>
      </c>
    </row>
    <row r="86" spans="1:20" ht="23.1" customHeight="1" thickBot="1" x14ac:dyDescent="0.35">
      <c r="A86" s="2" t="s">
        <v>113</v>
      </c>
      <c r="N86" s="163" t="s">
        <v>43</v>
      </c>
      <c r="O86" s="180"/>
      <c r="P86" s="180"/>
      <c r="Q86" s="180"/>
      <c r="R86" s="180"/>
      <c r="S86" s="180"/>
      <c r="T86" s="180"/>
    </row>
    <row r="87" spans="1:20" ht="23.1" customHeight="1" thickTop="1" thickBot="1" x14ac:dyDescent="0.35">
      <c r="N87" s="42" t="s">
        <v>14</v>
      </c>
      <c r="O87" s="193">
        <f t="shared" ref="O87:T87" si="21">O8+O1-O6</f>
        <v>69211.370000000054</v>
      </c>
      <c r="P87" s="193">
        <f>P8+P1-P6</f>
        <v>158874.69000000012</v>
      </c>
      <c r="Q87" s="193">
        <f t="shared" si="21"/>
        <v>71089.400000000023</v>
      </c>
      <c r="R87" s="193">
        <f t="shared" si="21"/>
        <v>119456.65000000002</v>
      </c>
      <c r="S87" s="193">
        <f t="shared" si="21"/>
        <v>131541.10000000009</v>
      </c>
      <c r="T87" s="193">
        <f t="shared" si="21"/>
        <v>215868.14</v>
      </c>
    </row>
    <row r="88" spans="1:20" ht="23.1" customHeight="1" thickTop="1" x14ac:dyDescent="0.3"/>
    <row r="94" spans="1:20" ht="23.1" customHeight="1" thickBot="1" x14ac:dyDescent="0.35">
      <c r="N94" s="181" t="s">
        <v>17</v>
      </c>
      <c r="O94" s="195">
        <v>303494.84999999998</v>
      </c>
      <c r="P94" s="195">
        <v>154796.68</v>
      </c>
      <c r="Q94" s="195">
        <v>327923.66000000003</v>
      </c>
      <c r="R94" s="195">
        <v>46179.880000000005</v>
      </c>
      <c r="S94" s="195">
        <v>253185.58999999997</v>
      </c>
      <c r="T94" s="195">
        <v>0</v>
      </c>
    </row>
    <row r="95" spans="1:20" ht="23.1" customHeight="1" thickTop="1" thickBot="1" x14ac:dyDescent="0.35">
      <c r="N95" s="188" t="s">
        <v>55</v>
      </c>
      <c r="O95" s="194" t="s">
        <v>60</v>
      </c>
      <c r="P95" s="194" t="s">
        <v>61</v>
      </c>
      <c r="Q95" s="194" t="s">
        <v>62</v>
      </c>
      <c r="R95" s="194" t="s">
        <v>63</v>
      </c>
      <c r="S95" s="194" t="s">
        <v>56</v>
      </c>
      <c r="T95" s="194" t="s">
        <v>64</v>
      </c>
    </row>
    <row r="96" spans="1:20" ht="23.1" customHeight="1" thickTop="1" x14ac:dyDescent="0.3">
      <c r="N96" s="202" t="s">
        <v>0</v>
      </c>
      <c r="O96" s="201">
        <v>123042.65</v>
      </c>
      <c r="P96" s="201">
        <v>244460</v>
      </c>
      <c r="Q96" s="201">
        <v>240138.37</v>
      </c>
      <c r="R96" s="201">
        <v>97047.13</v>
      </c>
      <c r="S96" s="201">
        <v>265270.04000000004</v>
      </c>
      <c r="T96" s="201">
        <v>0</v>
      </c>
    </row>
    <row r="97" spans="15:15" ht="23.1" customHeight="1" x14ac:dyDescent="0.3">
      <c r="O97" s="189">
        <v>1085580.6599999999</v>
      </c>
    </row>
    <row r="98" spans="15:15" ht="23.1" customHeight="1" x14ac:dyDescent="0.3">
      <c r="O98" s="189">
        <v>0</v>
      </c>
    </row>
    <row r="99" spans="15:15" ht="23.1" customHeight="1" x14ac:dyDescent="0.3">
      <c r="O99" s="189">
        <v>969958.19000000006</v>
      </c>
    </row>
  </sheetData>
  <pageMargins left="0.16" right="0.28000000000000003" top="0.75000000000000011" bottom="0.75000000000000011" header="0.31" footer="0.31"/>
  <pageSetup paperSize="9" scale="46" orientation="portrait"/>
  <extLst>
    <ext xmlns:mx="http://schemas.microsoft.com/office/mac/excel/2008/main" uri="{64002731-A6B0-56B0-2670-7721B7C09600}">
      <mx:PLV Mode="0" OnePage="0" WScale="55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7"/>
  <sheetViews>
    <sheetView workbookViewId="0">
      <pane xSplit="1" ySplit="8" topLeftCell="B49" activePane="bottomRight" state="frozen"/>
      <selection pane="topRight" activeCell="B1" sqref="B1"/>
      <selection pane="bottomLeft" activeCell="A9" sqref="A9"/>
      <selection pane="bottomRight" activeCell="A54" sqref="A54"/>
    </sheetView>
  </sheetViews>
  <sheetFormatPr defaultColWidth="8.85546875" defaultRowHeight="23.1" customHeight="1" x14ac:dyDescent="0.3"/>
  <cols>
    <col min="1" max="1" width="45.85546875" style="2" customWidth="1"/>
    <col min="2" max="7" width="15.42578125" style="13" customWidth="1"/>
    <col min="8" max="8" width="16.28515625" style="13" customWidth="1"/>
    <col min="9" max="9" width="15.7109375" style="2" customWidth="1"/>
    <col min="10" max="13" width="15.42578125" style="2" customWidth="1"/>
    <col min="14" max="14" width="14.85546875" style="2" customWidth="1"/>
    <col min="15" max="16384" width="8.85546875" style="2"/>
  </cols>
  <sheetData>
    <row r="1" spans="1:14" s="1" customFormat="1" ht="18" customHeight="1" x14ac:dyDescent="0.35">
      <c r="A1" s="6" t="s">
        <v>12</v>
      </c>
      <c r="B1" s="25">
        <f>SUM(B2:B3)</f>
        <v>859.81</v>
      </c>
      <c r="C1" s="25">
        <f>B8-B6+B1</f>
        <v>48322.929999999993</v>
      </c>
      <c r="D1" s="25">
        <f t="shared" ref="D1:K1" si="0">C8+C1-C6</f>
        <v>39526.319999999978</v>
      </c>
      <c r="E1" s="25">
        <f t="shared" si="0"/>
        <v>29129.73000000001</v>
      </c>
      <c r="F1" s="25">
        <f t="shared" si="0"/>
        <v>61848.390000000014</v>
      </c>
      <c r="G1" s="25">
        <f t="shared" si="0"/>
        <v>115769.86000000002</v>
      </c>
      <c r="H1" s="25">
        <f t="shared" si="0"/>
        <v>139374.47999999998</v>
      </c>
      <c r="I1" s="25">
        <f t="shared" si="0"/>
        <v>9749.4799999999814</v>
      </c>
      <c r="J1" s="25">
        <f t="shared" si="0"/>
        <v>131504.04999999999</v>
      </c>
      <c r="K1" s="25">
        <f t="shared" si="0"/>
        <v>49393</v>
      </c>
      <c r="L1" s="25">
        <f>K8+K1-K6</f>
        <v>50967.369999999995</v>
      </c>
      <c r="M1" s="25">
        <f>L8+L1-L6</f>
        <v>48146.320000000007</v>
      </c>
      <c r="N1" s="41">
        <f>N2+N3</f>
        <v>248510.57</v>
      </c>
    </row>
    <row r="2" spans="1:14" s="1" customFormat="1" ht="18" customHeight="1" x14ac:dyDescent="0.3">
      <c r="A2" s="7" t="s">
        <v>3</v>
      </c>
      <c r="B2" s="26">
        <v>859.81</v>
      </c>
      <c r="C2" s="26">
        <v>0</v>
      </c>
      <c r="D2" s="26">
        <v>0</v>
      </c>
      <c r="E2" s="26">
        <v>8200</v>
      </c>
      <c r="F2" s="26"/>
      <c r="G2" s="26"/>
      <c r="H2" s="26">
        <v>57893</v>
      </c>
      <c r="I2" s="1">
        <v>0</v>
      </c>
      <c r="J2" s="1">
        <v>0</v>
      </c>
      <c r="K2" s="1">
        <v>0</v>
      </c>
      <c r="L2" s="1">
        <v>0</v>
      </c>
      <c r="M2" s="1">
        <v>0</v>
      </c>
      <c r="N2" s="80">
        <f>M2+M10+M12-M17</f>
        <v>196769.66</v>
      </c>
    </row>
    <row r="3" spans="1:14" s="3" customFormat="1" ht="18" customHeight="1" x14ac:dyDescent="0.3">
      <c r="A3" s="7" t="s">
        <v>18</v>
      </c>
      <c r="B3" s="26">
        <v>0</v>
      </c>
      <c r="C3" s="26">
        <f>C1</f>
        <v>48322.929999999993</v>
      </c>
      <c r="D3" s="26">
        <f>D1</f>
        <v>39526.319999999978</v>
      </c>
      <c r="E3" s="26">
        <f t="shared" ref="E3:L3" si="1">E1-E2</f>
        <v>20929.73000000001</v>
      </c>
      <c r="F3" s="26">
        <f t="shared" si="1"/>
        <v>61848.390000000014</v>
      </c>
      <c r="G3" s="26">
        <f t="shared" si="1"/>
        <v>115769.86000000002</v>
      </c>
      <c r="H3" s="26">
        <f t="shared" si="1"/>
        <v>81481.479999999981</v>
      </c>
      <c r="I3" s="26">
        <f t="shared" si="1"/>
        <v>9749.4799999999814</v>
      </c>
      <c r="J3" s="26">
        <f t="shared" si="1"/>
        <v>131504.04999999999</v>
      </c>
      <c r="K3" s="26">
        <f t="shared" si="1"/>
        <v>49393</v>
      </c>
      <c r="L3" s="26">
        <f t="shared" si="1"/>
        <v>50967.369999999995</v>
      </c>
      <c r="M3" s="26">
        <f>M1-M2</f>
        <v>48146.320000000007</v>
      </c>
      <c r="N3" s="81">
        <f>M1+M11-M32</f>
        <v>51740.91</v>
      </c>
    </row>
    <row r="4" spans="1:14" s="1" customFormat="1" ht="18" hidden="1" customHeight="1" x14ac:dyDescent="0.3">
      <c r="A4" s="7" t="s">
        <v>10</v>
      </c>
      <c r="B4" s="26">
        <f t="shared" ref="B4:M4" si="2">B17</f>
        <v>87659.81</v>
      </c>
      <c r="C4" s="26">
        <f t="shared" si="2"/>
        <v>141610.48000000001</v>
      </c>
      <c r="D4" s="26">
        <f t="shared" si="2"/>
        <v>146991.79999999999</v>
      </c>
      <c r="E4" s="26">
        <f t="shared" si="2"/>
        <v>102650</v>
      </c>
      <c r="F4" s="26">
        <f t="shared" si="2"/>
        <v>193800</v>
      </c>
      <c r="G4" s="26">
        <f t="shared" si="2"/>
        <v>69157</v>
      </c>
      <c r="H4" s="26">
        <f t="shared" si="2"/>
        <v>142373</v>
      </c>
      <c r="I4" s="26">
        <f t="shared" si="2"/>
        <v>137699</v>
      </c>
      <c r="J4" s="26">
        <f t="shared" si="2"/>
        <v>129200</v>
      </c>
      <c r="K4" s="26">
        <f t="shared" si="2"/>
        <v>816316</v>
      </c>
      <c r="L4" s="26">
        <f t="shared" si="2"/>
        <v>136482</v>
      </c>
      <c r="M4" s="26">
        <f t="shared" si="2"/>
        <v>110624.34</v>
      </c>
    </row>
    <row r="5" spans="1:14" s="1" customFormat="1" ht="18" hidden="1" customHeight="1" x14ac:dyDescent="0.3">
      <c r="A5" s="7" t="s">
        <v>11</v>
      </c>
      <c r="B5" s="26">
        <f t="shared" ref="B5:G5" si="3">B32</f>
        <v>21877.07</v>
      </c>
      <c r="C5" s="26">
        <f t="shared" si="3"/>
        <v>47796.61</v>
      </c>
      <c r="D5" s="26">
        <f t="shared" si="3"/>
        <v>88396.59</v>
      </c>
      <c r="E5" s="26">
        <f t="shared" si="3"/>
        <v>35931.340000000004</v>
      </c>
      <c r="F5" s="26">
        <f t="shared" si="3"/>
        <v>34978.53</v>
      </c>
      <c r="G5" s="26">
        <f t="shared" si="3"/>
        <v>62488.380000000005</v>
      </c>
      <c r="H5" s="26">
        <f>H32</f>
        <v>141768</v>
      </c>
      <c r="I5" s="26">
        <f t="shared" ref="I5:M5" si="4">I32</f>
        <v>103634.43</v>
      </c>
      <c r="J5" s="26">
        <f t="shared" si="4"/>
        <v>92111.05</v>
      </c>
      <c r="K5" s="26">
        <f t="shared" si="4"/>
        <v>78330.63</v>
      </c>
      <c r="L5" s="26">
        <f t="shared" si="4"/>
        <v>36821.050000000003</v>
      </c>
      <c r="M5" s="26">
        <f t="shared" si="4"/>
        <v>18405.41</v>
      </c>
    </row>
    <row r="6" spans="1:14" ht="18" customHeight="1" thickBot="1" x14ac:dyDescent="0.35">
      <c r="A6" s="1" t="s">
        <v>17</v>
      </c>
      <c r="B6" s="21">
        <f t="shared" ref="B6:F6" si="5">SUM(B4:B5)</f>
        <v>109536.88</v>
      </c>
      <c r="C6" s="21">
        <f>SUM(C4:C5)</f>
        <v>189407.09000000003</v>
      </c>
      <c r="D6" s="21">
        <f>SUM(D4:D5)</f>
        <v>235388.38999999998</v>
      </c>
      <c r="E6" s="21">
        <f>SUM(E4:E5)</f>
        <v>138581.34</v>
      </c>
      <c r="F6" s="21">
        <f t="shared" si="5"/>
        <v>228778.53</v>
      </c>
      <c r="G6" s="21">
        <f t="shared" ref="G6:K6" si="6">SUM(G4:G5)</f>
        <v>131645.38</v>
      </c>
      <c r="H6" s="21">
        <f t="shared" si="6"/>
        <v>284141</v>
      </c>
      <c r="I6" s="21">
        <f t="shared" si="6"/>
        <v>241333.43</v>
      </c>
      <c r="J6" s="21">
        <f t="shared" si="6"/>
        <v>221311.05</v>
      </c>
      <c r="K6" s="21">
        <f t="shared" si="6"/>
        <v>894646.63</v>
      </c>
      <c r="L6" s="21">
        <f>SUM(L4:L5)</f>
        <v>173303.05</v>
      </c>
      <c r="M6" s="21">
        <f>SUM(M4:M5)</f>
        <v>129029.75</v>
      </c>
      <c r="N6" s="21">
        <f>SUM(N4:N5)</f>
        <v>0</v>
      </c>
    </row>
    <row r="7" spans="1:14" s="9" customFormat="1" ht="21" customHeight="1" thickTop="1" thickBot="1" x14ac:dyDescent="0.35">
      <c r="A7" s="11" t="s">
        <v>80</v>
      </c>
      <c r="B7" s="19" t="s">
        <v>101</v>
      </c>
      <c r="C7" s="19" t="s">
        <v>102</v>
      </c>
      <c r="D7" s="19" t="s">
        <v>103</v>
      </c>
      <c r="E7" s="19" t="s">
        <v>104</v>
      </c>
      <c r="F7" s="19" t="s">
        <v>105</v>
      </c>
      <c r="G7" s="19" t="s">
        <v>73</v>
      </c>
      <c r="H7" s="19" t="s">
        <v>74</v>
      </c>
      <c r="I7" s="19" t="s">
        <v>75</v>
      </c>
      <c r="J7" s="19" t="s">
        <v>76</v>
      </c>
      <c r="K7" s="19" t="s">
        <v>77</v>
      </c>
      <c r="L7" s="19" t="s">
        <v>78</v>
      </c>
      <c r="M7" s="19" t="s">
        <v>79</v>
      </c>
    </row>
    <row r="8" spans="1:14" s="1" customFormat="1" ht="23.1" customHeight="1" thickTop="1" x14ac:dyDescent="0.3">
      <c r="A8" s="34" t="s">
        <v>0</v>
      </c>
      <c r="B8" s="33">
        <f>B10+B11</f>
        <v>157000</v>
      </c>
      <c r="C8" s="33">
        <f>C10+C11</f>
        <v>180610.48</v>
      </c>
      <c r="D8" s="33">
        <f t="shared" ref="D8:J8" si="7">SUM(D10:D14)</f>
        <v>224991.80000000002</v>
      </c>
      <c r="E8" s="33">
        <f t="shared" si="7"/>
        <v>171300</v>
      </c>
      <c r="F8" s="33">
        <f t="shared" si="7"/>
        <v>282700</v>
      </c>
      <c r="G8" s="33">
        <f t="shared" si="7"/>
        <v>155250</v>
      </c>
      <c r="H8" s="33">
        <f t="shared" si="7"/>
        <v>154516</v>
      </c>
      <c r="I8" s="33">
        <f t="shared" si="7"/>
        <v>363088</v>
      </c>
      <c r="J8" s="33">
        <f t="shared" si="7"/>
        <v>139200</v>
      </c>
      <c r="K8" s="33">
        <f>SUM(K10:K14)</f>
        <v>896221</v>
      </c>
      <c r="L8" s="33">
        <f>SUM(L10:L14)</f>
        <v>170482</v>
      </c>
      <c r="M8" s="33">
        <f>SUM(M10:M14)</f>
        <v>330547</v>
      </c>
    </row>
    <row r="9" spans="1:14" ht="12" customHeight="1" x14ac:dyDescent="0.3">
      <c r="A9" s="8" t="s">
        <v>2</v>
      </c>
      <c r="B9" s="14"/>
      <c r="C9" s="14"/>
      <c r="D9" s="14"/>
      <c r="E9" s="14"/>
      <c r="F9" s="14"/>
      <c r="G9" s="14"/>
      <c r="H9" s="14"/>
    </row>
    <row r="10" spans="1:14" ht="23.1" customHeight="1" x14ac:dyDescent="0.3">
      <c r="A10" s="5" t="s">
        <v>16</v>
      </c>
      <c r="B10" s="15">
        <v>86800</v>
      </c>
      <c r="C10" s="15">
        <v>141610.48000000001</v>
      </c>
      <c r="D10" s="15">
        <v>135800</v>
      </c>
      <c r="E10" s="15">
        <v>94450</v>
      </c>
      <c r="F10" s="15">
        <v>193800</v>
      </c>
      <c r="G10" s="15">
        <v>127050</v>
      </c>
      <c r="H10" s="15">
        <v>84480</v>
      </c>
      <c r="I10" s="82">
        <v>137698</v>
      </c>
      <c r="J10" s="83">
        <v>129200</v>
      </c>
      <c r="K10" s="83">
        <v>816321</v>
      </c>
      <c r="L10" s="82">
        <v>135800</v>
      </c>
      <c r="M10" s="82">
        <v>294250</v>
      </c>
    </row>
    <row r="11" spans="1:14" ht="23.1" customHeight="1" x14ac:dyDescent="0.3">
      <c r="A11" s="5" t="s">
        <v>22</v>
      </c>
      <c r="B11" s="27">
        <v>70200</v>
      </c>
      <c r="C11" s="27">
        <v>39000</v>
      </c>
      <c r="D11" s="27">
        <v>69800</v>
      </c>
      <c r="E11" s="27">
        <v>76850</v>
      </c>
      <c r="F11" s="27">
        <v>88900</v>
      </c>
      <c r="G11" s="27">
        <v>28200</v>
      </c>
      <c r="H11" s="27">
        <f>31400+38069</f>
        <v>69469</v>
      </c>
      <c r="I11" s="82">
        <v>225390</v>
      </c>
      <c r="J11" s="84">
        <v>10000</v>
      </c>
      <c r="K11" s="84">
        <v>79900</v>
      </c>
      <c r="L11" s="84">
        <v>34000</v>
      </c>
      <c r="M11" s="84">
        <v>22000</v>
      </c>
    </row>
    <row r="12" spans="1:14" ht="23.1" customHeight="1" x14ac:dyDescent="0.3">
      <c r="A12" s="5" t="s">
        <v>23</v>
      </c>
      <c r="B12" s="27"/>
      <c r="C12" s="27"/>
      <c r="D12" s="27">
        <v>16348.38</v>
      </c>
      <c r="E12" s="27"/>
      <c r="F12" s="27"/>
      <c r="G12" s="27"/>
      <c r="H12" s="27">
        <v>567</v>
      </c>
      <c r="I12" s="30"/>
      <c r="J12" s="30"/>
      <c r="K12" s="30"/>
      <c r="L12" s="30"/>
      <c r="M12" s="85">
        <v>13144</v>
      </c>
    </row>
    <row r="13" spans="1:14" ht="23.1" customHeight="1" x14ac:dyDescent="0.3">
      <c r="A13" s="5" t="s">
        <v>106</v>
      </c>
      <c r="B13" s="27"/>
      <c r="C13" s="27"/>
      <c r="D13" s="27"/>
      <c r="E13" s="27"/>
      <c r="F13" s="27"/>
      <c r="G13" s="27"/>
      <c r="H13" s="27"/>
      <c r="I13" s="30"/>
      <c r="J13" s="30"/>
      <c r="K13" s="30"/>
      <c r="L13" s="85">
        <v>682</v>
      </c>
      <c r="M13" s="85">
        <v>1153</v>
      </c>
    </row>
    <row r="14" spans="1:14" ht="36.75" customHeight="1" thickBot="1" x14ac:dyDescent="0.35">
      <c r="A14" s="5" t="s">
        <v>24</v>
      </c>
      <c r="B14" s="27"/>
      <c r="C14" s="27"/>
      <c r="D14" s="27">
        <v>3043.42</v>
      </c>
      <c r="E14" s="27"/>
      <c r="F14" s="27"/>
      <c r="G14" s="27"/>
      <c r="H14" s="27"/>
      <c r="I14" s="30"/>
      <c r="J14" s="30"/>
      <c r="K14" s="30"/>
      <c r="L14" s="30"/>
      <c r="M14" s="30"/>
    </row>
    <row r="15" spans="1:14" s="1" customFormat="1" ht="23.1" customHeight="1" thickTop="1" x14ac:dyDescent="0.3">
      <c r="A15" s="10" t="s">
        <v>1</v>
      </c>
      <c r="B15" s="17">
        <f t="shared" ref="B15:M15" si="8">B17+B32</f>
        <v>109536.88</v>
      </c>
      <c r="C15" s="17">
        <f t="shared" si="8"/>
        <v>189407.09000000003</v>
      </c>
      <c r="D15" s="17">
        <f t="shared" si="8"/>
        <v>235388.38999999998</v>
      </c>
      <c r="E15" s="17">
        <f t="shared" si="8"/>
        <v>138581.34</v>
      </c>
      <c r="F15" s="17">
        <f t="shared" si="8"/>
        <v>228778.53</v>
      </c>
      <c r="G15" s="17">
        <f t="shared" si="8"/>
        <v>131645.38</v>
      </c>
      <c r="H15" s="32">
        <f t="shared" si="8"/>
        <v>284141</v>
      </c>
      <c r="I15" s="32">
        <f t="shared" si="8"/>
        <v>241333.43</v>
      </c>
      <c r="J15" s="32">
        <f t="shared" si="8"/>
        <v>221311.05</v>
      </c>
      <c r="K15" s="32">
        <f t="shared" si="8"/>
        <v>894646.63</v>
      </c>
      <c r="L15" s="32">
        <f t="shared" si="8"/>
        <v>173303.05</v>
      </c>
      <c r="M15" s="32">
        <f t="shared" si="8"/>
        <v>129029.75</v>
      </c>
    </row>
    <row r="16" spans="1:14" ht="14.1" customHeight="1" x14ac:dyDescent="0.3">
      <c r="A16" s="8" t="s">
        <v>2</v>
      </c>
      <c r="B16" s="14"/>
      <c r="C16" s="14"/>
      <c r="D16" s="14"/>
      <c r="E16" s="14"/>
      <c r="F16" s="14"/>
      <c r="G16" s="14"/>
      <c r="H16" s="14"/>
    </row>
    <row r="17" spans="1:13" ht="23.1" customHeight="1" x14ac:dyDescent="0.3">
      <c r="A17" s="4" t="s">
        <v>13</v>
      </c>
      <c r="B17" s="24">
        <f>B18+B22+B23</f>
        <v>87659.81</v>
      </c>
      <c r="C17" s="16">
        <f>C18+C22+C23</f>
        <v>141610.48000000001</v>
      </c>
      <c r="D17" s="16">
        <f>D18+SUM(D22:D28)</f>
        <v>146991.79999999999</v>
      </c>
      <c r="E17" s="16">
        <f>E18+SUM(E22:E28)</f>
        <v>102650</v>
      </c>
      <c r="F17" s="16">
        <f t="shared" ref="F17:G17" si="9">F18+SUM(F22:F28)</f>
        <v>193800</v>
      </c>
      <c r="G17" s="16">
        <f t="shared" si="9"/>
        <v>69157</v>
      </c>
      <c r="H17" s="16">
        <f>H18+SUM(H22:H28)</f>
        <v>142373</v>
      </c>
      <c r="I17" s="16">
        <f>I18+SUM(I22:I28)</f>
        <v>137699</v>
      </c>
      <c r="J17" s="16">
        <f>J18+SUM(J22:J28)</f>
        <v>129200</v>
      </c>
      <c r="K17" s="16">
        <f>K18+SUM(K22:K28)</f>
        <v>816316</v>
      </c>
      <c r="L17" s="16">
        <f>L22+L25+L28+L29+L31</f>
        <v>136482</v>
      </c>
      <c r="M17" s="16">
        <f>M22+M25+M28+M29+M31+M27+M30</f>
        <v>110624.34</v>
      </c>
    </row>
    <row r="18" spans="1:13" s="3" customFormat="1" ht="33.75" customHeight="1" x14ac:dyDescent="0.3">
      <c r="A18" s="86" t="s">
        <v>38</v>
      </c>
      <c r="B18" s="87">
        <f t="shared" ref="B18:C18" si="10">SUM(B19:B21)</f>
        <v>80459.81</v>
      </c>
      <c r="C18" s="87">
        <f t="shared" si="10"/>
        <v>95589.1</v>
      </c>
      <c r="D18" s="87">
        <f>SUM(D19:D21)</f>
        <v>112011.14</v>
      </c>
      <c r="E18" s="87">
        <f>SUM(E19:E21)</f>
        <v>5232.42</v>
      </c>
      <c r="F18" s="87">
        <f t="shared" ref="F18:K18" si="11">SUM(F19:F21)</f>
        <v>0</v>
      </c>
      <c r="G18" s="87">
        <f t="shared" si="11"/>
        <v>0</v>
      </c>
      <c r="H18" s="87">
        <f t="shared" si="11"/>
        <v>107030</v>
      </c>
      <c r="I18" s="88">
        <f t="shared" si="11"/>
        <v>102356</v>
      </c>
      <c r="J18" s="88">
        <f t="shared" si="11"/>
        <v>85157</v>
      </c>
      <c r="K18" s="88">
        <f t="shared" si="11"/>
        <v>772273</v>
      </c>
      <c r="L18" s="87"/>
      <c r="M18" s="87"/>
    </row>
    <row r="19" spans="1:13" s="3" customFormat="1" ht="20.25" customHeight="1" x14ac:dyDescent="0.3">
      <c r="A19" s="23" t="s">
        <v>39</v>
      </c>
      <c r="B19" s="87">
        <v>79721.179999999993</v>
      </c>
      <c r="C19" s="89"/>
      <c r="D19" s="22">
        <v>12562.75</v>
      </c>
      <c r="E19" s="89">
        <v>5232.42</v>
      </c>
      <c r="F19" s="89"/>
      <c r="G19" s="89"/>
      <c r="H19" s="89">
        <v>107030</v>
      </c>
      <c r="I19" s="90">
        <v>102356</v>
      </c>
      <c r="J19" s="91">
        <v>85157</v>
      </c>
      <c r="K19" s="90">
        <v>772273</v>
      </c>
      <c r="L19" s="90"/>
      <c r="M19" s="90"/>
    </row>
    <row r="20" spans="1:13" s="3" customFormat="1" ht="20.25" customHeight="1" x14ac:dyDescent="0.3">
      <c r="A20" s="23" t="s">
        <v>37</v>
      </c>
      <c r="B20" s="87">
        <v>738.63</v>
      </c>
      <c r="C20" s="89">
        <v>95589.1</v>
      </c>
      <c r="D20" s="22">
        <v>74474.39</v>
      </c>
      <c r="E20" s="89"/>
      <c r="F20" s="89"/>
      <c r="G20" s="89"/>
      <c r="H20" s="89"/>
      <c r="I20" s="92"/>
      <c r="J20" s="93"/>
      <c r="K20" s="94"/>
      <c r="L20" s="94"/>
      <c r="M20" s="94"/>
    </row>
    <row r="21" spans="1:13" s="3" customFormat="1" ht="20.25" customHeight="1" x14ac:dyDescent="0.3">
      <c r="A21" s="23" t="s">
        <v>40</v>
      </c>
      <c r="B21" s="87"/>
      <c r="C21" s="89"/>
      <c r="D21" s="22">
        <v>24974</v>
      </c>
      <c r="E21" s="89"/>
      <c r="F21" s="89"/>
      <c r="G21" s="89"/>
      <c r="H21" s="89"/>
      <c r="I21" s="95"/>
      <c r="J21" s="93"/>
      <c r="K21" s="94"/>
      <c r="L21" s="94"/>
      <c r="M21" s="94"/>
    </row>
    <row r="22" spans="1:13" ht="23.1" customHeight="1" x14ac:dyDescent="0.3">
      <c r="A22" s="5" t="s">
        <v>20</v>
      </c>
      <c r="B22" s="15">
        <v>7200</v>
      </c>
      <c r="C22" s="15">
        <v>46021.38</v>
      </c>
      <c r="D22" s="15">
        <v>34908.75</v>
      </c>
      <c r="E22" s="15"/>
      <c r="F22" s="15">
        <v>26643</v>
      </c>
      <c r="G22" s="15">
        <v>57637</v>
      </c>
      <c r="H22" s="15">
        <v>35343</v>
      </c>
      <c r="I22" s="96">
        <v>35343</v>
      </c>
      <c r="J22" s="97">
        <v>44043</v>
      </c>
      <c r="K22" s="96">
        <v>44043</v>
      </c>
      <c r="L22" s="90">
        <v>44043</v>
      </c>
      <c r="M22" s="90">
        <v>44043</v>
      </c>
    </row>
    <row r="23" spans="1:13" ht="23.1" customHeight="1" x14ac:dyDescent="0.3">
      <c r="A23" s="5" t="s">
        <v>107</v>
      </c>
      <c r="B23" s="15"/>
      <c r="C23" s="15"/>
      <c r="D23" s="15"/>
      <c r="E23" s="15">
        <v>86279.58</v>
      </c>
      <c r="F23" s="15">
        <v>152619.42000000001</v>
      </c>
      <c r="G23" s="15"/>
      <c r="H23" s="15"/>
      <c r="I23" s="98"/>
      <c r="J23" s="31"/>
      <c r="K23" s="99"/>
      <c r="L23" s="31"/>
      <c r="M23" s="31"/>
    </row>
    <row r="24" spans="1:13" ht="23.1" customHeight="1" x14ac:dyDescent="0.3">
      <c r="A24" s="5" t="s">
        <v>36</v>
      </c>
      <c r="B24" s="15"/>
      <c r="C24" s="15"/>
      <c r="D24" s="15"/>
      <c r="E24" s="15"/>
      <c r="F24" s="15">
        <v>14537.58</v>
      </c>
      <c r="G24" s="15">
        <v>7595.53</v>
      </c>
      <c r="H24" s="15"/>
      <c r="I24" s="31"/>
      <c r="J24" s="31"/>
      <c r="K24" s="31"/>
      <c r="L24" s="31"/>
      <c r="M24" s="31"/>
    </row>
    <row r="25" spans="1:13" ht="23.1" customHeight="1" x14ac:dyDescent="0.3">
      <c r="A25" s="5" t="s">
        <v>31</v>
      </c>
      <c r="B25" s="15"/>
      <c r="C25" s="15"/>
      <c r="D25" s="15"/>
      <c r="E25" s="15"/>
      <c r="F25" s="15"/>
      <c r="G25" s="15"/>
      <c r="H25" s="15"/>
      <c r="I25" s="31"/>
      <c r="J25" s="31"/>
      <c r="K25" s="31"/>
      <c r="L25" s="100">
        <v>1545</v>
      </c>
      <c r="M25" s="100">
        <v>1545</v>
      </c>
    </row>
    <row r="26" spans="1:13" ht="23.1" customHeight="1" x14ac:dyDescent="0.3">
      <c r="A26" s="5" t="s">
        <v>25</v>
      </c>
      <c r="B26" s="15"/>
      <c r="C26" s="15"/>
      <c r="D26" s="15">
        <v>71.91</v>
      </c>
      <c r="E26" s="15"/>
      <c r="F26" s="15"/>
      <c r="G26" s="15"/>
      <c r="H26" s="15"/>
      <c r="I26" s="30"/>
      <c r="J26" s="31"/>
      <c r="K26" s="30"/>
      <c r="L26" s="30"/>
      <c r="M26" s="30"/>
    </row>
    <row r="27" spans="1:13" ht="35.25" customHeight="1" x14ac:dyDescent="0.3">
      <c r="A27" s="5" t="s">
        <v>51</v>
      </c>
      <c r="B27" s="15"/>
      <c r="C27" s="15"/>
      <c r="D27" s="15"/>
      <c r="E27" s="15"/>
      <c r="F27" s="15"/>
      <c r="G27" s="15"/>
      <c r="H27" s="15"/>
      <c r="I27" s="30"/>
      <c r="J27" s="31"/>
      <c r="K27" s="30"/>
      <c r="L27" s="30"/>
      <c r="M27" s="101">
        <f>15720.32+19650.4</f>
        <v>35370.720000000001</v>
      </c>
    </row>
    <row r="28" spans="1:13" ht="23.1" customHeight="1" x14ac:dyDescent="0.3">
      <c r="A28" s="5" t="s">
        <v>21</v>
      </c>
      <c r="B28" s="15"/>
      <c r="C28" s="15"/>
      <c r="D28" s="15"/>
      <c r="E28" s="15">
        <v>11138</v>
      </c>
      <c r="F28" s="15"/>
      <c r="G28" s="15">
        <f>1365+2559.47</f>
        <v>3924.47</v>
      </c>
      <c r="H28" s="15"/>
      <c r="I28" s="30"/>
      <c r="J28" s="31"/>
      <c r="K28" s="30"/>
      <c r="L28" s="102">
        <f>5282+2072+8938+8.54+204+399.83+1464.78+4386+6582+82+1179</f>
        <v>30598.15</v>
      </c>
      <c r="M28" s="102">
        <f>1469+2582+11138+4.19</f>
        <v>15193.19</v>
      </c>
    </row>
    <row r="29" spans="1:13" ht="31.5" customHeight="1" x14ac:dyDescent="0.3">
      <c r="A29" s="5" t="s">
        <v>29</v>
      </c>
      <c r="B29" s="15"/>
      <c r="C29" s="15"/>
      <c r="D29" s="15"/>
      <c r="E29" s="15"/>
      <c r="F29" s="15"/>
      <c r="G29" s="15"/>
      <c r="H29" s="15"/>
      <c r="I29" s="30"/>
      <c r="J29" s="31"/>
      <c r="K29" s="30"/>
      <c r="L29" s="102">
        <v>10470.73</v>
      </c>
      <c r="M29" s="102">
        <v>10724.5</v>
      </c>
    </row>
    <row r="30" spans="1:13" ht="43.5" customHeight="1" x14ac:dyDescent="0.3">
      <c r="A30" s="5" t="s">
        <v>52</v>
      </c>
      <c r="B30" s="15"/>
      <c r="C30" s="15"/>
      <c r="D30" s="15"/>
      <c r="E30" s="15"/>
      <c r="F30" s="15"/>
      <c r="G30" s="15"/>
      <c r="H30" s="15"/>
      <c r="I30" s="30"/>
      <c r="J30" s="31"/>
      <c r="K30" s="30"/>
      <c r="L30" s="102"/>
      <c r="M30" s="102">
        <v>1200</v>
      </c>
    </row>
    <row r="31" spans="1:13" ht="34.5" customHeight="1" x14ac:dyDescent="0.3">
      <c r="A31" s="5" t="s">
        <v>48</v>
      </c>
      <c r="B31" s="15"/>
      <c r="C31" s="15"/>
      <c r="D31" s="15"/>
      <c r="E31" s="15"/>
      <c r="F31" s="15"/>
      <c r="G31" s="15"/>
      <c r="H31" s="15"/>
      <c r="I31" s="30"/>
      <c r="J31" s="31"/>
      <c r="K31" s="30"/>
      <c r="L31" s="102">
        <v>49825.120000000003</v>
      </c>
      <c r="M31" s="102">
        <f>127.72+44.36+175.85+40+80+40+40+2000</f>
        <v>2547.9299999999998</v>
      </c>
    </row>
    <row r="32" spans="1:13" ht="23.1" customHeight="1" x14ac:dyDescent="0.3">
      <c r="A32" s="4" t="s">
        <v>19</v>
      </c>
      <c r="B32" s="16">
        <f>SUM(B34:B55)</f>
        <v>21877.07</v>
      </c>
      <c r="C32" s="16">
        <f>SUM(C34:C68)</f>
        <v>47796.61</v>
      </c>
      <c r="D32" s="16">
        <f>SUM(D34:D68)</f>
        <v>88396.59</v>
      </c>
      <c r="E32" s="16">
        <f>SUM(E33:E68)</f>
        <v>35931.340000000004</v>
      </c>
      <c r="F32" s="16">
        <f>SUM(F34:F68)</f>
        <v>34978.53</v>
      </c>
      <c r="G32" s="16">
        <f>SUM(G34:G68)</f>
        <v>62488.380000000005</v>
      </c>
      <c r="H32" s="16">
        <f>SUM(H34:H70)</f>
        <v>141768</v>
      </c>
      <c r="I32" s="16">
        <f>SUM(I34:I70)</f>
        <v>103634.43</v>
      </c>
      <c r="J32" s="16">
        <f>SUM(J33:J70)</f>
        <v>92111.05</v>
      </c>
      <c r="K32" s="16">
        <f>SUM(K33:K70)</f>
        <v>78330.63</v>
      </c>
      <c r="L32" s="16">
        <f>SUM(L33:L70)</f>
        <v>36821.050000000003</v>
      </c>
      <c r="M32" s="16">
        <f>SUM(M33:M70)</f>
        <v>18405.41</v>
      </c>
    </row>
    <row r="33" spans="1:13" ht="23.1" customHeight="1" x14ac:dyDescent="0.3">
      <c r="A33" s="103" t="s">
        <v>34</v>
      </c>
      <c r="B33" s="16"/>
      <c r="C33" s="16"/>
      <c r="D33" s="16"/>
      <c r="E33" s="15">
        <v>4350</v>
      </c>
      <c r="F33" s="16"/>
      <c r="G33" s="16"/>
      <c r="H33" s="16"/>
      <c r="I33" s="30"/>
      <c r="J33" s="100">
        <v>4000</v>
      </c>
      <c r="K33" s="30"/>
      <c r="L33" s="30"/>
      <c r="M33" s="30"/>
    </row>
    <row r="34" spans="1:13" ht="23.1" customHeight="1" x14ac:dyDescent="0.3">
      <c r="A34" s="5" t="s">
        <v>35</v>
      </c>
      <c r="B34" s="15">
        <v>1365</v>
      </c>
      <c r="C34" s="15">
        <v>21892</v>
      </c>
      <c r="D34" s="15">
        <v>20508</v>
      </c>
      <c r="E34" s="15">
        <v>7142</v>
      </c>
      <c r="F34" s="15"/>
      <c r="G34" s="15">
        <f>3332+9250+5282</f>
        <v>17864</v>
      </c>
      <c r="H34" s="15">
        <f>2702+5282+17516</f>
        <v>25500</v>
      </c>
      <c r="I34" s="96">
        <f>17553</f>
        <v>17553</v>
      </c>
      <c r="J34" s="100">
        <v>21873</v>
      </c>
      <c r="K34" s="104">
        <v>6582</v>
      </c>
      <c r="L34" s="105"/>
      <c r="M34" s="105"/>
    </row>
    <row r="35" spans="1:13" ht="23.1" customHeight="1" x14ac:dyDescent="0.3">
      <c r="A35" s="5" t="s">
        <v>30</v>
      </c>
      <c r="B35" s="15"/>
      <c r="C35" s="15"/>
      <c r="D35" s="15"/>
      <c r="E35" s="15"/>
      <c r="F35" s="15"/>
      <c r="G35" s="15"/>
      <c r="H35" s="15"/>
      <c r="I35" s="96"/>
      <c r="J35" s="106"/>
      <c r="K35" s="104"/>
      <c r="L35" s="105"/>
      <c r="M35" s="105"/>
    </row>
    <row r="36" spans="1:13" ht="36.75" customHeight="1" x14ac:dyDescent="0.3">
      <c r="A36" s="5" t="s">
        <v>41</v>
      </c>
      <c r="B36" s="15"/>
      <c r="C36" s="15"/>
      <c r="D36" s="27">
        <v>21276.03</v>
      </c>
      <c r="E36" s="27">
        <v>6877.64</v>
      </c>
      <c r="F36" s="27">
        <v>15720.32</v>
      </c>
      <c r="G36" s="15">
        <v>17015.46</v>
      </c>
      <c r="H36" s="15">
        <f>17015+2948</f>
        <v>19963</v>
      </c>
      <c r="I36" s="107">
        <v>21489</v>
      </c>
      <c r="J36" s="108"/>
      <c r="K36" s="109">
        <f>21488.78+21488.78</f>
        <v>42977.56</v>
      </c>
      <c r="L36" s="110"/>
      <c r="M36" s="110"/>
    </row>
    <row r="37" spans="1:13" ht="33.75" customHeight="1" x14ac:dyDescent="0.3">
      <c r="A37" s="5" t="s">
        <v>29</v>
      </c>
      <c r="B37" s="15"/>
      <c r="C37" s="15">
        <v>13389.46</v>
      </c>
      <c r="D37" s="27">
        <v>7791.3</v>
      </c>
      <c r="E37" s="27">
        <v>9136</v>
      </c>
      <c r="F37" s="27"/>
      <c r="G37" s="15">
        <v>3885.72</v>
      </c>
      <c r="H37" s="15">
        <v>4052</v>
      </c>
      <c r="I37" s="111"/>
      <c r="J37" s="112">
        <v>5433.26</v>
      </c>
      <c r="K37" s="113">
        <f>9921.66+1508.81</f>
        <v>11430.47</v>
      </c>
      <c r="L37" s="114"/>
      <c r="M37" s="114"/>
    </row>
    <row r="38" spans="1:13" ht="33.75" customHeight="1" x14ac:dyDescent="0.3">
      <c r="A38" s="48" t="s">
        <v>47</v>
      </c>
      <c r="B38" s="39"/>
      <c r="C38" s="39"/>
      <c r="D38" s="39"/>
      <c r="E38" s="39"/>
      <c r="F38" s="39"/>
      <c r="G38" s="39"/>
      <c r="H38" s="39"/>
      <c r="I38" s="115"/>
      <c r="J38" s="116">
        <v>18000</v>
      </c>
      <c r="K38" s="117"/>
      <c r="L38" s="118"/>
      <c r="M38" s="118"/>
    </row>
    <row r="39" spans="1:13" ht="23.1" customHeight="1" x14ac:dyDescent="0.3">
      <c r="A39" s="5" t="s">
        <v>9</v>
      </c>
      <c r="B39" s="15">
        <v>2000</v>
      </c>
      <c r="C39" s="15"/>
      <c r="D39" s="15"/>
      <c r="E39" s="15"/>
      <c r="F39" s="15"/>
      <c r="G39" s="15">
        <f>2400+600</f>
        <v>3000</v>
      </c>
      <c r="H39" s="15">
        <v>1200</v>
      </c>
      <c r="I39" s="119">
        <v>1800</v>
      </c>
      <c r="J39" s="112"/>
      <c r="K39" s="113">
        <v>1300</v>
      </c>
      <c r="L39" s="114"/>
      <c r="M39" s="114">
        <v>1300</v>
      </c>
    </row>
    <row r="40" spans="1:13" ht="23.1" customHeight="1" x14ac:dyDescent="0.3">
      <c r="A40" s="5" t="s">
        <v>7</v>
      </c>
      <c r="B40" s="15">
        <v>1700</v>
      </c>
      <c r="C40" s="15"/>
      <c r="D40" s="15"/>
      <c r="E40" s="15"/>
      <c r="F40" s="15"/>
      <c r="G40" s="15"/>
      <c r="H40" s="15"/>
      <c r="I40" s="120"/>
      <c r="J40" s="112"/>
      <c r="K40" s="113"/>
      <c r="L40" s="114"/>
      <c r="M40" s="114"/>
    </row>
    <row r="41" spans="1:13" ht="23.1" customHeight="1" x14ac:dyDescent="0.3">
      <c r="A41" s="5" t="s">
        <v>8</v>
      </c>
      <c r="B41" s="15">
        <v>3000</v>
      </c>
      <c r="C41" s="15"/>
      <c r="D41" s="15"/>
      <c r="E41" s="15"/>
      <c r="F41" s="15"/>
      <c r="G41" s="15"/>
      <c r="H41" s="15"/>
      <c r="I41" s="120"/>
      <c r="J41" s="112"/>
      <c r="K41" s="113"/>
      <c r="L41" s="114"/>
      <c r="M41" s="114"/>
    </row>
    <row r="42" spans="1:13" ht="23.1" customHeight="1" x14ac:dyDescent="0.3">
      <c r="A42" s="5" t="s">
        <v>5</v>
      </c>
      <c r="B42" s="15">
        <v>7000</v>
      </c>
      <c r="C42" s="15">
        <v>5100</v>
      </c>
      <c r="D42" s="15"/>
      <c r="E42" s="15"/>
      <c r="F42" s="15"/>
      <c r="G42" s="15"/>
      <c r="H42" s="15"/>
      <c r="I42" s="120"/>
      <c r="J42" s="112"/>
      <c r="K42" s="113"/>
      <c r="L42" s="114"/>
      <c r="M42" s="114"/>
    </row>
    <row r="43" spans="1:13" ht="23.1" customHeight="1" x14ac:dyDescent="0.3">
      <c r="A43" s="5" t="s">
        <v>4</v>
      </c>
      <c r="B43" s="15"/>
      <c r="C43" s="15"/>
      <c r="D43" s="15"/>
      <c r="E43" s="15"/>
      <c r="F43" s="15"/>
      <c r="G43" s="15"/>
      <c r="H43" s="15"/>
      <c r="I43" s="120"/>
      <c r="J43" s="112"/>
      <c r="K43" s="113"/>
      <c r="L43" s="114"/>
      <c r="M43" s="114"/>
    </row>
    <row r="44" spans="1:13" ht="23.1" customHeight="1" x14ac:dyDescent="0.3">
      <c r="A44" s="5" t="s">
        <v>53</v>
      </c>
      <c r="B44" s="15"/>
      <c r="C44" s="15"/>
      <c r="D44" s="15"/>
      <c r="E44" s="15"/>
      <c r="F44" s="15"/>
      <c r="G44" s="15">
        <v>1500</v>
      </c>
      <c r="H44" s="15">
        <v>16800</v>
      </c>
      <c r="I44" s="120"/>
      <c r="J44" s="112"/>
      <c r="K44" s="113"/>
      <c r="L44" s="114"/>
      <c r="M44" s="114"/>
    </row>
    <row r="45" spans="1:13" ht="23.1" customHeight="1" x14ac:dyDescent="0.3">
      <c r="A45" s="5" t="s">
        <v>54</v>
      </c>
      <c r="B45" s="15"/>
      <c r="C45" s="15"/>
      <c r="D45" s="15"/>
      <c r="E45" s="15"/>
      <c r="F45" s="15"/>
      <c r="G45" s="15"/>
      <c r="H45" s="15"/>
      <c r="I45" s="120"/>
      <c r="J45" s="112"/>
      <c r="K45" s="113"/>
      <c r="L45" s="114"/>
      <c r="M45" s="114">
        <v>9600</v>
      </c>
    </row>
    <row r="46" spans="1:13" ht="23.1" customHeight="1" x14ac:dyDescent="0.3">
      <c r="A46" s="5" t="s">
        <v>31</v>
      </c>
      <c r="B46" s="15"/>
      <c r="C46" s="15">
        <v>1545</v>
      </c>
      <c r="D46" s="15">
        <v>1545</v>
      </c>
      <c r="E46" s="15">
        <v>1545</v>
      </c>
      <c r="F46" s="15">
        <f>1545+1545</f>
        <v>3090</v>
      </c>
      <c r="G46" s="15"/>
      <c r="H46" s="15">
        <f>1545+1545</f>
        <v>3090</v>
      </c>
      <c r="I46" s="120"/>
      <c r="J46" s="112">
        <v>3090</v>
      </c>
      <c r="K46" s="113"/>
      <c r="L46" s="114"/>
      <c r="M46" s="114"/>
    </row>
    <row r="47" spans="1:13" ht="23.1" customHeight="1" x14ac:dyDescent="0.3">
      <c r="A47" s="5" t="s">
        <v>6</v>
      </c>
      <c r="B47" s="15"/>
      <c r="C47" s="15"/>
      <c r="D47" s="15"/>
      <c r="E47" s="15"/>
      <c r="F47" s="15"/>
      <c r="G47" s="15"/>
      <c r="H47" s="15">
        <v>890</v>
      </c>
      <c r="I47" s="120"/>
      <c r="J47" s="112"/>
      <c r="K47" s="113">
        <v>3585.6</v>
      </c>
      <c r="L47" s="114"/>
      <c r="M47" s="114"/>
    </row>
    <row r="48" spans="1:13" ht="36.75" customHeight="1" x14ac:dyDescent="0.3">
      <c r="A48" s="5" t="s">
        <v>32</v>
      </c>
      <c r="B48" s="15">
        <v>192.07</v>
      </c>
      <c r="C48" s="15">
        <f>192.04+140.54</f>
        <v>332.58</v>
      </c>
      <c r="D48" s="15">
        <v>181.5</v>
      </c>
      <c r="E48" s="15"/>
      <c r="F48" s="15"/>
      <c r="G48" s="15">
        <f>222</f>
        <v>222</v>
      </c>
      <c r="H48" s="15">
        <v>220</v>
      </c>
      <c r="I48" s="120">
        <f>100</f>
        <v>100</v>
      </c>
      <c r="J48" s="112">
        <v>79.540000000000006</v>
      </c>
      <c r="K48" s="113">
        <f>49+93</f>
        <v>142</v>
      </c>
      <c r="L48" s="114">
        <f>126.54</f>
        <v>126.54</v>
      </c>
      <c r="M48" s="114">
        <f>68+390+79.54</f>
        <v>537.54</v>
      </c>
    </row>
    <row r="49" spans="1:13" ht="23.1" customHeight="1" x14ac:dyDescent="0.3">
      <c r="A49" s="5" t="s">
        <v>15</v>
      </c>
      <c r="B49" s="15"/>
      <c r="C49" s="15">
        <v>428</v>
      </c>
      <c r="D49" s="15"/>
      <c r="E49" s="15">
        <v>350</v>
      </c>
      <c r="F49" s="15"/>
      <c r="G49" s="15"/>
      <c r="H49" s="15">
        <v>290</v>
      </c>
      <c r="I49" s="120">
        <v>836</v>
      </c>
      <c r="J49" s="112">
        <v>2058</v>
      </c>
      <c r="K49" s="113">
        <f>640+1275+350</f>
        <v>2265</v>
      </c>
      <c r="L49" s="114"/>
      <c r="M49" s="114"/>
    </row>
    <row r="50" spans="1:13" ht="23.1" customHeight="1" x14ac:dyDescent="0.3">
      <c r="A50" s="5" t="s">
        <v>49</v>
      </c>
      <c r="B50" s="15"/>
      <c r="C50" s="15"/>
      <c r="D50" s="15"/>
      <c r="E50" s="15"/>
      <c r="F50" s="15"/>
      <c r="G50" s="15"/>
      <c r="H50" s="15"/>
      <c r="I50" s="120"/>
      <c r="J50" s="112"/>
      <c r="K50" s="113"/>
      <c r="L50" s="114">
        <v>2000</v>
      </c>
      <c r="M50" s="114"/>
    </row>
    <row r="51" spans="1:13" ht="23.1" customHeight="1" x14ac:dyDescent="0.3">
      <c r="A51" s="5" t="s">
        <v>81</v>
      </c>
      <c r="B51" s="15"/>
      <c r="C51" s="15">
        <v>1400</v>
      </c>
      <c r="D51" s="15"/>
      <c r="E51" s="15">
        <v>750</v>
      </c>
      <c r="F51" s="15"/>
      <c r="G51" s="15"/>
      <c r="H51" s="15"/>
      <c r="I51" s="96"/>
      <c r="J51" s="106"/>
      <c r="K51" s="104"/>
      <c r="L51" s="105"/>
      <c r="M51" s="105">
        <v>520</v>
      </c>
    </row>
    <row r="52" spans="1:13" ht="23.1" customHeight="1" x14ac:dyDescent="0.3">
      <c r="A52" s="5" t="s">
        <v>82</v>
      </c>
      <c r="B52" s="15"/>
      <c r="C52" s="15">
        <v>2114.83</v>
      </c>
      <c r="D52" s="15">
        <v>2153.9499999999998</v>
      </c>
      <c r="E52" s="15">
        <v>1977.4</v>
      </c>
      <c r="F52" s="15">
        <f>1346.7+205.95+617.85</f>
        <v>2170.5</v>
      </c>
      <c r="G52" s="15">
        <f>2057.9</f>
        <v>2057.9</v>
      </c>
      <c r="H52" s="15">
        <v>2138</v>
      </c>
      <c r="I52" s="121">
        <v>2148.4299999999998</v>
      </c>
      <c r="J52" s="106">
        <v>2138.5</v>
      </c>
      <c r="K52" s="104">
        <v>2104</v>
      </c>
      <c r="L52" s="105">
        <v>2087.5100000000002</v>
      </c>
      <c r="M52" s="105">
        <v>2230.87</v>
      </c>
    </row>
    <row r="53" spans="1:13" ht="23.1" customHeight="1" x14ac:dyDescent="0.3">
      <c r="A53" s="5" t="s">
        <v>83</v>
      </c>
      <c r="B53" s="15">
        <v>5990</v>
      </c>
      <c r="C53" s="15"/>
      <c r="D53" s="15"/>
      <c r="E53" s="15"/>
      <c r="F53" s="15"/>
      <c r="G53" s="15"/>
      <c r="H53" s="15"/>
      <c r="I53" s="96"/>
      <c r="J53" s="106"/>
      <c r="K53" s="104"/>
      <c r="L53" s="105"/>
      <c r="M53" s="105"/>
    </row>
    <row r="54" spans="1:13" ht="23.1" customHeight="1" x14ac:dyDescent="0.3">
      <c r="A54" s="5" t="s">
        <v>26</v>
      </c>
      <c r="B54" s="15">
        <v>630</v>
      </c>
      <c r="C54" s="15">
        <v>1260</v>
      </c>
      <c r="D54" s="15">
        <v>315</v>
      </c>
      <c r="E54" s="15">
        <v>540</v>
      </c>
      <c r="F54" s="15">
        <v>630</v>
      </c>
      <c r="G54" s="15"/>
      <c r="H54" s="15"/>
      <c r="I54" s="96"/>
      <c r="J54" s="106"/>
      <c r="K54" s="104">
        <f>105+544</f>
        <v>649</v>
      </c>
      <c r="L54" s="105"/>
      <c r="M54" s="105">
        <f>165+225+161</f>
        <v>551</v>
      </c>
    </row>
    <row r="55" spans="1:13" ht="23.1" customHeight="1" x14ac:dyDescent="0.3">
      <c r="A55" s="5" t="s">
        <v>27</v>
      </c>
      <c r="B55" s="15"/>
      <c r="C55" s="15"/>
      <c r="D55" s="15">
        <v>5981</v>
      </c>
      <c r="E55" s="15"/>
      <c r="F55" s="15"/>
      <c r="G55" s="15"/>
      <c r="H55" s="15"/>
      <c r="I55" s="96"/>
      <c r="J55" s="106"/>
      <c r="K55" s="104"/>
      <c r="L55" s="105"/>
      <c r="M55" s="105"/>
    </row>
    <row r="56" spans="1:13" ht="23.1" customHeight="1" x14ac:dyDescent="0.3">
      <c r="A56" s="5" t="s">
        <v>84</v>
      </c>
      <c r="B56" s="15"/>
      <c r="C56" s="15"/>
      <c r="D56" s="15"/>
      <c r="E56" s="15"/>
      <c r="F56" s="15"/>
      <c r="G56" s="15"/>
      <c r="H56" s="15"/>
      <c r="I56" s="96"/>
      <c r="J56" s="106"/>
      <c r="K56" s="104"/>
      <c r="L56" s="105"/>
      <c r="M56" s="105">
        <v>1511</v>
      </c>
    </row>
    <row r="57" spans="1:13" ht="23.1" customHeight="1" x14ac:dyDescent="0.3">
      <c r="A57" s="5" t="s">
        <v>85</v>
      </c>
      <c r="B57" s="15"/>
      <c r="C57" s="15"/>
      <c r="D57" s="15"/>
      <c r="E57" s="15"/>
      <c r="F57" s="15"/>
      <c r="G57" s="15"/>
      <c r="H57" s="15"/>
      <c r="I57" s="96">
        <v>1800</v>
      </c>
      <c r="J57" s="106"/>
      <c r="K57" s="104"/>
      <c r="L57" s="105"/>
      <c r="M57" s="105"/>
    </row>
    <row r="58" spans="1:13" ht="23.1" customHeight="1" x14ac:dyDescent="0.3">
      <c r="A58" s="5" t="s">
        <v>28</v>
      </c>
      <c r="B58" s="15"/>
      <c r="C58" s="15">
        <v>334.74</v>
      </c>
      <c r="D58" s="15">
        <f>59.81+600</f>
        <v>659.81</v>
      </c>
      <c r="E58" s="15">
        <f>91.36+171.94</f>
        <v>263.3</v>
      </c>
      <c r="F58" s="15">
        <v>393.01</v>
      </c>
      <c r="G58" s="15"/>
      <c r="H58" s="15"/>
      <c r="I58" s="96"/>
      <c r="J58" s="106"/>
      <c r="K58" s="104"/>
      <c r="L58" s="105"/>
      <c r="M58" s="105"/>
    </row>
    <row r="59" spans="1:13" ht="55.5" customHeight="1" x14ac:dyDescent="0.3">
      <c r="A59" s="5" t="s">
        <v>86</v>
      </c>
      <c r="B59" s="15"/>
      <c r="C59" s="15"/>
      <c r="D59" s="15">
        <v>1030</v>
      </c>
      <c r="E59" s="15"/>
      <c r="F59" s="15">
        <f>285+40+56.7+450+800</f>
        <v>1631.7</v>
      </c>
      <c r="G59" s="15">
        <f>340+120</f>
        <v>460</v>
      </c>
      <c r="H59" s="15">
        <v>933</v>
      </c>
      <c r="I59" s="96">
        <f>120+72+48+290+245</f>
        <v>775</v>
      </c>
      <c r="J59" s="106"/>
      <c r="K59" s="104"/>
      <c r="L59" s="105"/>
      <c r="M59" s="105">
        <v>142</v>
      </c>
    </row>
    <row r="60" spans="1:13" ht="23.1" customHeight="1" x14ac:dyDescent="0.3">
      <c r="A60" s="5" t="s">
        <v>33</v>
      </c>
      <c r="B60" s="15"/>
      <c r="C60" s="15"/>
      <c r="D60" s="15">
        <v>6955</v>
      </c>
      <c r="E60" s="15"/>
      <c r="F60" s="15"/>
      <c r="G60" s="15"/>
      <c r="H60" s="15">
        <v>682</v>
      </c>
      <c r="I60" s="96"/>
      <c r="J60" s="106">
        <v>1608.75</v>
      </c>
      <c r="K60" s="104">
        <f>1640+1210+1210+85</f>
        <v>4145</v>
      </c>
      <c r="L60" s="104">
        <f>754+847+862+798+690+907+798+690+754+907</f>
        <v>8007</v>
      </c>
      <c r="M60" s="105">
        <f>1036+727</f>
        <v>1763</v>
      </c>
    </row>
    <row r="61" spans="1:13" ht="23.1" customHeight="1" x14ac:dyDescent="0.3">
      <c r="A61" s="5" t="s">
        <v>87</v>
      </c>
      <c r="B61" s="15"/>
      <c r="C61" s="15"/>
      <c r="D61" s="15"/>
      <c r="E61" s="15"/>
      <c r="F61" s="15"/>
      <c r="G61" s="15"/>
      <c r="H61" s="15"/>
      <c r="I61" s="96">
        <v>2100</v>
      </c>
      <c r="J61" s="106"/>
      <c r="K61" s="104"/>
      <c r="L61" s="105"/>
      <c r="M61" s="105"/>
    </row>
    <row r="62" spans="1:13" ht="52.5" customHeight="1" x14ac:dyDescent="0.3">
      <c r="A62" s="5" t="s">
        <v>88</v>
      </c>
      <c r="B62" s="15"/>
      <c r="C62" s="15"/>
      <c r="D62" s="15"/>
      <c r="E62" s="15"/>
      <c r="F62" s="15"/>
      <c r="G62" s="15">
        <f>260+470+823.8</f>
        <v>1553.8</v>
      </c>
      <c r="H62" s="15"/>
      <c r="I62" s="96">
        <f>1012+900+540</f>
        <v>2452</v>
      </c>
      <c r="J62" s="106">
        <v>280</v>
      </c>
      <c r="K62" s="104"/>
      <c r="L62" s="105"/>
      <c r="M62" s="105"/>
    </row>
    <row r="63" spans="1:13" ht="41.25" customHeight="1" x14ac:dyDescent="0.3">
      <c r="A63" s="5" t="s">
        <v>89</v>
      </c>
      <c r="B63" s="15"/>
      <c r="C63" s="15"/>
      <c r="D63" s="15">
        <v>20000</v>
      </c>
      <c r="E63" s="15"/>
      <c r="F63" s="15"/>
      <c r="G63" s="15"/>
      <c r="H63" s="15"/>
      <c r="I63" s="96">
        <v>10000</v>
      </c>
      <c r="J63" s="106"/>
      <c r="K63" s="104"/>
      <c r="L63" s="105">
        <v>1000</v>
      </c>
      <c r="M63" s="105"/>
    </row>
    <row r="64" spans="1:13" ht="32.25" customHeight="1" x14ac:dyDescent="0.3">
      <c r="A64" s="5" t="s">
        <v>45</v>
      </c>
      <c r="B64" s="15"/>
      <c r="C64" s="15"/>
      <c r="D64" s="15"/>
      <c r="E64" s="15">
        <v>450</v>
      </c>
      <c r="F64" s="15"/>
      <c r="G64" s="15">
        <f>2940+374.5+450+1350</f>
        <v>5114.5</v>
      </c>
      <c r="H64" s="15">
        <v>1800</v>
      </c>
      <c r="I64" s="96">
        <v>156</v>
      </c>
      <c r="J64" s="106">
        <v>1800</v>
      </c>
      <c r="K64" s="104">
        <v>3150</v>
      </c>
      <c r="L64" s="104">
        <f>3150+500</f>
        <v>3650</v>
      </c>
      <c r="M64" s="105">
        <v>250</v>
      </c>
    </row>
    <row r="65" spans="1:13" ht="32.25" customHeight="1" x14ac:dyDescent="0.3">
      <c r="A65" s="5" t="s">
        <v>50</v>
      </c>
      <c r="B65" s="15"/>
      <c r="C65" s="15"/>
      <c r="D65" s="15"/>
      <c r="E65" s="15"/>
      <c r="F65" s="15"/>
      <c r="G65" s="15"/>
      <c r="H65" s="15"/>
      <c r="I65" s="96"/>
      <c r="J65" s="106"/>
      <c r="K65" s="104"/>
      <c r="L65" s="104">
        <v>13600</v>
      </c>
      <c r="M65" s="105"/>
    </row>
    <row r="66" spans="1:13" ht="63.75" customHeight="1" x14ac:dyDescent="0.3">
      <c r="A66" s="5" t="s">
        <v>90</v>
      </c>
      <c r="B66" s="15"/>
      <c r="C66" s="15"/>
      <c r="D66" s="15"/>
      <c r="E66" s="15"/>
      <c r="F66" s="15">
        <f>8458+280+1950</f>
        <v>10688</v>
      </c>
      <c r="G66" s="15"/>
      <c r="H66" s="15"/>
      <c r="I66" s="96">
        <f>10550</f>
        <v>10550</v>
      </c>
      <c r="J66" s="106">
        <v>10550</v>
      </c>
      <c r="K66" s="104"/>
      <c r="L66" s="105">
        <f>150+6200</f>
        <v>6350</v>
      </c>
      <c r="M66" s="105"/>
    </row>
    <row r="67" spans="1:13" ht="33.75" customHeight="1" x14ac:dyDescent="0.3">
      <c r="A67" s="5" t="s">
        <v>46</v>
      </c>
      <c r="B67" s="15"/>
      <c r="C67" s="15"/>
      <c r="D67" s="15"/>
      <c r="E67" s="15">
        <v>2550</v>
      </c>
      <c r="F67" s="15">
        <v>655</v>
      </c>
      <c r="G67" s="15">
        <v>9815</v>
      </c>
      <c r="H67" s="15"/>
      <c r="I67" s="96">
        <f>1615+260+7500+7500+7500+7500</f>
        <v>31875</v>
      </c>
      <c r="J67" s="106">
        <v>21200</v>
      </c>
      <c r="K67" s="104"/>
      <c r="L67" s="105"/>
      <c r="M67" s="105"/>
    </row>
    <row r="68" spans="1:13" ht="35.25" customHeight="1" x14ac:dyDescent="0.3">
      <c r="A68" s="5" t="s">
        <v>42</v>
      </c>
      <c r="B68" s="15"/>
      <c r="C68" s="15"/>
      <c r="D68" s="15"/>
      <c r="E68" s="15"/>
      <c r="F68" s="15"/>
      <c r="G68" s="15"/>
      <c r="H68" s="15">
        <v>5700</v>
      </c>
      <c r="I68" s="96"/>
      <c r="J68" s="106"/>
      <c r="K68" s="104"/>
      <c r="L68" s="105"/>
      <c r="M68" s="105"/>
    </row>
    <row r="69" spans="1:13" ht="35.25" customHeight="1" x14ac:dyDescent="0.3">
      <c r="A69" s="5" t="s">
        <v>44</v>
      </c>
      <c r="B69" s="15"/>
      <c r="C69" s="15"/>
      <c r="D69" s="15"/>
      <c r="E69" s="15"/>
      <c r="F69" s="15"/>
      <c r="G69" s="15"/>
      <c r="H69" s="15">
        <v>49010</v>
      </c>
      <c r="I69" s="96"/>
      <c r="J69" s="106"/>
      <c r="K69" s="104"/>
      <c r="L69" s="105"/>
      <c r="M69" s="105"/>
    </row>
    <row r="70" spans="1:13" ht="35.25" customHeight="1" thickBot="1" x14ac:dyDescent="0.35">
      <c r="A70" s="122" t="s">
        <v>43</v>
      </c>
      <c r="B70" s="28"/>
      <c r="C70" s="28"/>
      <c r="D70" s="28"/>
      <c r="E70" s="28"/>
      <c r="F70" s="28"/>
      <c r="G70" s="28"/>
      <c r="H70" s="28">
        <v>9500</v>
      </c>
      <c r="I70" s="96"/>
      <c r="J70" s="106"/>
      <c r="K70" s="104"/>
      <c r="L70" s="105"/>
      <c r="M70" s="105"/>
    </row>
    <row r="71" spans="1:13" s="12" customFormat="1" ht="39" customHeight="1" thickTop="1" thickBot="1" x14ac:dyDescent="0.3">
      <c r="A71" s="123" t="s">
        <v>14</v>
      </c>
      <c r="B71" s="18">
        <f>B1+B8-B15</f>
        <v>48322.929999999993</v>
      </c>
      <c r="C71" s="18">
        <f t="shared" ref="C71:H71" si="12">C8+C1-C6</f>
        <v>39526.319999999978</v>
      </c>
      <c r="D71" s="18">
        <f t="shared" si="12"/>
        <v>29129.73000000001</v>
      </c>
      <c r="E71" s="18">
        <f t="shared" si="12"/>
        <v>61848.390000000014</v>
      </c>
      <c r="F71" s="18">
        <f t="shared" si="12"/>
        <v>115769.86000000002</v>
      </c>
      <c r="G71" s="18">
        <f t="shared" si="12"/>
        <v>139374.47999999998</v>
      </c>
      <c r="H71" s="35">
        <f t="shared" si="12"/>
        <v>9749.4799999999814</v>
      </c>
      <c r="I71" s="35">
        <f>I8+I1-I6</f>
        <v>131504.04999999999</v>
      </c>
      <c r="J71" s="35">
        <f>J8+J1-J6</f>
        <v>49393</v>
      </c>
      <c r="K71" s="35">
        <f>K8+K1-K6</f>
        <v>50967.369999999995</v>
      </c>
      <c r="L71" s="35">
        <f>L8+L1-L6</f>
        <v>48146.320000000007</v>
      </c>
      <c r="M71" s="35">
        <f>M1+M8-M15</f>
        <v>249663.57</v>
      </c>
    </row>
    <row r="72" spans="1:13" ht="23.1" customHeight="1" thickTop="1" x14ac:dyDescent="0.3">
      <c r="A72" s="2" t="s">
        <v>108</v>
      </c>
    </row>
    <row r="73" spans="1:13" ht="23.1" customHeight="1" x14ac:dyDescent="0.3">
      <c r="A73" s="2" t="s">
        <v>109</v>
      </c>
    </row>
    <row r="74" spans="1:13" ht="23.1" customHeight="1" x14ac:dyDescent="0.3">
      <c r="A74" s="2" t="s">
        <v>110</v>
      </c>
    </row>
    <row r="75" spans="1:13" ht="23.1" customHeight="1" x14ac:dyDescent="0.3">
      <c r="A75" s="2" t="s">
        <v>111</v>
      </c>
    </row>
    <row r="76" spans="1:13" ht="23.1" customHeight="1" x14ac:dyDescent="0.3">
      <c r="A76" s="2" t="s">
        <v>112</v>
      </c>
    </row>
    <row r="77" spans="1:13" ht="23.1" customHeight="1" x14ac:dyDescent="0.3">
      <c r="A77" s="2" t="s">
        <v>113</v>
      </c>
    </row>
  </sheetData>
  <pageMargins left="0.16" right="0.28000000000000003" top="0.75000000000000011" bottom="0.75000000000000011" header="0.31" footer="0.31"/>
  <pageSetup paperSize="9" scale="46" orientation="portrait"/>
  <extLst>
    <ext xmlns:mx="http://schemas.microsoft.com/office/mac/excel/2008/main" uri="{64002731-A6B0-56B0-2670-7721B7C09600}">
      <mx:PLV Mode="0" OnePage="0" WScale="55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8"/>
  <sheetViews>
    <sheetView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G11" sqref="G11"/>
    </sheetView>
  </sheetViews>
  <sheetFormatPr defaultColWidth="8.85546875" defaultRowHeight="23.1" customHeight="1" x14ac:dyDescent="0.3"/>
  <cols>
    <col min="1" max="1" width="52.42578125" style="2" customWidth="1"/>
    <col min="2" max="2" width="16.85546875" style="13" customWidth="1"/>
    <col min="3" max="7" width="15.42578125" style="13" customWidth="1"/>
    <col min="8" max="8" width="16.28515625" style="13" customWidth="1"/>
    <col min="9" max="9" width="15.7109375" style="2" customWidth="1"/>
    <col min="10" max="14" width="15.42578125" style="2" customWidth="1"/>
    <col min="15" max="15" width="9.85546875" style="2" bestFit="1" customWidth="1"/>
    <col min="16" max="16384" width="8.85546875" style="2"/>
  </cols>
  <sheetData>
    <row r="1" spans="1:14" s="1" customFormat="1" ht="18" customHeight="1" x14ac:dyDescent="0.35">
      <c r="A1" s="6" t="s">
        <v>12</v>
      </c>
      <c r="B1" s="25">
        <f t="shared" ref="B1:G1" si="0">SUM(B2:B3)</f>
        <v>249663.57</v>
      </c>
      <c r="C1" s="25">
        <f t="shared" si="0"/>
        <v>69211.370000000083</v>
      </c>
      <c r="D1" s="25">
        <f t="shared" si="0"/>
        <v>158874.69000000006</v>
      </c>
      <c r="E1" s="25">
        <f t="shared" si="0"/>
        <v>68589.400000000009</v>
      </c>
      <c r="F1" s="25">
        <f t="shared" si="0"/>
        <v>119456.65000000001</v>
      </c>
      <c r="G1" s="25">
        <f t="shared" si="0"/>
        <v>131541.10000000003</v>
      </c>
      <c r="H1" s="25"/>
      <c r="I1" s="25"/>
      <c r="J1" s="25"/>
      <c r="K1" s="25"/>
      <c r="L1" s="25"/>
      <c r="M1" s="25"/>
    </row>
    <row r="2" spans="1:14" s="1" customFormat="1" ht="18" customHeight="1" x14ac:dyDescent="0.3">
      <c r="A2" s="7" t="s">
        <v>3</v>
      </c>
      <c r="B2" s="26">
        <v>197922.66</v>
      </c>
      <c r="C2" s="26">
        <f>B2+B10+B14-B18</f>
        <v>29522.080000000075</v>
      </c>
      <c r="D2" s="26">
        <f>C2+C10-C18</f>
        <v>74753.010000000068</v>
      </c>
      <c r="E2" s="26">
        <v>9817.11</v>
      </c>
      <c r="F2" s="26">
        <v>60996.36</v>
      </c>
      <c r="G2" s="26">
        <f>F2+F10+F14-F18</f>
        <v>23662.920000000042</v>
      </c>
      <c r="H2" s="26"/>
    </row>
    <row r="3" spans="1:14" s="3" customFormat="1" ht="18" customHeight="1" x14ac:dyDescent="0.3">
      <c r="A3" s="7" t="s">
        <v>18</v>
      </c>
      <c r="B3" s="26">
        <v>51740.91</v>
      </c>
      <c r="C3" s="26">
        <f>B3+B11-B41</f>
        <v>39689.290000000008</v>
      </c>
      <c r="D3" s="26">
        <f>C3+C11-C41</f>
        <v>84121.680000000008</v>
      </c>
      <c r="E3" s="26">
        <f>D3+D11-D41</f>
        <v>58772.290000000008</v>
      </c>
      <c r="F3" s="26">
        <f>E3+E11+E14-E41</f>
        <v>58460.290000000008</v>
      </c>
      <c r="G3" s="26">
        <f>F3+F11-F41</f>
        <v>107878.18000000001</v>
      </c>
      <c r="H3" s="26"/>
      <c r="I3" s="26"/>
      <c r="J3" s="26"/>
      <c r="K3" s="26"/>
      <c r="L3" s="26"/>
      <c r="M3" s="26"/>
    </row>
    <row r="4" spans="1:14" s="1" customFormat="1" ht="18" customHeight="1" x14ac:dyDescent="0.3">
      <c r="A4" s="7" t="s">
        <v>10</v>
      </c>
      <c r="B4" s="26">
        <f t="shared" ref="B4:G4" si="1">B18</f>
        <v>281643.22999999992</v>
      </c>
      <c r="C4" s="26">
        <f t="shared" si="1"/>
        <v>138509.07</v>
      </c>
      <c r="D4" s="26">
        <f t="shared" si="1"/>
        <v>277074.27</v>
      </c>
      <c r="E4" s="26">
        <f t="shared" si="1"/>
        <v>33967.879999999997</v>
      </c>
      <c r="F4" s="26">
        <f t="shared" si="1"/>
        <v>203803.47999999998</v>
      </c>
      <c r="G4" s="26">
        <f t="shared" si="1"/>
        <v>0</v>
      </c>
      <c r="H4" s="26">
        <f t="shared" ref="H4:J4" si="2">H18</f>
        <v>0</v>
      </c>
      <c r="I4" s="26">
        <f t="shared" si="2"/>
        <v>0</v>
      </c>
      <c r="J4" s="26">
        <f t="shared" si="2"/>
        <v>0</v>
      </c>
      <c r="K4" s="26">
        <f t="shared" ref="K4:L4" si="3">K18</f>
        <v>0</v>
      </c>
      <c r="L4" s="26">
        <f t="shared" si="3"/>
        <v>0</v>
      </c>
      <c r="M4" s="26">
        <f t="shared" ref="M4" si="4">M18</f>
        <v>0</v>
      </c>
    </row>
    <row r="5" spans="1:14" s="1" customFormat="1" ht="18" customHeight="1" x14ac:dyDescent="0.3">
      <c r="A5" s="7" t="s">
        <v>11</v>
      </c>
      <c r="B5" s="26">
        <f t="shared" ref="B5:G5" si="5">B41</f>
        <v>21851.62</v>
      </c>
      <c r="C5" s="26">
        <f t="shared" si="5"/>
        <v>16287.61</v>
      </c>
      <c r="D5" s="26">
        <f t="shared" si="5"/>
        <v>50849.39</v>
      </c>
      <c r="E5" s="26">
        <f t="shared" si="5"/>
        <v>12212</v>
      </c>
      <c r="F5" s="26">
        <f t="shared" si="5"/>
        <v>49382.11</v>
      </c>
      <c r="G5" s="26">
        <f t="shared" si="5"/>
        <v>0</v>
      </c>
      <c r="H5" s="26">
        <f>H41</f>
        <v>0</v>
      </c>
      <c r="I5" s="26">
        <f t="shared" ref="I5:J5" si="6">I41</f>
        <v>0</v>
      </c>
      <c r="J5" s="26">
        <f t="shared" si="6"/>
        <v>0</v>
      </c>
      <c r="K5" s="26">
        <f t="shared" ref="K5:L5" si="7">K41</f>
        <v>0</v>
      </c>
      <c r="L5" s="26">
        <f t="shared" si="7"/>
        <v>0</v>
      </c>
      <c r="M5" s="26">
        <f t="shared" ref="M5" si="8">M41</f>
        <v>0</v>
      </c>
      <c r="N5" s="1" t="s">
        <v>114</v>
      </c>
    </row>
    <row r="6" spans="1:14" ht="18" customHeight="1" thickBot="1" x14ac:dyDescent="0.35">
      <c r="A6" s="1" t="s">
        <v>17</v>
      </c>
      <c r="B6" s="21">
        <f t="shared" ref="B6:C6" si="9">SUM(B4:B5)</f>
        <v>303494.84999999992</v>
      </c>
      <c r="C6" s="21">
        <f t="shared" si="9"/>
        <v>154796.68</v>
      </c>
      <c r="D6" s="21">
        <f>SUM(D4:D5)</f>
        <v>327923.66000000003</v>
      </c>
      <c r="E6" s="21">
        <f>SUM(E4:E5)</f>
        <v>46179.88</v>
      </c>
      <c r="F6" s="21">
        <f>F18+F41</f>
        <v>253185.58999999997</v>
      </c>
      <c r="G6" s="21">
        <f t="shared" ref="G6:K6" si="10">SUM(G4:G5)</f>
        <v>0</v>
      </c>
      <c r="H6" s="21">
        <f t="shared" si="10"/>
        <v>0</v>
      </c>
      <c r="I6" s="21">
        <f t="shared" si="10"/>
        <v>0</v>
      </c>
      <c r="J6" s="21">
        <f t="shared" si="10"/>
        <v>0</v>
      </c>
      <c r="K6" s="21">
        <f t="shared" si="10"/>
        <v>0</v>
      </c>
      <c r="L6" s="21">
        <f>SUM(L4:L5)</f>
        <v>0</v>
      </c>
      <c r="M6" s="21">
        <f>SUM(M4:M5)</f>
        <v>0</v>
      </c>
      <c r="N6" s="46">
        <f>SUM(B6:M6)</f>
        <v>1085580.6599999999</v>
      </c>
    </row>
    <row r="7" spans="1:14" s="9" customFormat="1" ht="21" customHeight="1" thickTop="1" thickBot="1" x14ac:dyDescent="0.35">
      <c r="A7" s="11" t="s">
        <v>55</v>
      </c>
      <c r="B7" s="19" t="s">
        <v>60</v>
      </c>
      <c r="C7" s="19" t="s">
        <v>61</v>
      </c>
      <c r="D7" s="19" t="s">
        <v>62</v>
      </c>
      <c r="E7" s="19" t="s">
        <v>63</v>
      </c>
      <c r="F7" s="19" t="s">
        <v>56</v>
      </c>
      <c r="G7" s="19" t="s">
        <v>64</v>
      </c>
      <c r="H7" s="19" t="s">
        <v>65</v>
      </c>
      <c r="I7" s="29" t="s">
        <v>66</v>
      </c>
      <c r="J7" s="29" t="s">
        <v>67</v>
      </c>
      <c r="K7" s="29" t="s">
        <v>68</v>
      </c>
      <c r="L7" s="29" t="s">
        <v>69</v>
      </c>
      <c r="M7" s="29" t="s">
        <v>70</v>
      </c>
      <c r="N7" s="46">
        <f t="shared" ref="N7:N8" si="11">SUM(B7:M7)</f>
        <v>0</v>
      </c>
    </row>
    <row r="8" spans="1:14" s="1" customFormat="1" ht="23.1" customHeight="1" thickTop="1" x14ac:dyDescent="0.3">
      <c r="A8" s="34" t="s">
        <v>0</v>
      </c>
      <c r="B8" s="33">
        <f>B10+B11+B14</f>
        <v>123042.65</v>
      </c>
      <c r="C8" s="33">
        <f>C10+C11</f>
        <v>244460</v>
      </c>
      <c r="D8" s="33">
        <f>SUM(D10:D15)</f>
        <v>240138.37</v>
      </c>
      <c r="E8" s="33">
        <f>SUM(E10:E15)</f>
        <v>97047.13</v>
      </c>
      <c r="F8" s="33">
        <f t="shared" ref="F8:I8" si="12">SUM(F10:F15)</f>
        <v>265270.04000000004</v>
      </c>
      <c r="G8" s="33">
        <f t="shared" si="12"/>
        <v>0</v>
      </c>
      <c r="H8" s="33">
        <f t="shared" si="12"/>
        <v>0</v>
      </c>
      <c r="I8" s="33">
        <f t="shared" si="12"/>
        <v>0</v>
      </c>
      <c r="J8" s="33">
        <f t="shared" ref="J8" si="13">SUM(J10:J15)</f>
        <v>0</v>
      </c>
      <c r="K8" s="33">
        <f>SUM(K10:K15)</f>
        <v>0</v>
      </c>
      <c r="L8" s="33">
        <f>SUM(L10:L15)</f>
        <v>0</v>
      </c>
      <c r="M8" s="33">
        <f>SUM(M10:M15)</f>
        <v>0</v>
      </c>
      <c r="N8" s="46">
        <f t="shared" si="11"/>
        <v>969958.19000000006</v>
      </c>
    </row>
    <row r="9" spans="1:14" ht="12" customHeight="1" x14ac:dyDescent="0.3">
      <c r="A9" s="8" t="s">
        <v>2</v>
      </c>
      <c r="B9" s="14"/>
      <c r="C9" s="14"/>
      <c r="D9" s="14"/>
      <c r="E9" s="14"/>
      <c r="F9" s="14"/>
      <c r="G9" s="14"/>
      <c r="H9" s="14"/>
    </row>
    <row r="10" spans="1:14" ht="23.1" customHeight="1" x14ac:dyDescent="0.3">
      <c r="A10" s="43" t="s">
        <v>16</v>
      </c>
      <c r="B10" s="15">
        <f>105460+7782.65</f>
        <v>113242.65</v>
      </c>
      <c r="C10" s="15">
        <f>183740</f>
        <v>183740</v>
      </c>
      <c r="D10" s="15">
        <v>197268.12</v>
      </c>
      <c r="E10" s="15">
        <v>85134</v>
      </c>
      <c r="F10" s="15">
        <v>166470.04</v>
      </c>
      <c r="G10" s="15"/>
      <c r="H10" s="15"/>
      <c r="I10" s="36"/>
      <c r="J10" s="37"/>
      <c r="K10" s="37"/>
      <c r="L10" s="36"/>
      <c r="M10" s="36"/>
    </row>
    <row r="11" spans="1:14" ht="23.1" customHeight="1" x14ac:dyDescent="0.3">
      <c r="A11" s="44" t="s">
        <v>22</v>
      </c>
      <c r="B11" s="27">
        <v>9800</v>
      </c>
      <c r="C11" s="27">
        <v>60720</v>
      </c>
      <c r="D11" s="27">
        <v>25500</v>
      </c>
      <c r="E11" s="27">
        <v>10900</v>
      </c>
      <c r="F11" s="27">
        <v>98800</v>
      </c>
      <c r="G11" s="27"/>
      <c r="H11" s="27"/>
      <c r="I11" s="36"/>
      <c r="J11" s="38"/>
      <c r="K11" s="38"/>
      <c r="L11" s="38"/>
      <c r="M11" s="38"/>
    </row>
    <row r="12" spans="1:14" ht="23.1" customHeight="1" x14ac:dyDescent="0.3">
      <c r="A12" s="44" t="s">
        <v>23</v>
      </c>
      <c r="B12" s="27"/>
      <c r="C12" s="27"/>
      <c r="D12" s="27">
        <f>64.37+14305.88</f>
        <v>14370.25</v>
      </c>
      <c r="E12" s="27"/>
      <c r="F12" s="27"/>
      <c r="G12" s="27"/>
      <c r="H12" s="27"/>
      <c r="I12" s="30"/>
      <c r="J12" s="30"/>
      <c r="K12" s="30"/>
      <c r="L12" s="30"/>
      <c r="M12" s="40"/>
    </row>
    <row r="13" spans="1:14" ht="23.1" customHeight="1" x14ac:dyDescent="0.3">
      <c r="A13" s="44" t="s">
        <v>71</v>
      </c>
      <c r="B13" s="27"/>
      <c r="C13" s="27"/>
      <c r="D13" s="27"/>
      <c r="E13" s="27">
        <v>13.13</v>
      </c>
      <c r="F13" s="27"/>
      <c r="G13" s="27"/>
      <c r="H13" s="27"/>
      <c r="I13" s="30"/>
      <c r="J13" s="30"/>
      <c r="K13" s="30"/>
      <c r="L13" s="30"/>
      <c r="M13" s="40"/>
    </row>
    <row r="14" spans="1:14" ht="23.1" customHeight="1" thickBot="1" x14ac:dyDescent="0.35">
      <c r="A14" s="44" t="s">
        <v>59</v>
      </c>
      <c r="B14" s="27"/>
      <c r="C14" s="27"/>
      <c r="D14" s="27">
        <f>500+2500</f>
        <v>3000</v>
      </c>
      <c r="E14" s="45">
        <v>1000</v>
      </c>
      <c r="F14" s="27"/>
      <c r="G14" s="27"/>
      <c r="H14" s="27"/>
      <c r="I14" s="30"/>
      <c r="J14" s="30"/>
      <c r="K14" s="30"/>
      <c r="L14" s="40"/>
      <c r="M14" s="40"/>
    </row>
    <row r="15" spans="1:14" ht="23.25" hidden="1" customHeight="1" thickBot="1" x14ac:dyDescent="0.35">
      <c r="A15" s="20" t="s">
        <v>24</v>
      </c>
      <c r="B15" s="27"/>
      <c r="C15" s="27"/>
      <c r="D15" s="27"/>
      <c r="E15" s="27"/>
      <c r="F15" s="27"/>
      <c r="G15" s="27"/>
      <c r="H15" s="27"/>
      <c r="I15" s="30"/>
      <c r="J15" s="30"/>
      <c r="K15" s="30"/>
      <c r="L15" s="30"/>
      <c r="M15" s="30"/>
    </row>
    <row r="16" spans="1:14" s="1" customFormat="1" ht="23.1" customHeight="1" thickTop="1" x14ac:dyDescent="0.3">
      <c r="A16" s="10" t="s">
        <v>1</v>
      </c>
      <c r="B16" s="17">
        <f t="shared" ref="B16:M16" si="14">B18+B41</f>
        <v>303494.84999999992</v>
      </c>
      <c r="C16" s="17">
        <f t="shared" si="14"/>
        <v>154796.68</v>
      </c>
      <c r="D16" s="17">
        <f t="shared" si="14"/>
        <v>327923.66000000003</v>
      </c>
      <c r="E16" s="17">
        <f>E18+E41</f>
        <v>46179.88</v>
      </c>
      <c r="F16" s="17">
        <f t="shared" si="14"/>
        <v>253185.58999999997</v>
      </c>
      <c r="G16" s="17">
        <f t="shared" si="14"/>
        <v>0</v>
      </c>
      <c r="H16" s="32">
        <f t="shared" si="14"/>
        <v>0</v>
      </c>
      <c r="I16" s="32">
        <f t="shared" si="14"/>
        <v>0</v>
      </c>
      <c r="J16" s="32">
        <f t="shared" si="14"/>
        <v>0</v>
      </c>
      <c r="K16" s="32">
        <f t="shared" si="14"/>
        <v>0</v>
      </c>
      <c r="L16" s="32">
        <f t="shared" si="14"/>
        <v>0</v>
      </c>
      <c r="M16" s="32">
        <f t="shared" si="14"/>
        <v>0</v>
      </c>
    </row>
    <row r="17" spans="1:13" ht="14.1" customHeight="1" x14ac:dyDescent="0.3">
      <c r="A17" s="160" t="s">
        <v>2</v>
      </c>
      <c r="B17" s="14"/>
      <c r="C17" s="14"/>
      <c r="D17" s="14"/>
      <c r="E17" s="14"/>
      <c r="F17" s="14"/>
      <c r="G17" s="14"/>
      <c r="H17" s="14"/>
    </row>
    <row r="18" spans="1:13" ht="23.1" customHeight="1" x14ac:dyDescent="0.3">
      <c r="A18" s="158" t="s">
        <v>13</v>
      </c>
      <c r="B18" s="159">
        <f>SUM(B20:B40)</f>
        <v>281643.22999999992</v>
      </c>
      <c r="C18" s="159">
        <f t="shared" ref="C18:M18" si="15">SUM(C20:C40)</f>
        <v>138509.07</v>
      </c>
      <c r="D18" s="159">
        <f t="shared" si="15"/>
        <v>277074.27</v>
      </c>
      <c r="E18" s="159">
        <f t="shared" si="15"/>
        <v>33967.879999999997</v>
      </c>
      <c r="F18" s="159">
        <f t="shared" si="15"/>
        <v>203803.47999999998</v>
      </c>
      <c r="G18" s="159">
        <f t="shared" si="15"/>
        <v>0</v>
      </c>
      <c r="H18" s="159">
        <f t="shared" si="15"/>
        <v>0</v>
      </c>
      <c r="I18" s="159">
        <f t="shared" si="15"/>
        <v>0</v>
      </c>
      <c r="J18" s="159">
        <f t="shared" si="15"/>
        <v>0</v>
      </c>
      <c r="K18" s="159">
        <f t="shared" si="15"/>
        <v>0</v>
      </c>
      <c r="L18" s="159">
        <f t="shared" si="15"/>
        <v>0</v>
      </c>
      <c r="M18" s="159">
        <f t="shared" si="15"/>
        <v>0</v>
      </c>
    </row>
    <row r="19" spans="1:13" s="132" customFormat="1" ht="39" customHeight="1" x14ac:dyDescent="0.25">
      <c r="A19" s="124" t="s">
        <v>38</v>
      </c>
      <c r="B19" s="130"/>
      <c r="C19" s="130"/>
      <c r="D19" s="130"/>
      <c r="E19" s="130"/>
      <c r="F19" s="130"/>
      <c r="G19" s="130"/>
      <c r="H19" s="130"/>
      <c r="I19" s="131"/>
      <c r="J19" s="131"/>
      <c r="K19" s="131"/>
      <c r="L19" s="130"/>
      <c r="M19" s="130"/>
    </row>
    <row r="20" spans="1:13" s="132" customFormat="1" ht="39" customHeight="1" x14ac:dyDescent="0.25">
      <c r="A20" s="150" t="s">
        <v>39</v>
      </c>
      <c r="B20" s="130"/>
      <c r="C20" s="127"/>
      <c r="D20" s="133"/>
      <c r="E20" s="127"/>
      <c r="F20" s="127"/>
      <c r="G20" s="127"/>
      <c r="H20" s="127"/>
      <c r="I20" s="134"/>
      <c r="J20" s="135"/>
      <c r="K20" s="134"/>
      <c r="L20" s="134"/>
      <c r="M20" s="134"/>
    </row>
    <row r="21" spans="1:13" s="132" customFormat="1" ht="39" customHeight="1" x14ac:dyDescent="0.25">
      <c r="A21" s="150" t="s">
        <v>37</v>
      </c>
      <c r="B21" s="130">
        <v>80489.48</v>
      </c>
      <c r="C21" s="127">
        <f>55000+23336.42</f>
        <v>78336.42</v>
      </c>
      <c r="D21" s="133"/>
      <c r="E21" s="127"/>
      <c r="F21" s="127"/>
      <c r="G21" s="127"/>
      <c r="H21" s="127"/>
      <c r="I21" s="136"/>
      <c r="J21" s="137"/>
      <c r="K21" s="138"/>
      <c r="L21" s="138"/>
      <c r="M21" s="138"/>
    </row>
    <row r="22" spans="1:13" s="132" customFormat="1" ht="39" customHeight="1" x14ac:dyDescent="0.25">
      <c r="A22" s="150" t="s">
        <v>40</v>
      </c>
      <c r="B22" s="130"/>
      <c r="C22" s="127"/>
      <c r="D22" s="133"/>
      <c r="E22" s="127"/>
      <c r="F22" s="127"/>
      <c r="G22" s="127"/>
      <c r="H22" s="127"/>
      <c r="I22" s="139"/>
      <c r="J22" s="137"/>
      <c r="K22" s="138"/>
      <c r="L22" s="138"/>
      <c r="M22" s="138"/>
    </row>
    <row r="23" spans="1:13" s="132" customFormat="1" ht="39" customHeight="1" x14ac:dyDescent="0.25">
      <c r="A23" s="126" t="s">
        <v>57</v>
      </c>
      <c r="B23" s="130">
        <f>2000+62097.22+1600+2980+4400+8.54+5000+800+1000+1000+1880+6437.92+2600</f>
        <v>91803.68</v>
      </c>
      <c r="C23" s="127"/>
      <c r="D23" s="133"/>
      <c r="E23" s="127"/>
      <c r="F23" s="127"/>
      <c r="G23" s="127"/>
      <c r="H23" s="127"/>
      <c r="I23" s="139"/>
      <c r="J23" s="137"/>
      <c r="K23" s="138"/>
      <c r="L23" s="138"/>
      <c r="M23" s="138"/>
    </row>
    <row r="24" spans="1:13" s="143" customFormat="1" ht="39" customHeight="1" x14ac:dyDescent="0.25">
      <c r="A24" s="125" t="s">
        <v>20</v>
      </c>
      <c r="B24" s="140">
        <f>5981+11962+26100</f>
        <v>44043</v>
      </c>
      <c r="C24" s="140">
        <f>5981+11962</f>
        <v>17943</v>
      </c>
      <c r="D24" s="140">
        <f>6525+13050+26100</f>
        <v>45675</v>
      </c>
      <c r="E24" s="140">
        <f>6525+13050</f>
        <v>19575</v>
      </c>
      <c r="F24" s="140">
        <f>6525+13050+26100</f>
        <v>45675</v>
      </c>
      <c r="G24" s="140"/>
      <c r="H24" s="140"/>
      <c r="I24" s="141"/>
      <c r="J24" s="142"/>
      <c r="K24" s="141"/>
      <c r="L24" s="134"/>
      <c r="M24" s="134"/>
    </row>
    <row r="25" spans="1:13" s="143" customFormat="1" ht="39" customHeight="1" x14ac:dyDescent="0.25">
      <c r="A25" s="125" t="s">
        <v>58</v>
      </c>
      <c r="B25" s="140"/>
      <c r="C25" s="140"/>
      <c r="D25" s="140">
        <f>37486.5+59724+1000+5600+6000+1000+8000+2.9+637.5+2000+3359.6+5000+5800+1000+2700+1800+2568.12+6000+6000+12000+800+2000+5000+1600+2096.28+14586.61+2000</f>
        <v>195761.51</v>
      </c>
      <c r="E25" s="140"/>
      <c r="F25" s="140">
        <f>63000+51388.49</f>
        <v>114388.48999999999</v>
      </c>
      <c r="G25" s="140"/>
      <c r="H25" s="140"/>
      <c r="I25" s="144"/>
      <c r="J25" s="145"/>
      <c r="K25" s="146"/>
      <c r="L25" s="145"/>
      <c r="M25" s="145"/>
    </row>
    <row r="26" spans="1:13" s="143" customFormat="1" ht="39" customHeight="1" x14ac:dyDescent="0.25">
      <c r="A26" s="125" t="s">
        <v>36</v>
      </c>
      <c r="B26" s="140"/>
      <c r="C26" s="140"/>
      <c r="D26" s="140"/>
      <c r="E26" s="140"/>
      <c r="F26" s="140"/>
      <c r="G26" s="140"/>
      <c r="H26" s="140"/>
      <c r="I26" s="147"/>
      <c r="J26" s="145"/>
      <c r="K26" s="145"/>
      <c r="L26" s="145"/>
      <c r="M26" s="145"/>
    </row>
    <row r="27" spans="1:13" s="143" customFormat="1" ht="39" customHeight="1" x14ac:dyDescent="0.25">
      <c r="A27" s="126" t="s">
        <v>31</v>
      </c>
      <c r="B27" s="140">
        <v>1545</v>
      </c>
      <c r="C27" s="140">
        <v>1545</v>
      </c>
      <c r="D27" s="140">
        <v>1545</v>
      </c>
      <c r="E27" s="140">
        <v>1545</v>
      </c>
      <c r="F27" s="140"/>
      <c r="G27" s="140"/>
      <c r="H27" s="140"/>
      <c r="I27" s="147"/>
      <c r="J27" s="145"/>
      <c r="K27" s="145"/>
      <c r="L27" s="127"/>
      <c r="M27" s="127"/>
    </row>
    <row r="28" spans="1:13" s="143" customFormat="1" ht="39" customHeight="1" x14ac:dyDescent="0.25">
      <c r="A28" s="126" t="s">
        <v>25</v>
      </c>
      <c r="B28" s="140"/>
      <c r="C28" s="140"/>
      <c r="D28" s="140"/>
      <c r="E28" s="140"/>
      <c r="F28" s="140"/>
      <c r="G28" s="140"/>
      <c r="H28" s="140"/>
      <c r="I28" s="148"/>
      <c r="J28" s="145"/>
      <c r="K28" s="149"/>
      <c r="L28" s="149"/>
      <c r="M28" s="149"/>
    </row>
    <row r="29" spans="1:13" s="143" customFormat="1" ht="39" customHeight="1" x14ac:dyDescent="0.25">
      <c r="A29" s="126" t="s">
        <v>51</v>
      </c>
      <c r="B29" s="140">
        <v>21276.02</v>
      </c>
      <c r="C29" s="140">
        <v>21615.439999999999</v>
      </c>
      <c r="D29" s="140">
        <v>11790.24</v>
      </c>
      <c r="E29" s="140"/>
      <c r="F29" s="140">
        <v>25545.52</v>
      </c>
      <c r="G29" s="140"/>
      <c r="H29" s="140"/>
      <c r="I29" s="148"/>
      <c r="J29" s="145"/>
      <c r="K29" s="149"/>
      <c r="L29" s="149"/>
      <c r="M29" s="128"/>
    </row>
    <row r="30" spans="1:13" s="143" customFormat="1" ht="39" customHeight="1" x14ac:dyDescent="0.25">
      <c r="A30" s="125" t="s">
        <v>21</v>
      </c>
      <c r="B30" s="140">
        <f>6582+362.75+1469+2582+11138+8.54</f>
        <v>22142.29</v>
      </c>
      <c r="C30" s="140">
        <f>2682</f>
        <v>2682</v>
      </c>
      <c r="D30" s="140">
        <f>275.8+1469+2582+6525+11138+4.34</f>
        <v>21994.14</v>
      </c>
      <c r="E30" s="140">
        <f>894+1950</f>
        <v>2844</v>
      </c>
      <c r="F30" s="140">
        <v>6825</v>
      </c>
      <c r="G30" s="140"/>
      <c r="H30" s="140"/>
      <c r="I30" s="149"/>
      <c r="J30" s="145"/>
      <c r="K30" s="149"/>
      <c r="L30" s="129"/>
      <c r="M30" s="129"/>
    </row>
    <row r="31" spans="1:13" s="143" customFormat="1" ht="39" customHeight="1" x14ac:dyDescent="0.25">
      <c r="A31" s="126" t="s">
        <v>29</v>
      </c>
      <c r="B31" s="140">
        <v>17963.54</v>
      </c>
      <c r="C31" s="140">
        <v>14097.49</v>
      </c>
      <c r="D31" s="140"/>
      <c r="E31" s="140">
        <v>7826</v>
      </c>
      <c r="F31" s="140">
        <v>7061.09</v>
      </c>
      <c r="G31" s="140"/>
      <c r="H31" s="140"/>
      <c r="I31" s="149"/>
      <c r="J31" s="145"/>
      <c r="K31" s="149"/>
      <c r="L31" s="129"/>
      <c r="M31" s="129"/>
    </row>
    <row r="32" spans="1:13" s="143" customFormat="1" ht="39" customHeight="1" x14ac:dyDescent="0.25">
      <c r="A32" s="125" t="s">
        <v>116</v>
      </c>
      <c r="B32" s="140"/>
      <c r="C32" s="140"/>
      <c r="D32" s="140"/>
      <c r="E32" s="140"/>
      <c r="F32" s="140"/>
      <c r="G32" s="140"/>
      <c r="H32" s="140"/>
      <c r="I32" s="149"/>
      <c r="J32" s="145"/>
      <c r="K32" s="149"/>
      <c r="L32" s="129"/>
      <c r="M32" s="129"/>
    </row>
    <row r="33" spans="1:13" s="143" customFormat="1" ht="39" customHeight="1" x14ac:dyDescent="0.25">
      <c r="A33" s="125" t="s">
        <v>115</v>
      </c>
      <c r="B33" s="140"/>
      <c r="C33" s="140"/>
      <c r="D33" s="140"/>
      <c r="E33" s="140"/>
      <c r="F33" s="140"/>
      <c r="G33" s="140"/>
      <c r="H33" s="140"/>
      <c r="I33" s="149"/>
      <c r="J33" s="145"/>
      <c r="K33" s="149"/>
      <c r="L33" s="129"/>
      <c r="M33" s="129"/>
    </row>
    <row r="34" spans="1:13" s="143" customFormat="1" ht="39" customHeight="1" x14ac:dyDescent="0.25">
      <c r="A34" s="125" t="s">
        <v>115</v>
      </c>
      <c r="B34" s="140"/>
      <c r="C34" s="140"/>
      <c r="D34" s="140"/>
      <c r="E34" s="140"/>
      <c r="F34" s="140"/>
      <c r="G34" s="140"/>
      <c r="H34" s="140"/>
      <c r="I34" s="149"/>
      <c r="J34" s="145"/>
      <c r="K34" s="149"/>
      <c r="L34" s="129"/>
      <c r="M34" s="129"/>
    </row>
    <row r="35" spans="1:13" s="143" customFormat="1" ht="39" customHeight="1" x14ac:dyDescent="0.25">
      <c r="A35" s="125" t="s">
        <v>115</v>
      </c>
      <c r="B35" s="140"/>
      <c r="C35" s="140"/>
      <c r="D35" s="140"/>
      <c r="E35" s="140"/>
      <c r="F35" s="140"/>
      <c r="G35" s="140"/>
      <c r="H35" s="140"/>
      <c r="I35" s="149"/>
      <c r="J35" s="145"/>
      <c r="K35" s="149"/>
      <c r="L35" s="129"/>
      <c r="M35" s="129"/>
    </row>
    <row r="36" spans="1:13" s="143" customFormat="1" ht="39" customHeight="1" x14ac:dyDescent="0.25">
      <c r="A36" s="125" t="s">
        <v>115</v>
      </c>
      <c r="B36" s="140"/>
      <c r="C36" s="140"/>
      <c r="D36" s="140"/>
      <c r="E36" s="140"/>
      <c r="F36" s="140"/>
      <c r="G36" s="140"/>
      <c r="H36" s="140"/>
      <c r="I36" s="149"/>
      <c r="J36" s="145"/>
      <c r="K36" s="149"/>
      <c r="L36" s="129"/>
      <c r="M36" s="129"/>
    </row>
    <row r="37" spans="1:13" s="143" customFormat="1" ht="39" customHeight="1" x14ac:dyDescent="0.25">
      <c r="A37" s="125" t="s">
        <v>115</v>
      </c>
      <c r="B37" s="140"/>
      <c r="C37" s="140"/>
      <c r="D37" s="140"/>
      <c r="E37" s="140"/>
      <c r="F37" s="140"/>
      <c r="G37" s="140"/>
      <c r="H37" s="140"/>
      <c r="I37" s="149"/>
      <c r="J37" s="145"/>
      <c r="K37" s="149"/>
      <c r="L37" s="129"/>
      <c r="M37" s="129"/>
    </row>
    <row r="38" spans="1:13" s="143" customFormat="1" ht="39" customHeight="1" x14ac:dyDescent="0.25">
      <c r="A38" s="125" t="s">
        <v>115</v>
      </c>
      <c r="B38" s="140"/>
      <c r="C38" s="140"/>
      <c r="D38" s="140"/>
      <c r="E38" s="140"/>
      <c r="F38" s="140"/>
      <c r="G38" s="140"/>
      <c r="H38" s="140"/>
      <c r="I38" s="149"/>
      <c r="J38" s="145"/>
      <c r="K38" s="149"/>
      <c r="L38" s="129"/>
      <c r="M38" s="129"/>
    </row>
    <row r="39" spans="1:13" s="143" customFormat="1" ht="39" customHeight="1" x14ac:dyDescent="0.25">
      <c r="A39" s="126" t="s">
        <v>52</v>
      </c>
      <c r="B39" s="140"/>
      <c r="C39" s="140"/>
      <c r="D39" s="140"/>
      <c r="E39" s="140"/>
      <c r="F39" s="140"/>
      <c r="G39" s="140"/>
      <c r="H39" s="140"/>
      <c r="I39" s="149"/>
      <c r="J39" s="145"/>
      <c r="K39" s="149"/>
      <c r="L39" s="129"/>
      <c r="M39" s="129"/>
    </row>
    <row r="40" spans="1:13" s="143" customFormat="1" ht="39" customHeight="1" thickBot="1" x14ac:dyDescent="0.3">
      <c r="A40" s="151" t="s">
        <v>48</v>
      </c>
      <c r="B40" s="152">
        <v>2380.2199999999998</v>
      </c>
      <c r="C40" s="152">
        <f>40+89.72+40+80+40+2000</f>
        <v>2289.7200000000003</v>
      </c>
      <c r="D40" s="152">
        <f>228.38+80</f>
        <v>308.38</v>
      </c>
      <c r="E40" s="152">
        <f>32.63+40+40+65.25+2000</f>
        <v>2177.88</v>
      </c>
      <c r="F40" s="152">
        <f>40+228.38+40+4000</f>
        <v>4308.38</v>
      </c>
      <c r="G40" s="152"/>
      <c r="H40" s="152"/>
      <c r="I40" s="153"/>
      <c r="J40" s="154"/>
      <c r="K40" s="153"/>
      <c r="L40" s="155"/>
      <c r="M40" s="155"/>
    </row>
    <row r="41" spans="1:13" ht="23.1" customHeight="1" thickTop="1" thickBot="1" x14ac:dyDescent="0.35">
      <c r="A41" s="156" t="s">
        <v>19</v>
      </c>
      <c r="B41" s="157">
        <f>SUM(B42:B86)</f>
        <v>21851.62</v>
      </c>
      <c r="C41" s="157">
        <f t="shared" ref="C41:M41" si="16">SUM(C42:C86)</f>
        <v>16287.61</v>
      </c>
      <c r="D41" s="157">
        <f t="shared" si="16"/>
        <v>50849.39</v>
      </c>
      <c r="E41" s="157">
        <f t="shared" si="16"/>
        <v>12212</v>
      </c>
      <c r="F41" s="157">
        <f t="shared" si="16"/>
        <v>49382.11</v>
      </c>
      <c r="G41" s="157">
        <f t="shared" si="16"/>
        <v>0</v>
      </c>
      <c r="H41" s="157">
        <f t="shared" si="16"/>
        <v>0</v>
      </c>
      <c r="I41" s="157">
        <f t="shared" si="16"/>
        <v>0</v>
      </c>
      <c r="J41" s="157">
        <f t="shared" si="16"/>
        <v>0</v>
      </c>
      <c r="K41" s="157">
        <f t="shared" si="16"/>
        <v>0</v>
      </c>
      <c r="L41" s="157">
        <f t="shared" si="16"/>
        <v>0</v>
      </c>
      <c r="M41" s="157">
        <f t="shared" si="16"/>
        <v>0</v>
      </c>
    </row>
    <row r="42" spans="1:13" ht="23.1" customHeight="1" thickTop="1" x14ac:dyDescent="0.3">
      <c r="A42" s="161" t="s">
        <v>34</v>
      </c>
      <c r="B42" s="171"/>
      <c r="C42" s="171"/>
      <c r="D42" s="171"/>
      <c r="E42" s="172"/>
      <c r="F42" s="171"/>
      <c r="G42" s="171"/>
      <c r="H42" s="171"/>
      <c r="I42" s="173"/>
      <c r="J42" s="174"/>
      <c r="K42" s="173"/>
      <c r="L42" s="173"/>
      <c r="M42" s="173"/>
    </row>
    <row r="43" spans="1:13" ht="35.25" customHeight="1" x14ac:dyDescent="0.3">
      <c r="A43" s="126" t="s">
        <v>35</v>
      </c>
      <c r="B43" s="140"/>
      <c r="C43" s="140"/>
      <c r="D43" s="140"/>
      <c r="E43" s="140"/>
      <c r="F43" s="140"/>
      <c r="G43" s="140"/>
      <c r="H43" s="140"/>
      <c r="I43" s="141"/>
      <c r="J43" s="127"/>
      <c r="K43" s="129"/>
      <c r="L43" s="128"/>
      <c r="M43" s="128"/>
    </row>
    <row r="44" spans="1:13" ht="35.25" customHeight="1" x14ac:dyDescent="0.3">
      <c r="A44" s="126" t="s">
        <v>30</v>
      </c>
      <c r="B44" s="140"/>
      <c r="C44" s="140"/>
      <c r="D44" s="140"/>
      <c r="E44" s="140"/>
      <c r="F44" s="140"/>
      <c r="G44" s="140"/>
      <c r="H44" s="140"/>
      <c r="I44" s="141"/>
      <c r="J44" s="127"/>
      <c r="K44" s="129"/>
      <c r="L44" s="128"/>
      <c r="M44" s="128"/>
    </row>
    <row r="45" spans="1:13" ht="35.25" customHeight="1" x14ac:dyDescent="0.3">
      <c r="A45" s="125" t="s">
        <v>41</v>
      </c>
      <c r="B45" s="140"/>
      <c r="C45" s="140"/>
      <c r="D45" s="175"/>
      <c r="E45" s="175"/>
      <c r="F45" s="175"/>
      <c r="G45" s="140"/>
      <c r="H45" s="140"/>
      <c r="I45" s="176"/>
      <c r="J45" s="164"/>
      <c r="K45" s="165"/>
      <c r="L45" s="166"/>
      <c r="M45" s="166"/>
    </row>
    <row r="46" spans="1:13" ht="35.25" customHeight="1" x14ac:dyDescent="0.3">
      <c r="A46" s="125" t="s">
        <v>117</v>
      </c>
      <c r="B46" s="140"/>
      <c r="C46" s="140"/>
      <c r="D46" s="175">
        <v>17024.36</v>
      </c>
      <c r="E46" s="175"/>
      <c r="F46" s="175"/>
      <c r="G46" s="140"/>
      <c r="H46" s="140"/>
      <c r="I46" s="134"/>
      <c r="J46" s="127"/>
      <c r="K46" s="129"/>
      <c r="L46" s="128"/>
      <c r="M46" s="128"/>
    </row>
    <row r="47" spans="1:13" ht="35.25" customHeight="1" x14ac:dyDescent="0.3">
      <c r="A47" s="162" t="s">
        <v>47</v>
      </c>
      <c r="B47" s="177"/>
      <c r="C47" s="177"/>
      <c r="D47" s="177"/>
      <c r="E47" s="177"/>
      <c r="F47" s="177"/>
      <c r="G47" s="177"/>
      <c r="H47" s="177"/>
      <c r="I47" s="167"/>
      <c r="J47" s="168"/>
      <c r="K47" s="169"/>
      <c r="L47" s="170"/>
      <c r="M47" s="170"/>
    </row>
    <row r="48" spans="1:13" ht="35.25" customHeight="1" x14ac:dyDescent="0.3">
      <c r="A48" s="125" t="s">
        <v>9</v>
      </c>
      <c r="B48" s="140"/>
      <c r="C48" s="140">
        <v>1200</v>
      </c>
      <c r="D48" s="140"/>
      <c r="E48" s="140">
        <v>1200</v>
      </c>
      <c r="F48" s="140">
        <v>1200</v>
      </c>
      <c r="G48" s="140"/>
      <c r="H48" s="140"/>
      <c r="I48" s="141"/>
      <c r="J48" s="127"/>
      <c r="K48" s="129"/>
      <c r="L48" s="128"/>
      <c r="M48" s="128"/>
    </row>
    <row r="49" spans="1:13" ht="35.25" customHeight="1" x14ac:dyDescent="0.3">
      <c r="A49" s="125" t="s">
        <v>118</v>
      </c>
      <c r="B49" s="140"/>
      <c r="C49" s="140"/>
      <c r="D49" s="140"/>
      <c r="E49" s="140"/>
      <c r="F49" s="140"/>
      <c r="G49" s="140"/>
      <c r="H49" s="140"/>
      <c r="I49" s="141"/>
      <c r="J49" s="127"/>
      <c r="K49" s="129"/>
      <c r="L49" s="128"/>
      <c r="M49" s="128"/>
    </row>
    <row r="50" spans="1:13" ht="35.25" customHeight="1" x14ac:dyDescent="0.3">
      <c r="A50" s="125" t="s">
        <v>8</v>
      </c>
      <c r="B50" s="140"/>
      <c r="C50" s="140"/>
      <c r="D50" s="140"/>
      <c r="E50" s="140"/>
      <c r="F50" s="140"/>
      <c r="G50" s="140"/>
      <c r="H50" s="140"/>
      <c r="I50" s="141"/>
      <c r="J50" s="127"/>
      <c r="K50" s="129"/>
      <c r="L50" s="128"/>
      <c r="M50" s="128"/>
    </row>
    <row r="51" spans="1:13" ht="35.25" customHeight="1" x14ac:dyDescent="0.3">
      <c r="A51" s="125" t="s">
        <v>119</v>
      </c>
      <c r="B51" s="140"/>
      <c r="C51" s="140"/>
      <c r="D51" s="140"/>
      <c r="E51" s="140"/>
      <c r="F51" s="140"/>
      <c r="G51" s="140"/>
      <c r="H51" s="140"/>
      <c r="I51" s="141"/>
      <c r="J51" s="127"/>
      <c r="K51" s="129"/>
      <c r="L51" s="128"/>
      <c r="M51" s="128"/>
    </row>
    <row r="52" spans="1:13" ht="35.25" customHeight="1" x14ac:dyDescent="0.3">
      <c r="A52" s="125" t="s">
        <v>4</v>
      </c>
      <c r="B52" s="140"/>
      <c r="C52" s="140"/>
      <c r="D52" s="140"/>
      <c r="E52" s="140"/>
      <c r="F52" s="140"/>
      <c r="G52" s="140"/>
      <c r="H52" s="140"/>
      <c r="I52" s="141"/>
      <c r="J52" s="127"/>
      <c r="K52" s="129"/>
      <c r="L52" s="128"/>
      <c r="M52" s="128"/>
    </row>
    <row r="53" spans="1:13" ht="35.25" customHeight="1" x14ac:dyDescent="0.3">
      <c r="A53" s="125" t="s">
        <v>128</v>
      </c>
      <c r="B53" s="140"/>
      <c r="C53" s="140"/>
      <c r="D53" s="140"/>
      <c r="E53" s="140"/>
      <c r="F53" s="140"/>
      <c r="G53" s="140"/>
      <c r="H53" s="140"/>
      <c r="I53" s="141"/>
      <c r="J53" s="127"/>
      <c r="K53" s="129"/>
      <c r="L53" s="128"/>
      <c r="M53" s="128"/>
    </row>
    <row r="54" spans="1:13" ht="35.25" customHeight="1" x14ac:dyDescent="0.3">
      <c r="A54" s="125" t="s">
        <v>43</v>
      </c>
      <c r="B54" s="140"/>
      <c r="C54" s="140"/>
      <c r="D54" s="140"/>
      <c r="E54" s="140"/>
      <c r="F54" s="140"/>
      <c r="G54" s="140"/>
      <c r="H54" s="140"/>
      <c r="I54" s="141"/>
      <c r="J54" s="127"/>
      <c r="K54" s="129"/>
      <c r="L54" s="128"/>
      <c r="M54" s="128"/>
    </row>
    <row r="55" spans="1:13" ht="35.25" customHeight="1" x14ac:dyDescent="0.3">
      <c r="A55" s="125" t="s">
        <v>120</v>
      </c>
      <c r="B55" s="140"/>
      <c r="C55" s="140"/>
      <c r="D55" s="140"/>
      <c r="E55" s="140"/>
      <c r="F55" s="140"/>
      <c r="G55" s="140"/>
      <c r="H55" s="140"/>
      <c r="I55" s="141"/>
      <c r="J55" s="127"/>
      <c r="K55" s="129"/>
      <c r="L55" s="128"/>
      <c r="M55" s="128"/>
    </row>
    <row r="56" spans="1:13" ht="35.25" customHeight="1" x14ac:dyDescent="0.3">
      <c r="A56" s="125" t="s">
        <v>6</v>
      </c>
      <c r="B56" s="140"/>
      <c r="C56" s="140"/>
      <c r="D56" s="140"/>
      <c r="E56" s="140"/>
      <c r="F56" s="140"/>
      <c r="G56" s="140"/>
      <c r="H56" s="140"/>
      <c r="I56" s="141"/>
      <c r="J56" s="127"/>
      <c r="K56" s="129"/>
      <c r="L56" s="128"/>
      <c r="M56" s="128"/>
    </row>
    <row r="57" spans="1:13" ht="35.25" customHeight="1" x14ac:dyDescent="0.3">
      <c r="A57" s="126" t="s">
        <v>32</v>
      </c>
      <c r="B57" s="140">
        <f>630+218.64+411.16+131.92</f>
        <v>1391.72</v>
      </c>
      <c r="C57" s="140">
        <f>107.92+104.92+104.92+198.96+104.92+255.36+104.92+66.92+630+215.04</f>
        <v>1893.8799999999999</v>
      </c>
      <c r="D57" s="140">
        <f>85+195.04+297.65+104.92+66.92+101.92+198.64+198.64+66.92</f>
        <v>1315.6499999999996</v>
      </c>
      <c r="E57" s="140">
        <f>101.92+95</f>
        <v>196.92000000000002</v>
      </c>
      <c r="F57" s="140">
        <v>3664.14</v>
      </c>
      <c r="G57" s="140"/>
      <c r="H57" s="140"/>
      <c r="I57" s="141"/>
      <c r="J57" s="127"/>
      <c r="K57" s="129"/>
      <c r="L57" s="128"/>
      <c r="M57" s="128"/>
    </row>
    <row r="58" spans="1:13" ht="35.25" customHeight="1" x14ac:dyDescent="0.3">
      <c r="A58" s="125" t="s">
        <v>15</v>
      </c>
      <c r="B58" s="140"/>
      <c r="C58" s="140">
        <f>300+765+540</f>
        <v>1605</v>
      </c>
      <c r="D58" s="140">
        <f>270+385</f>
        <v>655</v>
      </c>
      <c r="E58" s="140"/>
      <c r="F58" s="140">
        <f>370+600</f>
        <v>970</v>
      </c>
      <c r="G58" s="140"/>
      <c r="H58" s="140"/>
      <c r="I58" s="141"/>
      <c r="J58" s="127"/>
      <c r="K58" s="129"/>
      <c r="L58" s="128"/>
      <c r="M58" s="128"/>
    </row>
    <row r="59" spans="1:13" ht="35.25" customHeight="1" x14ac:dyDescent="0.3">
      <c r="A59" s="125" t="s">
        <v>121</v>
      </c>
      <c r="B59" s="140"/>
      <c r="C59" s="140"/>
      <c r="D59" s="140"/>
      <c r="E59" s="140"/>
      <c r="F59" s="140"/>
      <c r="G59" s="140"/>
      <c r="H59" s="140"/>
      <c r="I59" s="141"/>
      <c r="J59" s="127"/>
      <c r="K59" s="129"/>
      <c r="L59" s="128"/>
      <c r="M59" s="128"/>
    </row>
    <row r="60" spans="1:13" ht="35.25" customHeight="1" x14ac:dyDescent="0.3">
      <c r="A60" s="125" t="s">
        <v>126</v>
      </c>
      <c r="B60" s="140">
        <f>520</f>
        <v>520</v>
      </c>
      <c r="C60" s="140"/>
      <c r="D60" s="140"/>
      <c r="E60" s="140"/>
      <c r="F60" s="140"/>
      <c r="G60" s="140"/>
      <c r="H60" s="140"/>
      <c r="I60" s="141"/>
      <c r="J60" s="127"/>
      <c r="K60" s="129"/>
      <c r="L60" s="128"/>
      <c r="M60" s="128"/>
    </row>
    <row r="61" spans="1:13" ht="35.25" customHeight="1" x14ac:dyDescent="0.3">
      <c r="A61" s="125" t="s">
        <v>122</v>
      </c>
      <c r="B61" s="140">
        <v>2280.12</v>
      </c>
      <c r="C61" s="140">
        <f>2122.43+813.8</f>
        <v>2936.2299999999996</v>
      </c>
      <c r="D61" s="140">
        <v>2212.0300000000002</v>
      </c>
      <c r="E61" s="140">
        <f>865.8+411.08+2500.2</f>
        <v>3777.08</v>
      </c>
      <c r="F61" s="140">
        <v>2396.12</v>
      </c>
      <c r="G61" s="140"/>
      <c r="H61" s="140"/>
      <c r="I61" s="178"/>
      <c r="J61" s="127"/>
      <c r="K61" s="129"/>
      <c r="L61" s="128"/>
      <c r="M61" s="128"/>
    </row>
    <row r="62" spans="1:13" ht="35.25" customHeight="1" x14ac:dyDescent="0.3">
      <c r="A62" s="125" t="s">
        <v>127</v>
      </c>
      <c r="B62" s="140"/>
      <c r="C62" s="140"/>
      <c r="D62" s="140"/>
      <c r="E62" s="140"/>
      <c r="F62" s="140">
        <v>3971.55</v>
      </c>
      <c r="G62" s="140"/>
      <c r="H62" s="140"/>
      <c r="I62" s="141"/>
      <c r="J62" s="127"/>
      <c r="K62" s="129"/>
      <c r="L62" s="128"/>
      <c r="M62" s="128"/>
    </row>
    <row r="63" spans="1:13" ht="35.25" customHeight="1" x14ac:dyDescent="0.3">
      <c r="A63" s="126" t="s">
        <v>26</v>
      </c>
      <c r="B63" s="140"/>
      <c r="C63" s="140"/>
      <c r="D63" s="140"/>
      <c r="E63" s="140"/>
      <c r="F63" s="140"/>
      <c r="G63" s="140"/>
      <c r="H63" s="140"/>
      <c r="I63" s="141"/>
      <c r="J63" s="127"/>
      <c r="K63" s="129"/>
      <c r="L63" s="128"/>
      <c r="M63" s="128"/>
    </row>
    <row r="64" spans="1:13" ht="35.25" customHeight="1" x14ac:dyDescent="0.3">
      <c r="A64" s="126" t="s">
        <v>27</v>
      </c>
      <c r="B64" s="140"/>
      <c r="C64" s="140"/>
      <c r="D64" s="140"/>
      <c r="E64" s="140"/>
      <c r="F64" s="140"/>
      <c r="G64" s="140"/>
      <c r="H64" s="140"/>
      <c r="I64" s="141"/>
      <c r="J64" s="127"/>
      <c r="K64" s="129"/>
      <c r="L64" s="128"/>
      <c r="M64" s="128"/>
    </row>
    <row r="65" spans="1:13" ht="35.25" customHeight="1" x14ac:dyDescent="0.3">
      <c r="A65" s="125" t="s">
        <v>123</v>
      </c>
      <c r="B65" s="140"/>
      <c r="C65" s="140"/>
      <c r="D65" s="140"/>
      <c r="E65" s="140">
        <v>3950</v>
      </c>
      <c r="F65" s="140"/>
      <c r="G65" s="140"/>
      <c r="H65" s="140"/>
      <c r="I65" s="141"/>
      <c r="J65" s="127"/>
      <c r="K65" s="129"/>
      <c r="L65" s="128"/>
      <c r="M65" s="128"/>
    </row>
    <row r="66" spans="1:13" ht="35.25" customHeight="1" x14ac:dyDescent="0.3">
      <c r="A66" s="125" t="s">
        <v>134</v>
      </c>
      <c r="B66" s="140"/>
      <c r="C66" s="140"/>
      <c r="D66" s="140"/>
      <c r="E66" s="140"/>
      <c r="F66" s="140">
        <v>8240</v>
      </c>
      <c r="G66" s="140"/>
      <c r="H66" s="140"/>
      <c r="I66" s="141"/>
      <c r="J66" s="127"/>
      <c r="K66" s="129"/>
      <c r="L66" s="128"/>
      <c r="M66" s="128"/>
    </row>
    <row r="67" spans="1:13" ht="35.25" customHeight="1" x14ac:dyDescent="0.3">
      <c r="A67" s="125" t="s">
        <v>132</v>
      </c>
      <c r="B67" s="140"/>
      <c r="C67" s="140"/>
      <c r="D67" s="140">
        <f>5200+1910</f>
        <v>7110</v>
      </c>
      <c r="E67" s="140"/>
      <c r="F67" s="140"/>
      <c r="G67" s="140"/>
      <c r="H67" s="140"/>
      <c r="I67" s="141"/>
      <c r="J67" s="127"/>
      <c r="K67" s="129"/>
      <c r="L67" s="128"/>
      <c r="M67" s="128"/>
    </row>
    <row r="68" spans="1:13" ht="35.25" customHeight="1" x14ac:dyDescent="0.3">
      <c r="A68" s="125" t="s">
        <v>133</v>
      </c>
      <c r="B68" s="140"/>
      <c r="C68" s="140"/>
      <c r="D68" s="140"/>
      <c r="E68" s="140"/>
      <c r="F68" s="140"/>
      <c r="G68" s="140"/>
      <c r="H68" s="140"/>
      <c r="I68" s="141"/>
      <c r="J68" s="127"/>
      <c r="K68" s="129"/>
      <c r="L68" s="128"/>
      <c r="M68" s="128"/>
    </row>
    <row r="69" spans="1:13" ht="35.25" customHeight="1" x14ac:dyDescent="0.3">
      <c r="A69" s="126" t="s">
        <v>28</v>
      </c>
      <c r="B69" s="140"/>
      <c r="C69" s="179"/>
      <c r="D69" s="140"/>
      <c r="E69" s="140"/>
      <c r="F69" s="140"/>
      <c r="G69" s="140"/>
      <c r="H69" s="140"/>
      <c r="I69" s="141"/>
      <c r="J69" s="127"/>
      <c r="K69" s="129"/>
      <c r="L69" s="128"/>
      <c r="M69" s="128"/>
    </row>
    <row r="70" spans="1:13" ht="35.25" customHeight="1" x14ac:dyDescent="0.3">
      <c r="A70" s="125" t="s">
        <v>135</v>
      </c>
      <c r="B70" s="140"/>
      <c r="C70" s="140"/>
      <c r="D70" s="140">
        <v>81.760000000000005</v>
      </c>
      <c r="E70" s="140"/>
      <c r="F70" s="140">
        <f>330+700</f>
        <v>1030</v>
      </c>
      <c r="G70" s="140"/>
      <c r="H70" s="140"/>
      <c r="I70" s="141"/>
      <c r="J70" s="127"/>
      <c r="K70" s="129"/>
      <c r="L70" s="128"/>
      <c r="M70" s="128"/>
    </row>
    <row r="71" spans="1:13" ht="35.25" customHeight="1" x14ac:dyDescent="0.3">
      <c r="A71" s="126" t="s">
        <v>33</v>
      </c>
      <c r="B71" s="140">
        <f>2820+1854+424+1507.78</f>
        <v>6605.78</v>
      </c>
      <c r="C71" s="140">
        <f>2498+1864+626.5+658+1606</f>
        <v>7252.5</v>
      </c>
      <c r="D71" s="140">
        <f>496+916+2238.59</f>
        <v>3650.59</v>
      </c>
      <c r="E71" s="140">
        <f>916+586+727+9</f>
        <v>2238</v>
      </c>
      <c r="F71" s="140">
        <v>13493.5</v>
      </c>
      <c r="G71" s="140"/>
      <c r="H71" s="140"/>
      <c r="I71" s="141"/>
      <c r="J71" s="127"/>
      <c r="K71" s="129"/>
      <c r="L71" s="129"/>
      <c r="M71" s="128"/>
    </row>
    <row r="72" spans="1:13" ht="35.25" customHeight="1" x14ac:dyDescent="0.3">
      <c r="A72" s="125" t="s">
        <v>124</v>
      </c>
      <c r="B72" s="140"/>
      <c r="C72" s="140"/>
      <c r="D72" s="140"/>
      <c r="E72" s="140"/>
      <c r="F72" s="140">
        <v>1500</v>
      </c>
      <c r="G72" s="140"/>
      <c r="H72" s="140"/>
      <c r="I72" s="141"/>
      <c r="J72" s="127"/>
      <c r="K72" s="129"/>
      <c r="L72" s="128"/>
      <c r="M72" s="128"/>
    </row>
    <row r="73" spans="1:13" ht="35.25" customHeight="1" x14ac:dyDescent="0.3">
      <c r="A73" s="125" t="s">
        <v>138</v>
      </c>
      <c r="B73" s="140"/>
      <c r="C73" s="140"/>
      <c r="D73" s="140"/>
      <c r="E73" s="140"/>
      <c r="F73" s="140"/>
      <c r="G73" s="140"/>
      <c r="H73" s="140"/>
      <c r="I73" s="141"/>
      <c r="J73" s="127"/>
      <c r="K73" s="129"/>
      <c r="L73" s="128"/>
      <c r="M73" s="128"/>
    </row>
    <row r="74" spans="1:13" ht="35.25" customHeight="1" x14ac:dyDescent="0.3">
      <c r="A74" s="125" t="s">
        <v>72</v>
      </c>
      <c r="B74" s="140">
        <v>8000</v>
      </c>
      <c r="C74" s="140"/>
      <c r="D74" s="140">
        <v>16000</v>
      </c>
      <c r="E74" s="140"/>
      <c r="F74" s="140">
        <v>8000</v>
      </c>
      <c r="G74" s="140"/>
      <c r="H74" s="140"/>
      <c r="I74" s="141"/>
      <c r="J74" s="127"/>
      <c r="K74" s="129"/>
      <c r="L74" s="128"/>
      <c r="M74" s="128"/>
    </row>
    <row r="75" spans="1:13" ht="35.25" customHeight="1" x14ac:dyDescent="0.3">
      <c r="A75" s="126" t="s">
        <v>45</v>
      </c>
      <c r="B75" s="140">
        <f>2040+250+300+214+250</f>
        <v>3054</v>
      </c>
      <c r="C75" s="140">
        <f>150+150+250+150+150+150+250+150</f>
        <v>1400</v>
      </c>
      <c r="D75" s="140">
        <f>500</f>
        <v>500</v>
      </c>
      <c r="E75" s="140">
        <f>150+250+150+150+150</f>
        <v>850</v>
      </c>
      <c r="F75" s="140">
        <v>3133</v>
      </c>
      <c r="G75" s="140"/>
      <c r="H75" s="140"/>
      <c r="I75" s="141"/>
      <c r="J75" s="127"/>
      <c r="K75" s="129"/>
      <c r="L75" s="129"/>
      <c r="M75" s="128"/>
    </row>
    <row r="76" spans="1:13" ht="35.25" customHeight="1" x14ac:dyDescent="0.3">
      <c r="A76" s="125" t="s">
        <v>130</v>
      </c>
      <c r="B76" s="140"/>
      <c r="C76" s="140"/>
      <c r="D76" s="140"/>
      <c r="E76" s="140"/>
      <c r="F76" s="140"/>
      <c r="G76" s="140"/>
      <c r="H76" s="140"/>
      <c r="I76" s="141"/>
      <c r="J76" s="127"/>
      <c r="K76" s="129"/>
      <c r="L76" s="129"/>
      <c r="M76" s="128"/>
    </row>
    <row r="77" spans="1:13" ht="35.25" customHeight="1" x14ac:dyDescent="0.3">
      <c r="A77" s="125" t="s">
        <v>125</v>
      </c>
      <c r="B77" s="140"/>
      <c r="C77" s="140"/>
      <c r="D77" s="140"/>
      <c r="E77" s="140"/>
      <c r="F77" s="140">
        <f>823.8+960</f>
        <v>1783.8</v>
      </c>
      <c r="G77" s="140"/>
      <c r="H77" s="140"/>
      <c r="I77" s="141"/>
      <c r="J77" s="127"/>
      <c r="K77" s="129"/>
      <c r="L77" s="128"/>
      <c r="M77" s="128"/>
    </row>
    <row r="78" spans="1:13" ht="35.25" customHeight="1" x14ac:dyDescent="0.3">
      <c r="A78" s="125" t="s">
        <v>131</v>
      </c>
      <c r="B78" s="140"/>
      <c r="C78" s="140"/>
      <c r="D78" s="140">
        <f>400+1900</f>
        <v>2300</v>
      </c>
      <c r="E78" s="140"/>
      <c r="F78" s="140"/>
      <c r="G78" s="140"/>
      <c r="H78" s="140"/>
      <c r="I78" s="141"/>
      <c r="J78" s="127"/>
      <c r="K78" s="129"/>
      <c r="L78" s="128"/>
      <c r="M78" s="128"/>
    </row>
    <row r="79" spans="1:13" ht="35.25" customHeight="1" x14ac:dyDescent="0.3">
      <c r="A79" s="125" t="s">
        <v>140</v>
      </c>
      <c r="B79" s="140"/>
      <c r="C79" s="140"/>
      <c r="D79" s="140"/>
      <c r="E79" s="140"/>
      <c r="F79" s="140"/>
      <c r="G79" s="140"/>
      <c r="H79" s="140"/>
      <c r="I79" s="141"/>
      <c r="J79" s="127"/>
      <c r="K79" s="129"/>
      <c r="L79" s="128"/>
      <c r="M79" s="128"/>
    </row>
    <row r="80" spans="1:13" ht="35.25" customHeight="1" x14ac:dyDescent="0.3">
      <c r="A80" s="125" t="s">
        <v>138</v>
      </c>
      <c r="B80" s="140"/>
      <c r="C80" s="140"/>
      <c r="D80" s="140"/>
      <c r="E80" s="140"/>
      <c r="F80" s="140"/>
      <c r="G80" s="140"/>
      <c r="H80" s="140"/>
      <c r="I80" s="141"/>
      <c r="J80" s="127"/>
      <c r="K80" s="129"/>
      <c r="L80" s="128"/>
      <c r="M80" s="128"/>
    </row>
    <row r="81" spans="1:14" ht="35.25" customHeight="1" x14ac:dyDescent="0.3">
      <c r="A81" s="125" t="s">
        <v>138</v>
      </c>
      <c r="B81" s="140"/>
      <c r="C81" s="140"/>
      <c r="D81" s="140"/>
      <c r="E81" s="140"/>
      <c r="F81" s="140"/>
      <c r="G81" s="140"/>
      <c r="H81" s="140"/>
      <c r="I81" s="141"/>
      <c r="J81" s="127"/>
      <c r="K81" s="129"/>
      <c r="L81" s="128"/>
      <c r="M81" s="128"/>
    </row>
    <row r="82" spans="1:14" ht="35.25" customHeight="1" x14ac:dyDescent="0.3">
      <c r="A82" s="125" t="s">
        <v>138</v>
      </c>
      <c r="B82" s="140"/>
      <c r="C82" s="140"/>
      <c r="D82" s="140"/>
      <c r="E82" s="140"/>
      <c r="F82" s="140"/>
      <c r="G82" s="140"/>
      <c r="H82" s="140"/>
      <c r="I82" s="141"/>
      <c r="J82" s="127"/>
      <c r="K82" s="129"/>
      <c r="L82" s="128"/>
      <c r="M82" s="128"/>
    </row>
    <row r="83" spans="1:14" ht="35.25" customHeight="1" x14ac:dyDescent="0.3">
      <c r="A83" s="125" t="s">
        <v>136</v>
      </c>
      <c r="B83" s="140"/>
      <c r="C83" s="140"/>
      <c r="D83" s="140"/>
      <c r="E83" s="140"/>
      <c r="F83" s="140"/>
      <c r="G83" s="140"/>
      <c r="H83" s="140"/>
      <c r="I83" s="141"/>
      <c r="J83" s="127"/>
      <c r="K83" s="129"/>
      <c r="L83" s="128"/>
      <c r="M83" s="128"/>
    </row>
    <row r="84" spans="1:14" ht="35.25" customHeight="1" x14ac:dyDescent="0.3">
      <c r="A84" s="125" t="s">
        <v>137</v>
      </c>
      <c r="B84" s="140"/>
      <c r="C84" s="140"/>
      <c r="D84" s="140"/>
      <c r="E84" s="140"/>
      <c r="F84" s="140"/>
      <c r="G84" s="140"/>
      <c r="H84" s="140"/>
      <c r="I84" s="141"/>
      <c r="J84" s="127"/>
      <c r="K84" s="129"/>
      <c r="L84" s="128"/>
      <c r="M84" s="128"/>
    </row>
    <row r="85" spans="1:14" ht="35.25" customHeight="1" x14ac:dyDescent="0.3">
      <c r="A85" s="125" t="s">
        <v>129</v>
      </c>
      <c r="B85" s="140"/>
      <c r="C85" s="140"/>
      <c r="D85" s="140"/>
      <c r="E85" s="140"/>
      <c r="F85" s="140"/>
      <c r="G85" s="140"/>
      <c r="H85" s="140"/>
      <c r="I85" s="141"/>
      <c r="J85" s="127"/>
      <c r="K85" s="129"/>
      <c r="L85" s="128"/>
      <c r="M85" s="128"/>
    </row>
    <row r="86" spans="1:14" ht="35.25" customHeight="1" thickBot="1" x14ac:dyDescent="0.35">
      <c r="A86" s="163" t="s">
        <v>43</v>
      </c>
      <c r="B86" s="180"/>
      <c r="C86" s="180"/>
      <c r="D86" s="180"/>
      <c r="E86" s="180"/>
      <c r="F86" s="180"/>
      <c r="G86" s="180"/>
      <c r="H86" s="180"/>
      <c r="I86" s="141"/>
      <c r="J86" s="127"/>
      <c r="K86" s="129"/>
      <c r="L86" s="128"/>
      <c r="M86" s="128"/>
    </row>
    <row r="87" spans="1:14" s="12" customFormat="1" ht="39" customHeight="1" thickTop="1" thickBot="1" x14ac:dyDescent="0.3">
      <c r="A87" s="42" t="s">
        <v>14</v>
      </c>
      <c r="B87" s="18">
        <f t="shared" ref="B87:F87" si="17">B8+B1-B6</f>
        <v>69211.370000000054</v>
      </c>
      <c r="C87" s="18">
        <f>C8+C1-C6</f>
        <v>158874.69000000012</v>
      </c>
      <c r="D87" s="18">
        <f t="shared" si="17"/>
        <v>71089.400000000023</v>
      </c>
      <c r="E87" s="18">
        <f t="shared" si="17"/>
        <v>119456.65000000002</v>
      </c>
      <c r="F87" s="18">
        <f t="shared" si="17"/>
        <v>131541.10000000009</v>
      </c>
      <c r="G87" s="18">
        <f t="shared" ref="G87:L87" si="18">G8+G1-G6</f>
        <v>131541.10000000003</v>
      </c>
      <c r="H87" s="35">
        <f t="shared" si="18"/>
        <v>0</v>
      </c>
      <c r="I87" s="35">
        <f t="shared" si="18"/>
        <v>0</v>
      </c>
      <c r="J87" s="35">
        <f t="shared" si="18"/>
        <v>0</v>
      </c>
      <c r="K87" s="35">
        <f t="shared" si="18"/>
        <v>0</v>
      </c>
      <c r="L87" s="35">
        <f t="shared" si="18"/>
        <v>0</v>
      </c>
      <c r="M87" s="35">
        <f>M1+M8-M16</f>
        <v>0</v>
      </c>
      <c r="N87" s="12">
        <v>249663.57</v>
      </c>
    </row>
    <row r="88" spans="1:14" ht="23.1" customHeight="1" thickTop="1" x14ac:dyDescent="0.3"/>
  </sheetData>
  <phoneticPr fontId="13" type="noConversion"/>
  <pageMargins left="0.16" right="0.28000000000000003" top="0.75000000000000011" bottom="0.75000000000000011" header="0.31" footer="0.31"/>
  <pageSetup paperSize="9" scale="40" orientation="portrait"/>
  <extLst>
    <ext xmlns:mx="http://schemas.microsoft.com/office/mac/excel/2008/main" uri="{64002731-A6B0-56B0-2670-7721B7C09600}">
      <mx:PLV Mode="0" OnePage="0" WScale="55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01"/>
  <sheetViews>
    <sheetView zoomScale="150" zoomScaleNormal="150" zoomScalePageLayoutView="150" workbookViewId="0">
      <pane xSplit="1" ySplit="7" topLeftCell="D73" activePane="bottomRight" state="frozen"/>
      <selection pane="topRight" activeCell="B1" sqref="B1"/>
      <selection pane="bottomLeft" activeCell="A8" sqref="A8"/>
      <selection pane="bottomRight" activeCell="D84" sqref="D84"/>
    </sheetView>
  </sheetViews>
  <sheetFormatPr defaultColWidth="11.42578125" defaultRowHeight="15" x14ac:dyDescent="0.25"/>
  <cols>
    <col min="1" max="7" width="20.42578125" customWidth="1"/>
    <col min="8" max="8" width="15.7109375" style="57" customWidth="1"/>
    <col min="9" max="10" width="15.28515625" style="57" customWidth="1"/>
    <col min="11" max="12" width="15" style="57" customWidth="1"/>
    <col min="13" max="13" width="13.85546875" style="57" customWidth="1"/>
    <col min="14" max="14" width="17" style="57" customWidth="1"/>
    <col min="15" max="20" width="15.42578125" style="57" customWidth="1"/>
  </cols>
  <sheetData>
    <row r="2" spans="1:20" s="69" customFormat="1" ht="18.75" x14ac:dyDescent="0.3">
      <c r="A2" s="69" t="s">
        <v>17</v>
      </c>
      <c r="H2" s="70">
        <f>H3+H4</f>
        <v>133189.90999999997</v>
      </c>
      <c r="I2" s="70">
        <f t="shared" ref="I2:T2" si="0">I3+I4</f>
        <v>227631</v>
      </c>
      <c r="J2" s="70">
        <f t="shared" si="0"/>
        <v>142922.43</v>
      </c>
      <c r="K2" s="70">
        <f t="shared" si="0"/>
        <v>137009.04999999999</v>
      </c>
      <c r="L2" s="70">
        <f t="shared" si="0"/>
        <v>123918.63</v>
      </c>
      <c r="M2" s="70">
        <f t="shared" si="0"/>
        <v>173303.05</v>
      </c>
      <c r="N2" s="70">
        <f t="shared" si="0"/>
        <v>129029.75</v>
      </c>
      <c r="O2" s="70">
        <f t="shared" si="0"/>
        <v>131201.69</v>
      </c>
      <c r="P2" s="70">
        <f t="shared" si="0"/>
        <v>76460.260000000009</v>
      </c>
      <c r="Q2" s="70">
        <f t="shared" si="0"/>
        <v>327923.66000000003</v>
      </c>
      <c r="R2" s="70">
        <f t="shared" si="0"/>
        <v>46179.88</v>
      </c>
      <c r="S2" s="70">
        <f t="shared" si="0"/>
        <v>254730.58999999997</v>
      </c>
      <c r="T2" s="70">
        <f t="shared" si="0"/>
        <v>171450.25</v>
      </c>
    </row>
    <row r="3" spans="1:20" x14ac:dyDescent="0.25">
      <c r="A3" t="s">
        <v>91</v>
      </c>
      <c r="H3" s="57">
        <f>SUM(H19:H70)</f>
        <v>23723.199999999997</v>
      </c>
      <c r="I3" s="57">
        <f t="shared" ref="I3:T3" si="1">SUM(I19:I70)</f>
        <v>139683</v>
      </c>
      <c r="J3" s="57">
        <f t="shared" si="1"/>
        <v>66992.429999999993</v>
      </c>
      <c r="K3" s="57">
        <f t="shared" si="1"/>
        <v>60114.79</v>
      </c>
      <c r="L3" s="57">
        <f t="shared" si="1"/>
        <v>17340.599999999999</v>
      </c>
      <c r="M3" s="57">
        <f t="shared" si="1"/>
        <v>36821.050000000003</v>
      </c>
      <c r="N3" s="57">
        <f t="shared" si="1"/>
        <v>18405.41</v>
      </c>
      <c r="O3" s="57">
        <f t="shared" si="1"/>
        <v>21851.62</v>
      </c>
      <c r="P3" s="57">
        <f t="shared" si="1"/>
        <v>16287.61</v>
      </c>
      <c r="Q3" s="57">
        <f t="shared" si="1"/>
        <v>33825.03</v>
      </c>
      <c r="R3" s="57">
        <f t="shared" si="1"/>
        <v>12212</v>
      </c>
      <c r="S3" s="57">
        <f t="shared" si="1"/>
        <v>49382.11</v>
      </c>
      <c r="T3" s="57">
        <f t="shared" si="1"/>
        <v>111575.98</v>
      </c>
    </row>
    <row r="4" spans="1:20" x14ac:dyDescent="0.25">
      <c r="A4" t="s">
        <v>92</v>
      </c>
      <c r="H4" s="57">
        <f>SUM(H8:H17)</f>
        <v>109466.70999999999</v>
      </c>
      <c r="I4" s="57">
        <f t="shared" ref="I4:T4" si="2">SUM(I8:I17)</f>
        <v>87948</v>
      </c>
      <c r="J4" s="57">
        <f t="shared" si="2"/>
        <v>75930</v>
      </c>
      <c r="K4" s="57">
        <f t="shared" si="2"/>
        <v>76894.259999999995</v>
      </c>
      <c r="L4" s="57">
        <f t="shared" si="2"/>
        <v>106578.03</v>
      </c>
      <c r="M4" s="57">
        <f t="shared" si="2"/>
        <v>136482</v>
      </c>
      <c r="N4" s="57">
        <f t="shared" si="2"/>
        <v>110624.34</v>
      </c>
      <c r="O4" s="57">
        <f t="shared" si="2"/>
        <v>109350.07</v>
      </c>
      <c r="P4" s="57">
        <f t="shared" si="2"/>
        <v>60172.65</v>
      </c>
      <c r="Q4" s="57">
        <f t="shared" si="2"/>
        <v>294098.63</v>
      </c>
      <c r="R4" s="57">
        <f t="shared" si="2"/>
        <v>33967.879999999997</v>
      </c>
      <c r="S4" s="57">
        <f t="shared" si="2"/>
        <v>205348.47999999998</v>
      </c>
      <c r="T4" s="57">
        <f t="shared" si="2"/>
        <v>59874.27</v>
      </c>
    </row>
    <row r="5" spans="1:20" ht="15.75" thickBot="1" x14ac:dyDescent="0.3"/>
    <row r="6" spans="1:20" s="47" customFormat="1" ht="20.25" thickTop="1" thickBot="1" x14ac:dyDescent="0.35">
      <c r="A6" s="11" t="s">
        <v>80</v>
      </c>
      <c r="B6" s="78"/>
      <c r="C6" s="78"/>
      <c r="D6" s="78"/>
      <c r="E6" s="78"/>
      <c r="F6" s="78"/>
      <c r="G6" s="78"/>
      <c r="H6" s="58" t="s">
        <v>73</v>
      </c>
      <c r="I6" s="58" t="s">
        <v>74</v>
      </c>
      <c r="J6" s="58" t="s">
        <v>75</v>
      </c>
      <c r="K6" s="58" t="s">
        <v>76</v>
      </c>
      <c r="L6" s="58" t="s">
        <v>77</v>
      </c>
      <c r="M6" s="58" t="s">
        <v>78</v>
      </c>
      <c r="N6" s="58" t="s">
        <v>79</v>
      </c>
      <c r="O6" s="58" t="s">
        <v>60</v>
      </c>
      <c r="P6" s="58" t="s">
        <v>61</v>
      </c>
      <c r="Q6" s="58" t="s">
        <v>62</v>
      </c>
      <c r="R6" s="58" t="s">
        <v>63</v>
      </c>
      <c r="S6" s="58" t="s">
        <v>56</v>
      </c>
      <c r="T6" s="58" t="s">
        <v>64</v>
      </c>
    </row>
    <row r="7" spans="1:20" s="50" customFormat="1" ht="21" thickTop="1" x14ac:dyDescent="0.3">
      <c r="A7" s="49" t="s">
        <v>0</v>
      </c>
      <c r="B7" s="49"/>
      <c r="C7" s="49"/>
      <c r="D7" s="49"/>
      <c r="E7" s="49"/>
      <c r="F7" s="49"/>
      <c r="G7" s="49"/>
      <c r="H7" s="59">
        <v>155250</v>
      </c>
      <c r="I7" s="59">
        <v>154516</v>
      </c>
      <c r="J7" s="59">
        <v>363088</v>
      </c>
      <c r="K7" s="59">
        <v>139200</v>
      </c>
      <c r="L7" s="59">
        <v>896221</v>
      </c>
      <c r="M7" s="59">
        <v>170482</v>
      </c>
      <c r="N7" s="59">
        <v>330547</v>
      </c>
      <c r="O7" s="59">
        <v>123042.65</v>
      </c>
      <c r="P7" s="59">
        <v>244460</v>
      </c>
      <c r="Q7" s="59">
        <v>240138.37</v>
      </c>
      <c r="R7" s="59">
        <v>97047.13</v>
      </c>
      <c r="S7" s="59">
        <v>265270.04000000004</v>
      </c>
      <c r="T7" s="59">
        <v>290713</v>
      </c>
    </row>
    <row r="8" spans="1:20" ht="37.5" x14ac:dyDescent="0.3">
      <c r="A8" s="5" t="s">
        <v>20</v>
      </c>
      <c r="B8" s="5"/>
      <c r="C8" s="5"/>
      <c r="D8" s="5"/>
      <c r="E8" s="5"/>
      <c r="F8" s="5"/>
      <c r="G8" s="5"/>
      <c r="H8" s="60">
        <v>57637</v>
      </c>
      <c r="I8" s="56">
        <v>35343</v>
      </c>
      <c r="J8" s="56">
        <v>35343</v>
      </c>
      <c r="K8" s="56">
        <v>48043</v>
      </c>
      <c r="L8" s="56">
        <v>44043</v>
      </c>
      <c r="M8" s="52">
        <v>44043</v>
      </c>
      <c r="N8" s="52">
        <v>44043</v>
      </c>
      <c r="O8" s="60">
        <f>5981+11962+26100</f>
        <v>44043</v>
      </c>
      <c r="P8" s="60">
        <f>5981+11962</f>
        <v>17943</v>
      </c>
      <c r="Q8" s="60">
        <f>6525+13050+26100</f>
        <v>45675</v>
      </c>
      <c r="R8" s="60">
        <f>6525+13050</f>
        <v>19575</v>
      </c>
      <c r="S8" s="60">
        <f>6525+13050+26100</f>
        <v>45675</v>
      </c>
      <c r="T8" s="60">
        <v>19575</v>
      </c>
    </row>
    <row r="9" spans="1:20" ht="56.25" x14ac:dyDescent="0.3">
      <c r="A9" s="5" t="s">
        <v>58</v>
      </c>
      <c r="B9" s="5"/>
      <c r="C9" s="5"/>
      <c r="D9" s="5"/>
      <c r="E9" s="5"/>
      <c r="F9" s="5"/>
      <c r="G9" s="5"/>
      <c r="H9" s="60"/>
      <c r="I9" s="61"/>
      <c r="J9" s="61"/>
      <c r="K9" s="62"/>
      <c r="L9" s="63"/>
      <c r="M9" s="62"/>
      <c r="N9" s="62"/>
      <c r="O9" s="60"/>
      <c r="P9" s="60"/>
      <c r="Q9" s="60">
        <f>37486.5+59724+1000+5600+6000+1000+8000+2.9+637.5+2000+3359.6+5000+5800+1000+2700+1800+2568.12+6000+6000+12000+800+2000+5000+1600+2096.28+14586.61+2000</f>
        <v>195761.51</v>
      </c>
      <c r="R9" s="60"/>
      <c r="S9" s="60">
        <f>63000+51388.49</f>
        <v>114388.48999999999</v>
      </c>
      <c r="T9" s="60"/>
    </row>
    <row r="10" spans="1:20" ht="56.25" x14ac:dyDescent="0.3">
      <c r="A10" s="5" t="s">
        <v>36</v>
      </c>
      <c r="B10" s="5"/>
      <c r="C10" s="5"/>
      <c r="D10" s="5"/>
      <c r="E10" s="5"/>
      <c r="F10" s="5"/>
      <c r="G10" s="5"/>
      <c r="H10" s="60">
        <v>7595.53</v>
      </c>
      <c r="I10" s="62"/>
      <c r="J10" s="62"/>
      <c r="K10" s="62"/>
      <c r="L10" s="62"/>
      <c r="M10" s="62"/>
      <c r="N10" s="62"/>
      <c r="O10" s="60"/>
      <c r="P10" s="60"/>
      <c r="Q10" s="60"/>
      <c r="R10" s="60"/>
      <c r="S10" s="60"/>
      <c r="T10" s="60"/>
    </row>
    <row r="11" spans="1:20" ht="56.25" x14ac:dyDescent="0.3">
      <c r="A11" s="5" t="s">
        <v>31</v>
      </c>
      <c r="B11" s="5"/>
      <c r="C11" s="5"/>
      <c r="D11" s="5"/>
      <c r="E11" s="5"/>
      <c r="F11" s="5"/>
      <c r="G11" s="5"/>
      <c r="H11" s="60">
        <v>1545</v>
      </c>
      <c r="I11" s="62">
        <v>3090</v>
      </c>
      <c r="J11" s="62">
        <v>1545</v>
      </c>
      <c r="K11" s="62">
        <v>1545</v>
      </c>
      <c r="L11" s="62">
        <v>1545</v>
      </c>
      <c r="M11" s="53">
        <v>1545</v>
      </c>
      <c r="N11" s="53">
        <v>1545</v>
      </c>
      <c r="O11" s="60">
        <v>1545</v>
      </c>
      <c r="P11" s="60">
        <v>1545</v>
      </c>
      <c r="Q11" s="60">
        <v>1545</v>
      </c>
      <c r="R11" s="60">
        <v>1545</v>
      </c>
      <c r="S11" s="60">
        <v>1545</v>
      </c>
      <c r="T11" s="60">
        <v>1545</v>
      </c>
    </row>
    <row r="12" spans="1:20" ht="56.25" x14ac:dyDescent="0.3">
      <c r="A12" s="5" t="s">
        <v>25</v>
      </c>
      <c r="B12" s="5"/>
      <c r="C12" s="5"/>
      <c r="D12" s="5"/>
      <c r="E12" s="5"/>
      <c r="F12" s="5"/>
      <c r="G12" s="5"/>
      <c r="H12" s="60"/>
      <c r="I12" s="62"/>
      <c r="J12" s="62"/>
      <c r="K12" s="62"/>
      <c r="L12" s="62"/>
      <c r="M12" s="62"/>
      <c r="N12" s="62"/>
      <c r="O12" s="60"/>
      <c r="P12" s="60"/>
      <c r="Q12" s="60"/>
      <c r="R12" s="60"/>
      <c r="S12" s="60"/>
      <c r="T12" s="60"/>
    </row>
    <row r="13" spans="1:20" ht="93.75" x14ac:dyDescent="0.3">
      <c r="A13" s="5" t="s">
        <v>51</v>
      </c>
      <c r="B13" s="5"/>
      <c r="C13" s="5"/>
      <c r="D13" s="5"/>
      <c r="E13" s="5"/>
      <c r="F13" s="5"/>
      <c r="G13" s="5"/>
      <c r="H13" s="60">
        <v>17015.46</v>
      </c>
      <c r="I13" s="64">
        <v>19963</v>
      </c>
      <c r="J13" s="64">
        <v>21489</v>
      </c>
      <c r="K13" s="51"/>
      <c r="L13" s="51">
        <v>42977.56</v>
      </c>
      <c r="M13" s="62"/>
      <c r="N13" s="53">
        <v>35370.720000000001</v>
      </c>
      <c r="O13" s="60">
        <v>21276.02</v>
      </c>
      <c r="P13" s="60">
        <v>21615.439999999999</v>
      </c>
      <c r="Q13" s="60">
        <v>11790.24</v>
      </c>
      <c r="R13" s="60"/>
      <c r="S13" s="60">
        <v>25545.52</v>
      </c>
      <c r="T13" s="60"/>
    </row>
    <row r="14" spans="1:20" ht="75" x14ac:dyDescent="0.3">
      <c r="A14" s="5" t="s">
        <v>21</v>
      </c>
      <c r="B14" s="5"/>
      <c r="C14" s="5"/>
      <c r="D14" s="5"/>
      <c r="E14" s="5"/>
      <c r="F14" s="5"/>
      <c r="G14" s="5"/>
      <c r="H14" s="60">
        <v>21788</v>
      </c>
      <c r="I14" s="56">
        <v>25500</v>
      </c>
      <c r="J14" s="56">
        <v>17553</v>
      </c>
      <c r="K14" s="53">
        <v>21873</v>
      </c>
      <c r="L14" s="53">
        <v>6582</v>
      </c>
      <c r="M14" s="53">
        <v>30598.15</v>
      </c>
      <c r="N14" s="53">
        <v>15193.19</v>
      </c>
      <c r="O14" s="60">
        <f>6582+362.75+1469+2582+11138+8.54</f>
        <v>22142.29</v>
      </c>
      <c r="P14" s="60">
        <f>2682</f>
        <v>2682</v>
      </c>
      <c r="Q14" s="60">
        <f>275.8+1469+2582+6525+11138+4.34</f>
        <v>21994.14</v>
      </c>
      <c r="R14" s="60">
        <f>894+1950</f>
        <v>2844</v>
      </c>
      <c r="S14" s="60">
        <v>6825</v>
      </c>
      <c r="T14" s="60">
        <v>34637</v>
      </c>
    </row>
    <row r="15" spans="1:20" ht="75" x14ac:dyDescent="0.3">
      <c r="A15" s="5" t="s">
        <v>29</v>
      </c>
      <c r="B15" s="5"/>
      <c r="C15" s="5"/>
      <c r="D15" s="5"/>
      <c r="E15" s="5"/>
      <c r="F15" s="5"/>
      <c r="G15" s="5"/>
      <c r="H15" s="60">
        <v>3885.72</v>
      </c>
      <c r="I15" s="52">
        <v>4052</v>
      </c>
      <c r="J15" s="52"/>
      <c r="K15" s="53">
        <v>5433.26</v>
      </c>
      <c r="L15" s="53">
        <v>11430.47</v>
      </c>
      <c r="M15" s="53">
        <v>10470.73</v>
      </c>
      <c r="N15" s="53">
        <v>10724.5</v>
      </c>
      <c r="O15" s="60">
        <v>17963.54</v>
      </c>
      <c r="P15" s="60">
        <v>14097.49</v>
      </c>
      <c r="Q15" s="60">
        <v>17024.36</v>
      </c>
      <c r="R15" s="60">
        <v>7826</v>
      </c>
      <c r="S15" s="60">
        <v>7061.09</v>
      </c>
      <c r="T15" s="60">
        <v>1931.39</v>
      </c>
    </row>
    <row r="16" spans="1:20" ht="75" x14ac:dyDescent="0.3">
      <c r="A16" s="5" t="s">
        <v>52</v>
      </c>
      <c r="B16" s="5"/>
      <c r="C16" s="5"/>
      <c r="D16" s="5"/>
      <c r="E16" s="5"/>
      <c r="F16" s="5"/>
      <c r="G16" s="5"/>
      <c r="H16" s="60"/>
      <c r="I16" s="62"/>
      <c r="J16" s="62"/>
      <c r="K16" s="62"/>
      <c r="L16" s="62"/>
      <c r="M16" s="53"/>
      <c r="N16" s="53">
        <v>1200</v>
      </c>
      <c r="O16" s="60"/>
      <c r="P16" s="60"/>
      <c r="Q16" s="60"/>
      <c r="R16" s="60"/>
      <c r="S16" s="60"/>
      <c r="T16" s="60"/>
    </row>
    <row r="17" spans="1:20" ht="94.5" thickBot="1" x14ac:dyDescent="0.35">
      <c r="A17" s="71" t="s">
        <v>48</v>
      </c>
      <c r="B17" s="71"/>
      <c r="C17" s="71"/>
      <c r="D17" s="71"/>
      <c r="E17" s="71"/>
      <c r="F17" s="71"/>
      <c r="G17" s="71"/>
      <c r="H17" s="72"/>
      <c r="I17" s="73"/>
      <c r="J17" s="73"/>
      <c r="K17" s="73"/>
      <c r="L17" s="73"/>
      <c r="M17" s="74">
        <v>49825.120000000003</v>
      </c>
      <c r="N17" s="74">
        <v>2547.9299999999998</v>
      </c>
      <c r="O17" s="72">
        <v>2380.2199999999998</v>
      </c>
      <c r="P17" s="72">
        <f>40+89.72+40+80+40+2000</f>
        <v>2289.7200000000003</v>
      </c>
      <c r="Q17" s="72">
        <f>228.38+80</f>
        <v>308.38</v>
      </c>
      <c r="R17" s="72">
        <f>32.63+40+40+65.25+2000</f>
        <v>2177.88</v>
      </c>
      <c r="S17" s="72">
        <f>40+228.38+40+4000</f>
        <v>4308.38</v>
      </c>
      <c r="T17" s="72">
        <v>2185.88</v>
      </c>
    </row>
    <row r="18" spans="1:20" ht="20.25" thickTop="1" thickBot="1" x14ac:dyDescent="0.35">
      <c r="A18" s="75" t="s">
        <v>93</v>
      </c>
      <c r="B18" s="79"/>
      <c r="C18" s="79"/>
      <c r="D18" s="79"/>
      <c r="E18" s="79"/>
      <c r="F18" s="79"/>
      <c r="G18" s="79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7"/>
      <c r="T18" s="77"/>
    </row>
    <row r="19" spans="1:20" ht="94.5" thickTop="1" x14ac:dyDescent="0.3">
      <c r="A19" s="48" t="s">
        <v>47</v>
      </c>
      <c r="B19" s="48"/>
      <c r="C19" s="48"/>
      <c r="D19" s="48"/>
      <c r="E19" s="48"/>
      <c r="F19" s="48"/>
      <c r="G19" s="48"/>
      <c r="H19" s="65"/>
      <c r="I19" s="54"/>
      <c r="J19" s="54"/>
      <c r="K19" s="55">
        <v>18000</v>
      </c>
      <c r="L19" s="55"/>
      <c r="M19" s="55"/>
      <c r="N19" s="55"/>
      <c r="O19" s="65"/>
      <c r="P19" s="65"/>
      <c r="Q19" s="65"/>
      <c r="R19" s="65"/>
      <c r="S19" s="65"/>
      <c r="T19" s="65"/>
    </row>
    <row r="20" spans="1:20" ht="37.5" x14ac:dyDescent="0.3">
      <c r="A20" s="5" t="s">
        <v>9</v>
      </c>
      <c r="B20" s="5"/>
      <c r="C20" s="5"/>
      <c r="D20" s="5"/>
      <c r="E20" s="5"/>
      <c r="F20" s="5"/>
      <c r="G20" s="5"/>
      <c r="H20" s="60">
        <v>3000</v>
      </c>
      <c r="I20" s="56">
        <v>1200</v>
      </c>
      <c r="J20" s="56">
        <v>1800</v>
      </c>
      <c r="K20" s="53"/>
      <c r="L20" s="53">
        <v>1300</v>
      </c>
      <c r="M20" s="53"/>
      <c r="N20" s="53">
        <v>1300</v>
      </c>
      <c r="O20" s="60"/>
      <c r="P20" s="60">
        <v>1200</v>
      </c>
      <c r="Q20" s="60"/>
      <c r="R20" s="60">
        <v>1200</v>
      </c>
      <c r="S20" s="60">
        <v>1200</v>
      </c>
      <c r="T20" s="60">
        <v>750</v>
      </c>
    </row>
    <row r="21" spans="1:20" ht="56.25" x14ac:dyDescent="0.3">
      <c r="A21" s="5" t="s">
        <v>53</v>
      </c>
      <c r="B21" s="5"/>
      <c r="C21" s="5"/>
      <c r="D21" s="5"/>
      <c r="E21" s="5"/>
      <c r="F21" s="5"/>
      <c r="G21" s="5"/>
      <c r="H21" s="60">
        <v>1500</v>
      </c>
      <c r="I21" s="56">
        <v>16800</v>
      </c>
      <c r="J21" s="56"/>
      <c r="K21" s="53"/>
      <c r="L21" s="53"/>
      <c r="M21" s="53"/>
      <c r="N21" s="53"/>
      <c r="O21" s="60"/>
      <c r="P21" s="60"/>
      <c r="Q21" s="60"/>
      <c r="R21" s="60"/>
      <c r="S21" s="60"/>
      <c r="T21" s="60"/>
    </row>
    <row r="22" spans="1:20" ht="37.5" x14ac:dyDescent="0.3">
      <c r="A22" s="5" t="s">
        <v>54</v>
      </c>
      <c r="B22" s="5"/>
      <c r="C22" s="5"/>
      <c r="D22" s="5"/>
      <c r="E22" s="5"/>
      <c r="F22" s="5"/>
      <c r="G22" s="5"/>
      <c r="H22" s="60"/>
      <c r="I22" s="56"/>
      <c r="J22" s="56"/>
      <c r="K22" s="53"/>
      <c r="L22" s="53"/>
      <c r="M22" s="53"/>
      <c r="N22" s="53">
        <v>9600</v>
      </c>
      <c r="O22" s="60"/>
      <c r="P22" s="60"/>
      <c r="Q22" s="60"/>
      <c r="R22" s="60"/>
      <c r="S22" s="60"/>
      <c r="T22" s="60"/>
    </row>
    <row r="23" spans="1:20" ht="18.75" x14ac:dyDescent="0.3">
      <c r="A23" s="5" t="s">
        <v>6</v>
      </c>
      <c r="B23" s="5"/>
      <c r="C23" s="5"/>
      <c r="D23" s="5"/>
      <c r="E23" s="5"/>
      <c r="F23" s="5"/>
      <c r="G23" s="5"/>
      <c r="H23" s="60"/>
      <c r="I23" s="56">
        <v>220</v>
      </c>
      <c r="J23" s="56">
        <v>100</v>
      </c>
      <c r="K23" s="53">
        <v>79.540000000000006</v>
      </c>
      <c r="L23" s="53">
        <v>3585.6</v>
      </c>
      <c r="M23" s="53"/>
      <c r="N23" s="53"/>
      <c r="O23" s="60"/>
      <c r="P23" s="60"/>
      <c r="Q23" s="60"/>
      <c r="R23" s="60"/>
      <c r="S23" s="60"/>
      <c r="T23" s="60"/>
    </row>
    <row r="24" spans="1:20" ht="93.75" x14ac:dyDescent="0.3">
      <c r="A24" s="5" t="s">
        <v>32</v>
      </c>
      <c r="B24" s="5"/>
      <c r="C24" s="5"/>
      <c r="D24" s="5"/>
      <c r="E24" s="5"/>
      <c r="F24" s="5"/>
      <c r="G24" s="5"/>
      <c r="H24" s="60">
        <v>222</v>
      </c>
      <c r="I24" s="56">
        <v>290</v>
      </c>
      <c r="J24" s="56">
        <v>836</v>
      </c>
      <c r="K24" s="53">
        <v>2058</v>
      </c>
      <c r="L24" s="53">
        <v>142</v>
      </c>
      <c r="M24" s="53">
        <v>126.54</v>
      </c>
      <c r="N24" s="53">
        <v>537.54</v>
      </c>
      <c r="O24" s="60">
        <f>630+218.64+411.16+131.92</f>
        <v>1391.72</v>
      </c>
      <c r="P24" s="60">
        <f>107.92+104.92+104.92+198.96+104.92+255.36+104.92+66.92+630+215.04</f>
        <v>1893.8799999999999</v>
      </c>
      <c r="Q24" s="60">
        <f>85+195.04+297.65+104.92+66.92+101.92+198.64+198.64+66.92</f>
        <v>1315.6499999999996</v>
      </c>
      <c r="R24" s="60">
        <f>101.92+95</f>
        <v>196.92000000000002</v>
      </c>
      <c r="S24" s="60">
        <v>3664.14</v>
      </c>
      <c r="T24" s="60">
        <v>278.39999999999998</v>
      </c>
    </row>
    <row r="25" spans="1:20" ht="18.75" x14ac:dyDescent="0.3">
      <c r="A25" s="5" t="s">
        <v>15</v>
      </c>
      <c r="B25" s="5"/>
      <c r="C25" s="5"/>
      <c r="D25" s="5"/>
      <c r="E25" s="5"/>
      <c r="F25" s="5"/>
      <c r="G25" s="5"/>
      <c r="H25" s="60"/>
      <c r="I25" s="56"/>
      <c r="J25" s="56"/>
      <c r="K25" s="53"/>
      <c r="L25" s="53">
        <v>2265</v>
      </c>
      <c r="M25" s="53"/>
      <c r="N25" s="53"/>
      <c r="O25" s="60"/>
      <c r="P25" s="60">
        <f>300+765+540</f>
        <v>1605</v>
      </c>
      <c r="Q25" s="60">
        <f>270+385</f>
        <v>655</v>
      </c>
      <c r="R25" s="60"/>
      <c r="S25" s="60">
        <f>370+600</f>
        <v>970</v>
      </c>
      <c r="T25" s="60">
        <v>672</v>
      </c>
    </row>
    <row r="26" spans="1:20" ht="37.5" x14ac:dyDescent="0.3">
      <c r="A26" s="5" t="s">
        <v>49</v>
      </c>
      <c r="B26" s="5"/>
      <c r="C26" s="5"/>
      <c r="D26" s="5"/>
      <c r="E26" s="5"/>
      <c r="F26" s="5"/>
      <c r="G26" s="5"/>
      <c r="H26" s="60"/>
      <c r="I26" s="56"/>
      <c r="J26" s="56"/>
      <c r="K26" s="53"/>
      <c r="L26" s="53"/>
      <c r="M26" s="53">
        <v>2000</v>
      </c>
      <c r="N26" s="53"/>
      <c r="O26" s="60"/>
      <c r="P26" s="60"/>
      <c r="Q26" s="60"/>
      <c r="R26" s="60"/>
      <c r="S26" s="60"/>
      <c r="T26" s="60"/>
    </row>
    <row r="27" spans="1:20" ht="37.5" x14ac:dyDescent="0.3">
      <c r="A27" s="5" t="s">
        <v>81</v>
      </c>
      <c r="B27" s="5"/>
      <c r="C27" s="5"/>
      <c r="D27" s="5"/>
      <c r="E27" s="5"/>
      <c r="F27" s="5"/>
      <c r="G27" s="5"/>
      <c r="H27" s="60"/>
      <c r="I27" s="66">
        <v>2138</v>
      </c>
      <c r="J27" s="66">
        <v>2148.4299999999998</v>
      </c>
      <c r="K27" s="53">
        <v>2138.5</v>
      </c>
      <c r="L27" s="53"/>
      <c r="M27" s="53"/>
      <c r="N27" s="53">
        <v>520</v>
      </c>
      <c r="O27" s="60">
        <f>520</f>
        <v>520</v>
      </c>
      <c r="P27" s="60"/>
      <c r="Q27" s="60"/>
      <c r="R27" s="60"/>
      <c r="S27" s="60"/>
      <c r="T27" s="60">
        <v>520</v>
      </c>
    </row>
    <row r="28" spans="1:20" ht="37.5" x14ac:dyDescent="0.3">
      <c r="A28" s="5" t="s">
        <v>82</v>
      </c>
      <c r="B28" s="5"/>
      <c r="C28" s="5"/>
      <c r="D28" s="5"/>
      <c r="E28" s="5"/>
      <c r="F28" s="5"/>
      <c r="G28" s="5"/>
      <c r="H28" s="60">
        <v>2057.9</v>
      </c>
      <c r="I28" s="56">
        <v>2400</v>
      </c>
      <c r="J28" s="56">
        <v>2400</v>
      </c>
      <c r="K28" s="53">
        <v>2400</v>
      </c>
      <c r="L28" s="53">
        <v>2104</v>
      </c>
      <c r="M28" s="53">
        <v>2087.5100000000002</v>
      </c>
      <c r="N28" s="53">
        <v>2230.87</v>
      </c>
      <c r="O28" s="60">
        <v>2280.12</v>
      </c>
      <c r="P28" s="60">
        <f>2122.43+813.8</f>
        <v>2936.2299999999996</v>
      </c>
      <c r="Q28" s="60">
        <v>2212.0300000000002</v>
      </c>
      <c r="R28" s="60">
        <f>865.8+411.08+2500.2</f>
        <v>3777.08</v>
      </c>
      <c r="S28" s="60">
        <v>2396.12</v>
      </c>
      <c r="T28" s="60">
        <v>2409</v>
      </c>
    </row>
    <row r="29" spans="1:20" ht="56.25" x14ac:dyDescent="0.3">
      <c r="A29" s="5" t="s">
        <v>96</v>
      </c>
      <c r="B29" s="5"/>
      <c r="C29" s="5"/>
      <c r="D29" s="5"/>
      <c r="E29" s="5"/>
      <c r="F29" s="5"/>
      <c r="G29" s="5"/>
      <c r="H29" s="60"/>
      <c r="I29" s="56"/>
      <c r="J29" s="56"/>
      <c r="K29" s="53"/>
      <c r="L29" s="53"/>
      <c r="M29" s="53"/>
      <c r="N29" s="53"/>
      <c r="O29" s="60"/>
      <c r="P29" s="60"/>
      <c r="Q29" s="60"/>
      <c r="R29" s="60"/>
      <c r="S29" s="60">
        <v>3971.55</v>
      </c>
      <c r="T29" s="60">
        <v>6747.58</v>
      </c>
    </row>
    <row r="30" spans="1:20" ht="37.5" x14ac:dyDescent="0.3">
      <c r="A30" s="5" t="s">
        <v>26</v>
      </c>
      <c r="B30" s="5"/>
      <c r="C30" s="5"/>
      <c r="D30" s="5"/>
      <c r="E30" s="5"/>
      <c r="F30" s="5"/>
      <c r="G30" s="5"/>
      <c r="H30" s="60"/>
      <c r="I30" s="56"/>
      <c r="J30" s="56"/>
      <c r="K30" s="53"/>
      <c r="L30" s="53">
        <v>649</v>
      </c>
      <c r="M30" s="53"/>
      <c r="N30" s="53">
        <v>551</v>
      </c>
      <c r="O30" s="60"/>
      <c r="P30" s="60"/>
      <c r="Q30" s="60"/>
      <c r="R30" s="60"/>
      <c r="S30" s="60"/>
      <c r="T30" s="60"/>
    </row>
    <row r="31" spans="1:20" ht="37.5" x14ac:dyDescent="0.3">
      <c r="A31" s="5" t="s">
        <v>84</v>
      </c>
      <c r="B31" s="5"/>
      <c r="C31" s="5"/>
      <c r="D31" s="5"/>
      <c r="E31" s="5"/>
      <c r="F31" s="5"/>
      <c r="G31" s="5"/>
      <c r="H31" s="60"/>
      <c r="I31" s="56"/>
      <c r="J31" s="56">
        <v>1800</v>
      </c>
      <c r="K31" s="53"/>
      <c r="L31" s="53"/>
      <c r="M31" s="53"/>
      <c r="N31" s="53">
        <v>1511</v>
      </c>
      <c r="O31" s="60"/>
      <c r="P31" s="60"/>
      <c r="Q31" s="60"/>
      <c r="R31" s="60">
        <v>3950</v>
      </c>
      <c r="S31" s="60"/>
      <c r="T31" s="60"/>
    </row>
    <row r="32" spans="1:20" ht="37.5" x14ac:dyDescent="0.3">
      <c r="A32" s="5" t="s">
        <v>85</v>
      </c>
      <c r="B32" s="5"/>
      <c r="C32" s="5"/>
      <c r="D32" s="5"/>
      <c r="E32" s="5"/>
      <c r="F32" s="5"/>
      <c r="G32" s="5"/>
      <c r="H32" s="60"/>
      <c r="I32" s="56"/>
      <c r="J32" s="56"/>
      <c r="K32" s="53"/>
      <c r="L32" s="53"/>
      <c r="M32" s="53"/>
      <c r="N32" s="53"/>
      <c r="O32" s="60"/>
      <c r="P32" s="60"/>
      <c r="Q32" s="60"/>
      <c r="R32" s="60"/>
      <c r="S32" s="60">
        <v>8240</v>
      </c>
      <c r="T32" s="60"/>
    </row>
    <row r="33" spans="1:20" ht="37.5" x14ac:dyDescent="0.3">
      <c r="A33" s="5" t="s">
        <v>28</v>
      </c>
      <c r="B33" s="5"/>
      <c r="C33" s="5"/>
      <c r="D33" s="5"/>
      <c r="E33" s="5"/>
      <c r="F33" s="5"/>
      <c r="G33" s="5"/>
      <c r="H33" s="60"/>
      <c r="I33" s="56">
        <v>933</v>
      </c>
      <c r="J33" s="56">
        <v>775</v>
      </c>
      <c r="K33" s="53"/>
      <c r="L33" s="53"/>
      <c r="M33" s="53"/>
      <c r="N33" s="53"/>
      <c r="O33" s="60"/>
      <c r="P33" s="67"/>
      <c r="Q33" s="60"/>
      <c r="R33" s="60"/>
      <c r="S33" s="60"/>
      <c r="T33" s="60"/>
    </row>
    <row r="34" spans="1:20" ht="187.5" x14ac:dyDescent="0.3">
      <c r="A34" s="5" t="s">
        <v>86</v>
      </c>
      <c r="B34" s="5"/>
      <c r="C34" s="5"/>
      <c r="D34" s="5"/>
      <c r="E34" s="5"/>
      <c r="F34" s="5"/>
      <c r="G34" s="5"/>
      <c r="H34" s="60">
        <v>460</v>
      </c>
      <c r="I34" s="56">
        <v>682</v>
      </c>
      <c r="J34" s="56"/>
      <c r="K34" s="53">
        <v>1608.75</v>
      </c>
      <c r="L34" s="53"/>
      <c r="M34" s="53"/>
      <c r="N34" s="53">
        <v>142</v>
      </c>
      <c r="O34" s="60"/>
      <c r="P34" s="60"/>
      <c r="Q34" s="60">
        <v>81.760000000000005</v>
      </c>
      <c r="R34" s="60"/>
      <c r="S34" s="60">
        <f>330+700</f>
        <v>1030</v>
      </c>
      <c r="T34" s="60"/>
    </row>
    <row r="35" spans="1:20" ht="56.25" x14ac:dyDescent="0.3">
      <c r="A35" s="5" t="s">
        <v>33</v>
      </c>
      <c r="B35" s="5"/>
      <c r="C35" s="5"/>
      <c r="D35" s="5"/>
      <c r="E35" s="5"/>
      <c r="F35" s="5"/>
      <c r="G35" s="5"/>
      <c r="H35" s="60"/>
      <c r="I35" s="56"/>
      <c r="J35" s="56">
        <v>2100</v>
      </c>
      <c r="K35" s="53"/>
      <c r="L35" s="53">
        <v>4145</v>
      </c>
      <c r="M35" s="53">
        <v>8007</v>
      </c>
      <c r="N35" s="53">
        <v>1763</v>
      </c>
      <c r="O35" s="60">
        <f>2820+1854+424+1507.78</f>
        <v>6605.78</v>
      </c>
      <c r="P35" s="60">
        <f>2498+1864+626.5+658+1606</f>
        <v>7252.5</v>
      </c>
      <c r="Q35" s="60">
        <f>496+916+2238.59</f>
        <v>3650.59</v>
      </c>
      <c r="R35" s="60">
        <f>916+586+727+9</f>
        <v>2238</v>
      </c>
      <c r="S35" s="60">
        <v>13493.5</v>
      </c>
      <c r="T35" s="60">
        <v>50</v>
      </c>
    </row>
    <row r="36" spans="1:20" ht="37.5" x14ac:dyDescent="0.3">
      <c r="A36" s="5" t="s">
        <v>87</v>
      </c>
      <c r="B36" s="5"/>
      <c r="C36" s="5"/>
      <c r="D36" s="5"/>
      <c r="E36" s="5"/>
      <c r="F36" s="5"/>
      <c r="G36" s="5"/>
      <c r="H36" s="60"/>
      <c r="I36" s="56"/>
      <c r="J36" s="56">
        <v>2452</v>
      </c>
      <c r="K36" s="53">
        <v>280</v>
      </c>
      <c r="L36" s="53"/>
      <c r="M36" s="53"/>
      <c r="N36" s="53"/>
      <c r="O36" s="60"/>
      <c r="P36" s="60"/>
      <c r="Q36" s="60"/>
      <c r="R36" s="60"/>
      <c r="S36" s="60">
        <v>1500</v>
      </c>
      <c r="T36" s="60"/>
    </row>
    <row r="37" spans="1:20" ht="187.5" x14ac:dyDescent="0.3">
      <c r="A37" s="5" t="s">
        <v>88</v>
      </c>
      <c r="B37" s="5"/>
      <c r="C37" s="5"/>
      <c r="D37" s="5"/>
      <c r="E37" s="5"/>
      <c r="F37" s="5"/>
      <c r="G37" s="5"/>
      <c r="H37" s="60">
        <v>1553.8</v>
      </c>
      <c r="I37" s="56"/>
      <c r="J37" s="56">
        <v>10000</v>
      </c>
      <c r="K37" s="53"/>
      <c r="L37" s="53"/>
      <c r="M37" s="53"/>
      <c r="N37" s="53"/>
      <c r="O37" s="60"/>
      <c r="P37" s="60"/>
      <c r="Q37" s="60">
        <f>400+1900</f>
        <v>2300</v>
      </c>
      <c r="R37" s="60"/>
      <c r="S37" s="60"/>
      <c r="T37" s="60"/>
    </row>
    <row r="38" spans="1:20" ht="93.75" x14ac:dyDescent="0.3">
      <c r="A38" s="5" t="s">
        <v>89</v>
      </c>
      <c r="B38" s="5"/>
      <c r="C38" s="5"/>
      <c r="D38" s="5"/>
      <c r="E38" s="5"/>
      <c r="F38" s="5"/>
      <c r="G38" s="5"/>
      <c r="H38" s="60"/>
      <c r="I38" s="56">
        <v>1800</v>
      </c>
      <c r="J38" s="56">
        <v>156</v>
      </c>
      <c r="K38" s="53">
        <v>1800</v>
      </c>
      <c r="L38" s="53"/>
      <c r="M38" s="53">
        <v>1000</v>
      </c>
      <c r="N38" s="53"/>
      <c r="O38" s="60">
        <v>8000</v>
      </c>
      <c r="P38" s="60"/>
      <c r="Q38" s="60">
        <v>16000</v>
      </c>
      <c r="R38" s="60"/>
      <c r="S38" s="60">
        <v>8000</v>
      </c>
      <c r="T38" s="60">
        <v>24000</v>
      </c>
    </row>
    <row r="39" spans="1:20" ht="93.75" x14ac:dyDescent="0.3">
      <c r="A39" s="5" t="s">
        <v>45</v>
      </c>
      <c r="B39" s="5"/>
      <c r="C39" s="5"/>
      <c r="D39" s="5"/>
      <c r="E39" s="5"/>
      <c r="F39" s="5"/>
      <c r="G39" s="5"/>
      <c r="H39" s="60">
        <v>5114.5</v>
      </c>
      <c r="I39" s="56"/>
      <c r="J39" s="56"/>
      <c r="K39" s="53"/>
      <c r="L39" s="53">
        <v>3150</v>
      </c>
      <c r="M39" s="53">
        <v>3650</v>
      </c>
      <c r="N39" s="53">
        <v>250</v>
      </c>
      <c r="O39" s="60">
        <f>2040+250+300+214+250</f>
        <v>3054</v>
      </c>
      <c r="P39" s="60">
        <f>150+150+250+150+150+150+250+150</f>
        <v>1400</v>
      </c>
      <c r="Q39" s="60">
        <f>500</f>
        <v>500</v>
      </c>
      <c r="R39" s="60">
        <f>150+250+150+150+150</f>
        <v>850</v>
      </c>
      <c r="S39" s="60">
        <v>3133</v>
      </c>
      <c r="T39" s="60">
        <v>894</v>
      </c>
    </row>
    <row r="40" spans="1:20" ht="56.25" x14ac:dyDescent="0.3">
      <c r="A40" s="5" t="s">
        <v>50</v>
      </c>
      <c r="B40" s="5"/>
      <c r="C40" s="5"/>
      <c r="D40" s="5"/>
      <c r="E40" s="5"/>
      <c r="F40" s="5"/>
      <c r="G40" s="5"/>
      <c r="H40" s="60"/>
      <c r="I40" s="56"/>
      <c r="J40" s="56">
        <v>10550</v>
      </c>
      <c r="K40" s="53">
        <v>10550</v>
      </c>
      <c r="L40" s="53"/>
      <c r="M40" s="53">
        <v>13600</v>
      </c>
      <c r="N40" s="53"/>
      <c r="O40" s="60"/>
      <c r="P40" s="60"/>
      <c r="Q40" s="60"/>
      <c r="R40" s="60"/>
      <c r="S40" s="60"/>
      <c r="T40" s="60"/>
    </row>
    <row r="41" spans="1:20" ht="131.25" x14ac:dyDescent="0.3">
      <c r="A41" s="5" t="s">
        <v>90</v>
      </c>
      <c r="B41" s="5"/>
      <c r="C41" s="5"/>
      <c r="D41" s="5"/>
      <c r="E41" s="5"/>
      <c r="F41" s="5"/>
      <c r="G41" s="5"/>
      <c r="H41" s="60"/>
      <c r="I41" s="56"/>
      <c r="J41" s="56">
        <v>31875</v>
      </c>
      <c r="K41" s="53">
        <v>21200</v>
      </c>
      <c r="L41" s="53"/>
      <c r="M41" s="53">
        <v>6350</v>
      </c>
      <c r="N41" s="53"/>
      <c r="O41" s="60"/>
      <c r="P41" s="60"/>
      <c r="Q41" s="60"/>
      <c r="R41" s="60"/>
      <c r="S41" s="60">
        <f>823.8+960</f>
        <v>1783.8</v>
      </c>
      <c r="T41" s="60">
        <v>12511</v>
      </c>
    </row>
    <row r="42" spans="1:20" ht="93.75" x14ac:dyDescent="0.3">
      <c r="A42" s="5" t="s">
        <v>46</v>
      </c>
      <c r="B42" s="5"/>
      <c r="C42" s="5"/>
      <c r="D42" s="5"/>
      <c r="E42" s="5"/>
      <c r="F42" s="5"/>
      <c r="G42" s="5"/>
      <c r="H42" s="60">
        <v>9815</v>
      </c>
      <c r="I42" s="56">
        <v>5700</v>
      </c>
      <c r="J42" s="56"/>
      <c r="K42" s="53"/>
      <c r="L42" s="53"/>
      <c r="M42" s="53"/>
      <c r="N42" s="53"/>
      <c r="O42" s="60"/>
      <c r="P42" s="60"/>
      <c r="Q42" s="60">
        <f>5200+1910</f>
        <v>7110</v>
      </c>
      <c r="R42" s="60"/>
      <c r="S42" s="60"/>
      <c r="T42" s="60"/>
    </row>
    <row r="43" spans="1:20" ht="56.25" x14ac:dyDescent="0.3">
      <c r="A43" s="5" t="s">
        <v>44</v>
      </c>
      <c r="B43" s="5"/>
      <c r="C43" s="5"/>
      <c r="D43" s="5"/>
      <c r="E43" s="5"/>
      <c r="F43" s="5"/>
      <c r="G43" s="5"/>
      <c r="H43" s="60"/>
      <c r="I43" s="56">
        <v>58510</v>
      </c>
      <c r="J43" s="56"/>
      <c r="K43" s="53"/>
      <c r="L43" s="53"/>
      <c r="M43" s="53"/>
      <c r="N43" s="53"/>
      <c r="O43" s="60"/>
      <c r="P43" s="60"/>
      <c r="Q43" s="60"/>
      <c r="R43" s="60"/>
      <c r="S43" s="60"/>
      <c r="T43" s="60"/>
    </row>
    <row r="44" spans="1:20" ht="37.5" x14ac:dyDescent="0.3">
      <c r="A44" s="5" t="s">
        <v>97</v>
      </c>
      <c r="B44" s="5"/>
      <c r="C44" s="5"/>
      <c r="D44" s="5"/>
      <c r="E44" s="5"/>
      <c r="F44" s="5"/>
      <c r="G44" s="5"/>
      <c r="H44" s="60"/>
      <c r="I44" s="56"/>
      <c r="J44" s="56"/>
      <c r="K44" s="53"/>
      <c r="L44" s="53"/>
      <c r="M44" s="53"/>
      <c r="N44" s="53"/>
      <c r="O44" s="60"/>
      <c r="P44" s="60"/>
      <c r="Q44" s="60"/>
      <c r="R44" s="60"/>
      <c r="S44" s="60"/>
      <c r="T44" s="60">
        <v>8500</v>
      </c>
    </row>
    <row r="45" spans="1:20" ht="18.75" x14ac:dyDescent="0.3">
      <c r="A45" s="5" t="s">
        <v>98</v>
      </c>
      <c r="B45" s="5"/>
      <c r="C45" s="5"/>
      <c r="D45" s="5"/>
      <c r="E45" s="5"/>
      <c r="F45" s="5"/>
      <c r="G45" s="5"/>
      <c r="H45" s="60"/>
      <c r="I45" s="56"/>
      <c r="J45" s="56"/>
      <c r="K45" s="53"/>
      <c r="L45" s="53"/>
      <c r="M45" s="53"/>
      <c r="N45" s="53"/>
      <c r="O45" s="60"/>
      <c r="P45" s="60"/>
      <c r="Q45" s="60"/>
      <c r="R45" s="60"/>
      <c r="S45" s="60"/>
      <c r="T45" s="60">
        <v>7440</v>
      </c>
    </row>
    <row r="46" spans="1:20" ht="18.75" x14ac:dyDescent="0.3">
      <c r="A46" s="5" t="s">
        <v>99</v>
      </c>
      <c r="B46" s="5"/>
      <c r="C46" s="5"/>
      <c r="D46" s="5"/>
      <c r="E46" s="5"/>
      <c r="F46" s="5"/>
      <c r="G46" s="5"/>
      <c r="H46" s="60"/>
      <c r="I46" s="56">
        <v>49010</v>
      </c>
      <c r="J46" s="56"/>
      <c r="K46" s="53"/>
      <c r="L46" s="53"/>
      <c r="M46" s="53"/>
      <c r="N46" s="53"/>
      <c r="O46" s="60"/>
      <c r="P46" s="60"/>
      <c r="Q46" s="60"/>
      <c r="R46" s="60"/>
      <c r="S46" s="60"/>
      <c r="T46" s="60">
        <v>24214</v>
      </c>
    </row>
    <row r="47" spans="1:20" ht="131.25" x14ac:dyDescent="0.3">
      <c r="A47" s="5" t="s">
        <v>94</v>
      </c>
      <c r="B47" s="5"/>
      <c r="C47" s="5"/>
      <c r="D47" s="5"/>
      <c r="E47" s="5"/>
      <c r="F47" s="5"/>
      <c r="G47" s="5"/>
      <c r="H47" s="60"/>
      <c r="I47" s="56"/>
      <c r="J47" s="56"/>
      <c r="K47" s="53"/>
      <c r="L47" s="53"/>
      <c r="M47" s="53"/>
      <c r="N47" s="53"/>
      <c r="O47" s="60"/>
      <c r="P47" s="60"/>
      <c r="Q47" s="60"/>
      <c r="R47" s="60"/>
      <c r="S47" s="60"/>
      <c r="T47" s="60">
        <v>4105</v>
      </c>
    </row>
    <row r="48" spans="1:20" ht="56.25" x14ac:dyDescent="0.3">
      <c r="A48" s="5" t="s">
        <v>95</v>
      </c>
      <c r="B48" s="5"/>
      <c r="C48" s="5"/>
      <c r="D48" s="5"/>
      <c r="E48" s="5"/>
      <c r="F48" s="5"/>
      <c r="G48" s="5"/>
      <c r="H48" s="60"/>
      <c r="I48" s="56"/>
      <c r="J48" s="56"/>
      <c r="K48" s="53"/>
      <c r="L48" s="53"/>
      <c r="M48" s="53"/>
      <c r="N48" s="53"/>
      <c r="O48" s="60"/>
      <c r="P48" s="60"/>
      <c r="Q48" s="60"/>
      <c r="R48" s="60"/>
      <c r="S48" s="60"/>
      <c r="T48" s="60">
        <v>6485</v>
      </c>
    </row>
    <row r="49" spans="1:20" ht="18.75" x14ac:dyDescent="0.3">
      <c r="A49" s="5" t="s">
        <v>100</v>
      </c>
      <c r="B49" s="5"/>
      <c r="C49" s="5"/>
      <c r="D49" s="5"/>
      <c r="E49" s="5"/>
      <c r="F49" s="5"/>
      <c r="G49" s="5"/>
      <c r="H49" s="60"/>
      <c r="I49" s="56"/>
      <c r="J49" s="56"/>
      <c r="K49" s="53"/>
      <c r="L49" s="53"/>
      <c r="M49" s="53"/>
      <c r="N49" s="53"/>
      <c r="O49" s="60"/>
      <c r="P49" s="60"/>
      <c r="Q49" s="60"/>
      <c r="R49" s="60"/>
      <c r="S49" s="60"/>
      <c r="T49" s="60">
        <v>12000</v>
      </c>
    </row>
    <row r="50" spans="1:20" ht="18.75" x14ac:dyDescent="0.3">
      <c r="A50" s="2"/>
      <c r="B50" s="2"/>
      <c r="C50" s="2"/>
      <c r="D50" s="2"/>
      <c r="E50" s="2"/>
      <c r="F50" s="2"/>
      <c r="G50" s="2"/>
      <c r="H50" s="67"/>
      <c r="I50" s="68"/>
      <c r="J50" s="68"/>
      <c r="K50" s="68"/>
      <c r="L50" s="68"/>
      <c r="M50" s="68"/>
      <c r="N50" s="68"/>
    </row>
    <row r="51" spans="1:20" ht="18.75" x14ac:dyDescent="0.3">
      <c r="A51" s="2"/>
      <c r="B51" s="2"/>
      <c r="C51" s="2"/>
      <c r="D51" s="2"/>
      <c r="E51" s="2"/>
      <c r="F51" s="2"/>
      <c r="G51" s="2"/>
      <c r="H51" s="67"/>
      <c r="I51" s="68"/>
      <c r="J51" s="68"/>
      <c r="K51" s="68"/>
      <c r="L51" s="68"/>
      <c r="M51" s="68"/>
      <c r="N51" s="68"/>
    </row>
    <row r="52" spans="1:20" ht="18.75" x14ac:dyDescent="0.3">
      <c r="A52" s="2"/>
      <c r="B52" s="2"/>
      <c r="C52" s="2"/>
      <c r="D52" s="2"/>
      <c r="E52" s="2"/>
      <c r="F52" s="2"/>
      <c r="G52" s="2"/>
      <c r="H52" s="67"/>
      <c r="I52" s="68"/>
      <c r="J52" s="68"/>
      <c r="K52" s="68"/>
      <c r="L52" s="68"/>
      <c r="M52" s="68"/>
      <c r="N52" s="68"/>
    </row>
    <row r="53" spans="1:20" ht="18.75" x14ac:dyDescent="0.3">
      <c r="A53" s="2"/>
      <c r="B53" s="67"/>
      <c r="C53" s="67"/>
      <c r="D53" s="68"/>
      <c r="E53" s="68"/>
      <c r="F53" s="68"/>
      <c r="G53" s="68"/>
      <c r="H53" s="68"/>
      <c r="I53" s="68"/>
      <c r="P53"/>
      <c r="Q53"/>
      <c r="R53"/>
      <c r="S53"/>
      <c r="T53"/>
    </row>
    <row r="54" spans="1:20" ht="18.75" x14ac:dyDescent="0.3">
      <c r="A54" s="2"/>
      <c r="B54" s="2"/>
      <c r="C54" s="2"/>
      <c r="D54" s="2"/>
      <c r="E54" s="2"/>
      <c r="F54" s="2"/>
      <c r="G54" s="2"/>
      <c r="H54" s="67"/>
      <c r="I54" s="68"/>
      <c r="J54" s="68"/>
      <c r="K54" s="68"/>
      <c r="L54" s="68"/>
      <c r="M54" s="68"/>
      <c r="N54" s="68"/>
    </row>
    <row r="55" spans="1:20" ht="18.75" x14ac:dyDescent="0.3">
      <c r="A55" s="2"/>
      <c r="B55" s="2"/>
      <c r="C55" s="2"/>
      <c r="D55" s="2"/>
      <c r="E55" s="2"/>
      <c r="F55" s="2"/>
      <c r="G55" s="2"/>
      <c r="H55" s="67"/>
      <c r="I55" s="68"/>
      <c r="J55" s="68"/>
      <c r="K55" s="68"/>
      <c r="L55" s="68"/>
      <c r="M55" s="68"/>
      <c r="N55" s="68"/>
    </row>
    <row r="56" spans="1:20" ht="18.75" x14ac:dyDescent="0.3">
      <c r="A56" s="2"/>
      <c r="B56" s="2"/>
      <c r="C56" s="2"/>
      <c r="D56" s="2"/>
      <c r="E56" s="2"/>
      <c r="F56" s="2"/>
      <c r="G56" s="2"/>
      <c r="H56" s="67"/>
      <c r="I56" s="68"/>
      <c r="J56" s="68"/>
      <c r="K56" s="68"/>
      <c r="L56" s="68"/>
      <c r="M56" s="68"/>
      <c r="N56" s="68"/>
    </row>
    <row r="57" spans="1:20" ht="18.75" x14ac:dyDescent="0.3">
      <c r="A57" s="2"/>
      <c r="B57" s="2"/>
      <c r="C57" s="2"/>
      <c r="D57" s="2"/>
      <c r="E57" s="2"/>
      <c r="F57" s="2"/>
      <c r="G57" s="2"/>
      <c r="H57" s="67"/>
      <c r="I57" s="68"/>
      <c r="J57" s="68"/>
      <c r="K57" s="68"/>
      <c r="L57" s="68"/>
      <c r="M57" s="68"/>
      <c r="N57" s="68"/>
    </row>
    <row r="58" spans="1:20" ht="18.75" x14ac:dyDescent="0.3">
      <c r="A58" s="2"/>
      <c r="B58" s="2"/>
      <c r="C58" s="2"/>
      <c r="D58" s="2"/>
      <c r="E58" s="2"/>
      <c r="F58" s="2"/>
      <c r="G58" s="2"/>
      <c r="H58" s="67"/>
      <c r="I58" s="68"/>
      <c r="J58" s="68"/>
      <c r="K58" s="68"/>
      <c r="L58" s="68"/>
      <c r="M58" s="68"/>
      <c r="N58" s="68"/>
    </row>
    <row r="59" spans="1:20" ht="18.75" x14ac:dyDescent="0.3">
      <c r="A59" s="2"/>
      <c r="B59" s="2"/>
      <c r="C59" s="2"/>
      <c r="D59" s="2"/>
      <c r="E59" s="2"/>
      <c r="F59" s="2"/>
      <c r="G59" s="2"/>
      <c r="H59" s="67"/>
      <c r="I59" s="68"/>
      <c r="J59" s="68"/>
      <c r="K59" s="68"/>
      <c r="L59" s="68"/>
      <c r="M59" s="68"/>
      <c r="N59" s="68"/>
    </row>
    <row r="60" spans="1:20" ht="18.75" x14ac:dyDescent="0.3">
      <c r="A60" s="2"/>
      <c r="B60" s="2"/>
      <c r="C60" s="2"/>
      <c r="D60" s="2"/>
      <c r="E60" s="2"/>
      <c r="F60" s="2"/>
      <c r="G60" s="2"/>
      <c r="H60" s="67"/>
      <c r="I60" s="68"/>
      <c r="J60" s="68"/>
      <c r="K60" s="68"/>
      <c r="L60" s="68"/>
      <c r="M60" s="68"/>
      <c r="N60" s="68"/>
    </row>
    <row r="61" spans="1:20" ht="18.75" x14ac:dyDescent="0.3">
      <c r="A61" s="2"/>
      <c r="B61" s="2"/>
      <c r="C61" s="2"/>
      <c r="D61" s="2"/>
      <c r="E61" s="2"/>
      <c r="F61" s="2"/>
      <c r="G61" s="2"/>
      <c r="H61" s="67"/>
      <c r="I61" s="68"/>
      <c r="J61" s="68"/>
      <c r="K61" s="68"/>
      <c r="L61" s="68"/>
      <c r="M61" s="68"/>
      <c r="N61" s="68"/>
    </row>
    <row r="62" spans="1:20" ht="18.75" x14ac:dyDescent="0.3">
      <c r="A62" s="2"/>
      <c r="B62" s="2"/>
      <c r="C62" s="2"/>
      <c r="D62" s="2"/>
      <c r="E62" s="2"/>
      <c r="F62" s="2"/>
      <c r="G62" s="2"/>
      <c r="H62" s="67"/>
      <c r="I62" s="68"/>
      <c r="J62" s="68"/>
      <c r="K62" s="68"/>
      <c r="L62" s="68"/>
      <c r="M62" s="68"/>
      <c r="N62" s="68"/>
    </row>
    <row r="63" spans="1:20" ht="18.75" x14ac:dyDescent="0.3">
      <c r="A63" s="2"/>
      <c r="B63" s="2"/>
      <c r="C63" s="2"/>
      <c r="D63" s="2"/>
      <c r="E63" s="2"/>
      <c r="F63" s="2"/>
      <c r="G63" s="2"/>
      <c r="H63" s="67"/>
      <c r="I63" s="68"/>
      <c r="J63" s="68"/>
      <c r="K63" s="68"/>
      <c r="L63" s="68"/>
      <c r="M63" s="68"/>
      <c r="N63" s="68"/>
    </row>
    <row r="64" spans="1:20" ht="18.75" x14ac:dyDescent="0.3">
      <c r="A64" s="2"/>
      <c r="B64" s="2"/>
      <c r="C64" s="2"/>
      <c r="D64" s="2"/>
      <c r="E64" s="2"/>
      <c r="F64" s="2"/>
      <c r="G64" s="2"/>
      <c r="H64" s="67"/>
      <c r="I64" s="68"/>
      <c r="J64" s="68"/>
      <c r="K64" s="68"/>
      <c r="L64" s="68"/>
      <c r="M64" s="68"/>
      <c r="N64" s="68"/>
    </row>
    <row r="65" spans="1:14" ht="18.75" x14ac:dyDescent="0.3">
      <c r="A65" s="2"/>
      <c r="B65" s="2"/>
      <c r="C65" s="2"/>
      <c r="D65" s="2"/>
      <c r="E65" s="2"/>
      <c r="F65" s="2"/>
      <c r="G65" s="2"/>
      <c r="H65" s="67"/>
      <c r="I65" s="68"/>
      <c r="J65" s="68"/>
      <c r="K65" s="68"/>
      <c r="L65" s="68"/>
      <c r="M65" s="68"/>
      <c r="N65" s="68"/>
    </row>
    <row r="66" spans="1:14" ht="18.75" x14ac:dyDescent="0.3">
      <c r="A66" s="2"/>
      <c r="B66" s="2"/>
      <c r="C66" s="2"/>
      <c r="D66" s="2"/>
      <c r="E66" s="2"/>
      <c r="F66" s="2"/>
      <c r="G66" s="2"/>
      <c r="H66" s="67"/>
      <c r="I66" s="68"/>
      <c r="J66" s="68"/>
      <c r="K66" s="68"/>
      <c r="L66" s="68"/>
      <c r="M66" s="68"/>
      <c r="N66" s="68"/>
    </row>
    <row r="67" spans="1:14" ht="18.75" x14ac:dyDescent="0.3">
      <c r="A67" s="2"/>
      <c r="B67" s="2"/>
      <c r="C67" s="2"/>
      <c r="D67" s="2"/>
      <c r="E67" s="2"/>
      <c r="F67" s="2"/>
      <c r="G67" s="2"/>
      <c r="H67" s="67"/>
      <c r="I67" s="68"/>
      <c r="J67" s="68"/>
      <c r="K67" s="68"/>
      <c r="L67" s="68"/>
      <c r="M67" s="68"/>
      <c r="N67" s="68"/>
    </row>
    <row r="68" spans="1:14" ht="18.75" x14ac:dyDescent="0.3">
      <c r="A68" s="2"/>
      <c r="B68" s="2"/>
      <c r="C68" s="2"/>
      <c r="D68" s="2"/>
      <c r="E68" s="2"/>
      <c r="F68" s="2"/>
      <c r="G68" s="2"/>
      <c r="H68" s="67"/>
      <c r="I68" s="68"/>
      <c r="J68" s="68"/>
      <c r="K68" s="68"/>
      <c r="L68" s="68"/>
      <c r="M68" s="68"/>
      <c r="N68" s="68"/>
    </row>
    <row r="69" spans="1:14" ht="18.75" x14ac:dyDescent="0.3">
      <c r="A69" s="2"/>
      <c r="B69" s="2"/>
      <c r="C69" s="2"/>
      <c r="D69" s="2"/>
      <c r="E69" s="2"/>
      <c r="F69" s="2"/>
      <c r="G69" s="2"/>
      <c r="H69" s="67"/>
      <c r="I69" s="68"/>
      <c r="J69" s="68"/>
      <c r="K69" s="68"/>
      <c r="L69" s="68"/>
      <c r="M69" s="68"/>
      <c r="N69" s="68"/>
    </row>
    <row r="70" spans="1:14" ht="18.75" x14ac:dyDescent="0.3">
      <c r="A70" s="2"/>
      <c r="B70" s="2"/>
      <c r="C70" s="2"/>
      <c r="D70" s="2"/>
      <c r="E70" s="2"/>
      <c r="F70" s="2"/>
      <c r="G70" s="2"/>
      <c r="H70" s="67"/>
      <c r="I70" s="68"/>
      <c r="J70" s="68"/>
      <c r="K70" s="68"/>
      <c r="L70" s="68"/>
      <c r="M70" s="68"/>
      <c r="N70" s="68"/>
    </row>
    <row r="71" spans="1:14" ht="18.75" x14ac:dyDescent="0.3">
      <c r="A71" s="2"/>
      <c r="B71" s="2"/>
      <c r="C71" s="2"/>
      <c r="D71" s="2"/>
      <c r="E71" s="2"/>
      <c r="F71" s="2"/>
      <c r="G71" s="2"/>
      <c r="H71" s="67"/>
      <c r="I71" s="68"/>
      <c r="J71" s="68"/>
      <c r="K71" s="68"/>
      <c r="L71" s="68"/>
      <c r="M71" s="68"/>
      <c r="N71" s="68"/>
    </row>
    <row r="72" spans="1:14" ht="18.75" x14ac:dyDescent="0.3">
      <c r="A72" s="2"/>
      <c r="B72" s="2"/>
      <c r="C72" s="2"/>
      <c r="D72" s="2"/>
      <c r="E72" s="2"/>
      <c r="F72" s="2"/>
      <c r="G72" s="2"/>
      <c r="H72" s="67"/>
      <c r="I72" s="68"/>
      <c r="J72" s="68"/>
      <c r="K72" s="68"/>
      <c r="L72" s="68"/>
      <c r="M72" s="68"/>
      <c r="N72" s="68"/>
    </row>
    <row r="73" spans="1:14" ht="18.75" x14ac:dyDescent="0.3">
      <c r="A73" s="2"/>
      <c r="B73" s="2"/>
      <c r="C73" s="2"/>
      <c r="D73" s="2"/>
      <c r="E73" s="2"/>
      <c r="F73" s="2"/>
      <c r="G73" s="2"/>
      <c r="H73" s="67"/>
      <c r="I73" s="68"/>
      <c r="J73" s="68"/>
      <c r="K73" s="68"/>
      <c r="L73" s="68"/>
      <c r="M73" s="68"/>
      <c r="N73" s="68"/>
    </row>
    <row r="74" spans="1:14" ht="18.75" x14ac:dyDescent="0.3">
      <c r="A74" s="2"/>
      <c r="B74" s="2"/>
      <c r="C74" s="2"/>
      <c r="D74" s="2"/>
      <c r="E74" s="2"/>
      <c r="F74" s="2"/>
      <c r="G74" s="2"/>
      <c r="H74" s="67"/>
      <c r="I74" s="68"/>
      <c r="J74" s="68"/>
      <c r="K74" s="68"/>
      <c r="L74" s="68"/>
      <c r="M74" s="68"/>
      <c r="N74" s="68"/>
    </row>
    <row r="75" spans="1:14" ht="18.75" x14ac:dyDescent="0.3">
      <c r="A75" s="2"/>
      <c r="B75" s="2"/>
      <c r="C75" s="2"/>
      <c r="D75" s="2"/>
      <c r="E75" s="2"/>
      <c r="F75" s="2"/>
      <c r="G75" s="2"/>
      <c r="H75" s="67"/>
      <c r="I75" s="68"/>
      <c r="J75" s="68"/>
      <c r="K75" s="68"/>
      <c r="L75" s="68"/>
      <c r="M75" s="68"/>
      <c r="N75" s="68"/>
    </row>
    <row r="76" spans="1:14" ht="18.75" x14ac:dyDescent="0.3">
      <c r="A76" s="2"/>
      <c r="B76" s="2"/>
      <c r="C76" s="2"/>
      <c r="D76" s="2"/>
      <c r="E76" s="2"/>
      <c r="F76" s="2"/>
      <c r="G76" s="2"/>
      <c r="H76" s="67"/>
      <c r="I76" s="68"/>
      <c r="J76" s="68"/>
      <c r="K76" s="68"/>
      <c r="L76" s="68"/>
      <c r="M76" s="68"/>
      <c r="N76" s="68"/>
    </row>
    <row r="77" spans="1:14" ht="18.75" x14ac:dyDescent="0.3">
      <c r="A77" s="2"/>
      <c r="B77" s="2"/>
      <c r="C77" s="2"/>
      <c r="D77" s="2"/>
      <c r="E77" s="2"/>
      <c r="F77" s="2"/>
      <c r="G77" s="2"/>
      <c r="H77" s="67"/>
      <c r="I77" s="68"/>
      <c r="J77" s="68"/>
      <c r="K77" s="68"/>
      <c r="L77" s="68"/>
      <c r="M77" s="68"/>
      <c r="N77" s="68"/>
    </row>
    <row r="78" spans="1:14" ht="18.75" x14ac:dyDescent="0.3">
      <c r="A78" s="2"/>
      <c r="B78" s="2"/>
      <c r="C78" s="2"/>
      <c r="D78" s="2"/>
      <c r="E78" s="2"/>
      <c r="F78" s="2"/>
      <c r="G78" s="2"/>
      <c r="H78" s="67"/>
      <c r="I78" s="68"/>
      <c r="J78" s="68"/>
      <c r="K78" s="68"/>
      <c r="L78" s="68"/>
      <c r="M78" s="68"/>
      <c r="N78" s="68"/>
    </row>
    <row r="79" spans="1:14" ht="18.75" x14ac:dyDescent="0.3">
      <c r="A79" s="2"/>
      <c r="B79" s="2"/>
      <c r="C79" s="2"/>
      <c r="D79" s="2"/>
      <c r="E79" s="2"/>
      <c r="F79" s="2"/>
      <c r="G79" s="2"/>
      <c r="H79" s="67"/>
      <c r="I79" s="68"/>
      <c r="J79" s="68"/>
      <c r="K79" s="68"/>
      <c r="L79" s="68"/>
      <c r="M79" s="68"/>
      <c r="N79" s="68"/>
    </row>
    <row r="80" spans="1:14" ht="18.75" x14ac:dyDescent="0.3">
      <c r="A80" s="2"/>
      <c r="B80" s="2"/>
      <c r="C80" s="2"/>
      <c r="D80" s="2"/>
      <c r="E80" s="2"/>
      <c r="F80" s="2"/>
      <c r="G80" s="2"/>
      <c r="H80" s="67"/>
      <c r="I80" s="68"/>
      <c r="J80" s="68"/>
      <c r="K80" s="68"/>
      <c r="L80" s="68"/>
      <c r="M80" s="68"/>
      <c r="N80" s="68"/>
    </row>
    <row r="81" spans="1:20" ht="18.75" x14ac:dyDescent="0.3">
      <c r="A81" s="2"/>
      <c r="B81" s="2"/>
      <c r="C81" s="2"/>
      <c r="D81" s="2"/>
      <c r="E81" s="2"/>
      <c r="F81" s="2"/>
      <c r="G81" s="2"/>
      <c r="H81" s="67"/>
      <c r="I81" s="68"/>
      <c r="J81" s="68"/>
      <c r="K81" s="68"/>
      <c r="L81" s="68"/>
      <c r="M81" s="68"/>
      <c r="N81" s="68"/>
    </row>
    <row r="82" spans="1:20" ht="18.75" x14ac:dyDescent="0.3">
      <c r="A82" s="2"/>
      <c r="B82" s="67">
        <v>109536.88</v>
      </c>
      <c r="C82" s="67"/>
      <c r="D82" s="68">
        <v>189407.09000000003</v>
      </c>
      <c r="E82" s="68">
        <v>235388.38999999998</v>
      </c>
      <c r="F82" s="68">
        <v>138581.34</v>
      </c>
      <c r="G82" s="68">
        <v>228778.53</v>
      </c>
      <c r="H82" s="68">
        <v>131645.38</v>
      </c>
      <c r="I82" s="68">
        <v>284141</v>
      </c>
      <c r="J82" s="57">
        <v>241333.43</v>
      </c>
      <c r="K82" s="57">
        <v>221311.05</v>
      </c>
      <c r="L82" s="57">
        <v>894646.63</v>
      </c>
      <c r="M82" s="57">
        <v>173303.05</v>
      </c>
      <c r="N82" s="57">
        <v>129029.75</v>
      </c>
      <c r="P82"/>
      <c r="Q82"/>
      <c r="R82"/>
      <c r="S82"/>
      <c r="T82"/>
    </row>
    <row r="83" spans="1:20" ht="18.75" x14ac:dyDescent="0.3">
      <c r="A83" s="2"/>
      <c r="B83" s="2"/>
      <c r="C83" s="2"/>
      <c r="D83" s="2"/>
      <c r="E83" s="2"/>
      <c r="F83" s="2"/>
      <c r="G83" s="2"/>
      <c r="H83" s="67"/>
      <c r="I83" s="68"/>
      <c r="J83" s="68"/>
      <c r="K83" s="68"/>
      <c r="L83" s="68"/>
      <c r="M83" s="68"/>
      <c r="N83" s="68"/>
    </row>
    <row r="84" spans="1:20" ht="18.75" x14ac:dyDescent="0.3">
      <c r="A84" s="2"/>
      <c r="B84" s="2"/>
      <c r="C84" s="2"/>
      <c r="D84" s="2"/>
      <c r="E84" s="2"/>
      <c r="F84" s="2"/>
      <c r="G84" s="2"/>
      <c r="H84" s="67"/>
      <c r="I84" s="68"/>
      <c r="J84" s="68"/>
      <c r="K84" s="68"/>
      <c r="L84" s="68"/>
      <c r="M84" s="68"/>
      <c r="N84" s="68"/>
    </row>
    <row r="85" spans="1:20" ht="18.75" x14ac:dyDescent="0.3">
      <c r="A85" s="2"/>
      <c r="B85" s="2"/>
      <c r="C85" s="2"/>
      <c r="D85" s="2"/>
      <c r="E85" s="2"/>
      <c r="F85" s="2"/>
      <c r="G85" s="2"/>
      <c r="H85" s="67"/>
      <c r="I85" s="68"/>
      <c r="J85" s="68"/>
      <c r="K85" s="68"/>
      <c r="L85" s="68"/>
      <c r="M85" s="68"/>
      <c r="N85" s="68"/>
    </row>
    <row r="86" spans="1:20" ht="18.75" x14ac:dyDescent="0.3">
      <c r="A86" s="2"/>
      <c r="B86" s="2"/>
      <c r="C86" s="2"/>
      <c r="D86" s="2"/>
      <c r="E86" s="2"/>
      <c r="F86" s="2"/>
      <c r="G86" s="2"/>
      <c r="H86" s="67"/>
      <c r="I86" s="68"/>
      <c r="J86" s="68"/>
      <c r="K86" s="68"/>
      <c r="L86" s="68"/>
      <c r="M86" s="68"/>
      <c r="N86" s="68"/>
    </row>
    <row r="87" spans="1:20" ht="18.75" x14ac:dyDescent="0.3">
      <c r="A87" s="2"/>
      <c r="B87" s="2"/>
      <c r="C87" s="2"/>
      <c r="D87" s="2"/>
      <c r="E87" s="2"/>
      <c r="F87" s="2"/>
      <c r="G87" s="2"/>
      <c r="H87" s="67"/>
      <c r="I87" s="68"/>
      <c r="J87" s="68"/>
      <c r="K87" s="68"/>
      <c r="L87" s="68"/>
      <c r="M87" s="68"/>
      <c r="N87" s="68"/>
    </row>
    <row r="88" spans="1:20" ht="18.75" x14ac:dyDescent="0.3">
      <c r="A88" s="2"/>
      <c r="B88" s="2"/>
      <c r="C88" s="2"/>
      <c r="D88" s="2"/>
      <c r="E88" s="2"/>
      <c r="F88" s="2"/>
      <c r="G88" s="2"/>
      <c r="H88" s="67"/>
      <c r="I88" s="68"/>
      <c r="J88" s="68"/>
      <c r="K88" s="68"/>
      <c r="L88" s="68"/>
      <c r="M88" s="68"/>
      <c r="N88" s="68"/>
    </row>
    <row r="89" spans="1:20" ht="18.75" x14ac:dyDescent="0.3">
      <c r="A89" s="2"/>
      <c r="B89" s="2"/>
      <c r="C89" s="2"/>
      <c r="D89" s="2"/>
      <c r="E89" s="2"/>
      <c r="F89" s="2"/>
      <c r="G89" s="2"/>
      <c r="H89" s="67"/>
      <c r="I89" s="68"/>
      <c r="J89" s="68"/>
      <c r="K89" s="68"/>
      <c r="L89" s="68"/>
      <c r="M89" s="68"/>
      <c r="N89" s="68"/>
    </row>
    <row r="90" spans="1:20" ht="18.75" x14ac:dyDescent="0.3">
      <c r="A90" s="2"/>
      <c r="B90" s="2"/>
      <c r="C90" s="2"/>
      <c r="D90" s="2"/>
      <c r="E90" s="2"/>
      <c r="F90" s="2"/>
      <c r="G90" s="2"/>
      <c r="H90" s="67"/>
      <c r="I90" s="68"/>
      <c r="J90" s="68"/>
      <c r="K90" s="68"/>
      <c r="L90" s="68"/>
      <c r="M90" s="68"/>
      <c r="N90" s="68"/>
    </row>
    <row r="91" spans="1:20" ht="18.75" x14ac:dyDescent="0.3">
      <c r="A91" s="2"/>
      <c r="B91" s="2"/>
      <c r="C91" s="2"/>
      <c r="D91" s="2"/>
      <c r="E91" s="2"/>
      <c r="F91" s="2"/>
      <c r="G91" s="2"/>
      <c r="H91" s="67"/>
      <c r="I91" s="68"/>
      <c r="J91" s="68"/>
      <c r="K91" s="68"/>
      <c r="L91" s="68"/>
      <c r="M91" s="68"/>
      <c r="N91" s="68"/>
    </row>
    <row r="92" spans="1:20" ht="18.75" x14ac:dyDescent="0.3">
      <c r="A92" s="2"/>
      <c r="B92" s="2"/>
      <c r="C92" s="2"/>
      <c r="D92" s="2"/>
      <c r="E92" s="2"/>
      <c r="F92" s="2"/>
      <c r="G92" s="2"/>
      <c r="H92" s="67"/>
      <c r="I92" s="68"/>
      <c r="J92" s="68"/>
      <c r="K92" s="68"/>
      <c r="L92" s="68"/>
      <c r="M92" s="68"/>
      <c r="N92" s="68"/>
    </row>
    <row r="93" spans="1:20" ht="18.75" x14ac:dyDescent="0.3">
      <c r="A93" s="2"/>
      <c r="B93" s="2"/>
      <c r="C93" s="2"/>
      <c r="D93" s="2"/>
      <c r="E93" s="2"/>
      <c r="F93" s="2"/>
      <c r="G93" s="2"/>
      <c r="H93" s="67"/>
      <c r="I93" s="68"/>
      <c r="J93" s="68"/>
      <c r="K93" s="68"/>
      <c r="L93" s="68"/>
      <c r="M93" s="68"/>
      <c r="N93" s="68"/>
    </row>
    <row r="94" spans="1:20" ht="18.75" x14ac:dyDescent="0.3">
      <c r="A94" s="2"/>
      <c r="B94" s="2"/>
      <c r="C94" s="2"/>
      <c r="D94" s="2"/>
      <c r="E94" s="2"/>
      <c r="F94" s="2"/>
      <c r="G94" s="2"/>
      <c r="H94" s="67"/>
      <c r="I94" s="68"/>
      <c r="J94" s="68"/>
      <c r="K94" s="68"/>
      <c r="L94" s="68"/>
      <c r="M94" s="68"/>
      <c r="N94" s="68"/>
    </row>
    <row r="95" spans="1:20" ht="18.75" x14ac:dyDescent="0.3">
      <c r="A95" s="2"/>
      <c r="B95" s="2"/>
      <c r="C95" s="2"/>
      <c r="D95" s="2"/>
      <c r="E95" s="2"/>
      <c r="F95" s="2"/>
      <c r="G95" s="2"/>
      <c r="H95" s="67"/>
      <c r="I95" s="68"/>
      <c r="J95" s="68"/>
      <c r="K95" s="68"/>
      <c r="L95" s="68"/>
      <c r="M95" s="68"/>
      <c r="N95" s="68"/>
    </row>
    <row r="96" spans="1:20" ht="18.75" x14ac:dyDescent="0.3">
      <c r="A96" s="2"/>
      <c r="B96" s="2"/>
      <c r="C96" s="2"/>
      <c r="D96" s="2"/>
      <c r="E96" s="2"/>
      <c r="F96" s="2"/>
      <c r="G96" s="2"/>
      <c r="H96" s="67"/>
      <c r="I96" s="68"/>
      <c r="J96" s="68"/>
      <c r="K96" s="68"/>
      <c r="L96" s="68"/>
      <c r="M96" s="68"/>
      <c r="N96" s="68"/>
    </row>
    <row r="97" spans="1:14" ht="18.75" x14ac:dyDescent="0.3">
      <c r="A97" s="2"/>
      <c r="B97" s="2"/>
      <c r="C97" s="2"/>
      <c r="D97" s="2"/>
      <c r="E97" s="2"/>
      <c r="F97" s="2"/>
      <c r="G97" s="2"/>
      <c r="H97" s="67"/>
      <c r="I97" s="68"/>
      <c r="J97" s="68"/>
      <c r="K97" s="68"/>
      <c r="L97" s="68"/>
      <c r="M97" s="68"/>
      <c r="N97" s="68"/>
    </row>
    <row r="98" spans="1:14" ht="18.75" x14ac:dyDescent="0.3">
      <c r="A98" s="2"/>
      <c r="B98" s="2"/>
      <c r="C98" s="2"/>
      <c r="D98" s="2"/>
      <c r="E98" s="2"/>
      <c r="F98" s="2"/>
      <c r="G98" s="2"/>
      <c r="H98" s="67"/>
      <c r="I98" s="68"/>
      <c r="J98" s="68"/>
      <c r="K98" s="68"/>
      <c r="L98" s="68"/>
      <c r="M98" s="68"/>
      <c r="N98" s="68"/>
    </row>
    <row r="99" spans="1:14" ht="18.75" x14ac:dyDescent="0.3">
      <c r="A99" s="2"/>
      <c r="B99" s="2"/>
      <c r="C99" s="2"/>
      <c r="D99" s="2"/>
      <c r="E99" s="2"/>
      <c r="F99" s="2"/>
      <c r="G99" s="2"/>
      <c r="H99" s="67"/>
      <c r="I99" s="68"/>
      <c r="J99" s="68"/>
      <c r="K99" s="68"/>
      <c r="L99" s="68"/>
      <c r="M99" s="68"/>
      <c r="N99" s="68"/>
    </row>
    <row r="100" spans="1:14" ht="18.75" x14ac:dyDescent="0.3">
      <c r="A100" s="2"/>
      <c r="B100" s="2"/>
      <c r="C100" s="2"/>
      <c r="D100" s="2"/>
      <c r="E100" s="2"/>
      <c r="F100" s="2"/>
      <c r="G100" s="2"/>
      <c r="H100" s="67"/>
      <c r="I100" s="68"/>
      <c r="J100" s="68"/>
      <c r="K100" s="68"/>
      <c r="L100" s="68"/>
      <c r="M100" s="68"/>
      <c r="N100" s="68"/>
    </row>
    <row r="101" spans="1:14" ht="18.75" x14ac:dyDescent="0.3">
      <c r="A101" s="2"/>
      <c r="B101" s="2"/>
      <c r="C101" s="2"/>
      <c r="D101" s="2"/>
      <c r="E101" s="2"/>
      <c r="F101" s="2"/>
      <c r="G101" s="2"/>
      <c r="H101" s="67"/>
      <c r="L101" s="68"/>
      <c r="M101" s="68"/>
      <c r="N101" s="68"/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2578125" defaultRowHeight="15" x14ac:dyDescent="0.25"/>
  <sheetData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Смета</vt:lpstr>
      <vt:lpstr>2019-2020</vt:lpstr>
      <vt:lpstr>2019</vt:lpstr>
      <vt:lpstr>2020</vt:lpstr>
      <vt:lpstr>Лист1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</dc:creator>
  <cp:lastModifiedBy>Владимир</cp:lastModifiedBy>
  <cp:lastPrinted>2020-07-12T13:21:48Z</cp:lastPrinted>
  <dcterms:created xsi:type="dcterms:W3CDTF">2015-12-25T20:22:12Z</dcterms:created>
  <dcterms:modified xsi:type="dcterms:W3CDTF">2020-07-12T13:59:53Z</dcterms:modified>
</cp:coreProperties>
</file>