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610" windowHeight="11580" tabRatio="82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" i="1" l="1"/>
  <c r="F10" i="1"/>
  <c r="F59" i="1" l="1"/>
  <c r="F64" i="1"/>
  <c r="F46" i="1" l="1"/>
  <c r="F41" i="1"/>
  <c r="F49" i="1"/>
  <c r="F50" i="1"/>
  <c r="F63" i="1" s="1"/>
  <c r="F42" i="1"/>
  <c r="F20" i="1"/>
  <c r="F13" i="1"/>
  <c r="F17" i="1" l="1"/>
  <c r="F8" i="1"/>
  <c r="E60" i="1"/>
  <c r="E64" i="1"/>
  <c r="E24" i="1" l="1"/>
  <c r="E50" i="1"/>
  <c r="E59" i="1"/>
  <c r="E21" i="1"/>
  <c r="E45" i="1"/>
  <c r="E63" i="1" s="1"/>
  <c r="E54" i="1"/>
  <c r="E13" i="1"/>
  <c r="E10" i="1"/>
  <c r="E4" i="1"/>
  <c r="D45" i="1"/>
  <c r="C17" i="1"/>
  <c r="D64" i="1"/>
  <c r="D21" i="1"/>
  <c r="E17" i="1" l="1"/>
  <c r="E8" i="1"/>
  <c r="D10" i="1" l="1"/>
  <c r="D15" i="1"/>
  <c r="D13" i="1" s="1"/>
  <c r="D42" i="1"/>
  <c r="D54" i="1"/>
  <c r="D63" i="1" l="1"/>
  <c r="D17" i="1"/>
  <c r="C63" i="1"/>
  <c r="C64" i="1" l="1"/>
  <c r="C10" i="1"/>
  <c r="B13" i="1" l="1"/>
  <c r="B10" i="1"/>
  <c r="B6" i="1" l="1"/>
  <c r="B4" i="1"/>
  <c r="B21" i="1"/>
  <c r="B64" i="1" s="1"/>
  <c r="B42" i="1"/>
  <c r="B59" i="1"/>
  <c r="B63" i="1" s="1"/>
  <c r="C6" i="1" s="1"/>
  <c r="B17" i="1" l="1"/>
  <c r="C4" i="1"/>
  <c r="D6" i="1"/>
  <c r="D4" i="1" s="1"/>
  <c r="B8" i="1"/>
  <c r="N18" i="1"/>
  <c r="N22" i="1"/>
  <c r="N23" i="1"/>
  <c r="N25" i="1"/>
  <c r="N27" i="1"/>
  <c r="N30" i="1"/>
  <c r="N31" i="1"/>
  <c r="N33" i="1"/>
  <c r="N34" i="1"/>
  <c r="N36" i="1"/>
  <c r="N37" i="1"/>
  <c r="N38" i="1"/>
  <c r="N39" i="1"/>
  <c r="N40" i="1"/>
  <c r="N41" i="1"/>
  <c r="N43" i="1"/>
  <c r="N44" i="1"/>
  <c r="N45" i="1"/>
  <c r="N46" i="1"/>
  <c r="N48" i="1"/>
  <c r="N49" i="1"/>
  <c r="N51" i="1"/>
  <c r="N52" i="1"/>
  <c r="N53" i="1"/>
  <c r="N54" i="1"/>
  <c r="N56" i="1"/>
  <c r="N57" i="1"/>
  <c r="N58" i="1"/>
  <c r="M8" i="1"/>
  <c r="N14" i="1"/>
  <c r="N47" i="1"/>
  <c r="N50" i="1"/>
  <c r="L8" i="1"/>
  <c r="K8" i="1"/>
  <c r="J8" i="1"/>
  <c r="N59" i="1"/>
  <c r="N55" i="1"/>
  <c r="I8" i="1"/>
  <c r="H8" i="1"/>
  <c r="N60" i="1"/>
  <c r="N29" i="1"/>
  <c r="N12" i="1"/>
  <c r="D8" i="1"/>
  <c r="N16" i="1"/>
  <c r="N26" i="1"/>
  <c r="N32" i="1"/>
  <c r="N24" i="1"/>
  <c r="N15" i="1"/>
  <c r="N35" i="1"/>
  <c r="N21" i="1"/>
  <c r="N20" i="1"/>
  <c r="N19" i="1"/>
  <c r="N11" i="1"/>
  <c r="G8" i="1"/>
  <c r="N13" i="1"/>
  <c r="N42" i="1" l="1"/>
  <c r="N17" i="1"/>
  <c r="N10" i="1" l="1"/>
  <c r="C8" i="1"/>
  <c r="N8" i="1" s="1"/>
</calcChain>
</file>

<file path=xl/sharedStrings.xml><?xml version="1.0" encoding="utf-8"?>
<sst xmlns="http://schemas.openxmlformats.org/spreadsheetml/2006/main" count="61" uniqueCount="60">
  <si>
    <t>членские взносы</t>
  </si>
  <si>
    <t>возмещение расходов на электроэнергию</t>
  </si>
  <si>
    <t>Поступления, всего</t>
  </si>
  <si>
    <t>Расходы, всего</t>
  </si>
  <si>
    <t>в том числе:</t>
  </si>
  <si>
    <t>заработная плата</t>
  </si>
  <si>
    <t>НДФЛ</t>
  </si>
  <si>
    <t>страховые взносы</t>
  </si>
  <si>
    <t>земельный налог</t>
  </si>
  <si>
    <t>расходы на оплату электроэнергии</t>
  </si>
  <si>
    <t>расходы на плату за негативное воздействие на окружающую среду</t>
  </si>
  <si>
    <t>НП СЗУ "Высокое"</t>
  </si>
  <si>
    <t>Итого</t>
  </si>
  <si>
    <t>расходы на юридический адрес</t>
  </si>
  <si>
    <t>расходы на информационное обслуживание по электроэнергии Партнер Энерго</t>
  </si>
  <si>
    <t xml:space="preserve">Налог по УСН </t>
  </si>
  <si>
    <t>членск взносы нал/р</t>
  </si>
  <si>
    <t>Корм для собаки</t>
  </si>
  <si>
    <t>членские взносы безнал</t>
  </si>
  <si>
    <t>возмещение расходов на эл/эн безнал</t>
  </si>
  <si>
    <t>Расходы по аренде клуба г. Высоковск</t>
  </si>
  <si>
    <t>возмещение расх.на э/э нал расч.</t>
  </si>
  <si>
    <t>расходы н/расч</t>
  </si>
  <si>
    <t>расходы б/нал расчет</t>
  </si>
  <si>
    <t xml:space="preserve">Остаток денежных средств на начало периода </t>
  </si>
  <si>
    <t>в т.ч. на расчетном счете:</t>
  </si>
  <si>
    <t>налич./расч</t>
  </si>
  <si>
    <t>Целевые взносы на рем.шлагбаума</t>
  </si>
  <si>
    <t>Расходы на канцтовары</t>
  </si>
  <si>
    <t>Расходы на ремонт дороги</t>
  </si>
  <si>
    <t>Расходы на интернет(домик КПП)</t>
  </si>
  <si>
    <t>Расходы по ремонту дороги(Сосновый бор)</t>
  </si>
  <si>
    <t>Охрана/долг</t>
  </si>
  <si>
    <t>Оплата корпоративной Sim-карты, сим-карта ворота</t>
  </si>
  <si>
    <t>Смета доходов и расходов за 2018 год</t>
  </si>
  <si>
    <t>Взыскание по исполнительну листу (Мосэнергосбыт)</t>
  </si>
  <si>
    <t>Оплата услуг юриста</t>
  </si>
  <si>
    <t>Расходы на покупку монитора</t>
  </si>
  <si>
    <t>Покупка Сейфа</t>
  </si>
  <si>
    <t>Расходы на ремонт колодца</t>
  </si>
  <si>
    <t>Оплата металлрукава для видеокамер</t>
  </si>
  <si>
    <t>Оплата проезда (такси, ж/д, автобус))</t>
  </si>
  <si>
    <t>Комисси банка за РК0</t>
  </si>
  <si>
    <t>Расходы на покупку электромеханического замка</t>
  </si>
  <si>
    <t>Ворота (3й платеж)</t>
  </si>
  <si>
    <t>канцтовары</t>
  </si>
  <si>
    <t>Расходы на покупку МФУ</t>
  </si>
  <si>
    <t>Расходы на чистку дорог от  снега</t>
  </si>
  <si>
    <t>Почтовые расходы(предсудебные прдупреждения, отправка отчетов)</t>
  </si>
  <si>
    <t>Расходы на подключение Электронного документооборота</t>
  </si>
  <si>
    <t>Чистый Город(пени, Госпошлина)</t>
  </si>
  <si>
    <t>Изготовление дубликатов ключей</t>
  </si>
  <si>
    <t>Покупка цифрокой приставки</t>
  </si>
  <si>
    <t>Покупка мотоблока, свеча зажигания</t>
  </si>
  <si>
    <t>Покупка электротоваров(электросчетчики, энергосберег.лампы, светильник, удлиннители)</t>
  </si>
  <si>
    <t>Оплата солярки, бензин для газонокосилки</t>
  </si>
  <si>
    <t>Расходы на мероприятие/Собрание</t>
  </si>
  <si>
    <t>Расходы на покупку хозтоваров(грунт, эмаль. Коса, серп,кусторез,зажим анкерный,муфта,гайки, шайбы, лейка,мастика. Краска, кисть, масло, стекло. Колесо для тележки, вешалка)</t>
  </si>
  <si>
    <t>Покупка трубостойки, дерева для клумбы</t>
  </si>
  <si>
    <t>Оплата стройматериалов (Плита OSB, цемент, песок , земля,щебень, труба)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</si>
</sst>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u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4" fontId="3" fillId="0" borderId="1" xfId="0" applyNumberFormat="1" applyFont="1" applyBorder="1"/>
    <xf numFmtId="0" fontId="4" fillId="0" borderId="0" xfId="0" applyFont="1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left" wrapText="1" indent="2"/>
    </xf>
    <xf numFmtId="4" fontId="7" fillId="0" borderId="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2" fillId="0" borderId="0" xfId="0" applyNumberFormat="1" applyFont="1" applyFill="1"/>
    <xf numFmtId="4" fontId="1" fillId="0" borderId="0" xfId="0" applyNumberFormat="1" applyFont="1" applyFill="1"/>
    <xf numFmtId="4" fontId="7" fillId="0" borderId="2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3" fillId="0" borderId="1" xfId="0" applyNumberFormat="1" applyFont="1" applyFill="1" applyBorder="1"/>
    <xf numFmtId="4" fontId="3" fillId="0" borderId="0" xfId="0" applyNumberFormat="1" applyFont="1" applyFill="1"/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" fontId="8" fillId="0" borderId="1" xfId="0" applyNumberFormat="1" applyFont="1" applyBorder="1"/>
    <xf numFmtId="4" fontId="8" fillId="0" borderId="1" xfId="0" applyNumberFormat="1" applyFont="1" applyFill="1" applyBorder="1"/>
    <xf numFmtId="4" fontId="10" fillId="0" borderId="0" xfId="0" applyNumberFormat="1" applyFont="1" applyFill="1"/>
    <xf numFmtId="4" fontId="5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0" fontId="3" fillId="0" borderId="0" xfId="0" applyFont="1" applyAlignment="1">
      <alignment horizontal="right"/>
    </xf>
    <xf numFmtId="4" fontId="8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6" fillId="0" borderId="2" xfId="0" applyNumberFormat="1" applyFont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wrapText="1"/>
    </xf>
    <xf numFmtId="4" fontId="11" fillId="0" borderId="0" xfId="0" applyNumberFormat="1" applyFont="1" applyFill="1" applyAlignment="1">
      <alignment horizontal="center"/>
    </xf>
    <xf numFmtId="4" fontId="6" fillId="0" borderId="2" xfId="0" applyNumberFormat="1" applyFont="1" applyFill="1" applyBorder="1" applyAlignment="1">
      <alignment vertical="center"/>
    </xf>
    <xf numFmtId="4" fontId="12" fillId="0" borderId="0" xfId="0" applyNumberFormat="1" applyFont="1" applyFill="1"/>
    <xf numFmtId="4" fontId="8" fillId="0" borderId="0" xfId="0" applyNumberFormat="1" applyFont="1" applyFill="1"/>
    <xf numFmtId="4" fontId="6" fillId="0" borderId="0" xfId="0" applyNumberFormat="1" applyFont="1" applyAlignment="1">
      <alignment vertical="center"/>
    </xf>
    <xf numFmtId="4" fontId="9" fillId="0" borderId="0" xfId="0" applyNumberFormat="1" applyFont="1" applyFill="1"/>
    <xf numFmtId="0" fontId="3" fillId="0" borderId="0" xfId="0" applyFont="1" applyBorder="1" applyAlignment="1">
      <alignment horizontal="left" wrapText="1" indent="2"/>
    </xf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11" fillId="0" borderId="0" xfId="0" applyNumberFormat="1" applyFont="1" applyFill="1"/>
    <xf numFmtId="4" fontId="12" fillId="0" borderId="0" xfId="0" applyNumberFormat="1" applyFont="1" applyFill="1" applyBorder="1"/>
    <xf numFmtId="4" fontId="13" fillId="0" borderId="0" xfId="0" applyNumberFormat="1" applyFont="1" applyFill="1"/>
    <xf numFmtId="4" fontId="6" fillId="0" borderId="0" xfId="0" applyNumberFormat="1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workbookViewId="0">
      <selection activeCell="A41" sqref="A41"/>
    </sheetView>
  </sheetViews>
  <sheetFormatPr defaultRowHeight="14.25" x14ac:dyDescent="0.2"/>
  <cols>
    <col min="1" max="1" width="40" style="2" customWidth="1"/>
    <col min="2" max="2" width="15.42578125" style="6" bestFit="1" customWidth="1"/>
    <col min="3" max="3" width="11.85546875" style="6" customWidth="1"/>
    <col min="4" max="4" width="11.28515625" style="6" customWidth="1"/>
    <col min="5" max="5" width="11.7109375" style="6" customWidth="1"/>
    <col min="6" max="6" width="10.7109375" style="20" customWidth="1"/>
    <col min="7" max="7" width="11.140625" style="6" customWidth="1"/>
    <col min="8" max="8" width="11.7109375" style="6" customWidth="1"/>
    <col min="9" max="11" width="11.28515625" style="20" customWidth="1"/>
    <col min="12" max="13" width="11.28515625" style="20" bestFit="1" customWidth="1"/>
    <col min="14" max="14" width="13.140625" style="6" bestFit="1" customWidth="1"/>
    <col min="15" max="15" width="14.28515625" style="2" bestFit="1" customWidth="1"/>
    <col min="16" max="16384" width="9.140625" style="2"/>
  </cols>
  <sheetData>
    <row r="1" spans="1:15" ht="15" x14ac:dyDescent="0.25">
      <c r="A1" s="1" t="s">
        <v>34</v>
      </c>
    </row>
    <row r="2" spans="1:15" s="1" customFormat="1" ht="15" x14ac:dyDescent="0.25">
      <c r="A2" s="1" t="s">
        <v>11</v>
      </c>
      <c r="B2" s="7"/>
      <c r="C2" s="7"/>
      <c r="D2" s="7"/>
      <c r="E2" s="7"/>
      <c r="F2" s="21"/>
      <c r="G2" s="7"/>
      <c r="H2" s="7"/>
      <c r="I2" s="21"/>
      <c r="J2" s="21"/>
      <c r="K2" s="21"/>
      <c r="L2" s="21"/>
      <c r="M2" s="21"/>
      <c r="N2" s="7"/>
    </row>
    <row r="3" spans="1:15" s="1" customFormat="1" ht="15" x14ac:dyDescent="0.25">
      <c r="B3" s="7"/>
      <c r="C3" s="7"/>
      <c r="D3" s="7"/>
      <c r="E3" s="7"/>
      <c r="F3" s="21"/>
      <c r="G3" s="7"/>
      <c r="H3" s="7"/>
      <c r="I3" s="21"/>
      <c r="J3" s="21"/>
      <c r="K3" s="21"/>
      <c r="L3" s="21"/>
      <c r="M3" s="21"/>
      <c r="N3" s="7"/>
    </row>
    <row r="4" spans="1:15" s="1" customFormat="1" ht="24.75" x14ac:dyDescent="0.25">
      <c r="A4" s="16" t="s">
        <v>24</v>
      </c>
      <c r="B4" s="38">
        <f>SUM(B5:B6)</f>
        <v>49696.149999999994</v>
      </c>
      <c r="C4" s="38">
        <f>SUM(C5:C6)</f>
        <v>63086.139999999985</v>
      </c>
      <c r="D4" s="38">
        <f>SUM(D5:D6)</f>
        <v>42059.199999999983</v>
      </c>
      <c r="E4" s="38">
        <f>SUM(E5:E6)</f>
        <v>62538.51</v>
      </c>
      <c r="F4" s="38">
        <f>SUM(F5:F6)</f>
        <v>106575.74</v>
      </c>
      <c r="G4" s="44"/>
      <c r="H4" s="37"/>
      <c r="I4" s="51"/>
      <c r="J4" s="44"/>
      <c r="K4" s="53"/>
      <c r="L4" s="44"/>
      <c r="M4" s="56"/>
      <c r="N4" s="7"/>
    </row>
    <row r="5" spans="1:15" s="1" customFormat="1" ht="15" x14ac:dyDescent="0.25">
      <c r="A5" s="16" t="s">
        <v>25</v>
      </c>
      <c r="B5" s="37">
        <v>41612.699999999997</v>
      </c>
      <c r="C5" s="37">
        <v>0</v>
      </c>
      <c r="D5" s="37">
        <v>0</v>
      </c>
      <c r="E5" s="37">
        <v>0</v>
      </c>
      <c r="F5" s="42">
        <v>6338.83</v>
      </c>
      <c r="G5" s="37"/>
      <c r="H5" s="37"/>
      <c r="I5" s="51"/>
      <c r="J5" s="52"/>
      <c r="K5" s="51"/>
      <c r="L5" s="51"/>
      <c r="M5" s="26"/>
      <c r="N5" s="7"/>
    </row>
    <row r="6" spans="1:15" s="15" customFormat="1" ht="12.75" x14ac:dyDescent="0.2">
      <c r="A6" s="16" t="s">
        <v>26</v>
      </c>
      <c r="B6" s="39">
        <f>8083.45</f>
        <v>8083.45</v>
      </c>
      <c r="C6" s="39">
        <f>B6+B12+B15-B63</f>
        <v>63086.139999999985</v>
      </c>
      <c r="D6" s="39">
        <f>C6+C12-C63</f>
        <v>42059.199999999983</v>
      </c>
      <c r="E6" s="40">
        <v>62538.51</v>
      </c>
      <c r="F6" s="43">
        <v>100236.91</v>
      </c>
      <c r="G6" s="46"/>
      <c r="H6" s="19"/>
      <c r="I6" s="22"/>
      <c r="J6" s="43"/>
      <c r="K6" s="54"/>
      <c r="L6" s="55"/>
      <c r="M6" s="55"/>
      <c r="N6" s="18"/>
    </row>
    <row r="7" spans="1:15" s="1" customFormat="1" ht="15" x14ac:dyDescent="0.25">
      <c r="A7" s="3"/>
      <c r="B7" s="14">
        <v>42005</v>
      </c>
      <c r="C7" s="14">
        <v>42036</v>
      </c>
      <c r="D7" s="14">
        <v>42064</v>
      </c>
      <c r="E7" s="14">
        <v>42095</v>
      </c>
      <c r="F7" s="23">
        <v>42125</v>
      </c>
      <c r="G7" s="14">
        <v>42156</v>
      </c>
      <c r="H7" s="14">
        <v>42186</v>
      </c>
      <c r="I7" s="23">
        <v>42217</v>
      </c>
      <c r="J7" s="23">
        <v>42248</v>
      </c>
      <c r="K7" s="23">
        <v>42278</v>
      </c>
      <c r="L7" s="23">
        <v>42309</v>
      </c>
      <c r="M7" s="23">
        <v>42339</v>
      </c>
      <c r="N7" s="8" t="s">
        <v>12</v>
      </c>
    </row>
    <row r="8" spans="1:15" s="5" customFormat="1" ht="15" x14ac:dyDescent="0.25">
      <c r="A8" s="9" t="s">
        <v>2</v>
      </c>
      <c r="B8" s="10">
        <f>B10+B13+B16</f>
        <v>275217.58</v>
      </c>
      <c r="C8" s="10">
        <f>C10+C13+C16</f>
        <v>200100</v>
      </c>
      <c r="D8" s="10">
        <f>D10+D13+D16</f>
        <v>271899.99999999994</v>
      </c>
      <c r="E8" s="10">
        <f>E10+E13+E16</f>
        <v>335439.63</v>
      </c>
      <c r="F8" s="10">
        <f>F10+F13+F16</f>
        <v>364099.35</v>
      </c>
      <c r="G8" s="10">
        <f>G10+G13</f>
        <v>0</v>
      </c>
      <c r="H8" s="10">
        <f>H10+H13</f>
        <v>0</v>
      </c>
      <c r="I8" s="24">
        <f>I10+I13</f>
        <v>0</v>
      </c>
      <c r="J8" s="24">
        <f>J10+J13</f>
        <v>0</v>
      </c>
      <c r="K8" s="24">
        <f>K10</f>
        <v>0</v>
      </c>
      <c r="L8" s="24">
        <f>L10+L13</f>
        <v>0</v>
      </c>
      <c r="M8" s="24">
        <f>M10+M13</f>
        <v>0</v>
      </c>
      <c r="N8" s="10">
        <f>SUM(B8:M8)</f>
        <v>1446756.56</v>
      </c>
      <c r="O8" s="34"/>
    </row>
    <row r="9" spans="1:15" x14ac:dyDescent="0.2">
      <c r="A9" s="11" t="s">
        <v>4</v>
      </c>
      <c r="B9" s="4"/>
      <c r="C9" s="4"/>
      <c r="D9" s="4"/>
      <c r="E9" s="4"/>
      <c r="F9" s="25"/>
      <c r="G9" s="4"/>
      <c r="H9" s="4"/>
      <c r="I9" s="25"/>
      <c r="J9" s="25"/>
      <c r="K9" s="25"/>
      <c r="L9" s="25"/>
      <c r="M9" s="25"/>
      <c r="N9" s="4"/>
    </row>
    <row r="10" spans="1:15" s="1" customFormat="1" ht="15" x14ac:dyDescent="0.25">
      <c r="A10" s="27" t="s">
        <v>0</v>
      </c>
      <c r="B10" s="29">
        <f>SUM(B11:B12)</f>
        <v>247300</v>
      </c>
      <c r="C10" s="29">
        <f>SUM(C11:C12)</f>
        <v>200100</v>
      </c>
      <c r="D10" s="29">
        <f>SUM(D11:D12)</f>
        <v>271812.58999999997</v>
      </c>
      <c r="E10" s="29">
        <f>SUM(E11:E12)</f>
        <v>326000</v>
      </c>
      <c r="F10" s="29">
        <f>SUM(F11:F12)</f>
        <v>364085.94</v>
      </c>
      <c r="G10" s="29"/>
      <c r="H10" s="29"/>
      <c r="I10" s="30"/>
      <c r="J10" s="30"/>
      <c r="K10" s="30"/>
      <c r="L10" s="30"/>
      <c r="M10" s="30"/>
      <c r="N10" s="29">
        <f>SUM(B10:M10)</f>
        <v>1409298.53</v>
      </c>
    </row>
    <row r="11" spans="1:15" x14ac:dyDescent="0.2">
      <c r="A11" s="12" t="s">
        <v>18</v>
      </c>
      <c r="B11" s="4">
        <v>134700</v>
      </c>
      <c r="C11" s="4">
        <v>80200</v>
      </c>
      <c r="D11" s="4">
        <v>143000</v>
      </c>
      <c r="E11" s="4">
        <v>133800</v>
      </c>
      <c r="F11" s="25">
        <v>156685.94</v>
      </c>
      <c r="G11" s="4"/>
      <c r="H11" s="4"/>
      <c r="I11" s="25"/>
      <c r="J11" s="25"/>
      <c r="K11" s="25"/>
      <c r="L11" s="25"/>
      <c r="M11" s="25"/>
      <c r="N11" s="29">
        <f>SUM(B11:M11)</f>
        <v>648385.93999999994</v>
      </c>
    </row>
    <row r="12" spans="1:15" x14ac:dyDescent="0.2">
      <c r="A12" s="12" t="s">
        <v>16</v>
      </c>
      <c r="B12" s="4">
        <v>112600</v>
      </c>
      <c r="C12" s="4">
        <v>119900</v>
      </c>
      <c r="D12" s="4">
        <v>128812.59</v>
      </c>
      <c r="E12" s="4">
        <v>192200</v>
      </c>
      <c r="F12" s="25">
        <v>207400</v>
      </c>
      <c r="G12" s="4"/>
      <c r="H12" s="4"/>
      <c r="I12" s="25"/>
      <c r="J12" s="25"/>
      <c r="K12" s="25"/>
      <c r="L12" s="25"/>
      <c r="M12" s="25"/>
      <c r="N12" s="29">
        <f t="shared" ref="N12:N60" si="0">SUM(B12:M12)</f>
        <v>760912.59</v>
      </c>
    </row>
    <row r="13" spans="1:15" s="1" customFormat="1" ht="15" x14ac:dyDescent="0.25">
      <c r="A13" s="28" t="s">
        <v>1</v>
      </c>
      <c r="B13" s="29">
        <f>SUM(B14:B15)</f>
        <v>27917.579999999998</v>
      </c>
      <c r="C13" s="29">
        <v>0</v>
      </c>
      <c r="D13" s="29">
        <f>SUM(D14:D15)</f>
        <v>87.41</v>
      </c>
      <c r="E13" s="29">
        <f>SUM(E14:E15)</f>
        <v>9439.630000000001</v>
      </c>
      <c r="F13" s="29">
        <f>SUM(F14:F15)</f>
        <v>13.41</v>
      </c>
      <c r="G13" s="29"/>
      <c r="H13" s="29"/>
      <c r="I13" s="30"/>
      <c r="J13" s="30"/>
      <c r="K13" s="30"/>
      <c r="L13" s="30"/>
      <c r="M13" s="30"/>
      <c r="N13" s="29">
        <f t="shared" si="0"/>
        <v>37458.03</v>
      </c>
    </row>
    <row r="14" spans="1:15" x14ac:dyDescent="0.2">
      <c r="A14" s="12" t="s">
        <v>19</v>
      </c>
      <c r="B14" s="4">
        <v>1712.94</v>
      </c>
      <c r="C14" s="4"/>
      <c r="D14" s="4"/>
      <c r="E14" s="4">
        <v>6439.63</v>
      </c>
      <c r="F14" s="25">
        <v>0</v>
      </c>
      <c r="G14" s="4"/>
      <c r="H14" s="4"/>
      <c r="I14" s="25"/>
      <c r="J14" s="25"/>
      <c r="K14" s="25"/>
      <c r="L14" s="25"/>
      <c r="M14" s="25"/>
      <c r="N14" s="29">
        <f t="shared" si="0"/>
        <v>8152.57</v>
      </c>
    </row>
    <row r="15" spans="1:15" x14ac:dyDescent="0.2">
      <c r="A15" s="12" t="s">
        <v>21</v>
      </c>
      <c r="B15" s="4">
        <v>26204.639999999999</v>
      </c>
      <c r="C15" s="4"/>
      <c r="D15" s="4">
        <f>87.41</f>
        <v>87.41</v>
      </c>
      <c r="E15" s="4">
        <v>3000</v>
      </c>
      <c r="F15" s="25">
        <v>13.41</v>
      </c>
      <c r="G15" s="4"/>
      <c r="H15" s="4"/>
      <c r="I15" s="25"/>
      <c r="J15" s="25"/>
      <c r="K15" s="25"/>
      <c r="L15" s="25"/>
      <c r="M15" s="25"/>
      <c r="N15" s="29">
        <f t="shared" si="0"/>
        <v>29305.46</v>
      </c>
    </row>
    <row r="16" spans="1:15" hidden="1" x14ac:dyDescent="0.2">
      <c r="A16" s="41" t="s">
        <v>27</v>
      </c>
      <c r="B16" s="29"/>
      <c r="C16" s="29"/>
      <c r="D16" s="29"/>
      <c r="E16" s="29"/>
      <c r="F16" s="25"/>
      <c r="G16" s="4"/>
      <c r="H16" s="4"/>
      <c r="I16" s="25"/>
      <c r="J16" s="25"/>
      <c r="K16" s="25"/>
      <c r="L16" s="25"/>
      <c r="M16" s="25"/>
      <c r="N16" s="29">
        <f t="shared" si="0"/>
        <v>0</v>
      </c>
    </row>
    <row r="17" spans="1:29" s="5" customFormat="1" ht="15" x14ac:dyDescent="0.25">
      <c r="A17" s="13" t="s">
        <v>3</v>
      </c>
      <c r="B17" s="10">
        <f>SUM(B19:B60)</f>
        <v>261827.59</v>
      </c>
      <c r="C17" s="10">
        <f>SUM(C18:C60)</f>
        <v>221126.94</v>
      </c>
      <c r="D17" s="10">
        <f>SUM(D19:D60)</f>
        <v>228931.86000000002</v>
      </c>
      <c r="E17" s="10">
        <f>SUM(E19:E60)</f>
        <v>300741.23000000004</v>
      </c>
      <c r="F17" s="10">
        <f>SUM(F19:F60)</f>
        <v>369185.08</v>
      </c>
      <c r="G17" s="10"/>
      <c r="H17" s="10"/>
      <c r="I17" s="24"/>
      <c r="J17" s="24"/>
      <c r="K17" s="24"/>
      <c r="L17" s="24"/>
      <c r="M17" s="24"/>
      <c r="N17" s="29">
        <f t="shared" si="0"/>
        <v>1381812.7000000002</v>
      </c>
      <c r="O17" s="34"/>
    </row>
    <row r="18" spans="1:29" x14ac:dyDescent="0.2">
      <c r="A18" s="17" t="s">
        <v>4</v>
      </c>
      <c r="B18" s="4"/>
      <c r="C18" s="4"/>
      <c r="D18" s="4"/>
      <c r="E18" s="4"/>
      <c r="F18" s="25"/>
      <c r="G18" s="4"/>
      <c r="H18" s="4"/>
      <c r="I18" s="25"/>
      <c r="J18" s="25"/>
      <c r="K18" s="25"/>
      <c r="L18" s="25"/>
      <c r="M18" s="25"/>
      <c r="N18" s="29">
        <f t="shared" si="0"/>
        <v>0</v>
      </c>
    </row>
    <row r="19" spans="1:29" x14ac:dyDescent="0.2">
      <c r="A19" s="17" t="s">
        <v>5</v>
      </c>
      <c r="B19" s="4"/>
      <c r="C19" s="4">
        <v>23925</v>
      </c>
      <c r="D19" s="4">
        <v>23925</v>
      </c>
      <c r="E19" s="4">
        <v>35925</v>
      </c>
      <c r="F19" s="25">
        <v>35887.5</v>
      </c>
      <c r="G19" s="4"/>
      <c r="H19" s="4"/>
      <c r="I19" s="25"/>
      <c r="J19" s="25"/>
      <c r="K19" s="25"/>
      <c r="L19" s="25"/>
      <c r="M19" s="25"/>
      <c r="N19" s="29">
        <f t="shared" si="0"/>
        <v>119662.5</v>
      </c>
    </row>
    <row r="20" spans="1:29" x14ac:dyDescent="0.2">
      <c r="A20" s="17" t="s">
        <v>6</v>
      </c>
      <c r="B20" s="4"/>
      <c r="C20" s="4">
        <v>7150</v>
      </c>
      <c r="D20" s="4">
        <v>3575</v>
      </c>
      <c r="E20" s="4">
        <v>1560</v>
      </c>
      <c r="F20" s="25">
        <f>4719.42+5362.5</f>
        <v>10081.92</v>
      </c>
      <c r="G20" s="4"/>
      <c r="H20" s="4"/>
      <c r="I20" s="25"/>
      <c r="J20" s="25"/>
      <c r="K20" s="25"/>
      <c r="L20" s="25"/>
      <c r="M20" s="25"/>
      <c r="N20" s="29">
        <f t="shared" si="0"/>
        <v>22366.92</v>
      </c>
    </row>
    <row r="21" spans="1:29" ht="11.25" customHeight="1" x14ac:dyDescent="0.2">
      <c r="A21" s="17" t="s">
        <v>7</v>
      </c>
      <c r="B21" s="4">
        <f>797.5+1402.5+6050+55</f>
        <v>8305</v>
      </c>
      <c r="C21" s="4">
        <v>16610</v>
      </c>
      <c r="D21" s="4">
        <f>8305+8855.92</f>
        <v>17160.919999999998</v>
      </c>
      <c r="E21" s="4">
        <f>10.91+0.83+94.71</f>
        <v>106.44999999999999</v>
      </c>
      <c r="F21" s="25">
        <v>12460</v>
      </c>
      <c r="G21" s="4"/>
      <c r="H21" s="4"/>
      <c r="I21" s="25"/>
      <c r="J21" s="25"/>
      <c r="K21" s="25"/>
      <c r="L21" s="25"/>
      <c r="M21" s="25"/>
      <c r="N21" s="29">
        <f t="shared" si="0"/>
        <v>54642.369999999995</v>
      </c>
    </row>
    <row r="22" spans="1:29" x14ac:dyDescent="0.2">
      <c r="A22" s="17" t="s">
        <v>15</v>
      </c>
      <c r="B22" s="4"/>
      <c r="C22" s="4"/>
      <c r="D22" s="4"/>
      <c r="E22" s="4"/>
      <c r="F22" s="25"/>
      <c r="G22" s="4"/>
      <c r="H22" s="4"/>
      <c r="I22" s="25"/>
      <c r="J22" s="25"/>
      <c r="K22" s="25"/>
      <c r="L22" s="25"/>
      <c r="M22" s="25"/>
      <c r="N22" s="29">
        <f t="shared" si="0"/>
        <v>0</v>
      </c>
    </row>
    <row r="23" spans="1:29" x14ac:dyDescent="0.2">
      <c r="A23" s="17" t="s">
        <v>8</v>
      </c>
      <c r="B23" s="4"/>
      <c r="C23" s="4"/>
      <c r="D23" s="4"/>
      <c r="E23" s="4"/>
      <c r="F23" s="25"/>
      <c r="G23" s="4"/>
      <c r="H23" s="4"/>
      <c r="I23" s="25"/>
      <c r="J23" s="25"/>
      <c r="K23" s="25"/>
      <c r="L23" s="25"/>
      <c r="M23" s="25"/>
      <c r="N23" s="29">
        <f t="shared" si="0"/>
        <v>0</v>
      </c>
    </row>
    <row r="24" spans="1:29" x14ac:dyDescent="0.2">
      <c r="A24" s="17" t="s">
        <v>50</v>
      </c>
      <c r="B24" s="4"/>
      <c r="C24" s="4"/>
      <c r="D24" s="4"/>
      <c r="E24" s="4">
        <f>55039.12+4888</f>
        <v>59927.12</v>
      </c>
      <c r="F24" s="25"/>
      <c r="G24" s="4"/>
      <c r="H24" s="4"/>
      <c r="I24" s="25"/>
      <c r="J24" s="25"/>
      <c r="K24" s="25"/>
      <c r="L24" s="25"/>
      <c r="M24" s="25"/>
      <c r="N24" s="29">
        <f t="shared" si="0"/>
        <v>59927.12</v>
      </c>
    </row>
    <row r="25" spans="1:29" x14ac:dyDescent="0.2">
      <c r="A25" s="17" t="s">
        <v>9</v>
      </c>
      <c r="B25" s="4">
        <v>24000</v>
      </c>
      <c r="C25" s="4">
        <v>25500</v>
      </c>
      <c r="D25" s="4">
        <v>14483.83</v>
      </c>
      <c r="E25" s="4">
        <v>9366.23</v>
      </c>
      <c r="F25" s="25">
        <v>11292</v>
      </c>
      <c r="G25" s="4"/>
      <c r="H25" s="4"/>
      <c r="I25" s="25"/>
      <c r="J25" s="25"/>
      <c r="K25" s="25"/>
      <c r="L25" s="25"/>
      <c r="M25" s="25"/>
      <c r="N25" s="29">
        <f t="shared" si="0"/>
        <v>84642.06</v>
      </c>
    </row>
    <row r="26" spans="1:29" x14ac:dyDescent="0.2">
      <c r="A26" s="17" t="s">
        <v>32</v>
      </c>
      <c r="B26" s="4"/>
      <c r="C26" s="4"/>
      <c r="D26" s="4"/>
      <c r="E26" s="4"/>
      <c r="F26" s="25"/>
      <c r="G26" s="4"/>
      <c r="H26" s="4"/>
      <c r="I26" s="25"/>
      <c r="J26" s="25"/>
      <c r="K26" s="25"/>
      <c r="L26" s="25"/>
      <c r="M26" s="25"/>
      <c r="N26" s="29">
        <f t="shared" si="0"/>
        <v>0</v>
      </c>
    </row>
    <row r="27" spans="1:29" ht="25.5" x14ac:dyDescent="0.2">
      <c r="A27" s="17" t="s">
        <v>43</v>
      </c>
      <c r="B27" s="4">
        <v>9136.92</v>
      </c>
      <c r="C27" s="4"/>
      <c r="D27" s="4"/>
      <c r="E27" s="4">
        <v>12322</v>
      </c>
      <c r="F27" s="25"/>
      <c r="G27" s="4"/>
      <c r="H27" s="4"/>
      <c r="I27" s="25"/>
      <c r="J27" s="25"/>
      <c r="K27" s="25"/>
      <c r="L27" s="25"/>
      <c r="M27" s="25"/>
      <c r="N27" s="29">
        <f t="shared" si="0"/>
        <v>21458.92</v>
      </c>
    </row>
    <row r="28" spans="1:29" x14ac:dyDescent="0.2">
      <c r="A28" s="17" t="s">
        <v>51</v>
      </c>
      <c r="B28" s="4"/>
      <c r="C28" s="4"/>
      <c r="D28" s="4"/>
      <c r="E28" s="4">
        <v>450</v>
      </c>
      <c r="F28" s="25"/>
      <c r="G28" s="4"/>
      <c r="H28" s="4"/>
      <c r="I28" s="25"/>
      <c r="J28" s="25"/>
      <c r="K28" s="25"/>
      <c r="L28" s="25"/>
      <c r="M28" s="25"/>
      <c r="N28" s="29"/>
    </row>
    <row r="29" spans="1:29" ht="25.5" x14ac:dyDescent="0.2">
      <c r="A29" s="17" t="s">
        <v>35</v>
      </c>
      <c r="B29" s="4">
        <v>136493.72</v>
      </c>
      <c r="C29" s="4">
        <v>56275</v>
      </c>
      <c r="D29" s="4">
        <v>103880.25</v>
      </c>
      <c r="E29" s="4">
        <v>104314.63</v>
      </c>
      <c r="F29" s="25">
        <v>122417.85</v>
      </c>
      <c r="G29" s="4"/>
      <c r="H29" s="4"/>
      <c r="I29" s="25"/>
      <c r="J29" s="25"/>
      <c r="K29" s="25"/>
      <c r="L29" s="25"/>
      <c r="M29" s="25"/>
      <c r="N29" s="29">
        <f t="shared" si="0"/>
        <v>523381.44999999995</v>
      </c>
    </row>
    <row r="30" spans="1:29" x14ac:dyDescent="0.2">
      <c r="A30" s="17" t="s">
        <v>52</v>
      </c>
      <c r="B30" s="4"/>
      <c r="C30" s="4"/>
      <c r="D30" s="4"/>
      <c r="E30" s="4">
        <v>1320</v>
      </c>
      <c r="F30" s="25"/>
      <c r="G30" s="4"/>
      <c r="H30" s="4"/>
      <c r="I30" s="25"/>
      <c r="J30" s="25"/>
      <c r="K30" s="25"/>
      <c r="L30" s="25"/>
      <c r="M30" s="25"/>
      <c r="N30" s="29">
        <f t="shared" si="0"/>
        <v>1320</v>
      </c>
    </row>
    <row r="31" spans="1:29" ht="25.5" x14ac:dyDescent="0.2">
      <c r="A31" s="17" t="s">
        <v>10</v>
      </c>
      <c r="B31" s="4"/>
      <c r="C31" s="4"/>
      <c r="D31" s="4">
        <v>5334.6</v>
      </c>
      <c r="E31" s="4"/>
      <c r="F31" s="25"/>
      <c r="G31" s="4"/>
      <c r="H31" s="4"/>
      <c r="I31" s="25"/>
      <c r="J31" s="25"/>
      <c r="K31" s="25"/>
      <c r="L31" s="25"/>
      <c r="M31" s="25"/>
      <c r="N31" s="29">
        <f t="shared" si="0"/>
        <v>5334.6</v>
      </c>
    </row>
    <row r="32" spans="1:29" x14ac:dyDescent="0.2">
      <c r="A32" s="17" t="s">
        <v>47</v>
      </c>
      <c r="B32" s="4"/>
      <c r="C32" s="4">
        <v>39500</v>
      </c>
      <c r="D32" s="4">
        <v>7500</v>
      </c>
      <c r="E32" s="4"/>
      <c r="F32" s="25"/>
      <c r="G32" s="4"/>
      <c r="H32" s="4"/>
      <c r="I32" s="25"/>
      <c r="J32" s="25"/>
      <c r="K32" s="25"/>
      <c r="L32" s="25"/>
      <c r="M32" s="25"/>
      <c r="N32" s="29">
        <f t="shared" si="0"/>
        <v>47000</v>
      </c>
      <c r="AC32" s="2">
        <v>0</v>
      </c>
    </row>
    <row r="33" spans="1:14" hidden="1" x14ac:dyDescent="0.2">
      <c r="A33" s="17" t="s">
        <v>29</v>
      </c>
      <c r="B33" s="4"/>
      <c r="C33" s="4"/>
      <c r="D33" s="4"/>
      <c r="E33" s="4"/>
      <c r="F33" s="25"/>
      <c r="G33" s="4"/>
      <c r="H33" s="4"/>
      <c r="I33" s="25"/>
      <c r="J33" s="25"/>
      <c r="K33" s="25"/>
      <c r="L33" s="25"/>
      <c r="M33" s="25"/>
      <c r="N33" s="29">
        <f t="shared" si="0"/>
        <v>0</v>
      </c>
    </row>
    <row r="34" spans="1:14" hidden="1" x14ac:dyDescent="0.2">
      <c r="A34" s="17" t="s">
        <v>30</v>
      </c>
      <c r="B34" s="4"/>
      <c r="C34" s="4"/>
      <c r="D34" s="4"/>
      <c r="E34" s="4"/>
      <c r="F34" s="25"/>
      <c r="G34" s="4"/>
      <c r="H34" s="4"/>
      <c r="I34" s="25"/>
      <c r="J34" s="25"/>
      <c r="K34" s="25"/>
      <c r="L34" s="25"/>
      <c r="M34" s="25"/>
      <c r="N34" s="29">
        <f t="shared" si="0"/>
        <v>0</v>
      </c>
    </row>
    <row r="35" spans="1:14" ht="38.25" hidden="1" x14ac:dyDescent="0.2">
      <c r="A35" s="17" t="s">
        <v>14</v>
      </c>
      <c r="B35" s="4"/>
      <c r="C35" s="4"/>
      <c r="D35" s="4"/>
      <c r="E35" s="4"/>
      <c r="F35" s="25"/>
      <c r="G35" s="4"/>
      <c r="H35" s="4"/>
      <c r="I35" s="25"/>
      <c r="J35" s="25"/>
      <c r="K35" s="25"/>
      <c r="L35" s="25"/>
      <c r="M35" s="25"/>
      <c r="N35" s="29">
        <f t="shared" si="0"/>
        <v>0</v>
      </c>
    </row>
    <row r="36" spans="1:14" x14ac:dyDescent="0.2">
      <c r="A36" s="17" t="s">
        <v>13</v>
      </c>
      <c r="B36" s="4">
        <v>3000</v>
      </c>
      <c r="C36" s="4"/>
      <c r="D36" s="4">
        <v>1530</v>
      </c>
      <c r="E36" s="4">
        <v>1500</v>
      </c>
      <c r="F36" s="25"/>
      <c r="G36" s="4"/>
      <c r="H36" s="4"/>
      <c r="I36" s="25"/>
      <c r="J36" s="25"/>
      <c r="K36" s="25"/>
      <c r="L36" s="25"/>
      <c r="M36" s="25"/>
      <c r="N36" s="29">
        <f t="shared" si="0"/>
        <v>6030</v>
      </c>
    </row>
    <row r="37" spans="1:14" ht="22.5" customHeight="1" x14ac:dyDescent="0.2">
      <c r="A37" s="17" t="s">
        <v>49</v>
      </c>
      <c r="B37" s="4"/>
      <c r="C37" s="4"/>
      <c r="D37" s="4"/>
      <c r="E37" s="4">
        <v>900</v>
      </c>
      <c r="F37" s="25"/>
      <c r="G37" s="4"/>
      <c r="H37" s="4"/>
      <c r="I37" s="25"/>
      <c r="J37" s="25"/>
      <c r="K37" s="25"/>
      <c r="L37" s="25"/>
      <c r="M37" s="25"/>
      <c r="N37" s="29">
        <f t="shared" si="0"/>
        <v>900</v>
      </c>
    </row>
    <row r="38" spans="1:14" x14ac:dyDescent="0.2">
      <c r="A38" s="17" t="s">
        <v>20</v>
      </c>
      <c r="B38" s="4"/>
      <c r="C38" s="4"/>
      <c r="D38" s="4"/>
      <c r="E38" s="4"/>
      <c r="F38" s="25"/>
      <c r="G38" s="4"/>
      <c r="H38" s="4"/>
      <c r="I38" s="25"/>
      <c r="J38" s="25"/>
      <c r="K38" s="25"/>
      <c r="L38" s="25"/>
      <c r="M38" s="25"/>
      <c r="N38" s="29">
        <f t="shared" si="0"/>
        <v>0</v>
      </c>
    </row>
    <row r="39" spans="1:14" x14ac:dyDescent="0.2">
      <c r="A39" s="17" t="s">
        <v>28</v>
      </c>
      <c r="B39" s="4"/>
      <c r="C39" s="4"/>
      <c r="D39" s="4"/>
      <c r="E39" s="4"/>
      <c r="F39" s="25"/>
      <c r="G39" s="4"/>
      <c r="H39" s="4"/>
      <c r="I39" s="25"/>
      <c r="J39" s="25"/>
      <c r="K39" s="25"/>
      <c r="L39" s="25"/>
      <c r="M39" s="25"/>
      <c r="N39" s="29">
        <f t="shared" si="0"/>
        <v>0</v>
      </c>
    </row>
    <row r="40" spans="1:14" x14ac:dyDescent="0.2">
      <c r="A40" s="17" t="s">
        <v>39</v>
      </c>
      <c r="B40" s="4">
        <v>340</v>
      </c>
      <c r="C40" s="4"/>
      <c r="D40" s="4"/>
      <c r="E40" s="4"/>
      <c r="F40" s="25"/>
      <c r="G40" s="4"/>
      <c r="H40" s="4"/>
      <c r="I40" s="25"/>
      <c r="J40" s="25"/>
      <c r="K40" s="25"/>
      <c r="L40" s="25"/>
      <c r="M40" s="25"/>
      <c r="N40" s="29">
        <f t="shared" si="0"/>
        <v>340</v>
      </c>
    </row>
    <row r="41" spans="1:14" ht="51" x14ac:dyDescent="0.2">
      <c r="A41" s="17" t="s">
        <v>54</v>
      </c>
      <c r="B41" s="4"/>
      <c r="C41" s="4"/>
      <c r="D41" s="4"/>
      <c r="E41" s="4"/>
      <c r="F41" s="25">
        <f>10994.2+348+25000+7774</f>
        <v>44116.2</v>
      </c>
      <c r="G41" s="4"/>
      <c r="H41" s="4"/>
      <c r="I41" s="25"/>
      <c r="J41" s="25"/>
      <c r="K41" s="25"/>
      <c r="L41" s="25"/>
      <c r="M41" s="25"/>
      <c r="N41" s="29">
        <f t="shared" si="0"/>
        <v>44116.2</v>
      </c>
    </row>
    <row r="42" spans="1:14" ht="25.5" x14ac:dyDescent="0.2">
      <c r="A42" s="17" t="s">
        <v>33</v>
      </c>
      <c r="B42" s="4">
        <f>1200+339+500+650+100+500</f>
        <v>3289</v>
      </c>
      <c r="C42" s="4">
        <v>500</v>
      </c>
      <c r="D42" s="4">
        <f>1000+1000</f>
        <v>2000</v>
      </c>
      <c r="E42" s="4"/>
      <c r="F42" s="25">
        <f>1000+1000</f>
        <v>2000</v>
      </c>
      <c r="G42" s="4"/>
      <c r="H42" s="4"/>
      <c r="I42" s="25"/>
      <c r="J42" s="25"/>
      <c r="K42" s="25"/>
      <c r="L42" s="25"/>
      <c r="M42" s="25"/>
      <c r="N42" s="29">
        <f t="shared" si="0"/>
        <v>7789</v>
      </c>
    </row>
    <row r="43" spans="1:14" x14ac:dyDescent="0.2">
      <c r="A43" s="17" t="s">
        <v>36</v>
      </c>
      <c r="B43" s="4">
        <v>44489.43</v>
      </c>
      <c r="C43" s="4"/>
      <c r="D43" s="4">
        <v>38964.550000000003</v>
      </c>
      <c r="E43" s="4">
        <v>31800</v>
      </c>
      <c r="F43" s="25">
        <v>24760.76</v>
      </c>
      <c r="G43" s="4"/>
      <c r="H43" s="4"/>
      <c r="I43" s="25"/>
      <c r="J43" s="25"/>
      <c r="K43" s="25"/>
      <c r="L43" s="25"/>
      <c r="M43" s="25"/>
      <c r="N43" s="29">
        <f t="shared" si="0"/>
        <v>140014.74000000002</v>
      </c>
    </row>
    <row r="44" spans="1:14" x14ac:dyDescent="0.2">
      <c r="A44" s="17" t="s">
        <v>44</v>
      </c>
      <c r="B44" s="4"/>
      <c r="C44" s="4">
        <v>30000</v>
      </c>
      <c r="D44" s="4"/>
      <c r="E44" s="4"/>
      <c r="F44" s="25"/>
      <c r="G44" s="4"/>
      <c r="H44" s="4"/>
      <c r="I44" s="25"/>
      <c r="J44" s="25"/>
      <c r="K44" s="25"/>
      <c r="L44" s="25"/>
      <c r="M44" s="25"/>
      <c r="N44" s="29">
        <f t="shared" si="0"/>
        <v>30000</v>
      </c>
    </row>
    <row r="45" spans="1:14" ht="25.5" x14ac:dyDescent="0.2">
      <c r="A45" s="17" t="s">
        <v>48</v>
      </c>
      <c r="B45" s="4">
        <v>8928.44</v>
      </c>
      <c r="C45" s="4"/>
      <c r="D45" s="4">
        <f>6810.96+514.15</f>
        <v>7325.11</v>
      </c>
      <c r="E45" s="4">
        <f>180.02+11750</f>
        <v>11930.02</v>
      </c>
      <c r="F45" s="25"/>
      <c r="G45" s="4"/>
      <c r="H45" s="4"/>
      <c r="I45" s="25"/>
      <c r="J45" s="25"/>
      <c r="K45" s="25"/>
      <c r="L45" s="25"/>
      <c r="M45" s="25"/>
      <c r="N45" s="29">
        <f t="shared" si="0"/>
        <v>28183.57</v>
      </c>
    </row>
    <row r="46" spans="1:14" ht="25.5" x14ac:dyDescent="0.2">
      <c r="A46" s="17" t="s">
        <v>55</v>
      </c>
      <c r="B46" s="4"/>
      <c r="C46" s="4">
        <v>388</v>
      </c>
      <c r="D46" s="4"/>
      <c r="E46" s="4"/>
      <c r="F46" s="25">
        <f>1221+1017.5</f>
        <v>2238.5</v>
      </c>
      <c r="G46" s="4"/>
      <c r="H46" s="4"/>
      <c r="I46" s="25"/>
      <c r="J46" s="25"/>
      <c r="K46" s="25"/>
      <c r="L46" s="25"/>
      <c r="M46" s="25"/>
      <c r="N46" s="29">
        <f t="shared" si="0"/>
        <v>2626.5</v>
      </c>
    </row>
    <row r="47" spans="1:14" x14ac:dyDescent="0.2">
      <c r="A47" s="17" t="s">
        <v>56</v>
      </c>
      <c r="B47" s="4"/>
      <c r="C47" s="4">
        <v>1125.45</v>
      </c>
      <c r="D47" s="4"/>
      <c r="E47" s="4"/>
      <c r="F47" s="25">
        <v>9000</v>
      </c>
      <c r="G47" s="4"/>
      <c r="H47" s="4"/>
      <c r="I47" s="25"/>
      <c r="J47" s="25"/>
      <c r="K47" s="25"/>
      <c r="L47" s="25"/>
      <c r="M47" s="25"/>
      <c r="N47" s="29">
        <f t="shared" si="0"/>
        <v>10125.450000000001</v>
      </c>
    </row>
    <row r="48" spans="1:14" ht="25.5" x14ac:dyDescent="0.2">
      <c r="A48" s="17" t="s">
        <v>31</v>
      </c>
      <c r="B48" s="4"/>
      <c r="C48" s="4"/>
      <c r="D48" s="4"/>
      <c r="E48" s="4"/>
      <c r="F48" s="25"/>
      <c r="G48" s="4"/>
      <c r="H48" s="4"/>
      <c r="I48" s="25"/>
      <c r="J48" s="25"/>
      <c r="K48" s="25"/>
      <c r="L48" s="25"/>
      <c r="M48" s="25"/>
      <c r="N48" s="29">
        <f t="shared" si="0"/>
        <v>0</v>
      </c>
    </row>
    <row r="49" spans="1:14" x14ac:dyDescent="0.2">
      <c r="A49" s="17" t="s">
        <v>53</v>
      </c>
      <c r="B49" s="4"/>
      <c r="C49" s="4"/>
      <c r="D49" s="4"/>
      <c r="E49" s="4"/>
      <c r="F49" s="25">
        <f>25000+110</f>
        <v>25110</v>
      </c>
      <c r="G49" s="4"/>
      <c r="H49" s="4"/>
      <c r="I49" s="25"/>
      <c r="J49" s="25"/>
      <c r="K49" s="25"/>
      <c r="L49" s="25"/>
      <c r="M49" s="25"/>
      <c r="N49" s="29">
        <f t="shared" si="0"/>
        <v>25110</v>
      </c>
    </row>
    <row r="50" spans="1:14" ht="25.5" x14ac:dyDescent="0.2">
      <c r="A50" s="17" t="s">
        <v>59</v>
      </c>
      <c r="B50" s="4"/>
      <c r="C50" s="4"/>
      <c r="D50" s="4"/>
      <c r="E50" s="4">
        <f>21000</f>
        <v>21000</v>
      </c>
      <c r="F50" s="25">
        <f>12250+21000</f>
        <v>33250</v>
      </c>
      <c r="G50" s="4"/>
      <c r="H50" s="4"/>
      <c r="I50" s="25"/>
      <c r="J50" s="25"/>
      <c r="K50" s="25"/>
      <c r="L50" s="25"/>
      <c r="M50" s="25"/>
      <c r="N50" s="29">
        <f t="shared" si="0"/>
        <v>54250</v>
      </c>
    </row>
    <row r="51" spans="1:14" x14ac:dyDescent="0.2">
      <c r="A51" s="17" t="s">
        <v>17</v>
      </c>
      <c r="B51" s="4"/>
      <c r="C51" s="4"/>
      <c r="D51" s="4"/>
      <c r="E51" s="4"/>
      <c r="F51" s="25"/>
      <c r="G51" s="4"/>
      <c r="H51" s="4"/>
      <c r="I51" s="25"/>
      <c r="J51" s="25"/>
      <c r="K51" s="25"/>
      <c r="L51" s="25"/>
      <c r="M51" s="25"/>
      <c r="N51" s="29">
        <f t="shared" si="0"/>
        <v>0</v>
      </c>
    </row>
    <row r="52" spans="1:14" ht="25.5" x14ac:dyDescent="0.2">
      <c r="A52" s="17" t="s">
        <v>58</v>
      </c>
      <c r="B52" s="4"/>
      <c r="C52" s="4"/>
      <c r="D52" s="4"/>
      <c r="E52" s="4"/>
      <c r="F52" s="25">
        <v>15925</v>
      </c>
      <c r="G52" s="4"/>
      <c r="H52" s="4"/>
      <c r="I52" s="25"/>
      <c r="J52" s="25"/>
      <c r="K52" s="25"/>
      <c r="L52" s="25"/>
      <c r="M52" s="25"/>
      <c r="N52" s="29">
        <f t="shared" si="0"/>
        <v>15925</v>
      </c>
    </row>
    <row r="53" spans="1:14" x14ac:dyDescent="0.2">
      <c r="A53" s="17" t="s">
        <v>45</v>
      </c>
      <c r="B53" s="4"/>
      <c r="C53" s="4">
        <v>314</v>
      </c>
      <c r="D53" s="4"/>
      <c r="E53" s="4"/>
      <c r="F53" s="25"/>
      <c r="G53" s="4"/>
      <c r="H53" s="4"/>
      <c r="I53" s="25"/>
      <c r="J53" s="25"/>
      <c r="K53" s="25"/>
      <c r="L53" s="25"/>
      <c r="M53" s="25"/>
      <c r="N53" s="29">
        <f t="shared" si="0"/>
        <v>314</v>
      </c>
    </row>
    <row r="54" spans="1:14" x14ac:dyDescent="0.2">
      <c r="A54" s="17" t="s">
        <v>41</v>
      </c>
      <c r="B54" s="4">
        <v>1975.08</v>
      </c>
      <c r="C54" s="4">
        <v>3002.49</v>
      </c>
      <c r="D54" s="4">
        <f>154+154+32.92+450+154+154+32.92+32.92+154+154+550+530+154+32.92+32.92+240+240</f>
        <v>3252.6000000000004</v>
      </c>
      <c r="E54" s="4">
        <f>154+32.92+154+32.92+154+154+40+32.92+154+240+154</f>
        <v>1302.76</v>
      </c>
      <c r="F54" s="25"/>
      <c r="G54" s="4"/>
      <c r="H54" s="4"/>
      <c r="I54" s="25"/>
      <c r="J54" s="25"/>
      <c r="K54" s="25"/>
      <c r="L54" s="25"/>
      <c r="M54" s="25"/>
      <c r="N54" s="29">
        <f t="shared" si="0"/>
        <v>9532.93</v>
      </c>
    </row>
    <row r="55" spans="1:14" x14ac:dyDescent="0.2">
      <c r="A55" s="17" t="s">
        <v>40</v>
      </c>
      <c r="B55" s="4">
        <v>3810</v>
      </c>
      <c r="C55" s="4"/>
      <c r="D55" s="4"/>
      <c r="E55" s="4"/>
      <c r="F55" s="25"/>
      <c r="G55" s="4"/>
      <c r="H55" s="4"/>
      <c r="I55" s="25"/>
      <c r="J55" s="25"/>
      <c r="K55" s="25"/>
      <c r="L55" s="25"/>
      <c r="M55" s="25"/>
      <c r="N55" s="29">
        <f t="shared" si="0"/>
        <v>3810</v>
      </c>
    </row>
    <row r="56" spans="1:14" x14ac:dyDescent="0.2">
      <c r="A56" s="17" t="s">
        <v>46</v>
      </c>
      <c r="B56" s="4"/>
      <c r="C56" s="4">
        <v>14990</v>
      </c>
      <c r="D56" s="4"/>
      <c r="E56" s="4"/>
      <c r="F56" s="25"/>
      <c r="G56" s="4"/>
      <c r="H56" s="4"/>
      <c r="I56" s="25"/>
      <c r="J56" s="25"/>
      <c r="K56" s="25"/>
      <c r="L56" s="25"/>
      <c r="M56" s="25"/>
      <c r="N56" s="29">
        <f t="shared" si="0"/>
        <v>14990</v>
      </c>
    </row>
    <row r="57" spans="1:14" x14ac:dyDescent="0.2">
      <c r="A57" s="17" t="s">
        <v>37</v>
      </c>
      <c r="B57" s="4">
        <v>7000</v>
      </c>
      <c r="C57" s="4"/>
      <c r="D57" s="4"/>
      <c r="E57" s="4"/>
      <c r="F57" s="25"/>
      <c r="G57" s="4"/>
      <c r="H57" s="4"/>
      <c r="I57" s="25"/>
      <c r="J57" s="25"/>
      <c r="K57" s="25"/>
      <c r="L57" s="25"/>
      <c r="M57" s="25"/>
      <c r="N57" s="29">
        <f t="shared" si="0"/>
        <v>7000</v>
      </c>
    </row>
    <row r="58" spans="1:14" x14ac:dyDescent="0.2">
      <c r="A58" s="17" t="s">
        <v>38</v>
      </c>
      <c r="B58" s="4">
        <v>9750</v>
      </c>
      <c r="C58" s="4"/>
      <c r="D58" s="4"/>
      <c r="E58" s="4"/>
      <c r="F58" s="25"/>
      <c r="G58" s="4"/>
      <c r="H58" s="4"/>
      <c r="I58" s="25"/>
      <c r="J58" s="25"/>
      <c r="K58" s="25"/>
      <c r="L58" s="25"/>
      <c r="M58" s="25"/>
      <c r="N58" s="29">
        <f t="shared" si="0"/>
        <v>9750</v>
      </c>
    </row>
    <row r="59" spans="1:14" ht="63.75" x14ac:dyDescent="0.2">
      <c r="A59" s="17" t="s">
        <v>57</v>
      </c>
      <c r="B59" s="4">
        <f>170+450+600</f>
        <v>1220</v>
      </c>
      <c r="C59" s="4">
        <v>1847</v>
      </c>
      <c r="D59" s="4"/>
      <c r="E59" s="4">
        <f>165+1170+500+290+251.7+869+2990+47+47+398+45</f>
        <v>6772.7</v>
      </c>
      <c r="F59" s="25">
        <f>3410+765+535+175+1555+200+765+2890.35+100+376+100+600+975+390+500+3090+200+1400+155+500+175+540+659+245+345</f>
        <v>20645.349999999999</v>
      </c>
      <c r="G59" s="4"/>
      <c r="H59" s="4"/>
      <c r="I59" s="25"/>
      <c r="J59" s="25"/>
      <c r="K59" s="25"/>
      <c r="L59" s="25"/>
      <c r="M59" s="25"/>
      <c r="N59" s="29">
        <f t="shared" si="0"/>
        <v>30485.05</v>
      </c>
    </row>
    <row r="60" spans="1:14" x14ac:dyDescent="0.2">
      <c r="A60" s="17" t="s">
        <v>42</v>
      </c>
      <c r="B60" s="4">
        <v>90</v>
      </c>
      <c r="C60" s="4"/>
      <c r="D60" s="4"/>
      <c r="E60" s="4">
        <f>27+30+187.32</f>
        <v>244.32</v>
      </c>
      <c r="F60" s="25"/>
      <c r="G60" s="4"/>
      <c r="H60" s="4"/>
      <c r="I60" s="25"/>
      <c r="J60" s="25"/>
      <c r="K60" s="25"/>
      <c r="L60" s="25"/>
      <c r="M60" s="25"/>
      <c r="N60" s="29">
        <f t="shared" si="0"/>
        <v>334.32</v>
      </c>
    </row>
    <row r="61" spans="1:14" x14ac:dyDescent="0.2">
      <c r="A61" s="48"/>
      <c r="B61" s="49"/>
      <c r="C61" s="49"/>
      <c r="D61" s="49"/>
      <c r="E61" s="49"/>
      <c r="F61" s="50"/>
      <c r="G61" s="49"/>
      <c r="H61" s="49"/>
      <c r="I61" s="50"/>
      <c r="J61" s="50"/>
      <c r="K61" s="50"/>
      <c r="L61" s="50"/>
      <c r="M61" s="50"/>
      <c r="N61" s="49"/>
    </row>
    <row r="62" spans="1:14" x14ac:dyDescent="0.2">
      <c r="K62" s="26"/>
    </row>
    <row r="63" spans="1:14" x14ac:dyDescent="0.2">
      <c r="A63" s="35" t="s">
        <v>22</v>
      </c>
      <c r="B63" s="36">
        <f>B59+B58+B57+B55+B54+B45+B43+B42+B40+B36</f>
        <v>83801.950000000012</v>
      </c>
      <c r="C63" s="36">
        <f>C59+C56+C54+C53+C47+C46+C44+C42+C25+C21+C20+C32</f>
        <v>140926.94</v>
      </c>
      <c r="D63" s="36">
        <f>D20+D25+D31+D32+D36+D42+D43+D45+D54+8305</f>
        <v>92270.690000000017</v>
      </c>
      <c r="E63" s="36">
        <f>E60+E59+E54+E50+E45+E43+E37+E36+E27+E25+E24+E21+E20+E30+E28</f>
        <v>160501.6</v>
      </c>
      <c r="F63" s="45">
        <f>F59+F52+F50+F49+F47+F46+F43+F42+F41+F25+F21+5362.5</f>
        <v>206160.31</v>
      </c>
      <c r="G63" s="32"/>
      <c r="H63" s="33"/>
      <c r="I63" s="47"/>
      <c r="J63" s="47"/>
      <c r="K63" s="47"/>
      <c r="L63" s="47"/>
      <c r="M63" s="45"/>
    </row>
    <row r="64" spans="1:14" x14ac:dyDescent="0.2">
      <c r="A64" s="35" t="s">
        <v>23</v>
      </c>
      <c r="B64" s="36">
        <f>B60+B27+B25+B21+B29</f>
        <v>178025.64</v>
      </c>
      <c r="C64" s="36">
        <f>C29+C19</f>
        <v>80200</v>
      </c>
      <c r="D64" s="36">
        <f>D29+8855.92+D19</f>
        <v>136661.16999999998</v>
      </c>
      <c r="E64" s="36">
        <f>E29+E19</f>
        <v>140239.63</v>
      </c>
      <c r="F64" s="45">
        <f>F29+F19+4719.42</f>
        <v>163024.77000000002</v>
      </c>
      <c r="G64" s="36"/>
      <c r="H64" s="36"/>
      <c r="I64" s="47"/>
      <c r="J64" s="47"/>
      <c r="K64" s="47"/>
      <c r="L64" s="47"/>
      <c r="M64" s="45"/>
    </row>
    <row r="65" spans="6:13" x14ac:dyDescent="0.2">
      <c r="F65" s="26"/>
      <c r="H65" s="33"/>
      <c r="I65" s="31"/>
      <c r="J65" s="31"/>
      <c r="K65" s="31"/>
      <c r="L65" s="31"/>
      <c r="M65" s="31"/>
    </row>
    <row r="66" spans="6:13" x14ac:dyDescent="0.2">
      <c r="F66" s="26"/>
    </row>
  </sheetData>
  <pageMargins left="0.15748031496062992" right="0.27559055118110237" top="0.74803149606299213" bottom="0.74803149606299213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HP</cp:lastModifiedBy>
  <cp:lastPrinted>2018-02-15T13:45:15Z</cp:lastPrinted>
  <dcterms:created xsi:type="dcterms:W3CDTF">2015-12-25T20:22:12Z</dcterms:created>
  <dcterms:modified xsi:type="dcterms:W3CDTF">2018-06-18T12:48:36Z</dcterms:modified>
</cp:coreProperties>
</file>