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pivotTables/pivotTable1.xml" ContentType="application/vnd.openxmlformats-officedocument.spreadsheetml.pivotTable+xml"/>
  <Override PartName="/xl/comments7.xml" ContentType="application/vnd.openxmlformats-officedocument.spreadsheetml.comments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0" yWindow="0" windowWidth="13460" windowHeight="6940" firstSheet="3" activeTab="3"/>
  </bookViews>
  <sheets>
    <sheet name="рабочая таблица" sheetId="8" state="hidden" r:id="rId1"/>
    <sheet name="На что стоит обратить внимание" sheetId="20" state="hidden" r:id="rId2"/>
    <sheet name="план на 2016" sheetId="2" state="hidden" r:id="rId3"/>
    <sheet name="членские взносы" sheetId="3" r:id="rId4"/>
    <sheet name="баланс" sheetId="4" state="hidden" r:id="rId5"/>
    <sheet name="data" sheetId="1" state="hidden" r:id="rId6"/>
    <sheet name="справочник" sheetId="6" state="hidden" r:id="rId7"/>
    <sheet name="Лист6" sheetId="12" state="hidden" r:id="rId8"/>
  </sheets>
  <definedNames>
    <definedName name="_xlnm._FilterDatabase" localSheetId="4" hidden="1">баланс!$A$3:$Y$326</definedName>
    <definedName name="_xlnm._FilterDatabase" localSheetId="2" hidden="1">'план на 2016'!$A$4:$Z$327</definedName>
    <definedName name="_xlnm._FilterDatabase" localSheetId="0" hidden="1">'рабочая таблица'!$A$6:$R$305</definedName>
    <definedName name="_xlnm._FilterDatabase" localSheetId="6" hidden="1">справочник!$A$1:$AI$281</definedName>
    <definedName name="_xlnm._FilterDatabase" localSheetId="3" hidden="1">'членские взносы'!$A$4:$AE$329</definedName>
    <definedName name="_xlnm._FilterDatabase" localSheetId="5" hidden="1">data!$A$4:$Y$4</definedName>
    <definedName name="pivot">OFFSET(#REF!,0,0,COUNTA(#REF!),13)</definedName>
  </definedNames>
  <calcPr calcId="140001" concurrentCalc="0"/>
  <pivotCaches>
    <pivotCache cacheId="2" r:id="rId9"/>
    <pivotCache cacheId="3" r:id="rId10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X76" i="3" l="1"/>
  <c r="CX323" i="3"/>
  <c r="CX326" i="3"/>
  <c r="CY300" i="3"/>
  <c r="CW66" i="3"/>
  <c r="CU117" i="3"/>
  <c r="CU138" i="3"/>
  <c r="CU187" i="3"/>
  <c r="CU275" i="3"/>
  <c r="CU323" i="3"/>
  <c r="CU326" i="3"/>
  <c r="CV300" i="3"/>
  <c r="CT66" i="3"/>
  <c r="AE169" i="3"/>
  <c r="AH169" i="3"/>
  <c r="AK169" i="3"/>
  <c r="AN169" i="3"/>
  <c r="AQ169" i="3"/>
  <c r="AT169" i="3"/>
  <c r="AW169" i="3"/>
  <c r="AZ169" i="3"/>
  <c r="BC169" i="3"/>
  <c r="BF169" i="3"/>
  <c r="BI169" i="3"/>
  <c r="BL169" i="3"/>
  <c r="BO169" i="3"/>
  <c r="BR169" i="3"/>
  <c r="BU169" i="3"/>
  <c r="BX169" i="3"/>
  <c r="CA169" i="3"/>
  <c r="CD169" i="3"/>
  <c r="CG169" i="3"/>
  <c r="CJ169" i="3"/>
  <c r="CM169" i="3"/>
  <c r="CP169" i="3"/>
  <c r="CS169" i="3"/>
  <c r="CV169" i="3"/>
  <c r="CY169" i="3"/>
  <c r="CR138" i="3"/>
  <c r="CR267" i="3"/>
  <c r="CR323" i="3"/>
  <c r="CR326" i="3"/>
  <c r="CQ66" i="3"/>
  <c r="CO175" i="3"/>
  <c r="CO323" i="3"/>
  <c r="CO306" i="3"/>
  <c r="CO138" i="3"/>
  <c r="CN66" i="3"/>
  <c r="CL323" i="3"/>
  <c r="CL187" i="3"/>
  <c r="CL235" i="3"/>
  <c r="CK66" i="3"/>
  <c r="BW13" i="3"/>
  <c r="CI323" i="3"/>
  <c r="CI138" i="3"/>
  <c r="CI235" i="3"/>
  <c r="CH66" i="3"/>
  <c r="CF187" i="3"/>
  <c r="CF323" i="3"/>
  <c r="CE66" i="3"/>
  <c r="CC95" i="3"/>
  <c r="CC101" i="3"/>
  <c r="CC323" i="3"/>
  <c r="CC235" i="3"/>
  <c r="CB66" i="3"/>
  <c r="BZ265" i="3"/>
  <c r="BZ235" i="3"/>
  <c r="BZ323" i="3"/>
  <c r="BY66" i="3"/>
  <c r="BW233" i="3"/>
  <c r="BW218" i="3"/>
  <c r="BW197" i="3"/>
  <c r="BW235" i="3"/>
  <c r="BW323" i="3"/>
  <c r="BW138" i="3"/>
  <c r="BW117" i="3"/>
  <c r="BV66" i="3"/>
  <c r="BT108" i="3"/>
  <c r="J111" i="3"/>
  <c r="BT138" i="3"/>
  <c r="BT235" i="3"/>
  <c r="BT70" i="3"/>
  <c r="BT323" i="3"/>
  <c r="BS66" i="3"/>
  <c r="BQ82" i="3"/>
  <c r="BQ323" i="3"/>
  <c r="BQ66" i="3"/>
  <c r="BQ117" i="3"/>
  <c r="Y308" i="3"/>
  <c r="AA308" i="3"/>
  <c r="S148" i="3"/>
  <c r="BP66" i="3"/>
  <c r="BN74" i="3"/>
  <c r="BN323" i="3"/>
  <c r="BN249" i="3"/>
  <c r="BN187" i="3"/>
  <c r="BN175" i="3"/>
  <c r="BN235" i="3"/>
  <c r="BM66" i="3"/>
  <c r="AO8" i="3"/>
  <c r="BK66" i="3"/>
  <c r="BK275" i="3"/>
  <c r="BK190" i="3"/>
  <c r="BK34" i="3"/>
  <c r="BJ66" i="3"/>
  <c r="BH40" i="3"/>
  <c r="Y162" i="3"/>
  <c r="I162" i="3"/>
  <c r="L162" i="3"/>
  <c r="AA162" i="3"/>
  <c r="I163" i="3"/>
  <c r="AA163" i="3"/>
  <c r="Y163" i="3"/>
  <c r="Y161" i="3"/>
  <c r="BH307" i="3"/>
  <c r="V40" i="3"/>
  <c r="Y40" i="3"/>
  <c r="H208" i="3"/>
  <c r="I208" i="3"/>
  <c r="AA208" i="3"/>
  <c r="Y208" i="3"/>
  <c r="H16" i="3"/>
  <c r="I16" i="3"/>
  <c r="L16" i="3"/>
  <c r="AA16" i="3"/>
  <c r="Y16" i="3"/>
  <c r="I17" i="3"/>
  <c r="L17" i="3"/>
  <c r="AA17" i="3"/>
  <c r="Y17" i="3"/>
  <c r="BH30" i="3"/>
  <c r="BH194" i="3"/>
  <c r="BH163" i="3"/>
  <c r="BH187" i="3"/>
  <c r="H275" i="3"/>
  <c r="I275" i="3"/>
  <c r="L275" i="3"/>
  <c r="AA275" i="3"/>
  <c r="I276" i="3"/>
  <c r="L276" i="3"/>
  <c r="AA276" i="3"/>
  <c r="Y276" i="3"/>
  <c r="H325" i="3"/>
  <c r="I325" i="3"/>
  <c r="AA325" i="3"/>
  <c r="Y325" i="3"/>
  <c r="H324" i="3"/>
  <c r="I324" i="3"/>
  <c r="L324" i="3"/>
  <c r="AA324" i="3"/>
  <c r="Y324" i="3"/>
  <c r="H323" i="3"/>
  <c r="I323" i="3"/>
  <c r="AA323" i="3"/>
  <c r="Y323" i="3"/>
  <c r="H322" i="3"/>
  <c r="I322" i="3"/>
  <c r="AA322" i="3"/>
  <c r="Y322" i="3"/>
  <c r="I321" i="3"/>
  <c r="L321" i="3"/>
  <c r="AA321" i="3"/>
  <c r="Y321" i="3"/>
  <c r="H320" i="3"/>
  <c r="I320" i="3"/>
  <c r="AA320" i="3"/>
  <c r="Y320" i="3"/>
  <c r="H319" i="3"/>
  <c r="I319" i="3"/>
  <c r="L319" i="3"/>
  <c r="AA319" i="3"/>
  <c r="Y319" i="3"/>
  <c r="H318" i="3"/>
  <c r="I318" i="3"/>
  <c r="L318" i="3"/>
  <c r="AA318" i="3"/>
  <c r="Y318" i="3"/>
  <c r="H317" i="3"/>
  <c r="I317" i="3"/>
  <c r="AA317" i="3"/>
  <c r="Y317" i="3"/>
  <c r="H316" i="3"/>
  <c r="I316" i="3"/>
  <c r="AA316" i="3"/>
  <c r="Y316" i="3"/>
  <c r="H315" i="3"/>
  <c r="I315" i="3"/>
  <c r="AA315" i="3"/>
  <c r="Y315" i="3"/>
  <c r="H314" i="3"/>
  <c r="I314" i="3"/>
  <c r="L314" i="3"/>
  <c r="AA314" i="3"/>
  <c r="Y314" i="3"/>
  <c r="H313" i="3"/>
  <c r="I313" i="3"/>
  <c r="L313" i="3"/>
  <c r="AA313" i="3"/>
  <c r="Y313" i="3"/>
  <c r="H312" i="3"/>
  <c r="I312" i="3"/>
  <c r="L312" i="3"/>
  <c r="AA312" i="3"/>
  <c r="Y312" i="3"/>
  <c r="H311" i="3"/>
  <c r="I311" i="3"/>
  <c r="L311" i="3"/>
  <c r="AA311" i="3"/>
  <c r="Y311" i="3"/>
  <c r="AA310" i="3"/>
  <c r="Y310" i="3"/>
  <c r="H307" i="3"/>
  <c r="I307" i="3"/>
  <c r="AA307" i="3"/>
  <c r="Y307" i="3"/>
  <c r="H306" i="3"/>
  <c r="I306" i="3"/>
  <c r="L306" i="3"/>
  <c r="AA306" i="3"/>
  <c r="Y306" i="3"/>
  <c r="H305" i="3"/>
  <c r="I305" i="3"/>
  <c r="L305" i="3"/>
  <c r="AA305" i="3"/>
  <c r="Y305" i="3"/>
  <c r="H304" i="3"/>
  <c r="I304" i="3"/>
  <c r="L304" i="3"/>
  <c r="AA304" i="3"/>
  <c r="Y304" i="3"/>
  <c r="H303" i="3"/>
  <c r="I303" i="3"/>
  <c r="L303" i="3"/>
  <c r="AA303" i="3"/>
  <c r="Y303" i="3"/>
  <c r="I301" i="3"/>
  <c r="L301" i="3"/>
  <c r="AA301" i="3"/>
  <c r="Y301" i="3"/>
  <c r="I302" i="3"/>
  <c r="L302" i="3"/>
  <c r="AA302" i="3"/>
  <c r="Y302" i="3"/>
  <c r="AH300" i="3"/>
  <c r="AK300" i="3"/>
  <c r="AN300" i="3"/>
  <c r="AQ300" i="3"/>
  <c r="AT300" i="3"/>
  <c r="AW300" i="3"/>
  <c r="AZ300" i="3"/>
  <c r="BC300" i="3"/>
  <c r="BF300" i="3"/>
  <c r="BI300" i="3"/>
  <c r="BL300" i="3"/>
  <c r="BO300" i="3"/>
  <c r="BR300" i="3"/>
  <c r="BU300" i="3"/>
  <c r="BX300" i="3"/>
  <c r="CA300" i="3"/>
  <c r="CD300" i="3"/>
  <c r="CG300" i="3"/>
  <c r="CJ300" i="3"/>
  <c r="CM300" i="3"/>
  <c r="CP300" i="3"/>
  <c r="H299" i="3"/>
  <c r="I299" i="3"/>
  <c r="AA299" i="3"/>
  <c r="Y299" i="3"/>
  <c r="H298" i="3"/>
  <c r="I298" i="3"/>
  <c r="L298" i="3"/>
  <c r="AA298" i="3"/>
  <c r="Y298" i="3"/>
  <c r="H297" i="3"/>
  <c r="I297" i="3"/>
  <c r="L297" i="3"/>
  <c r="AA297" i="3"/>
  <c r="Y297" i="3"/>
  <c r="H296" i="3"/>
  <c r="I296" i="3"/>
  <c r="AA296" i="3"/>
  <c r="Y296" i="3"/>
  <c r="H295" i="3"/>
  <c r="I295" i="3"/>
  <c r="L295" i="3"/>
  <c r="AA295" i="3"/>
  <c r="Y295" i="3"/>
  <c r="H294" i="3"/>
  <c r="I294" i="3"/>
  <c r="AA294" i="3"/>
  <c r="Y294" i="3"/>
  <c r="H293" i="3"/>
  <c r="I293" i="3"/>
  <c r="L293" i="3"/>
  <c r="AA293" i="3"/>
  <c r="Y293" i="3"/>
  <c r="H292" i="3"/>
  <c r="I292" i="3"/>
  <c r="L292" i="3"/>
  <c r="AA292" i="3"/>
  <c r="Y292" i="3"/>
  <c r="H291" i="3"/>
  <c r="I291" i="3"/>
  <c r="AA291" i="3"/>
  <c r="Y291" i="3"/>
  <c r="H290" i="3"/>
  <c r="I290" i="3"/>
  <c r="AA290" i="3"/>
  <c r="Y290" i="3"/>
  <c r="I287" i="3"/>
  <c r="L287" i="3"/>
  <c r="AA287" i="3"/>
  <c r="Y287" i="3"/>
  <c r="I288" i="3"/>
  <c r="L288" i="3"/>
  <c r="AA288" i="3"/>
  <c r="Y288" i="3"/>
  <c r="I289" i="3"/>
  <c r="L289" i="3"/>
  <c r="AA289" i="3"/>
  <c r="Y289" i="3"/>
  <c r="H286" i="3"/>
  <c r="I286" i="3"/>
  <c r="AA286" i="3"/>
  <c r="Y286" i="3"/>
  <c r="H285" i="3"/>
  <c r="I285" i="3"/>
  <c r="AA285" i="3"/>
  <c r="Y285" i="3"/>
  <c r="H284" i="3"/>
  <c r="I284" i="3"/>
  <c r="L284" i="3"/>
  <c r="AA284" i="3"/>
  <c r="Y284" i="3"/>
  <c r="H283" i="3"/>
  <c r="I283" i="3"/>
  <c r="AA283" i="3"/>
  <c r="Y283" i="3"/>
  <c r="H282" i="3"/>
  <c r="I282" i="3"/>
  <c r="L282" i="3"/>
  <c r="AA282" i="3"/>
  <c r="Y282" i="3"/>
  <c r="H281" i="3"/>
  <c r="I281" i="3"/>
  <c r="L281" i="3"/>
  <c r="AA281" i="3"/>
  <c r="Y281" i="3"/>
  <c r="H280" i="3"/>
  <c r="I280" i="3"/>
  <c r="AA280" i="3"/>
  <c r="Y280" i="3"/>
  <c r="H279" i="3"/>
  <c r="I279" i="3"/>
  <c r="AA279" i="3"/>
  <c r="Y279" i="3"/>
  <c r="AA278" i="3"/>
  <c r="Y278" i="3"/>
  <c r="H277" i="3"/>
  <c r="I277" i="3"/>
  <c r="AA277" i="3"/>
  <c r="Y277" i="3"/>
  <c r="H274" i="3"/>
  <c r="I274" i="3"/>
  <c r="L274" i="3"/>
  <c r="AA274" i="3"/>
  <c r="Y274" i="3"/>
  <c r="H273" i="3"/>
  <c r="I273" i="3"/>
  <c r="L273" i="3"/>
  <c r="AA273" i="3"/>
  <c r="Y273" i="3"/>
  <c r="H272" i="3"/>
  <c r="I272" i="3"/>
  <c r="L272" i="3"/>
  <c r="AA272" i="3"/>
  <c r="Y272" i="3"/>
  <c r="H271" i="3"/>
  <c r="I271" i="3"/>
  <c r="L271" i="3"/>
  <c r="AA271" i="3"/>
  <c r="Y271" i="3"/>
  <c r="H270" i="3"/>
  <c r="I270" i="3"/>
  <c r="L270" i="3"/>
  <c r="AA270" i="3"/>
  <c r="Y270" i="3"/>
  <c r="H269" i="3"/>
  <c r="I269" i="3"/>
  <c r="AA269" i="3"/>
  <c r="Y269" i="3"/>
  <c r="H268" i="3"/>
  <c r="I268" i="3"/>
  <c r="L268" i="3"/>
  <c r="AA268" i="3"/>
  <c r="Y268" i="3"/>
  <c r="L267" i="3"/>
  <c r="AA267" i="3"/>
  <c r="Y267" i="3"/>
  <c r="H266" i="3"/>
  <c r="I266" i="3"/>
  <c r="L266" i="3"/>
  <c r="AA266" i="3"/>
  <c r="Y266" i="3"/>
  <c r="H265" i="3"/>
  <c r="I265" i="3"/>
  <c r="L265" i="3"/>
  <c r="AA265" i="3"/>
  <c r="Y265" i="3"/>
  <c r="H264" i="3"/>
  <c r="I264" i="3"/>
  <c r="L264" i="3"/>
  <c r="AA264" i="3"/>
  <c r="Y264" i="3"/>
  <c r="H263" i="3"/>
  <c r="I263" i="3"/>
  <c r="L263" i="3"/>
  <c r="AA263" i="3"/>
  <c r="Y263" i="3"/>
  <c r="H261" i="3"/>
  <c r="I261" i="3"/>
  <c r="L261" i="3"/>
  <c r="AA261" i="3"/>
  <c r="I262" i="3"/>
  <c r="L262" i="3"/>
  <c r="AA262" i="3"/>
  <c r="Y262" i="3"/>
  <c r="H260" i="3"/>
  <c r="I260" i="3"/>
  <c r="L260" i="3"/>
  <c r="AA260" i="3"/>
  <c r="Y260" i="3"/>
  <c r="H259" i="3"/>
  <c r="I259" i="3"/>
  <c r="L259" i="3"/>
  <c r="AA259" i="3"/>
  <c r="Y259" i="3"/>
  <c r="H258" i="3"/>
  <c r="I258" i="3"/>
  <c r="L258" i="3"/>
  <c r="AA258" i="3"/>
  <c r="Y258" i="3"/>
  <c r="H257" i="3"/>
  <c r="I257" i="3"/>
  <c r="L257" i="3"/>
  <c r="AA257" i="3"/>
  <c r="Y257" i="3"/>
  <c r="H256" i="3"/>
  <c r="I256" i="3"/>
  <c r="AA256" i="3"/>
  <c r="Y256" i="3"/>
  <c r="H255" i="3"/>
  <c r="I255" i="3"/>
  <c r="L255" i="3"/>
  <c r="AA255" i="3"/>
  <c r="Y255" i="3"/>
  <c r="H254" i="3"/>
  <c r="I254" i="3"/>
  <c r="L254" i="3"/>
  <c r="AA254" i="3"/>
  <c r="Y254" i="3"/>
  <c r="H253" i="3"/>
  <c r="I253" i="3"/>
  <c r="L253" i="3"/>
  <c r="AA253" i="3"/>
  <c r="Y253" i="3"/>
  <c r="H252" i="3"/>
  <c r="I252" i="3"/>
  <c r="L252" i="3"/>
  <c r="AA252" i="3"/>
  <c r="Y252" i="3"/>
  <c r="H251" i="3"/>
  <c r="I251" i="3"/>
  <c r="L251" i="3"/>
  <c r="AA251" i="3"/>
  <c r="Y251" i="3"/>
  <c r="H250" i="3"/>
  <c r="I250" i="3"/>
  <c r="L250" i="3"/>
  <c r="AA250" i="3"/>
  <c r="Y250" i="3"/>
  <c r="H249" i="3"/>
  <c r="I249" i="3"/>
  <c r="AA249" i="3"/>
  <c r="Y249" i="3"/>
  <c r="H248" i="3"/>
  <c r="I248" i="3"/>
  <c r="L248" i="3"/>
  <c r="AA248" i="3"/>
  <c r="Y248" i="3"/>
  <c r="H247" i="3"/>
  <c r="I247" i="3"/>
  <c r="AA247" i="3"/>
  <c r="Y247" i="3"/>
  <c r="I246" i="3"/>
  <c r="L246" i="3"/>
  <c r="AA246" i="3"/>
  <c r="Y246" i="3"/>
  <c r="H245" i="3"/>
  <c r="I245" i="3"/>
  <c r="L245" i="3"/>
  <c r="AA245" i="3"/>
  <c r="Y245" i="3"/>
  <c r="H244" i="3"/>
  <c r="I244" i="3"/>
  <c r="L244" i="3"/>
  <c r="AA244" i="3"/>
  <c r="Y244" i="3"/>
  <c r="H243" i="3"/>
  <c r="I243" i="3"/>
  <c r="L243" i="3"/>
  <c r="AA243" i="3"/>
  <c r="Y243" i="3"/>
  <c r="H242" i="3"/>
  <c r="I242" i="3"/>
  <c r="L242" i="3"/>
  <c r="AA242" i="3"/>
  <c r="Y242" i="3"/>
  <c r="H241" i="3"/>
  <c r="I241" i="3"/>
  <c r="L241" i="3"/>
  <c r="AA241" i="3"/>
  <c r="Y241" i="3"/>
  <c r="H240" i="3"/>
  <c r="I240" i="3"/>
  <c r="AA240" i="3"/>
  <c r="Y240" i="3"/>
  <c r="H239" i="3"/>
  <c r="I239" i="3"/>
  <c r="L239" i="3"/>
  <c r="AA239" i="3"/>
  <c r="Y239" i="3"/>
  <c r="H238" i="3"/>
  <c r="I238" i="3"/>
  <c r="AA238" i="3"/>
  <c r="Y238" i="3"/>
  <c r="H237" i="3"/>
  <c r="I237" i="3"/>
  <c r="AA237" i="3"/>
  <c r="Y237" i="3"/>
  <c r="H236" i="3"/>
  <c r="I236" i="3"/>
  <c r="L236" i="3"/>
  <c r="AA236" i="3"/>
  <c r="Y236" i="3"/>
  <c r="H235" i="3"/>
  <c r="I235" i="3"/>
  <c r="AA235" i="3"/>
  <c r="Y235" i="3"/>
  <c r="H233" i="3"/>
  <c r="I233" i="3"/>
  <c r="L233" i="3"/>
  <c r="AA233" i="3"/>
  <c r="Y233" i="3"/>
  <c r="I234" i="3"/>
  <c r="AA234" i="3"/>
  <c r="Y234" i="3"/>
  <c r="H231" i="3"/>
  <c r="I231" i="3"/>
  <c r="L231" i="3"/>
  <c r="AA231" i="3"/>
  <c r="Y231" i="3"/>
  <c r="I232" i="3"/>
  <c r="L232" i="3"/>
  <c r="AA232" i="3"/>
  <c r="Y232" i="3"/>
  <c r="H230" i="3"/>
  <c r="I230" i="3"/>
  <c r="L230" i="3"/>
  <c r="AA230" i="3"/>
  <c r="Y230" i="3"/>
  <c r="L229" i="3"/>
  <c r="AA229" i="3"/>
  <c r="Y229" i="3"/>
  <c r="AA228" i="3"/>
  <c r="Y228" i="3"/>
  <c r="H227" i="3"/>
  <c r="I227" i="3"/>
  <c r="AA227" i="3"/>
  <c r="Y227" i="3"/>
  <c r="H226" i="3"/>
  <c r="I226" i="3"/>
  <c r="L226" i="3"/>
  <c r="AA226" i="3"/>
  <c r="Y226" i="3"/>
  <c r="I225" i="3"/>
  <c r="L225" i="3"/>
  <c r="AA225" i="3"/>
  <c r="Y225" i="3"/>
  <c r="H224" i="3"/>
  <c r="I224" i="3"/>
  <c r="L224" i="3"/>
  <c r="AA224" i="3"/>
  <c r="Y224" i="3"/>
  <c r="H223" i="3"/>
  <c r="I223" i="3"/>
  <c r="AA223" i="3"/>
  <c r="Y223" i="3"/>
  <c r="H222" i="3"/>
  <c r="I222" i="3"/>
  <c r="L222" i="3"/>
  <c r="AA222" i="3"/>
  <c r="Y222" i="3"/>
  <c r="L221" i="3"/>
  <c r="AA221" i="3"/>
  <c r="Y221" i="3"/>
  <c r="H220" i="3"/>
  <c r="I220" i="3"/>
  <c r="L220" i="3"/>
  <c r="AA220" i="3"/>
  <c r="Y220" i="3"/>
  <c r="H219" i="3"/>
  <c r="I219" i="3"/>
  <c r="L219" i="3"/>
  <c r="AA219" i="3"/>
  <c r="Y219" i="3"/>
  <c r="H218" i="3"/>
  <c r="I218" i="3"/>
  <c r="L218" i="3"/>
  <c r="AA218" i="3"/>
  <c r="Y218" i="3"/>
  <c r="H217" i="3"/>
  <c r="I217" i="3"/>
  <c r="L217" i="3"/>
  <c r="AA217" i="3"/>
  <c r="Y217" i="3"/>
  <c r="H216" i="3"/>
  <c r="I216" i="3"/>
  <c r="L216" i="3"/>
  <c r="AA216" i="3"/>
  <c r="Y216" i="3"/>
  <c r="H215" i="3"/>
  <c r="I215" i="3"/>
  <c r="AA215" i="3"/>
  <c r="Y215" i="3"/>
  <c r="H214" i="3"/>
  <c r="I214" i="3"/>
  <c r="L214" i="3"/>
  <c r="AA214" i="3"/>
  <c r="Y214" i="3"/>
  <c r="H213" i="3"/>
  <c r="I213" i="3"/>
  <c r="L213" i="3"/>
  <c r="AA213" i="3"/>
  <c r="H212" i="3"/>
  <c r="I212" i="3"/>
  <c r="L212" i="3"/>
  <c r="AA212" i="3"/>
  <c r="Y212" i="3"/>
  <c r="H211" i="3"/>
  <c r="I211" i="3"/>
  <c r="L211" i="3"/>
  <c r="AA211" i="3"/>
  <c r="Y211" i="3"/>
  <c r="H209" i="3"/>
  <c r="I209" i="3"/>
  <c r="L209" i="3"/>
  <c r="AA209" i="3"/>
  <c r="Y209" i="3"/>
  <c r="H210" i="3"/>
  <c r="I210" i="3"/>
  <c r="AA210" i="3"/>
  <c r="Y210" i="3"/>
  <c r="I207" i="3"/>
  <c r="L207" i="3"/>
  <c r="AA207" i="3"/>
  <c r="Y207" i="3"/>
  <c r="I206" i="3"/>
  <c r="L206" i="3"/>
  <c r="AA206" i="3"/>
  <c r="Y206" i="3"/>
  <c r="H205" i="3"/>
  <c r="I205" i="3"/>
  <c r="L205" i="3"/>
  <c r="AA205" i="3"/>
  <c r="Y205" i="3"/>
  <c r="H204" i="3"/>
  <c r="I204" i="3"/>
  <c r="L204" i="3"/>
  <c r="AA204" i="3"/>
  <c r="Y204" i="3"/>
  <c r="H203" i="3"/>
  <c r="I203" i="3"/>
  <c r="L203" i="3"/>
  <c r="AA203" i="3"/>
  <c r="Y203" i="3"/>
  <c r="H202" i="3"/>
  <c r="I202" i="3"/>
  <c r="AA202" i="3"/>
  <c r="Y202" i="3"/>
  <c r="H201" i="3"/>
  <c r="I201" i="3"/>
  <c r="AA201" i="3"/>
  <c r="Y201" i="3"/>
  <c r="H200" i="3"/>
  <c r="I200" i="3"/>
  <c r="AA200" i="3"/>
  <c r="Y200" i="3"/>
  <c r="H199" i="3"/>
  <c r="I199" i="3"/>
  <c r="L199" i="3"/>
  <c r="AA199" i="3"/>
  <c r="Y199" i="3"/>
  <c r="H198" i="3"/>
  <c r="I198" i="3"/>
  <c r="L198" i="3"/>
  <c r="AA198" i="3"/>
  <c r="Y198" i="3"/>
  <c r="H196" i="3"/>
  <c r="I196" i="3"/>
  <c r="L196" i="3"/>
  <c r="AA196" i="3"/>
  <c r="Y196" i="3"/>
  <c r="I197" i="3"/>
  <c r="L197" i="3"/>
  <c r="AA197" i="3"/>
  <c r="Y197" i="3"/>
  <c r="H195" i="3"/>
  <c r="I195" i="3"/>
  <c r="L195" i="3"/>
  <c r="AA195" i="3"/>
  <c r="Y195" i="3"/>
  <c r="H194" i="3"/>
  <c r="I194" i="3"/>
  <c r="L194" i="3"/>
  <c r="AA194" i="3"/>
  <c r="Y194" i="3"/>
  <c r="H193" i="3"/>
  <c r="I193" i="3"/>
  <c r="L193" i="3"/>
  <c r="AA193" i="3"/>
  <c r="Y193" i="3"/>
  <c r="H192" i="3"/>
  <c r="I192" i="3"/>
  <c r="L192" i="3"/>
  <c r="AA192" i="3"/>
  <c r="Y192" i="3"/>
  <c r="H191" i="3"/>
  <c r="I191" i="3"/>
  <c r="L191" i="3"/>
  <c r="AA191" i="3"/>
  <c r="Y191" i="3"/>
  <c r="H190" i="3"/>
  <c r="I190" i="3"/>
  <c r="L190" i="3"/>
  <c r="AA190" i="3"/>
  <c r="Y190" i="3"/>
  <c r="H189" i="3"/>
  <c r="I189" i="3"/>
  <c r="L189" i="3"/>
  <c r="AA189" i="3"/>
  <c r="Y189" i="3"/>
  <c r="AA188" i="3"/>
  <c r="Y188" i="3"/>
  <c r="H187" i="3"/>
  <c r="I187" i="3"/>
  <c r="L187" i="3"/>
  <c r="AA187" i="3"/>
  <c r="Y187" i="3"/>
  <c r="H186" i="3"/>
  <c r="I186" i="3"/>
  <c r="L186" i="3"/>
  <c r="AA186" i="3"/>
  <c r="Y186" i="3"/>
  <c r="I185" i="3"/>
  <c r="L185" i="3"/>
  <c r="AA185" i="3"/>
  <c r="Y185" i="3"/>
  <c r="H184" i="3"/>
  <c r="I184" i="3"/>
  <c r="L184" i="3"/>
  <c r="AA184" i="3"/>
  <c r="Y184" i="3"/>
  <c r="I182" i="3"/>
  <c r="L182" i="3"/>
  <c r="AA182" i="3"/>
  <c r="Y182" i="3"/>
  <c r="I183" i="3"/>
  <c r="L183" i="3"/>
  <c r="AA183" i="3"/>
  <c r="Y183" i="3"/>
  <c r="H181" i="3"/>
  <c r="I181" i="3"/>
  <c r="AA181" i="3"/>
  <c r="Y181" i="3"/>
  <c r="H180" i="3"/>
  <c r="I180" i="3"/>
  <c r="L180" i="3"/>
  <c r="AA180" i="3"/>
  <c r="Y180" i="3"/>
  <c r="H179" i="3"/>
  <c r="I179" i="3"/>
  <c r="L179" i="3"/>
  <c r="AA179" i="3"/>
  <c r="Y179" i="3"/>
  <c r="H178" i="3"/>
  <c r="I178" i="3"/>
  <c r="L178" i="3"/>
  <c r="AA178" i="3"/>
  <c r="Y178" i="3"/>
  <c r="H177" i="3"/>
  <c r="I177" i="3"/>
  <c r="L177" i="3"/>
  <c r="AA177" i="3"/>
  <c r="Y177" i="3"/>
  <c r="H176" i="3"/>
  <c r="I176" i="3"/>
  <c r="L176" i="3"/>
  <c r="AA176" i="3"/>
  <c r="Y176" i="3"/>
  <c r="H175" i="3"/>
  <c r="I175" i="3"/>
  <c r="L175" i="3"/>
  <c r="AA175" i="3"/>
  <c r="H174" i="3"/>
  <c r="I174" i="3"/>
  <c r="L174" i="3"/>
  <c r="AA174" i="3"/>
  <c r="Y174" i="3"/>
  <c r="H173" i="3"/>
  <c r="I173" i="3"/>
  <c r="L173" i="3"/>
  <c r="AA173" i="3"/>
  <c r="Y173" i="3"/>
  <c r="H172" i="3"/>
  <c r="I172" i="3"/>
  <c r="L172" i="3"/>
  <c r="AA172" i="3"/>
  <c r="Y172" i="3"/>
  <c r="H170" i="3"/>
  <c r="I170" i="3"/>
  <c r="L170" i="3"/>
  <c r="AA170" i="3"/>
  <c r="Y170" i="3"/>
  <c r="I171" i="3"/>
  <c r="L171" i="3"/>
  <c r="AA171" i="3"/>
  <c r="Y171" i="3"/>
  <c r="H168" i="3"/>
  <c r="I168" i="3"/>
  <c r="L168" i="3"/>
  <c r="AA168" i="3"/>
  <c r="Y168" i="3"/>
  <c r="H167" i="3"/>
  <c r="I167" i="3"/>
  <c r="L167" i="3"/>
  <c r="AA167" i="3"/>
  <c r="Y167" i="3"/>
  <c r="H166" i="3"/>
  <c r="I166" i="3"/>
  <c r="L166" i="3"/>
  <c r="AA166" i="3"/>
  <c r="Y166" i="3"/>
  <c r="I164" i="3"/>
  <c r="AA164" i="3"/>
  <c r="Y164" i="3"/>
  <c r="I165" i="3"/>
  <c r="AA165" i="3"/>
  <c r="Y165" i="3"/>
  <c r="H160" i="3"/>
  <c r="I160" i="3"/>
  <c r="AA160" i="3"/>
  <c r="Y160" i="3"/>
  <c r="H159" i="3"/>
  <c r="I159" i="3"/>
  <c r="AA159" i="3"/>
  <c r="Y159" i="3"/>
  <c r="H158" i="3"/>
  <c r="I158" i="3"/>
  <c r="AA158" i="3"/>
  <c r="Y158" i="3"/>
  <c r="H157" i="3"/>
  <c r="I157" i="3"/>
  <c r="AA157" i="3"/>
  <c r="Y157" i="3"/>
  <c r="H156" i="3"/>
  <c r="I156" i="3"/>
  <c r="AA156" i="3"/>
  <c r="Y156" i="3"/>
  <c r="H155" i="3"/>
  <c r="I155" i="3"/>
  <c r="L155" i="3"/>
  <c r="AA155" i="3"/>
  <c r="Y155" i="3"/>
  <c r="H153" i="3"/>
  <c r="I153" i="3"/>
  <c r="L153" i="3"/>
  <c r="AA153" i="3"/>
  <c r="Y153" i="3"/>
  <c r="I154" i="3"/>
  <c r="L154" i="3"/>
  <c r="AA154" i="3"/>
  <c r="Y154" i="3"/>
  <c r="H152" i="3"/>
  <c r="I152" i="3"/>
  <c r="AA152" i="3"/>
  <c r="Y152" i="3"/>
  <c r="H151" i="3"/>
  <c r="I151" i="3"/>
  <c r="L151" i="3"/>
  <c r="AA151" i="3"/>
  <c r="Y151" i="3"/>
  <c r="H150" i="3"/>
  <c r="I150" i="3"/>
  <c r="AA150" i="3"/>
  <c r="Y150" i="3"/>
  <c r="H149" i="3"/>
  <c r="I149" i="3"/>
  <c r="AA149" i="3"/>
  <c r="Y149" i="3"/>
  <c r="H148" i="3"/>
  <c r="I148" i="3"/>
  <c r="L148" i="3"/>
  <c r="AA148" i="3"/>
  <c r="Y148" i="3"/>
  <c r="H147" i="3"/>
  <c r="I147" i="3"/>
  <c r="AA147" i="3"/>
  <c r="Y147" i="3"/>
  <c r="H146" i="3"/>
  <c r="I146" i="3"/>
  <c r="L146" i="3"/>
  <c r="AA146" i="3"/>
  <c r="Y146" i="3"/>
  <c r="H145" i="3"/>
  <c r="I145" i="3"/>
  <c r="L145" i="3"/>
  <c r="AA145" i="3"/>
  <c r="Y145" i="3"/>
  <c r="H144" i="3"/>
  <c r="I144" i="3"/>
  <c r="L144" i="3"/>
  <c r="AA144" i="3"/>
  <c r="Y144" i="3"/>
  <c r="H143" i="3"/>
  <c r="I143" i="3"/>
  <c r="L143" i="3"/>
  <c r="AA143" i="3"/>
  <c r="Y143" i="3"/>
  <c r="H142" i="3"/>
  <c r="I142" i="3"/>
  <c r="L142" i="3"/>
  <c r="AA142" i="3"/>
  <c r="Y142" i="3"/>
  <c r="H141" i="3"/>
  <c r="I141" i="3"/>
  <c r="AA141" i="3"/>
  <c r="Y141" i="3"/>
  <c r="H140" i="3"/>
  <c r="I140" i="3"/>
  <c r="L140" i="3"/>
  <c r="AA140" i="3"/>
  <c r="Y140" i="3"/>
  <c r="H139" i="3"/>
  <c r="I139" i="3"/>
  <c r="AA139" i="3"/>
  <c r="Y139" i="3"/>
  <c r="H138" i="3"/>
  <c r="I138" i="3"/>
  <c r="L138" i="3"/>
  <c r="AA138" i="3"/>
  <c r="H137" i="3"/>
  <c r="I137" i="3"/>
  <c r="AA137" i="3"/>
  <c r="Y137" i="3"/>
  <c r="H136" i="3"/>
  <c r="I136" i="3"/>
  <c r="L136" i="3"/>
  <c r="AA136" i="3"/>
  <c r="Y136" i="3"/>
  <c r="H135" i="3"/>
  <c r="I135" i="3"/>
  <c r="L135" i="3"/>
  <c r="AA135" i="3"/>
  <c r="Y135" i="3"/>
  <c r="H134" i="3"/>
  <c r="I134" i="3"/>
  <c r="L134" i="3"/>
  <c r="AA134" i="3"/>
  <c r="Y134" i="3"/>
  <c r="H132" i="3"/>
  <c r="I132" i="3"/>
  <c r="AA132" i="3"/>
  <c r="Y132" i="3"/>
  <c r="AA133" i="3"/>
  <c r="Y133" i="3"/>
  <c r="H131" i="3"/>
  <c r="I131" i="3"/>
  <c r="L131" i="3"/>
  <c r="AA131" i="3"/>
  <c r="Y131" i="3"/>
  <c r="H130" i="3"/>
  <c r="I130" i="3"/>
  <c r="L130" i="3"/>
  <c r="AA130" i="3"/>
  <c r="Y130" i="3"/>
  <c r="H129" i="3"/>
  <c r="I129" i="3"/>
  <c r="AA129" i="3"/>
  <c r="Y129" i="3"/>
  <c r="H128" i="3"/>
  <c r="I128" i="3"/>
  <c r="L128" i="3"/>
  <c r="AA128" i="3"/>
  <c r="Y128" i="3"/>
  <c r="H127" i="3"/>
  <c r="I127" i="3"/>
  <c r="L127" i="3"/>
  <c r="AA127" i="3"/>
  <c r="Y127" i="3"/>
  <c r="H126" i="3"/>
  <c r="I126" i="3"/>
  <c r="AA126" i="3"/>
  <c r="Y126" i="3"/>
  <c r="H125" i="3"/>
  <c r="I125" i="3"/>
  <c r="AA125" i="3"/>
  <c r="Y125" i="3"/>
  <c r="H124" i="3"/>
  <c r="I124" i="3"/>
  <c r="L124" i="3"/>
  <c r="AA124" i="3"/>
  <c r="Y124" i="3"/>
  <c r="H123" i="3"/>
  <c r="I123" i="3"/>
  <c r="L123" i="3"/>
  <c r="AA123" i="3"/>
  <c r="Y123" i="3"/>
  <c r="H122" i="3"/>
  <c r="I122" i="3"/>
  <c r="L122" i="3"/>
  <c r="AA122" i="3"/>
  <c r="Y122" i="3"/>
  <c r="H121" i="3"/>
  <c r="I121" i="3"/>
  <c r="L121" i="3"/>
  <c r="AA121" i="3"/>
  <c r="Y121" i="3"/>
  <c r="AQ120" i="3"/>
  <c r="AT120" i="3"/>
  <c r="AW120" i="3"/>
  <c r="AZ120" i="3"/>
  <c r="BC120" i="3"/>
  <c r="BF120" i="3"/>
  <c r="BI120" i="3"/>
  <c r="H119" i="3"/>
  <c r="I119" i="3"/>
  <c r="AA119" i="3"/>
  <c r="Y119" i="3"/>
  <c r="H118" i="3"/>
  <c r="I118" i="3"/>
  <c r="L118" i="3"/>
  <c r="AA118" i="3"/>
  <c r="Y118" i="3"/>
  <c r="H117" i="3"/>
  <c r="I117" i="3"/>
  <c r="L117" i="3"/>
  <c r="AA117" i="3"/>
  <c r="Y117" i="3"/>
  <c r="H116" i="3"/>
  <c r="I116" i="3"/>
  <c r="L116" i="3"/>
  <c r="AA116" i="3"/>
  <c r="Y116" i="3"/>
  <c r="H115" i="3"/>
  <c r="I115" i="3"/>
  <c r="L115" i="3"/>
  <c r="AA115" i="3"/>
  <c r="Y115" i="3"/>
  <c r="H114" i="3"/>
  <c r="I114" i="3"/>
  <c r="AA114" i="3"/>
  <c r="Y114" i="3"/>
  <c r="H113" i="3"/>
  <c r="I113" i="3"/>
  <c r="AA113" i="3"/>
  <c r="Y113" i="3"/>
  <c r="H112" i="3"/>
  <c r="I112" i="3"/>
  <c r="L112" i="3"/>
  <c r="AA112" i="3"/>
  <c r="Y112" i="3"/>
  <c r="H111" i="3"/>
  <c r="I111" i="3"/>
  <c r="L111" i="3"/>
  <c r="AA111" i="3"/>
  <c r="Y111" i="3"/>
  <c r="H110" i="3"/>
  <c r="I110" i="3"/>
  <c r="AA110" i="3"/>
  <c r="Y110" i="3"/>
  <c r="H109" i="3"/>
  <c r="I109" i="3"/>
  <c r="L109" i="3"/>
  <c r="AA109" i="3"/>
  <c r="Y109" i="3"/>
  <c r="H108" i="3"/>
  <c r="I108" i="3"/>
  <c r="AA108" i="3"/>
  <c r="Y108" i="3"/>
  <c r="H107" i="3"/>
  <c r="I107" i="3"/>
  <c r="L107" i="3"/>
  <c r="AA107" i="3"/>
  <c r="Y107" i="3"/>
  <c r="H106" i="3"/>
  <c r="I106" i="3"/>
  <c r="L106" i="3"/>
  <c r="AA106" i="3"/>
  <c r="Y106" i="3"/>
  <c r="H105" i="3"/>
  <c r="I105" i="3"/>
  <c r="L105" i="3"/>
  <c r="AA105" i="3"/>
  <c r="Y105" i="3"/>
  <c r="I104" i="3"/>
  <c r="L104" i="3"/>
  <c r="AA104" i="3"/>
  <c r="Y104" i="3"/>
  <c r="H103" i="3"/>
  <c r="I103" i="3"/>
  <c r="L103" i="3"/>
  <c r="AA103" i="3"/>
  <c r="Y103" i="3"/>
  <c r="H101" i="3"/>
  <c r="I101" i="3"/>
  <c r="AA101" i="3"/>
  <c r="Y101" i="3"/>
  <c r="I102" i="3"/>
  <c r="L102" i="3"/>
  <c r="AA102" i="3"/>
  <c r="Y102" i="3"/>
  <c r="H100" i="3"/>
  <c r="I100" i="3"/>
  <c r="AA100" i="3"/>
  <c r="Y100" i="3"/>
  <c r="H99" i="3"/>
  <c r="I99" i="3"/>
  <c r="L99" i="3"/>
  <c r="AA99" i="3"/>
  <c r="Y99" i="3"/>
  <c r="AA98" i="3"/>
  <c r="Y98" i="3"/>
  <c r="H97" i="3"/>
  <c r="I97" i="3"/>
  <c r="L97" i="3"/>
  <c r="AA97" i="3"/>
  <c r="Y97" i="3"/>
  <c r="H96" i="3"/>
  <c r="I96" i="3"/>
  <c r="L96" i="3"/>
  <c r="AA96" i="3"/>
  <c r="Y96" i="3"/>
  <c r="I95" i="3"/>
  <c r="L95" i="3"/>
  <c r="AA95" i="3"/>
  <c r="H94" i="3"/>
  <c r="I94" i="3"/>
  <c r="L94" i="3"/>
  <c r="AA94" i="3"/>
  <c r="Y94" i="3"/>
  <c r="H93" i="3"/>
  <c r="I93" i="3"/>
  <c r="AA93" i="3"/>
  <c r="Y93" i="3"/>
  <c r="I90" i="3"/>
  <c r="L90" i="3"/>
  <c r="AA90" i="3"/>
  <c r="Y90" i="3"/>
  <c r="I91" i="3"/>
  <c r="L91" i="3"/>
  <c r="AA91" i="3"/>
  <c r="Y91" i="3"/>
  <c r="I92" i="3"/>
  <c r="L92" i="3"/>
  <c r="AA92" i="3"/>
  <c r="Y92" i="3"/>
  <c r="H89" i="3"/>
  <c r="I89" i="3"/>
  <c r="AA89" i="3"/>
  <c r="Y89" i="3"/>
  <c r="H88" i="3"/>
  <c r="I88" i="3"/>
  <c r="AA88" i="3"/>
  <c r="Y88" i="3"/>
  <c r="H87" i="3"/>
  <c r="I87" i="3"/>
  <c r="AA87" i="3"/>
  <c r="Y87" i="3"/>
  <c r="H86" i="3"/>
  <c r="I86" i="3"/>
  <c r="AA86" i="3"/>
  <c r="Y86" i="3"/>
  <c r="H85" i="3"/>
  <c r="I85" i="3"/>
  <c r="L85" i="3"/>
  <c r="AA85" i="3"/>
  <c r="Y85" i="3"/>
  <c r="H84" i="3"/>
  <c r="I84" i="3"/>
  <c r="AA84" i="3"/>
  <c r="Y84" i="3"/>
  <c r="H83" i="3"/>
  <c r="I83" i="3"/>
  <c r="AA83" i="3"/>
  <c r="Y83" i="3"/>
  <c r="H82" i="3"/>
  <c r="I82" i="3"/>
  <c r="AA82" i="3"/>
  <c r="Y82" i="3"/>
  <c r="H81" i="3"/>
  <c r="I81" i="3"/>
  <c r="L81" i="3"/>
  <c r="AA81" i="3"/>
  <c r="Y81" i="3"/>
  <c r="H80" i="3"/>
  <c r="I80" i="3"/>
  <c r="L80" i="3"/>
  <c r="AA80" i="3"/>
  <c r="Y80" i="3"/>
  <c r="H79" i="3"/>
  <c r="I79" i="3"/>
  <c r="L79" i="3"/>
  <c r="AA79" i="3"/>
  <c r="Y79" i="3"/>
  <c r="H78" i="3"/>
  <c r="I78" i="3"/>
  <c r="AA78" i="3"/>
  <c r="Y78" i="3"/>
  <c r="H77" i="3"/>
  <c r="I77" i="3"/>
  <c r="AA77" i="3"/>
  <c r="Y77" i="3"/>
  <c r="H76" i="3"/>
  <c r="I76" i="3"/>
  <c r="L76" i="3"/>
  <c r="AA76" i="3"/>
  <c r="Y76" i="3"/>
  <c r="L75" i="3"/>
  <c r="AA75" i="3"/>
  <c r="Y75" i="3"/>
  <c r="H74" i="3"/>
  <c r="I74" i="3"/>
  <c r="L74" i="3"/>
  <c r="AA74" i="3"/>
  <c r="Y74" i="3"/>
  <c r="H73" i="3"/>
  <c r="I73" i="3"/>
  <c r="AA73" i="3"/>
  <c r="Y73" i="3"/>
  <c r="H72" i="3"/>
  <c r="I72" i="3"/>
  <c r="AA72" i="3"/>
  <c r="Y72" i="3"/>
  <c r="H71" i="3"/>
  <c r="I71" i="3"/>
  <c r="L71" i="3"/>
  <c r="AA71" i="3"/>
  <c r="Y71" i="3"/>
  <c r="H70" i="3"/>
  <c r="I70" i="3"/>
  <c r="AA70" i="3"/>
  <c r="Y70" i="3"/>
  <c r="H69" i="3"/>
  <c r="I69" i="3"/>
  <c r="AA69" i="3"/>
  <c r="Y69" i="3"/>
  <c r="H68" i="3"/>
  <c r="I68" i="3"/>
  <c r="AA68" i="3"/>
  <c r="Y68" i="3"/>
  <c r="H67" i="3"/>
  <c r="I67" i="3"/>
  <c r="AA67" i="3"/>
  <c r="Y67" i="3"/>
  <c r="BG66" i="3"/>
  <c r="H66" i="3"/>
  <c r="I66" i="3"/>
  <c r="AA66" i="3"/>
  <c r="H65" i="3"/>
  <c r="I65" i="3"/>
  <c r="L65" i="3"/>
  <c r="AA65" i="3"/>
  <c r="Y65" i="3"/>
  <c r="H64" i="3"/>
  <c r="I64" i="3"/>
  <c r="L64" i="3"/>
  <c r="AA64" i="3"/>
  <c r="Y64" i="3"/>
  <c r="H63" i="3"/>
  <c r="I63" i="3"/>
  <c r="AA63" i="3"/>
  <c r="Y63" i="3"/>
  <c r="H62" i="3"/>
  <c r="I62" i="3"/>
  <c r="AA62" i="3"/>
  <c r="Y62" i="3"/>
  <c r="H61" i="3"/>
  <c r="I61" i="3"/>
  <c r="AA61" i="3"/>
  <c r="Y61" i="3"/>
  <c r="H60" i="3"/>
  <c r="I60" i="3"/>
  <c r="AA60" i="3"/>
  <c r="Y60" i="3"/>
  <c r="H59" i="3"/>
  <c r="I59" i="3"/>
  <c r="AA59" i="3"/>
  <c r="Y59" i="3"/>
  <c r="H58" i="3"/>
  <c r="I58" i="3"/>
  <c r="L58" i="3"/>
  <c r="AA58" i="3"/>
  <c r="Y58" i="3"/>
  <c r="H57" i="3"/>
  <c r="I57" i="3"/>
  <c r="AA57" i="3"/>
  <c r="Y57" i="3"/>
  <c r="H56" i="3"/>
  <c r="I56" i="3"/>
  <c r="AA56" i="3"/>
  <c r="Y56" i="3"/>
  <c r="H55" i="3"/>
  <c r="I55" i="3"/>
  <c r="AA55" i="3"/>
  <c r="Y55" i="3"/>
  <c r="H54" i="3"/>
  <c r="I54" i="3"/>
  <c r="AA54" i="3"/>
  <c r="Y54" i="3"/>
  <c r="H53" i="3"/>
  <c r="I53" i="3"/>
  <c r="AA53" i="3"/>
  <c r="Y53" i="3"/>
  <c r="H52" i="3"/>
  <c r="I52" i="3"/>
  <c r="L52" i="3"/>
  <c r="AA52" i="3"/>
  <c r="Y52" i="3"/>
  <c r="H51" i="3"/>
  <c r="I51" i="3"/>
  <c r="AA51" i="3"/>
  <c r="Y51" i="3"/>
  <c r="H49" i="3"/>
  <c r="I49" i="3"/>
  <c r="L49" i="3"/>
  <c r="AA49" i="3"/>
  <c r="Y49" i="3"/>
  <c r="I50" i="3"/>
  <c r="L50" i="3"/>
  <c r="AA50" i="3"/>
  <c r="Y50" i="3"/>
  <c r="H47" i="3"/>
  <c r="I47" i="3"/>
  <c r="L47" i="3"/>
  <c r="AA47" i="3"/>
  <c r="Y47" i="3"/>
  <c r="I48" i="3"/>
  <c r="L48" i="3"/>
  <c r="AA48" i="3"/>
  <c r="Y48" i="3"/>
  <c r="H45" i="3"/>
  <c r="I45" i="3"/>
  <c r="L45" i="3"/>
  <c r="AA45" i="3"/>
  <c r="Y45" i="3"/>
  <c r="I46" i="3"/>
  <c r="L46" i="3"/>
  <c r="AA46" i="3"/>
  <c r="Y46" i="3"/>
  <c r="H44" i="3"/>
  <c r="I44" i="3"/>
  <c r="AA44" i="3"/>
  <c r="Y44" i="3"/>
  <c r="H43" i="3"/>
  <c r="I43" i="3"/>
  <c r="L43" i="3"/>
  <c r="AA43" i="3"/>
  <c r="Y43" i="3"/>
  <c r="H42" i="3"/>
  <c r="I42" i="3"/>
  <c r="L42" i="3"/>
  <c r="AA42" i="3"/>
  <c r="Y42" i="3"/>
  <c r="H41" i="3"/>
  <c r="I41" i="3"/>
  <c r="L41" i="3"/>
  <c r="AA41" i="3"/>
  <c r="Y41" i="3"/>
  <c r="H40" i="3"/>
  <c r="I40" i="3"/>
  <c r="L40" i="3"/>
  <c r="AA40" i="3"/>
  <c r="I38" i="3"/>
  <c r="L38" i="3"/>
  <c r="AA38" i="3"/>
  <c r="Y38" i="3"/>
  <c r="I39" i="3"/>
  <c r="L39" i="3"/>
  <c r="AA39" i="3"/>
  <c r="Y39" i="3"/>
  <c r="H37" i="3"/>
  <c r="I37" i="3"/>
  <c r="L37" i="3"/>
  <c r="AA37" i="3"/>
  <c r="Y37" i="3"/>
  <c r="H36" i="3"/>
  <c r="I36" i="3"/>
  <c r="AA36" i="3"/>
  <c r="Y36" i="3"/>
  <c r="H35" i="3"/>
  <c r="I35" i="3"/>
  <c r="L35" i="3"/>
  <c r="AA35" i="3"/>
  <c r="Y35" i="3"/>
  <c r="H34" i="3"/>
  <c r="I34" i="3"/>
  <c r="L34" i="3"/>
  <c r="AA34" i="3"/>
  <c r="Y34" i="3"/>
  <c r="H33" i="3"/>
  <c r="I33" i="3"/>
  <c r="L33" i="3"/>
  <c r="AA33" i="3"/>
  <c r="Y33" i="3"/>
  <c r="H32" i="3"/>
  <c r="I32" i="3"/>
  <c r="L32" i="3"/>
  <c r="AA32" i="3"/>
  <c r="Y32" i="3"/>
  <c r="AA31" i="3"/>
  <c r="Y31" i="3"/>
  <c r="AA30" i="3"/>
  <c r="Y30" i="3"/>
  <c r="H29" i="3"/>
  <c r="I29" i="3"/>
  <c r="AA29" i="3"/>
  <c r="Y29" i="3"/>
  <c r="H28" i="3"/>
  <c r="I28" i="3"/>
  <c r="L28" i="3"/>
  <c r="AA28" i="3"/>
  <c r="Y28" i="3"/>
  <c r="H27" i="3"/>
  <c r="I27" i="3"/>
  <c r="L27" i="3"/>
  <c r="AA27" i="3"/>
  <c r="Y27" i="3"/>
  <c r="H26" i="3"/>
  <c r="I26" i="3"/>
  <c r="L26" i="3"/>
  <c r="AA26" i="3"/>
  <c r="Y26" i="3"/>
  <c r="H25" i="3"/>
  <c r="I25" i="3"/>
  <c r="L25" i="3"/>
  <c r="AA25" i="3"/>
  <c r="Y25" i="3"/>
  <c r="H24" i="3"/>
  <c r="I24" i="3"/>
  <c r="AA24" i="3"/>
  <c r="Y24" i="3"/>
  <c r="H23" i="3"/>
  <c r="I23" i="3"/>
  <c r="AA23" i="3"/>
  <c r="Y23" i="3"/>
  <c r="I22" i="3"/>
  <c r="L22" i="3"/>
  <c r="AA22" i="3"/>
  <c r="Y22" i="3"/>
  <c r="H21" i="3"/>
  <c r="I21" i="3"/>
  <c r="AA21" i="3"/>
  <c r="Y21" i="3"/>
  <c r="H20" i="3"/>
  <c r="I20" i="3"/>
  <c r="L20" i="3"/>
  <c r="AA20" i="3"/>
  <c r="Y20" i="3"/>
  <c r="H19" i="3"/>
  <c r="I19" i="3"/>
  <c r="L19" i="3"/>
  <c r="AA19" i="3"/>
  <c r="Y19" i="3"/>
  <c r="I18" i="3"/>
  <c r="L18" i="3"/>
  <c r="AA18" i="3"/>
  <c r="Y18" i="3"/>
  <c r="H15" i="3"/>
  <c r="I15" i="3"/>
  <c r="AA15" i="3"/>
  <c r="Y15" i="3"/>
  <c r="H14" i="3"/>
  <c r="I14" i="3"/>
  <c r="L14" i="3"/>
  <c r="AA14" i="3"/>
  <c r="Y14" i="3"/>
  <c r="H13" i="3"/>
  <c r="I13" i="3"/>
  <c r="L13" i="3"/>
  <c r="AA13" i="3"/>
  <c r="Y13" i="3"/>
  <c r="H12" i="3"/>
  <c r="I12" i="3"/>
  <c r="L12" i="3"/>
  <c r="AA12" i="3"/>
  <c r="Y12" i="3"/>
  <c r="H11" i="3"/>
  <c r="I11" i="3"/>
  <c r="L11" i="3"/>
  <c r="AA11" i="3"/>
  <c r="Y11" i="3"/>
  <c r="H10" i="3"/>
  <c r="I10" i="3"/>
  <c r="L10" i="3"/>
  <c r="AA10" i="3"/>
  <c r="Y10" i="3"/>
  <c r="H9" i="3"/>
  <c r="I9" i="3"/>
  <c r="AA9" i="3"/>
  <c r="Y9" i="3"/>
  <c r="H8" i="3"/>
  <c r="I8" i="3"/>
  <c r="L8" i="3"/>
  <c r="AA8" i="3"/>
  <c r="Y8" i="3"/>
  <c r="H7" i="3"/>
  <c r="I7" i="3"/>
  <c r="L7" i="3"/>
  <c r="AA7" i="3"/>
  <c r="Y7" i="3"/>
  <c r="H6" i="3"/>
  <c r="I6" i="3"/>
  <c r="L6" i="3"/>
  <c r="AA6" i="3"/>
  <c r="Y6" i="3"/>
  <c r="H5" i="3"/>
  <c r="I5" i="3"/>
  <c r="AA5" i="3"/>
  <c r="Y5" i="3"/>
  <c r="BE238" i="3"/>
  <c r="BE52" i="3"/>
  <c r="BE138" i="3"/>
  <c r="BE235" i="3"/>
  <c r="BE99" i="3"/>
  <c r="BE66" i="3"/>
  <c r="BD66" i="3"/>
  <c r="BB125" i="3"/>
  <c r="BB126" i="3"/>
  <c r="BB101" i="3"/>
  <c r="BB223" i="3"/>
  <c r="BB175" i="3"/>
  <c r="BA66" i="3"/>
  <c r="AY81" i="3"/>
  <c r="AY102" i="3"/>
  <c r="AY223" i="3"/>
  <c r="AX66" i="3"/>
  <c r="AV145" i="3"/>
  <c r="AV102" i="3"/>
  <c r="AV81" i="3"/>
  <c r="AU66" i="3"/>
  <c r="J78" i="3"/>
  <c r="AS221" i="3"/>
  <c r="AS137" i="3"/>
  <c r="AS223" i="3"/>
  <c r="AS222" i="3"/>
  <c r="AS274" i="3"/>
  <c r="AS19" i="3"/>
  <c r="AR66" i="3"/>
  <c r="H221" i="3"/>
  <c r="I120" i="3"/>
  <c r="L120" i="3"/>
  <c r="AA120" i="3"/>
  <c r="Y120" i="3"/>
  <c r="AP175" i="3"/>
  <c r="AP66" i="3"/>
  <c r="AO66" i="3"/>
  <c r="AM141" i="3"/>
  <c r="AM89" i="3"/>
  <c r="AM138" i="3"/>
  <c r="J325" i="3"/>
  <c r="J323" i="3"/>
  <c r="J322" i="3"/>
  <c r="J320" i="3"/>
  <c r="J317" i="3"/>
  <c r="J316" i="3"/>
  <c r="J315" i="3"/>
  <c r="J307" i="3"/>
  <c r="J299" i="3"/>
  <c r="J296" i="3"/>
  <c r="J294" i="3"/>
  <c r="J291" i="3"/>
  <c r="J290" i="3"/>
  <c r="J285" i="3"/>
  <c r="J283" i="3"/>
  <c r="J280" i="3"/>
  <c r="J279" i="3"/>
  <c r="J278" i="3"/>
  <c r="L278" i="3"/>
  <c r="J277" i="3"/>
  <c r="X275" i="3"/>
  <c r="Y275" i="3"/>
  <c r="J269" i="3"/>
  <c r="T261" i="3"/>
  <c r="Y261" i="3"/>
  <c r="AG258" i="3"/>
  <c r="J256" i="3"/>
  <c r="AG255" i="3"/>
  <c r="J249" i="3"/>
  <c r="AJ249" i="3"/>
  <c r="J247" i="3"/>
  <c r="J240" i="3"/>
  <c r="J238" i="3"/>
  <c r="J237" i="3"/>
  <c r="J235" i="3"/>
  <c r="J234" i="3"/>
  <c r="J228" i="3"/>
  <c r="L228" i="3"/>
  <c r="J227" i="3"/>
  <c r="J223" i="3"/>
  <c r="J215" i="3"/>
  <c r="X213" i="3"/>
  <c r="Y213" i="3"/>
  <c r="J210" i="3"/>
  <c r="J208" i="3"/>
  <c r="J202" i="3"/>
  <c r="J201" i="3"/>
  <c r="J200" i="3"/>
  <c r="AG195" i="3"/>
  <c r="J181" i="3"/>
  <c r="X175" i="3"/>
  <c r="Y175" i="3"/>
  <c r="AJ175" i="3"/>
  <c r="J165" i="3"/>
  <c r="J163" i="3"/>
  <c r="J160" i="3"/>
  <c r="J159" i="3"/>
  <c r="J158" i="3"/>
  <c r="J157" i="3"/>
  <c r="J156" i="3"/>
  <c r="J152" i="3"/>
  <c r="J150" i="3"/>
  <c r="J149" i="3"/>
  <c r="J147" i="3"/>
  <c r="J141" i="3"/>
  <c r="J139" i="3"/>
  <c r="X138" i="3"/>
  <c r="Y138" i="3"/>
  <c r="J137" i="3"/>
  <c r="J132" i="3"/>
  <c r="J129" i="3"/>
  <c r="J126" i="3"/>
  <c r="J125" i="3"/>
  <c r="J119" i="3"/>
  <c r="J114" i="3"/>
  <c r="J113" i="3"/>
  <c r="J110" i="3"/>
  <c r="J108" i="3"/>
  <c r="J101" i="3"/>
  <c r="AG101" i="3"/>
  <c r="J100" i="3"/>
  <c r="N95" i="3"/>
  <c r="Y95" i="3"/>
  <c r="J93" i="3"/>
  <c r="J89" i="3"/>
  <c r="J88" i="3"/>
  <c r="J87" i="3"/>
  <c r="J86" i="3"/>
  <c r="J84" i="3"/>
  <c r="J83" i="3"/>
  <c r="J82" i="3"/>
  <c r="J77" i="3"/>
  <c r="J73" i="3"/>
  <c r="J72" i="3"/>
  <c r="J70" i="3"/>
  <c r="J69" i="3"/>
  <c r="J68" i="3"/>
  <c r="J67" i="3"/>
  <c r="J66" i="3"/>
  <c r="X66" i="3"/>
  <c r="Y66" i="3"/>
  <c r="J63" i="3"/>
  <c r="J62" i="3"/>
  <c r="J61" i="3"/>
  <c r="J60" i="3"/>
  <c r="J59" i="3"/>
  <c r="J57" i="3"/>
  <c r="J56" i="3"/>
  <c r="J55" i="3"/>
  <c r="J54" i="3"/>
  <c r="J53" i="3"/>
  <c r="AJ53" i="3"/>
  <c r="J51" i="3"/>
  <c r="J44" i="3"/>
  <c r="J36" i="3"/>
  <c r="AJ30" i="3"/>
  <c r="J29" i="3"/>
  <c r="J24" i="3"/>
  <c r="J23" i="3"/>
  <c r="J21" i="3"/>
  <c r="J15" i="3"/>
  <c r="J9" i="3"/>
  <c r="J5" i="3"/>
  <c r="AA161" i="3"/>
  <c r="AA300" i="3"/>
  <c r="AA309" i="3"/>
  <c r="P3" i="3"/>
  <c r="M3" i="3"/>
  <c r="W3" i="3"/>
  <c r="Y300" i="3"/>
  <c r="F211" i="6"/>
  <c r="F2" i="6"/>
  <c r="J250" i="2"/>
  <c r="D19" i="20"/>
  <c r="AH3" i="6"/>
  <c r="AH4" i="6"/>
  <c r="AH5" i="6"/>
  <c r="AH6" i="6"/>
  <c r="AH7" i="6"/>
  <c r="AH8" i="6"/>
  <c r="AH9" i="6"/>
  <c r="AH10" i="6"/>
  <c r="AH11" i="6"/>
  <c r="AH12" i="6"/>
  <c r="AH13" i="6"/>
  <c r="AH14" i="6"/>
  <c r="AH15" i="6"/>
  <c r="AH16" i="6"/>
  <c r="AH2" i="6"/>
  <c r="B323" i="6"/>
  <c r="B324" i="6"/>
  <c r="B325" i="6"/>
  <c r="B326" i="6"/>
  <c r="B327" i="6"/>
  <c r="B328" i="6"/>
  <c r="B329" i="6"/>
  <c r="B330" i="6"/>
  <c r="B331" i="6"/>
  <c r="B332" i="6"/>
  <c r="B333" i="6"/>
  <c r="B334" i="6"/>
  <c r="B335" i="6"/>
  <c r="B336" i="6"/>
  <c r="V4" i="12"/>
  <c r="V5" i="12"/>
  <c r="V6" i="12"/>
  <c r="V7" i="12"/>
  <c r="V8" i="12"/>
  <c r="V9" i="12"/>
  <c r="V10" i="12"/>
  <c r="V11" i="12"/>
  <c r="V12" i="12"/>
  <c r="V13" i="12"/>
  <c r="V14" i="12"/>
  <c r="V15" i="12"/>
  <c r="V16" i="12"/>
  <c r="V17" i="12"/>
  <c r="V18" i="12"/>
  <c r="V19" i="12"/>
  <c r="V20" i="12"/>
  <c r="V21" i="12"/>
  <c r="V22" i="12"/>
  <c r="V23" i="12"/>
  <c r="V24" i="12"/>
  <c r="V25" i="12"/>
  <c r="V26" i="12"/>
  <c r="V27" i="12"/>
  <c r="V28" i="12"/>
  <c r="V29" i="12"/>
  <c r="V30" i="12"/>
  <c r="V31" i="12"/>
  <c r="V32" i="12"/>
  <c r="V33" i="12"/>
  <c r="V34" i="12"/>
  <c r="V35" i="12"/>
  <c r="V36" i="12"/>
  <c r="V37" i="12"/>
  <c r="V38" i="12"/>
  <c r="V39" i="12"/>
  <c r="V40" i="12"/>
  <c r="V41" i="12"/>
  <c r="V42" i="12"/>
  <c r="V43" i="12"/>
  <c r="V44" i="12"/>
  <c r="V45" i="12"/>
  <c r="V46" i="12"/>
  <c r="V47" i="12"/>
  <c r="V48" i="12"/>
  <c r="V49" i="12"/>
  <c r="V50" i="12"/>
  <c r="V51" i="12"/>
  <c r="V52" i="12"/>
  <c r="V53" i="12"/>
  <c r="V54" i="12"/>
  <c r="V55" i="12"/>
  <c r="V56" i="12"/>
  <c r="V57" i="12"/>
  <c r="V58" i="12"/>
  <c r="V59" i="12"/>
  <c r="V60" i="12"/>
  <c r="V61" i="12"/>
  <c r="V62" i="12"/>
  <c r="V63" i="12"/>
  <c r="V64" i="12"/>
  <c r="V65" i="12"/>
  <c r="V66" i="12"/>
  <c r="V67" i="12"/>
  <c r="V68" i="12"/>
  <c r="V69" i="12"/>
  <c r="V70" i="12"/>
  <c r="V71" i="12"/>
  <c r="V72" i="12"/>
  <c r="V73" i="12"/>
  <c r="V74" i="12"/>
  <c r="V75" i="12"/>
  <c r="V76" i="12"/>
  <c r="V77" i="12"/>
  <c r="V78" i="12"/>
  <c r="V79" i="12"/>
  <c r="V80" i="12"/>
  <c r="V81" i="12"/>
  <c r="V82" i="12"/>
  <c r="V83" i="12"/>
  <c r="V84" i="12"/>
  <c r="V85" i="12"/>
  <c r="V86" i="12"/>
  <c r="V87" i="12"/>
  <c r="V88" i="12"/>
  <c r="V89" i="12"/>
  <c r="V90" i="12"/>
  <c r="V91" i="12"/>
  <c r="V92" i="12"/>
  <c r="V93" i="12"/>
  <c r="V94" i="12"/>
  <c r="V95" i="12"/>
  <c r="V96" i="12"/>
  <c r="V97" i="12"/>
  <c r="V98" i="12"/>
  <c r="V99" i="12"/>
  <c r="V100" i="12"/>
  <c r="V101" i="12"/>
  <c r="V102" i="12"/>
  <c r="V103" i="12"/>
  <c r="V104" i="12"/>
  <c r="V105" i="12"/>
  <c r="V106" i="12"/>
  <c r="V107" i="12"/>
  <c r="V108" i="12"/>
  <c r="V109" i="12"/>
  <c r="V110" i="12"/>
  <c r="V111" i="12"/>
  <c r="V112" i="12"/>
  <c r="V113" i="12"/>
  <c r="V114" i="12"/>
  <c r="V115" i="12"/>
  <c r="V116" i="12"/>
  <c r="V117" i="12"/>
  <c r="V118" i="12"/>
  <c r="V119" i="12"/>
  <c r="V120" i="12"/>
  <c r="V121" i="12"/>
  <c r="V122" i="12"/>
  <c r="V123" i="12"/>
  <c r="V124" i="12"/>
  <c r="V125" i="12"/>
  <c r="V126" i="12"/>
  <c r="V127" i="12"/>
  <c r="V128" i="12"/>
  <c r="V129" i="12"/>
  <c r="V130" i="12"/>
  <c r="V131" i="12"/>
  <c r="V132" i="12"/>
  <c r="V133" i="12"/>
  <c r="V134" i="12"/>
  <c r="V135" i="12"/>
  <c r="V136" i="12"/>
  <c r="V137" i="12"/>
  <c r="V138" i="12"/>
  <c r="V139" i="12"/>
  <c r="V140" i="12"/>
  <c r="V141" i="12"/>
  <c r="V142" i="12"/>
  <c r="V143" i="12"/>
  <c r="V144" i="12"/>
  <c r="V145" i="12"/>
  <c r="V146" i="12"/>
  <c r="V147" i="12"/>
  <c r="V148" i="12"/>
  <c r="V149" i="12"/>
  <c r="V150" i="12"/>
  <c r="V151" i="12"/>
  <c r="V152" i="12"/>
  <c r="V153" i="12"/>
  <c r="V154" i="12"/>
  <c r="V155" i="12"/>
  <c r="V156" i="12"/>
  <c r="V157" i="12"/>
  <c r="V158" i="12"/>
  <c r="V159" i="12"/>
  <c r="V160" i="12"/>
  <c r="V161" i="12"/>
  <c r="V162" i="12"/>
  <c r="V163" i="12"/>
  <c r="V164" i="12"/>
  <c r="V165" i="12"/>
  <c r="V166" i="12"/>
  <c r="V167" i="12"/>
  <c r="V168" i="12"/>
  <c r="V169" i="12"/>
  <c r="V170" i="12"/>
  <c r="V171" i="12"/>
  <c r="V172" i="12"/>
  <c r="V173" i="12"/>
  <c r="V174" i="12"/>
  <c r="V175" i="12"/>
  <c r="V176" i="12"/>
  <c r="V177" i="12"/>
  <c r="V178" i="12"/>
  <c r="V179" i="12"/>
  <c r="V180" i="12"/>
  <c r="V181" i="12"/>
  <c r="V182" i="12"/>
  <c r="V183" i="12"/>
  <c r="V184" i="12"/>
  <c r="V185" i="12"/>
  <c r="V186" i="12"/>
  <c r="V187" i="12"/>
  <c r="V188" i="12"/>
  <c r="V189" i="12"/>
  <c r="V190" i="12"/>
  <c r="V191" i="12"/>
  <c r="V192" i="12"/>
  <c r="V193" i="12"/>
  <c r="V194" i="12"/>
  <c r="V195" i="12"/>
  <c r="V196" i="12"/>
  <c r="V197" i="12"/>
  <c r="V198" i="12"/>
  <c r="V199" i="12"/>
  <c r="V200" i="12"/>
  <c r="V201" i="12"/>
  <c r="V202" i="12"/>
  <c r="V203" i="12"/>
  <c r="V204" i="12"/>
  <c r="V205" i="12"/>
  <c r="V206" i="12"/>
  <c r="V207" i="12"/>
  <c r="V208" i="12"/>
  <c r="V209" i="12"/>
  <c r="V210" i="12"/>
  <c r="V211" i="12"/>
  <c r="V212" i="12"/>
  <c r="V213" i="12"/>
  <c r="V214" i="12"/>
  <c r="V215" i="12"/>
  <c r="V216" i="12"/>
  <c r="V217" i="12"/>
  <c r="V218" i="12"/>
  <c r="V219" i="12"/>
  <c r="V220" i="12"/>
  <c r="V221" i="12"/>
  <c r="V222" i="12"/>
  <c r="V223" i="12"/>
  <c r="V224" i="12"/>
  <c r="V225" i="12"/>
  <c r="V226" i="12"/>
  <c r="V227" i="12"/>
  <c r="V228" i="12"/>
  <c r="V229" i="12"/>
  <c r="V230" i="12"/>
  <c r="V231" i="12"/>
  <c r="V232" i="12"/>
  <c r="V233" i="12"/>
  <c r="V234" i="12"/>
  <c r="V235" i="12"/>
  <c r="V236" i="12"/>
  <c r="V237" i="12"/>
  <c r="V238" i="12"/>
  <c r="V239" i="12"/>
  <c r="V240" i="12"/>
  <c r="V241" i="12"/>
  <c r="V242" i="12"/>
  <c r="V243" i="12"/>
  <c r="V244" i="12"/>
  <c r="V245" i="12"/>
  <c r="V246" i="12"/>
  <c r="V247" i="12"/>
  <c r="V248" i="12"/>
  <c r="V249" i="12"/>
  <c r="V250" i="12"/>
  <c r="V251" i="12"/>
  <c r="V252" i="12"/>
  <c r="V253" i="12"/>
  <c r="V254" i="12"/>
  <c r="V255" i="12"/>
  <c r="V256" i="12"/>
  <c r="V257" i="12"/>
  <c r="V258" i="12"/>
  <c r="V259" i="12"/>
  <c r="V260" i="12"/>
  <c r="V261" i="12"/>
  <c r="V262" i="12"/>
  <c r="V263" i="12"/>
  <c r="V264" i="12"/>
  <c r="V265" i="12"/>
  <c r="V266" i="12"/>
  <c r="V267" i="12"/>
  <c r="V268" i="12"/>
  <c r="V269" i="12"/>
  <c r="V270" i="12"/>
  <c r="V271" i="12"/>
  <c r="V272" i="12"/>
  <c r="V273" i="12"/>
  <c r="V274" i="12"/>
  <c r="V275" i="12"/>
  <c r="V276" i="12"/>
  <c r="V277" i="12"/>
  <c r="V278" i="12"/>
  <c r="V279" i="12"/>
  <c r="V280" i="12"/>
  <c r="V281" i="12"/>
  <c r="V282" i="12"/>
  <c r="V283" i="12"/>
  <c r="V284" i="12"/>
  <c r="V285" i="12"/>
  <c r="V286" i="12"/>
  <c r="V287" i="12"/>
  <c r="V288" i="12"/>
  <c r="V289" i="12"/>
  <c r="V290" i="12"/>
  <c r="V291" i="12"/>
  <c r="V292" i="12"/>
  <c r="V293" i="12"/>
  <c r="V294" i="12"/>
  <c r="V295" i="12"/>
  <c r="V296" i="12"/>
  <c r="V297" i="12"/>
  <c r="V298" i="12"/>
  <c r="V3" i="12"/>
  <c r="V3" i="3"/>
  <c r="U3" i="3"/>
  <c r="T3" i="3"/>
  <c r="S3" i="3"/>
  <c r="R3" i="3"/>
  <c r="Q3" i="3"/>
  <c r="O3" i="3"/>
  <c r="N3" i="2"/>
  <c r="O3" i="2"/>
  <c r="P3" i="2"/>
  <c r="Q3" i="2"/>
  <c r="R3" i="2"/>
  <c r="S3" i="2"/>
  <c r="T3" i="2"/>
  <c r="U3" i="2"/>
  <c r="V3" i="2"/>
  <c r="W3" i="2"/>
  <c r="X3" i="2"/>
  <c r="M3" i="2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156" i="8"/>
  <c r="D157" i="8"/>
  <c r="D158" i="8"/>
  <c r="D159" i="8"/>
  <c r="D160" i="8"/>
  <c r="D161" i="8"/>
  <c r="D162" i="8"/>
  <c r="D163" i="8"/>
  <c r="D164" i="8"/>
  <c r="D165" i="8"/>
  <c r="D166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26" i="8"/>
  <c r="D227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47" i="8"/>
  <c r="D248" i="8"/>
  <c r="D249" i="8"/>
  <c r="D250" i="8"/>
  <c r="D251" i="8"/>
  <c r="D252" i="8"/>
  <c r="D253" i="8"/>
  <c r="D254" i="8"/>
  <c r="D255" i="8"/>
  <c r="D256" i="8"/>
  <c r="D257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D285" i="8"/>
  <c r="D286" i="8"/>
  <c r="D287" i="8"/>
  <c r="D288" i="8"/>
  <c r="D289" i="8"/>
  <c r="D290" i="8"/>
  <c r="D291" i="8"/>
  <c r="D292" i="8"/>
  <c r="D293" i="8"/>
  <c r="D294" i="8"/>
  <c r="D295" i="8"/>
  <c r="D296" i="8"/>
  <c r="D297" i="8"/>
  <c r="D298" i="8"/>
  <c r="D299" i="8"/>
  <c r="D300" i="8"/>
  <c r="D301" i="8"/>
  <c r="D302" i="8"/>
  <c r="D303" i="8"/>
  <c r="D304" i="8"/>
  <c r="D305" i="8"/>
  <c r="D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C269" i="8"/>
  <c r="C270" i="8"/>
  <c r="C271" i="8"/>
  <c r="C272" i="8"/>
  <c r="C273" i="8"/>
  <c r="C274" i="8"/>
  <c r="C275" i="8"/>
  <c r="C276" i="8"/>
  <c r="C277" i="8"/>
  <c r="C278" i="8"/>
  <c r="C279" i="8"/>
  <c r="C280" i="8"/>
  <c r="C281" i="8"/>
  <c r="C283" i="8"/>
  <c r="C284" i="8"/>
  <c r="C285" i="8"/>
  <c r="C286" i="8"/>
  <c r="C287" i="8"/>
  <c r="C288" i="8"/>
  <c r="C289" i="8"/>
  <c r="C290" i="8"/>
  <c r="C291" i="8"/>
  <c r="C292" i="8"/>
  <c r="C293" i="8"/>
  <c r="C294" i="8"/>
  <c r="C295" i="8"/>
  <c r="C297" i="8"/>
  <c r="C298" i="8"/>
  <c r="C300" i="8"/>
  <c r="C301" i="8"/>
  <c r="C302" i="8"/>
  <c r="C303" i="8"/>
  <c r="C304" i="8"/>
  <c r="C305" i="8"/>
  <c r="C8" i="8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Z267" i="2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5" i="1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5" i="2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5" i="3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4" i="4"/>
  <c r="B3" i="6"/>
  <c r="B2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198" i="6"/>
  <c r="B199" i="6"/>
  <c r="B200" i="6"/>
  <c r="B201" i="6"/>
  <c r="B202" i="6"/>
  <c r="B203" i="6"/>
  <c r="B204" i="6"/>
  <c r="B205" i="6"/>
  <c r="B206" i="6"/>
  <c r="B207" i="6"/>
  <c r="B208" i="6"/>
  <c r="B209" i="6"/>
  <c r="B210" i="6"/>
  <c r="B211" i="6"/>
  <c r="B212" i="6"/>
  <c r="B213" i="6"/>
  <c r="B214" i="6"/>
  <c r="B215" i="6"/>
  <c r="B216" i="6"/>
  <c r="B217" i="6"/>
  <c r="B218" i="6"/>
  <c r="B219" i="6"/>
  <c r="B220" i="6"/>
  <c r="B221" i="6"/>
  <c r="B222" i="6"/>
  <c r="B223" i="6"/>
  <c r="B224" i="6"/>
  <c r="B225" i="6"/>
  <c r="B226" i="6"/>
  <c r="B227" i="6"/>
  <c r="B228" i="6"/>
  <c r="B229" i="6"/>
  <c r="B230" i="6"/>
  <c r="B231" i="6"/>
  <c r="B232" i="6"/>
  <c r="B233" i="6"/>
  <c r="B234" i="6"/>
  <c r="B235" i="6"/>
  <c r="B236" i="6"/>
  <c r="B237" i="6"/>
  <c r="B238" i="6"/>
  <c r="B239" i="6"/>
  <c r="B240" i="6"/>
  <c r="B241" i="6"/>
  <c r="B242" i="6"/>
  <c r="B243" i="6"/>
  <c r="B244" i="6"/>
  <c r="B245" i="6"/>
  <c r="B246" i="6"/>
  <c r="B247" i="6"/>
  <c r="B248" i="6"/>
  <c r="B249" i="6"/>
  <c r="B250" i="6"/>
  <c r="B251" i="6"/>
  <c r="B252" i="6"/>
  <c r="B253" i="6"/>
  <c r="B254" i="6"/>
  <c r="B255" i="6"/>
  <c r="B256" i="6"/>
  <c r="B257" i="6"/>
  <c r="B258" i="6"/>
  <c r="B259" i="6"/>
  <c r="B260" i="6"/>
  <c r="B261" i="6"/>
  <c r="B262" i="6"/>
  <c r="B263" i="6"/>
  <c r="B264" i="6"/>
  <c r="B265" i="6"/>
  <c r="B266" i="6"/>
  <c r="B267" i="6"/>
  <c r="B268" i="6"/>
  <c r="B269" i="6"/>
  <c r="B270" i="6"/>
  <c r="B271" i="6"/>
  <c r="B272" i="6"/>
  <c r="B273" i="6"/>
  <c r="B274" i="6"/>
  <c r="B275" i="6"/>
  <c r="B276" i="6"/>
  <c r="B277" i="6"/>
  <c r="B278" i="6"/>
  <c r="B279" i="6"/>
  <c r="B280" i="6"/>
  <c r="B281" i="6"/>
  <c r="B283" i="6"/>
  <c r="B284" i="6"/>
  <c r="B285" i="6"/>
  <c r="B286" i="6"/>
  <c r="B287" i="6"/>
  <c r="B288" i="6"/>
  <c r="B289" i="6"/>
  <c r="B290" i="6"/>
  <c r="B291" i="6"/>
  <c r="B292" i="6"/>
  <c r="B293" i="6"/>
  <c r="B294" i="6"/>
  <c r="B295" i="6"/>
  <c r="B296" i="6"/>
  <c r="B297" i="6"/>
  <c r="B298" i="6"/>
  <c r="B299" i="6"/>
  <c r="B300" i="6"/>
  <c r="B301" i="6"/>
  <c r="B302" i="6"/>
  <c r="B303" i="6"/>
  <c r="B304" i="6"/>
  <c r="B305" i="6"/>
  <c r="B306" i="6"/>
  <c r="B307" i="6"/>
  <c r="B308" i="6"/>
  <c r="B309" i="6"/>
  <c r="B310" i="6"/>
  <c r="B311" i="6"/>
  <c r="B312" i="6"/>
  <c r="B313" i="6"/>
  <c r="B314" i="6"/>
  <c r="B315" i="6"/>
  <c r="B316" i="6"/>
  <c r="B317" i="6"/>
  <c r="B318" i="6"/>
  <c r="B319" i="6"/>
  <c r="B320" i="6"/>
  <c r="B321" i="6"/>
  <c r="B322" i="6"/>
  <c r="A32" i="2"/>
  <c r="Z32" i="2"/>
  <c r="Y309" i="3"/>
  <c r="I309" i="3"/>
  <c r="L309" i="3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M132" i="4"/>
  <c r="N132" i="4"/>
  <c r="O132" i="4"/>
  <c r="P132" i="4"/>
  <c r="Q132" i="4"/>
  <c r="R132" i="4"/>
  <c r="S132" i="4"/>
  <c r="T132" i="4"/>
  <c r="U132" i="4"/>
  <c r="V132" i="4"/>
  <c r="W132" i="4"/>
  <c r="X132" i="4"/>
  <c r="Y132" i="4"/>
  <c r="M186" i="4"/>
  <c r="N186" i="4"/>
  <c r="O186" i="4"/>
  <c r="P186" i="4"/>
  <c r="Q186" i="4"/>
  <c r="R186" i="4"/>
  <c r="S186" i="4"/>
  <c r="T186" i="4"/>
  <c r="U186" i="4"/>
  <c r="V186" i="4"/>
  <c r="W186" i="4"/>
  <c r="X186" i="4"/>
  <c r="Y186" i="4"/>
  <c r="M310" i="4"/>
  <c r="N310" i="4"/>
  <c r="O310" i="4"/>
  <c r="P310" i="4"/>
  <c r="Q310" i="4"/>
  <c r="R310" i="4"/>
  <c r="S310" i="4"/>
  <c r="T310" i="4"/>
  <c r="U310" i="4"/>
  <c r="V310" i="4"/>
  <c r="W310" i="4"/>
  <c r="X310" i="4"/>
  <c r="Y310" i="4"/>
  <c r="J325" i="4"/>
  <c r="H325" i="4"/>
  <c r="I325" i="4"/>
  <c r="H324" i="4"/>
  <c r="I324" i="4"/>
  <c r="L324" i="4"/>
  <c r="J323" i="4"/>
  <c r="H323" i="4"/>
  <c r="I323" i="4"/>
  <c r="L323" i="4"/>
  <c r="J322" i="4"/>
  <c r="H322" i="4"/>
  <c r="I322" i="4"/>
  <c r="I321" i="4"/>
  <c r="L321" i="4"/>
  <c r="J320" i="4"/>
  <c r="H320" i="4"/>
  <c r="I320" i="4"/>
  <c r="H319" i="4"/>
  <c r="I319" i="4"/>
  <c r="L319" i="4"/>
  <c r="H318" i="4"/>
  <c r="I318" i="4"/>
  <c r="L318" i="4"/>
  <c r="J317" i="4"/>
  <c r="H317" i="4"/>
  <c r="I317" i="4"/>
  <c r="J316" i="4"/>
  <c r="H316" i="4"/>
  <c r="I316" i="4"/>
  <c r="J315" i="4"/>
  <c r="H315" i="4"/>
  <c r="I315" i="4"/>
  <c r="H314" i="4"/>
  <c r="I314" i="4"/>
  <c r="L314" i="4"/>
  <c r="H313" i="4"/>
  <c r="I313" i="4"/>
  <c r="L313" i="4"/>
  <c r="H312" i="4"/>
  <c r="I312" i="4"/>
  <c r="L312" i="4"/>
  <c r="H311" i="4"/>
  <c r="I311" i="4"/>
  <c r="L311" i="4"/>
  <c r="H310" i="4"/>
  <c r="H309" i="4"/>
  <c r="I309" i="4"/>
  <c r="L309" i="4"/>
  <c r="H308" i="4"/>
  <c r="I308" i="4"/>
  <c r="L308" i="4"/>
  <c r="J307" i="4"/>
  <c r="H307" i="4"/>
  <c r="I307" i="4"/>
  <c r="H306" i="4"/>
  <c r="I306" i="4"/>
  <c r="L306" i="4"/>
  <c r="H305" i="4"/>
  <c r="I305" i="4"/>
  <c r="L305" i="4"/>
  <c r="H304" i="4"/>
  <c r="I304" i="4"/>
  <c r="L304" i="4"/>
  <c r="H303" i="4"/>
  <c r="I303" i="4"/>
  <c r="L303" i="4"/>
  <c r="H302" i="4"/>
  <c r="I302" i="4"/>
  <c r="L302" i="4"/>
  <c r="H301" i="4"/>
  <c r="I301" i="4"/>
  <c r="L301" i="4"/>
  <c r="H300" i="4"/>
  <c r="I300" i="4"/>
  <c r="L300" i="4"/>
  <c r="J299" i="4"/>
  <c r="H299" i="4"/>
  <c r="I299" i="4"/>
  <c r="H298" i="4"/>
  <c r="I298" i="4"/>
  <c r="L298" i="4"/>
  <c r="H297" i="4"/>
  <c r="I297" i="4"/>
  <c r="L297" i="4"/>
  <c r="J296" i="4"/>
  <c r="H296" i="4"/>
  <c r="I296" i="4"/>
  <c r="H295" i="4"/>
  <c r="I295" i="4"/>
  <c r="L295" i="4"/>
  <c r="J294" i="4"/>
  <c r="H294" i="4"/>
  <c r="I294" i="4"/>
  <c r="H293" i="4"/>
  <c r="I293" i="4"/>
  <c r="L293" i="4"/>
  <c r="H292" i="4"/>
  <c r="I292" i="4"/>
  <c r="L292" i="4"/>
  <c r="J291" i="4"/>
  <c r="H291" i="4"/>
  <c r="I291" i="4"/>
  <c r="J290" i="4"/>
  <c r="H290" i="4"/>
  <c r="I290" i="4"/>
  <c r="H289" i="4"/>
  <c r="I289" i="4"/>
  <c r="L289" i="4"/>
  <c r="I288" i="4"/>
  <c r="L288" i="4"/>
  <c r="I287" i="4"/>
  <c r="L287" i="4"/>
  <c r="H286" i="4"/>
  <c r="I286" i="4"/>
  <c r="L286" i="4"/>
  <c r="J285" i="4"/>
  <c r="H285" i="4"/>
  <c r="I285" i="4"/>
  <c r="H284" i="4"/>
  <c r="I284" i="4"/>
  <c r="L284" i="4"/>
  <c r="J283" i="4"/>
  <c r="H283" i="4"/>
  <c r="I283" i="4"/>
  <c r="H282" i="4"/>
  <c r="I282" i="4"/>
  <c r="L282" i="4"/>
  <c r="H281" i="4"/>
  <c r="I281" i="4"/>
  <c r="L281" i="4"/>
  <c r="J280" i="4"/>
  <c r="H280" i="4"/>
  <c r="I280" i="4"/>
  <c r="J279" i="4"/>
  <c r="H279" i="4"/>
  <c r="I279" i="4"/>
  <c r="J278" i="4"/>
  <c r="L278" i="4"/>
  <c r="H278" i="4"/>
  <c r="J277" i="4"/>
  <c r="H277" i="4"/>
  <c r="I277" i="4"/>
  <c r="H276" i="4"/>
  <c r="I276" i="4"/>
  <c r="L276" i="4"/>
  <c r="H275" i="4"/>
  <c r="I275" i="4"/>
  <c r="L275" i="4"/>
  <c r="H274" i="4"/>
  <c r="I274" i="4"/>
  <c r="L274" i="4"/>
  <c r="H273" i="4"/>
  <c r="I273" i="4"/>
  <c r="L273" i="4"/>
  <c r="H272" i="4"/>
  <c r="I272" i="4"/>
  <c r="L272" i="4"/>
  <c r="H271" i="4"/>
  <c r="I271" i="4"/>
  <c r="L271" i="4"/>
  <c r="H270" i="4"/>
  <c r="I270" i="4"/>
  <c r="L270" i="4"/>
  <c r="J269" i="4"/>
  <c r="H269" i="4"/>
  <c r="I269" i="4"/>
  <c r="H268" i="4"/>
  <c r="I268" i="4"/>
  <c r="L268" i="4"/>
  <c r="L267" i="4"/>
  <c r="H267" i="4"/>
  <c r="H266" i="4"/>
  <c r="I266" i="4"/>
  <c r="L266" i="4"/>
  <c r="H265" i="4"/>
  <c r="I265" i="4"/>
  <c r="L265" i="4"/>
  <c r="H264" i="4"/>
  <c r="I264" i="4"/>
  <c r="L264" i="4"/>
  <c r="H263" i="4"/>
  <c r="I263" i="4"/>
  <c r="L263" i="4"/>
  <c r="H262" i="4"/>
  <c r="I262" i="4"/>
  <c r="L262" i="4"/>
  <c r="H261" i="4"/>
  <c r="I261" i="4"/>
  <c r="L261" i="4"/>
  <c r="H260" i="4"/>
  <c r="I260" i="4"/>
  <c r="L260" i="4"/>
  <c r="H259" i="4"/>
  <c r="I259" i="4"/>
  <c r="L259" i="4"/>
  <c r="H258" i="4"/>
  <c r="I258" i="4"/>
  <c r="L258" i="4"/>
  <c r="H257" i="4"/>
  <c r="I257" i="4"/>
  <c r="L257" i="4"/>
  <c r="J256" i="4"/>
  <c r="H256" i="4"/>
  <c r="I256" i="4"/>
  <c r="H255" i="4"/>
  <c r="I255" i="4"/>
  <c r="L255" i="4"/>
  <c r="H254" i="4"/>
  <c r="I254" i="4"/>
  <c r="L254" i="4"/>
  <c r="H253" i="4"/>
  <c r="I253" i="4"/>
  <c r="L253" i="4"/>
  <c r="H252" i="4"/>
  <c r="I252" i="4"/>
  <c r="L252" i="4"/>
  <c r="H251" i="4"/>
  <c r="I251" i="4"/>
  <c r="L251" i="4"/>
  <c r="H250" i="4"/>
  <c r="I250" i="4"/>
  <c r="L250" i="4"/>
  <c r="J249" i="4"/>
  <c r="H249" i="4"/>
  <c r="I249" i="4"/>
  <c r="H248" i="4"/>
  <c r="I248" i="4"/>
  <c r="L248" i="4"/>
  <c r="J247" i="4"/>
  <c r="H247" i="4"/>
  <c r="I247" i="4"/>
  <c r="H246" i="4"/>
  <c r="I246" i="4"/>
  <c r="L246" i="4"/>
  <c r="H245" i="4"/>
  <c r="I245" i="4"/>
  <c r="L245" i="4"/>
  <c r="H244" i="4"/>
  <c r="I244" i="4"/>
  <c r="L244" i="4"/>
  <c r="H243" i="4"/>
  <c r="I243" i="4"/>
  <c r="L243" i="4"/>
  <c r="H242" i="4"/>
  <c r="I242" i="4"/>
  <c r="L242" i="4"/>
  <c r="H241" i="4"/>
  <c r="I241" i="4"/>
  <c r="L241" i="4"/>
  <c r="J240" i="4"/>
  <c r="H240" i="4"/>
  <c r="I240" i="4"/>
  <c r="L240" i="4"/>
  <c r="J239" i="4"/>
  <c r="H239" i="4"/>
  <c r="I239" i="4"/>
  <c r="H238" i="4"/>
  <c r="I238" i="4"/>
  <c r="L238" i="4"/>
  <c r="J237" i="4"/>
  <c r="H237" i="4"/>
  <c r="I237" i="4"/>
  <c r="J236" i="4"/>
  <c r="H236" i="4"/>
  <c r="I236" i="4"/>
  <c r="H235" i="4"/>
  <c r="I235" i="4"/>
  <c r="L235" i="4"/>
  <c r="J234" i="4"/>
  <c r="H234" i="4"/>
  <c r="I234" i="4"/>
  <c r="J233" i="4"/>
  <c r="H233" i="4"/>
  <c r="I233" i="4"/>
  <c r="H232" i="4"/>
  <c r="I232" i="4"/>
  <c r="L232" i="4"/>
  <c r="H231" i="4"/>
  <c r="I231" i="4"/>
  <c r="L231" i="4"/>
  <c r="H230" i="4"/>
  <c r="I230" i="4"/>
  <c r="L230" i="4"/>
  <c r="H229" i="4"/>
  <c r="I229" i="4"/>
  <c r="L229" i="4"/>
  <c r="L228" i="4"/>
  <c r="H228" i="4"/>
  <c r="J227" i="4"/>
  <c r="L227" i="4"/>
  <c r="H227" i="4"/>
  <c r="J226" i="4"/>
  <c r="H226" i="4"/>
  <c r="I226" i="4"/>
  <c r="H225" i="4"/>
  <c r="I225" i="4"/>
  <c r="L225" i="4"/>
  <c r="I224" i="4"/>
  <c r="L224" i="4"/>
  <c r="H223" i="4"/>
  <c r="I223" i="4"/>
  <c r="L223" i="4"/>
  <c r="J222" i="4"/>
  <c r="H222" i="4"/>
  <c r="I222" i="4"/>
  <c r="H221" i="4"/>
  <c r="I221" i="4"/>
  <c r="L221" i="4"/>
  <c r="H220" i="4"/>
  <c r="I220" i="4"/>
  <c r="L220" i="4"/>
  <c r="H219" i="4"/>
  <c r="I219" i="4"/>
  <c r="L219" i="4"/>
  <c r="H218" i="4"/>
  <c r="I218" i="4"/>
  <c r="L218" i="4"/>
  <c r="H217" i="4"/>
  <c r="I217" i="4"/>
  <c r="L217" i="4"/>
  <c r="H216" i="4"/>
  <c r="I216" i="4"/>
  <c r="L216" i="4"/>
  <c r="H215" i="4"/>
  <c r="I215" i="4"/>
  <c r="L215" i="4"/>
  <c r="J214" i="4"/>
  <c r="H214" i="4"/>
  <c r="I214" i="4"/>
  <c r="I213" i="4"/>
  <c r="L213" i="4"/>
  <c r="H212" i="4"/>
  <c r="I212" i="4"/>
  <c r="L212" i="4"/>
  <c r="H211" i="4"/>
  <c r="I211" i="4"/>
  <c r="L211" i="4"/>
  <c r="H210" i="4"/>
  <c r="I210" i="4"/>
  <c r="L210" i="4"/>
  <c r="H209" i="4"/>
  <c r="I209" i="4"/>
  <c r="L209" i="4"/>
  <c r="J208" i="4"/>
  <c r="H208" i="4"/>
  <c r="I208" i="4"/>
  <c r="H207" i="4"/>
  <c r="I207" i="4"/>
  <c r="L207" i="4"/>
  <c r="J206" i="4"/>
  <c r="H206" i="4"/>
  <c r="I206" i="4"/>
  <c r="L206" i="4"/>
  <c r="I205" i="4"/>
  <c r="L205" i="4"/>
  <c r="I204" i="4"/>
  <c r="L204" i="4"/>
  <c r="H203" i="4"/>
  <c r="I203" i="4"/>
  <c r="L203" i="4"/>
  <c r="H202" i="4"/>
  <c r="I202" i="4"/>
  <c r="L202" i="4"/>
  <c r="H201" i="4"/>
  <c r="I201" i="4"/>
  <c r="L201" i="4"/>
  <c r="J200" i="4"/>
  <c r="H200" i="4"/>
  <c r="I200" i="4"/>
  <c r="J199" i="4"/>
  <c r="H199" i="4"/>
  <c r="I199" i="4"/>
  <c r="J198" i="4"/>
  <c r="H198" i="4"/>
  <c r="I198" i="4"/>
  <c r="H197" i="4"/>
  <c r="I197" i="4"/>
  <c r="L197" i="4"/>
  <c r="H196" i="4"/>
  <c r="I196" i="4"/>
  <c r="L196" i="4"/>
  <c r="H195" i="4"/>
  <c r="I195" i="4"/>
  <c r="L195" i="4"/>
  <c r="H194" i="4"/>
  <c r="I194" i="4"/>
  <c r="L194" i="4"/>
  <c r="H193" i="4"/>
  <c r="I193" i="4"/>
  <c r="L193" i="4"/>
  <c r="H192" i="4"/>
  <c r="I192" i="4"/>
  <c r="L192" i="4"/>
  <c r="H191" i="4"/>
  <c r="I191" i="4"/>
  <c r="L191" i="4"/>
  <c r="H190" i="4"/>
  <c r="I190" i="4"/>
  <c r="L190" i="4"/>
  <c r="H189" i="4"/>
  <c r="I189" i="4"/>
  <c r="L189" i="4"/>
  <c r="H188" i="4"/>
  <c r="I188" i="4"/>
  <c r="L188" i="4"/>
  <c r="H187" i="4"/>
  <c r="I187" i="4"/>
  <c r="L187" i="4"/>
  <c r="H185" i="4"/>
  <c r="I185" i="4"/>
  <c r="L185" i="4"/>
  <c r="H184" i="4"/>
  <c r="I184" i="4"/>
  <c r="L184" i="4"/>
  <c r="I183" i="4"/>
  <c r="L183" i="4"/>
  <c r="H182" i="4"/>
  <c r="I182" i="4"/>
  <c r="L182" i="4"/>
  <c r="H181" i="4"/>
  <c r="I181" i="4"/>
  <c r="L181" i="4"/>
  <c r="H180" i="4"/>
  <c r="I180" i="4"/>
  <c r="L180" i="4"/>
  <c r="J179" i="4"/>
  <c r="H179" i="4"/>
  <c r="I179" i="4"/>
  <c r="H178" i="4"/>
  <c r="I178" i="4"/>
  <c r="L178" i="4"/>
  <c r="H177" i="4"/>
  <c r="I177" i="4"/>
  <c r="L177" i="4"/>
  <c r="H176" i="4"/>
  <c r="I176" i="4"/>
  <c r="L176" i="4"/>
  <c r="H175" i="4"/>
  <c r="I175" i="4"/>
  <c r="L175" i="4"/>
  <c r="H174" i="4"/>
  <c r="I174" i="4"/>
  <c r="L174" i="4"/>
  <c r="H173" i="4"/>
  <c r="I173" i="4"/>
  <c r="L173" i="4"/>
  <c r="H172" i="4"/>
  <c r="I172" i="4"/>
  <c r="L172" i="4"/>
  <c r="H171" i="4"/>
  <c r="I171" i="4"/>
  <c r="L171" i="4"/>
  <c r="H170" i="4"/>
  <c r="I170" i="4"/>
  <c r="L170" i="4"/>
  <c r="H169" i="4"/>
  <c r="I169" i="4"/>
  <c r="L169" i="4"/>
  <c r="H168" i="4"/>
  <c r="I168" i="4"/>
  <c r="L168" i="4"/>
  <c r="H167" i="4"/>
  <c r="I167" i="4"/>
  <c r="L167" i="4"/>
  <c r="H166" i="4"/>
  <c r="I166" i="4"/>
  <c r="L166" i="4"/>
  <c r="H165" i="4"/>
  <c r="I165" i="4"/>
  <c r="L165" i="4"/>
  <c r="J164" i="4"/>
  <c r="H164" i="4"/>
  <c r="I164" i="4"/>
  <c r="H163" i="4"/>
  <c r="I163" i="4"/>
  <c r="L163" i="4"/>
  <c r="J162" i="4"/>
  <c r="H162" i="4"/>
  <c r="I162" i="4"/>
  <c r="H161" i="4"/>
  <c r="I161" i="4"/>
  <c r="L161" i="4"/>
  <c r="H160" i="4"/>
  <c r="I160" i="4"/>
  <c r="L160" i="4"/>
  <c r="J159" i="4"/>
  <c r="H159" i="4"/>
  <c r="I159" i="4"/>
  <c r="L159" i="4"/>
  <c r="J158" i="4"/>
  <c r="H158" i="4"/>
  <c r="I158" i="4"/>
  <c r="J157" i="4"/>
  <c r="H157" i="4"/>
  <c r="I157" i="4"/>
  <c r="J156" i="4"/>
  <c r="H156" i="4"/>
  <c r="I156" i="4"/>
  <c r="J155" i="4"/>
  <c r="H155" i="4"/>
  <c r="I155" i="4"/>
  <c r="H154" i="4"/>
  <c r="I154" i="4"/>
  <c r="L154" i="4"/>
  <c r="H153" i="4"/>
  <c r="I153" i="4"/>
  <c r="L153" i="4"/>
  <c r="H152" i="4"/>
  <c r="I152" i="4"/>
  <c r="L152" i="4"/>
  <c r="J151" i="4"/>
  <c r="H151" i="4"/>
  <c r="I151" i="4"/>
  <c r="H150" i="4"/>
  <c r="I150" i="4"/>
  <c r="L150" i="4"/>
  <c r="J149" i="4"/>
  <c r="H149" i="4"/>
  <c r="I149" i="4"/>
  <c r="L149" i="4"/>
  <c r="J148" i="4"/>
  <c r="H148" i="4"/>
  <c r="I148" i="4"/>
  <c r="H147" i="4"/>
  <c r="I147" i="4"/>
  <c r="L147" i="4"/>
  <c r="J146" i="4"/>
  <c r="H146" i="4"/>
  <c r="I146" i="4"/>
  <c r="H145" i="4"/>
  <c r="I145" i="4"/>
  <c r="L145" i="4"/>
  <c r="H144" i="4"/>
  <c r="I144" i="4"/>
  <c r="L144" i="4"/>
  <c r="H143" i="4"/>
  <c r="I143" i="4"/>
  <c r="L143" i="4"/>
  <c r="H142" i="4"/>
  <c r="I142" i="4"/>
  <c r="L142" i="4"/>
  <c r="H141" i="4"/>
  <c r="I141" i="4"/>
  <c r="L141" i="4"/>
  <c r="J140" i="4"/>
  <c r="H140" i="4"/>
  <c r="I140" i="4"/>
  <c r="L140" i="4"/>
  <c r="H139" i="4"/>
  <c r="I139" i="4"/>
  <c r="L139" i="4"/>
  <c r="J138" i="4"/>
  <c r="H138" i="4"/>
  <c r="I138" i="4"/>
  <c r="H137" i="4"/>
  <c r="I137" i="4"/>
  <c r="L137" i="4"/>
  <c r="J136" i="4"/>
  <c r="H136" i="4"/>
  <c r="I136" i="4"/>
  <c r="H135" i="4"/>
  <c r="I135" i="4"/>
  <c r="L135" i="4"/>
  <c r="H134" i="4"/>
  <c r="I134" i="4"/>
  <c r="L134" i="4"/>
  <c r="H133" i="4"/>
  <c r="I133" i="4"/>
  <c r="L133" i="4"/>
  <c r="I132" i="4"/>
  <c r="J131" i="4"/>
  <c r="H131" i="4"/>
  <c r="I131" i="4"/>
  <c r="H130" i="4"/>
  <c r="I130" i="4"/>
  <c r="L130" i="4"/>
  <c r="H129" i="4"/>
  <c r="I129" i="4"/>
  <c r="L129" i="4"/>
  <c r="J128" i="4"/>
  <c r="H128" i="4"/>
  <c r="I128" i="4"/>
  <c r="H127" i="4"/>
  <c r="I127" i="4"/>
  <c r="L127" i="4"/>
  <c r="H126" i="4"/>
  <c r="I126" i="4"/>
  <c r="L126" i="4"/>
  <c r="J125" i="4"/>
  <c r="H125" i="4"/>
  <c r="I125" i="4"/>
  <c r="J124" i="4"/>
  <c r="H124" i="4"/>
  <c r="I124" i="4"/>
  <c r="H123" i="4"/>
  <c r="I123" i="4"/>
  <c r="L123" i="4"/>
  <c r="H122" i="4"/>
  <c r="I122" i="4"/>
  <c r="L122" i="4"/>
  <c r="H121" i="4"/>
  <c r="I121" i="4"/>
  <c r="L121" i="4"/>
  <c r="H120" i="4"/>
  <c r="I120" i="4"/>
  <c r="L120" i="4"/>
  <c r="I119" i="4"/>
  <c r="L119" i="4"/>
  <c r="J118" i="4"/>
  <c r="H118" i="4"/>
  <c r="I118" i="4"/>
  <c r="H117" i="4"/>
  <c r="I117" i="4"/>
  <c r="L117" i="4"/>
  <c r="H116" i="4"/>
  <c r="I116" i="4"/>
  <c r="L116" i="4"/>
  <c r="H115" i="4"/>
  <c r="I115" i="4"/>
  <c r="L115" i="4"/>
  <c r="H114" i="4"/>
  <c r="I114" i="4"/>
  <c r="L114" i="4"/>
  <c r="J113" i="4"/>
  <c r="H113" i="4"/>
  <c r="I113" i="4"/>
  <c r="J112" i="4"/>
  <c r="H112" i="4"/>
  <c r="I112" i="4"/>
  <c r="H111" i="4"/>
  <c r="I111" i="4"/>
  <c r="L111" i="4"/>
  <c r="H110" i="4"/>
  <c r="I110" i="4"/>
  <c r="L110" i="4"/>
  <c r="J109" i="4"/>
  <c r="H109" i="4"/>
  <c r="I109" i="4"/>
  <c r="H108" i="4"/>
  <c r="I108" i="4"/>
  <c r="L108" i="4"/>
  <c r="J107" i="4"/>
  <c r="H107" i="4"/>
  <c r="I107" i="4"/>
  <c r="L107" i="4"/>
  <c r="H106" i="4"/>
  <c r="I106" i="4"/>
  <c r="L106" i="4"/>
  <c r="H105" i="4"/>
  <c r="I105" i="4"/>
  <c r="L105" i="4"/>
  <c r="H104" i="4"/>
  <c r="I104" i="4"/>
  <c r="L104" i="4"/>
  <c r="H103" i="4"/>
  <c r="I103" i="4"/>
  <c r="L103" i="4"/>
  <c r="H102" i="4"/>
  <c r="I102" i="4"/>
  <c r="L102" i="4"/>
  <c r="H101" i="4"/>
  <c r="I101" i="4"/>
  <c r="L101" i="4"/>
  <c r="J100" i="4"/>
  <c r="H100" i="4"/>
  <c r="I100" i="4"/>
  <c r="J99" i="4"/>
  <c r="H99" i="4"/>
  <c r="I99" i="4"/>
  <c r="H98" i="4"/>
  <c r="I98" i="4"/>
  <c r="L98" i="4"/>
  <c r="J97" i="4"/>
  <c r="H97" i="4"/>
  <c r="I97" i="4"/>
  <c r="H96" i="4"/>
  <c r="I96" i="4"/>
  <c r="L96" i="4"/>
  <c r="H95" i="4"/>
  <c r="I95" i="4"/>
  <c r="L95" i="4"/>
  <c r="H94" i="4"/>
  <c r="I94" i="4"/>
  <c r="L94" i="4"/>
  <c r="H93" i="4"/>
  <c r="I93" i="4"/>
  <c r="L93" i="4"/>
  <c r="J92" i="4"/>
  <c r="H92" i="4"/>
  <c r="I92" i="4"/>
  <c r="H91" i="4"/>
  <c r="I91" i="4"/>
  <c r="L91" i="4"/>
  <c r="I90" i="4"/>
  <c r="L90" i="4"/>
  <c r="I89" i="4"/>
  <c r="L89" i="4"/>
  <c r="J88" i="4"/>
  <c r="H88" i="4"/>
  <c r="I88" i="4"/>
  <c r="J87" i="4"/>
  <c r="H87" i="4"/>
  <c r="I87" i="4"/>
  <c r="J86" i="4"/>
  <c r="H86" i="4"/>
  <c r="I86" i="4"/>
  <c r="J85" i="4"/>
  <c r="H85" i="4"/>
  <c r="I85" i="4"/>
  <c r="H84" i="4"/>
  <c r="I84" i="4"/>
  <c r="L84" i="4"/>
  <c r="J83" i="4"/>
  <c r="H83" i="4"/>
  <c r="I83" i="4"/>
  <c r="J82" i="4"/>
  <c r="H82" i="4"/>
  <c r="I82" i="4"/>
  <c r="J81" i="4"/>
  <c r="H81" i="4"/>
  <c r="I81" i="4"/>
  <c r="H80" i="4"/>
  <c r="I80" i="4"/>
  <c r="L80" i="4"/>
  <c r="H79" i="4"/>
  <c r="I79" i="4"/>
  <c r="L79" i="4"/>
  <c r="H78" i="4"/>
  <c r="I78" i="4"/>
  <c r="L78" i="4"/>
  <c r="H77" i="4"/>
  <c r="I77" i="4"/>
  <c r="L77" i="4"/>
  <c r="J76" i="4"/>
  <c r="H76" i="4"/>
  <c r="I76" i="4"/>
  <c r="H75" i="4"/>
  <c r="I75" i="4"/>
  <c r="L75" i="4"/>
  <c r="L74" i="4"/>
  <c r="H73" i="4"/>
  <c r="I73" i="4"/>
  <c r="L73" i="4"/>
  <c r="J72" i="4"/>
  <c r="H72" i="4"/>
  <c r="I72" i="4"/>
  <c r="L72" i="4"/>
  <c r="J71" i="4"/>
  <c r="H71" i="4"/>
  <c r="I71" i="4"/>
  <c r="H70" i="4"/>
  <c r="I70" i="4"/>
  <c r="L70" i="4"/>
  <c r="J69" i="4"/>
  <c r="H69" i="4"/>
  <c r="I69" i="4"/>
  <c r="J68" i="4"/>
  <c r="H68" i="4"/>
  <c r="I68" i="4"/>
  <c r="J67" i="4"/>
  <c r="H67" i="4"/>
  <c r="I67" i="4"/>
  <c r="J66" i="4"/>
  <c r="H66" i="4"/>
  <c r="I66" i="4"/>
  <c r="J65" i="4"/>
  <c r="H65" i="4"/>
  <c r="I65" i="4"/>
  <c r="H64" i="4"/>
  <c r="I64" i="4"/>
  <c r="L64" i="4"/>
  <c r="H63" i="4"/>
  <c r="I63" i="4"/>
  <c r="L63" i="4"/>
  <c r="J62" i="4"/>
  <c r="H62" i="4"/>
  <c r="I62" i="4"/>
  <c r="J61" i="4"/>
  <c r="H61" i="4"/>
  <c r="I61" i="4"/>
  <c r="J60" i="4"/>
  <c r="H60" i="4"/>
  <c r="I60" i="4"/>
  <c r="J59" i="4"/>
  <c r="H59" i="4"/>
  <c r="I59" i="4"/>
  <c r="J58" i="4"/>
  <c r="H58" i="4"/>
  <c r="I58" i="4"/>
  <c r="H57" i="4"/>
  <c r="I57" i="4"/>
  <c r="L57" i="4"/>
  <c r="J56" i="4"/>
  <c r="H56" i="4"/>
  <c r="I56" i="4"/>
  <c r="J55" i="4"/>
  <c r="H55" i="4"/>
  <c r="I55" i="4"/>
  <c r="J54" i="4"/>
  <c r="H54" i="4"/>
  <c r="I54" i="4"/>
  <c r="J53" i="4"/>
  <c r="H53" i="4"/>
  <c r="I53" i="4"/>
  <c r="J52" i="4"/>
  <c r="H52" i="4"/>
  <c r="I52" i="4"/>
  <c r="H51" i="4"/>
  <c r="I51" i="4"/>
  <c r="L51" i="4"/>
  <c r="J50" i="4"/>
  <c r="H50" i="4"/>
  <c r="I50" i="4"/>
  <c r="H49" i="4"/>
  <c r="I49" i="4"/>
  <c r="L49" i="4"/>
  <c r="H48" i="4"/>
  <c r="I48" i="4"/>
  <c r="L48" i="4"/>
  <c r="H47" i="4"/>
  <c r="I47" i="4"/>
  <c r="L47" i="4"/>
  <c r="H46" i="4"/>
  <c r="I46" i="4"/>
  <c r="L46" i="4"/>
  <c r="H45" i="4"/>
  <c r="I45" i="4"/>
  <c r="L45" i="4"/>
  <c r="H44" i="4"/>
  <c r="I44" i="4"/>
  <c r="L44" i="4"/>
  <c r="J43" i="4"/>
  <c r="H43" i="4"/>
  <c r="I43" i="4"/>
  <c r="H42" i="4"/>
  <c r="I42" i="4"/>
  <c r="L42" i="4"/>
  <c r="H41" i="4"/>
  <c r="I41" i="4"/>
  <c r="L41" i="4"/>
  <c r="H40" i="4"/>
  <c r="I40" i="4"/>
  <c r="L40" i="4"/>
  <c r="H39" i="4"/>
  <c r="I39" i="4"/>
  <c r="L39" i="4"/>
  <c r="H38" i="4"/>
  <c r="I38" i="4"/>
  <c r="L38" i="4"/>
  <c r="H37" i="4"/>
  <c r="I37" i="4"/>
  <c r="L37" i="4"/>
  <c r="H36" i="4"/>
  <c r="I36" i="4"/>
  <c r="L36" i="4"/>
  <c r="J35" i="4"/>
  <c r="H35" i="4"/>
  <c r="I35" i="4"/>
  <c r="H34" i="4"/>
  <c r="I34" i="4"/>
  <c r="L34" i="4"/>
  <c r="H33" i="4"/>
  <c r="I33" i="4"/>
  <c r="L33" i="4"/>
  <c r="H32" i="4"/>
  <c r="I32" i="4"/>
  <c r="L32" i="4"/>
  <c r="H31" i="4"/>
  <c r="I31" i="4"/>
  <c r="L31" i="4"/>
  <c r="H30" i="4"/>
  <c r="I30" i="4"/>
  <c r="H29" i="4"/>
  <c r="I29" i="4"/>
  <c r="J28" i="4"/>
  <c r="H28" i="4"/>
  <c r="I28" i="4"/>
  <c r="H27" i="4"/>
  <c r="I27" i="4"/>
  <c r="L27" i="4"/>
  <c r="H26" i="4"/>
  <c r="I26" i="4"/>
  <c r="L26" i="4"/>
  <c r="H25" i="4"/>
  <c r="I25" i="4"/>
  <c r="L25" i="4"/>
  <c r="H24" i="4"/>
  <c r="I24" i="4"/>
  <c r="L24" i="4"/>
  <c r="J23" i="4"/>
  <c r="H23" i="4"/>
  <c r="I23" i="4"/>
  <c r="J22" i="4"/>
  <c r="H22" i="4"/>
  <c r="I22" i="4"/>
  <c r="I21" i="4"/>
  <c r="L21" i="4"/>
  <c r="J20" i="4"/>
  <c r="H20" i="4"/>
  <c r="I20" i="4"/>
  <c r="L20" i="4"/>
  <c r="H19" i="4"/>
  <c r="I19" i="4"/>
  <c r="L19" i="4"/>
  <c r="H18" i="4"/>
  <c r="I18" i="4"/>
  <c r="L18" i="4"/>
  <c r="I17" i="4"/>
  <c r="L17" i="4"/>
  <c r="H16" i="4"/>
  <c r="I16" i="4"/>
  <c r="L16" i="4"/>
  <c r="H15" i="4"/>
  <c r="I15" i="4"/>
  <c r="L15" i="4"/>
  <c r="J14" i="4"/>
  <c r="H14" i="4"/>
  <c r="I14" i="4"/>
  <c r="H13" i="4"/>
  <c r="I13" i="4"/>
  <c r="L13" i="4"/>
  <c r="H12" i="4"/>
  <c r="I12" i="4"/>
  <c r="L12" i="4"/>
  <c r="H11" i="4"/>
  <c r="I11" i="4"/>
  <c r="L11" i="4"/>
  <c r="H10" i="4"/>
  <c r="I10" i="4"/>
  <c r="L10" i="4"/>
  <c r="H9" i="4"/>
  <c r="I9" i="4"/>
  <c r="L9" i="4"/>
  <c r="J8" i="4"/>
  <c r="H8" i="4"/>
  <c r="I8" i="4"/>
  <c r="H7" i="4"/>
  <c r="I7" i="4"/>
  <c r="L7" i="4"/>
  <c r="H6" i="4"/>
  <c r="I6" i="4"/>
  <c r="L6" i="4"/>
  <c r="H5" i="4"/>
  <c r="I5" i="4"/>
  <c r="L5" i="4"/>
  <c r="J4" i="4"/>
  <c r="H4" i="4"/>
  <c r="I4" i="4"/>
  <c r="M327" i="2"/>
  <c r="N327" i="2"/>
  <c r="O327" i="2"/>
  <c r="P327" i="2"/>
  <c r="Q327" i="2"/>
  <c r="R327" i="2"/>
  <c r="S327" i="2"/>
  <c r="T327" i="2"/>
  <c r="U327" i="2"/>
  <c r="V327" i="2"/>
  <c r="W327" i="2"/>
  <c r="X327" i="2"/>
  <c r="Y311" i="2"/>
  <c r="Y187" i="2"/>
  <c r="Y133" i="2"/>
  <c r="Y30" i="2"/>
  <c r="Y31" i="2"/>
  <c r="H30" i="3"/>
  <c r="I30" i="3"/>
  <c r="I31" i="3"/>
  <c r="H98" i="3"/>
  <c r="I98" i="3"/>
  <c r="J98" i="3"/>
  <c r="I133" i="3"/>
  <c r="H161" i="3"/>
  <c r="I161" i="3"/>
  <c r="L161" i="3"/>
  <c r="H228" i="3"/>
  <c r="H278" i="3"/>
  <c r="I300" i="3"/>
  <c r="L300" i="3"/>
  <c r="H308" i="3"/>
  <c r="I308" i="3"/>
  <c r="L308" i="3"/>
  <c r="H310" i="3"/>
  <c r="J326" i="2"/>
  <c r="H326" i="2"/>
  <c r="I326" i="2"/>
  <c r="H325" i="2"/>
  <c r="I325" i="2"/>
  <c r="L325" i="2"/>
  <c r="J324" i="2"/>
  <c r="H324" i="2"/>
  <c r="I324" i="2"/>
  <c r="J323" i="2"/>
  <c r="H323" i="2"/>
  <c r="I323" i="2"/>
  <c r="I322" i="2"/>
  <c r="L322" i="2"/>
  <c r="J321" i="2"/>
  <c r="H321" i="2"/>
  <c r="I321" i="2"/>
  <c r="H320" i="2"/>
  <c r="I320" i="2"/>
  <c r="L320" i="2"/>
  <c r="H319" i="2"/>
  <c r="I319" i="2"/>
  <c r="L319" i="2"/>
  <c r="Q318" i="4"/>
  <c r="J318" i="2"/>
  <c r="H318" i="2"/>
  <c r="I318" i="2"/>
  <c r="J317" i="2"/>
  <c r="H317" i="2"/>
  <c r="I317" i="2"/>
  <c r="J316" i="2"/>
  <c r="H316" i="2"/>
  <c r="I316" i="2"/>
  <c r="H315" i="2"/>
  <c r="I315" i="2"/>
  <c r="L315" i="2"/>
  <c r="H314" i="2"/>
  <c r="I314" i="2"/>
  <c r="L314" i="2"/>
  <c r="H313" i="2"/>
  <c r="I313" i="2"/>
  <c r="L313" i="2"/>
  <c r="H312" i="2"/>
  <c r="I312" i="2"/>
  <c r="L312" i="2"/>
  <c r="H311" i="2"/>
  <c r="H310" i="2"/>
  <c r="I310" i="2"/>
  <c r="L310" i="2"/>
  <c r="H309" i="2"/>
  <c r="I309" i="2"/>
  <c r="L309" i="2"/>
  <c r="J308" i="2"/>
  <c r="H308" i="2"/>
  <c r="I308" i="2"/>
  <c r="H307" i="2"/>
  <c r="I307" i="2"/>
  <c r="L307" i="2"/>
  <c r="H306" i="2"/>
  <c r="I306" i="2"/>
  <c r="L306" i="2"/>
  <c r="Y306" i="2"/>
  <c r="H305" i="2"/>
  <c r="I305" i="2"/>
  <c r="L305" i="2"/>
  <c r="H304" i="2"/>
  <c r="I304" i="2"/>
  <c r="L304" i="2"/>
  <c r="O303" i="4"/>
  <c r="H303" i="2"/>
  <c r="I303" i="2"/>
  <c r="L303" i="2"/>
  <c r="H302" i="2"/>
  <c r="I302" i="2"/>
  <c r="L302" i="2"/>
  <c r="H301" i="2"/>
  <c r="I301" i="2"/>
  <c r="L301" i="2"/>
  <c r="J300" i="2"/>
  <c r="H300" i="2"/>
  <c r="I300" i="2"/>
  <c r="H299" i="2"/>
  <c r="I299" i="2"/>
  <c r="L299" i="2"/>
  <c r="H298" i="2"/>
  <c r="I298" i="2"/>
  <c r="L298" i="2"/>
  <c r="Q297" i="4"/>
  <c r="J297" i="2"/>
  <c r="H297" i="2"/>
  <c r="I297" i="2"/>
  <c r="H296" i="2"/>
  <c r="I296" i="2"/>
  <c r="L296" i="2"/>
  <c r="V295" i="4"/>
  <c r="J295" i="2"/>
  <c r="H295" i="2"/>
  <c r="I295" i="2"/>
  <c r="H294" i="2"/>
  <c r="I294" i="2"/>
  <c r="L294" i="2"/>
  <c r="H293" i="2"/>
  <c r="I293" i="2"/>
  <c r="L293" i="2"/>
  <c r="J292" i="2"/>
  <c r="H292" i="2"/>
  <c r="I292" i="2"/>
  <c r="J291" i="2"/>
  <c r="H291" i="2"/>
  <c r="I291" i="2"/>
  <c r="H290" i="2"/>
  <c r="I290" i="2"/>
  <c r="L290" i="2"/>
  <c r="Y290" i="2"/>
  <c r="I289" i="2"/>
  <c r="L289" i="2"/>
  <c r="I288" i="2"/>
  <c r="L288" i="2"/>
  <c r="H287" i="2"/>
  <c r="I287" i="2"/>
  <c r="L287" i="2"/>
  <c r="J286" i="2"/>
  <c r="H286" i="2"/>
  <c r="I286" i="2"/>
  <c r="H285" i="2"/>
  <c r="I285" i="2"/>
  <c r="L285" i="2"/>
  <c r="J284" i="2"/>
  <c r="H284" i="2"/>
  <c r="I284" i="2"/>
  <c r="H283" i="2"/>
  <c r="I283" i="2"/>
  <c r="L283" i="2"/>
  <c r="W282" i="4"/>
  <c r="H282" i="2"/>
  <c r="I282" i="2"/>
  <c r="L282" i="2"/>
  <c r="J281" i="2"/>
  <c r="H281" i="2"/>
  <c r="I281" i="2"/>
  <c r="J280" i="2"/>
  <c r="H280" i="2"/>
  <c r="I280" i="2"/>
  <c r="J279" i="2"/>
  <c r="L279" i="2"/>
  <c r="H279" i="2"/>
  <c r="J278" i="2"/>
  <c r="H278" i="2"/>
  <c r="I278" i="2"/>
  <c r="H277" i="2"/>
  <c r="I277" i="2"/>
  <c r="L277" i="2"/>
  <c r="H276" i="2"/>
  <c r="I276" i="2"/>
  <c r="L276" i="2"/>
  <c r="W275" i="4"/>
  <c r="H275" i="2"/>
  <c r="I275" i="2"/>
  <c r="L275" i="2"/>
  <c r="H274" i="2"/>
  <c r="I274" i="2"/>
  <c r="L274" i="2"/>
  <c r="P273" i="4"/>
  <c r="H273" i="2"/>
  <c r="I273" i="2"/>
  <c r="L273" i="2"/>
  <c r="H272" i="2"/>
  <c r="I272" i="2"/>
  <c r="L272" i="2"/>
  <c r="H271" i="2"/>
  <c r="I271" i="2"/>
  <c r="L271" i="2"/>
  <c r="J270" i="2"/>
  <c r="H270" i="2"/>
  <c r="I270" i="2"/>
  <c r="H269" i="2"/>
  <c r="I269" i="2"/>
  <c r="L269" i="2"/>
  <c r="Y269" i="2"/>
  <c r="L268" i="2"/>
  <c r="H268" i="2"/>
  <c r="H267" i="2"/>
  <c r="I267" i="2"/>
  <c r="L267" i="2"/>
  <c r="H266" i="2"/>
  <c r="I266" i="2"/>
  <c r="L266" i="2"/>
  <c r="R265" i="4"/>
  <c r="H265" i="2"/>
  <c r="I265" i="2"/>
  <c r="L265" i="2"/>
  <c r="H264" i="2"/>
  <c r="I264" i="2"/>
  <c r="L264" i="2"/>
  <c r="H263" i="2"/>
  <c r="I263" i="2"/>
  <c r="L263" i="2"/>
  <c r="H262" i="2"/>
  <c r="I262" i="2"/>
  <c r="L262" i="2"/>
  <c r="H261" i="2"/>
  <c r="I261" i="2"/>
  <c r="L261" i="2"/>
  <c r="X260" i="4"/>
  <c r="Y260" i="4"/>
  <c r="H260" i="2"/>
  <c r="I260" i="2"/>
  <c r="L260" i="2"/>
  <c r="H259" i="2"/>
  <c r="I259" i="2"/>
  <c r="L259" i="2"/>
  <c r="H258" i="2"/>
  <c r="I258" i="2"/>
  <c r="L258" i="2"/>
  <c r="V257" i="4"/>
  <c r="J257" i="2"/>
  <c r="H257" i="2"/>
  <c r="I257" i="2"/>
  <c r="H256" i="2"/>
  <c r="I256" i="2"/>
  <c r="L256" i="2"/>
  <c r="H255" i="2"/>
  <c r="I255" i="2"/>
  <c r="L255" i="2"/>
  <c r="H254" i="2"/>
  <c r="I254" i="2"/>
  <c r="L254" i="2"/>
  <c r="H253" i="2"/>
  <c r="I253" i="2"/>
  <c r="L253" i="2"/>
  <c r="H252" i="2"/>
  <c r="I252" i="2"/>
  <c r="L252" i="2"/>
  <c r="S251" i="4"/>
  <c r="H251" i="2"/>
  <c r="I251" i="2"/>
  <c r="L251" i="2"/>
  <c r="H250" i="2"/>
  <c r="I250" i="2"/>
  <c r="L250" i="2"/>
  <c r="W249" i="4"/>
  <c r="H249" i="2"/>
  <c r="I249" i="2"/>
  <c r="L249" i="2"/>
  <c r="J248" i="2"/>
  <c r="H248" i="2"/>
  <c r="I248" i="2"/>
  <c r="H247" i="2"/>
  <c r="I247" i="2"/>
  <c r="H246" i="2"/>
  <c r="I246" i="2"/>
  <c r="L246" i="2"/>
  <c r="H245" i="2"/>
  <c r="I245" i="2"/>
  <c r="L245" i="2"/>
  <c r="Y245" i="2"/>
  <c r="H244" i="2"/>
  <c r="I244" i="2"/>
  <c r="L244" i="2"/>
  <c r="P243" i="4"/>
  <c r="H243" i="2"/>
  <c r="I243" i="2"/>
  <c r="L243" i="2"/>
  <c r="H242" i="2"/>
  <c r="I242" i="2"/>
  <c r="L242" i="2"/>
  <c r="J240" i="2"/>
  <c r="H240" i="2"/>
  <c r="I240" i="2"/>
  <c r="H239" i="2"/>
  <c r="I239" i="2"/>
  <c r="L239" i="2"/>
  <c r="X238" i="4"/>
  <c r="Y238" i="4"/>
  <c r="J238" i="2"/>
  <c r="H238" i="2"/>
  <c r="I238" i="2"/>
  <c r="J237" i="2"/>
  <c r="H237" i="2"/>
  <c r="I237" i="2"/>
  <c r="H236" i="2"/>
  <c r="I236" i="2"/>
  <c r="L236" i="2"/>
  <c r="J235" i="2"/>
  <c r="H235" i="2"/>
  <c r="I235" i="2"/>
  <c r="J234" i="2"/>
  <c r="H234" i="2"/>
  <c r="I234" i="2"/>
  <c r="H233" i="2"/>
  <c r="I233" i="2"/>
  <c r="L233" i="2"/>
  <c r="H232" i="2"/>
  <c r="I232" i="2"/>
  <c r="L232" i="2"/>
  <c r="T231" i="4"/>
  <c r="H231" i="2"/>
  <c r="I231" i="2"/>
  <c r="L231" i="2"/>
  <c r="H230" i="2"/>
  <c r="I230" i="2"/>
  <c r="L230" i="2"/>
  <c r="L229" i="2"/>
  <c r="V228" i="4"/>
  <c r="H229" i="2"/>
  <c r="J228" i="2"/>
  <c r="L228" i="2"/>
  <c r="X227" i="4"/>
  <c r="Y227" i="4"/>
  <c r="H228" i="2"/>
  <c r="J227" i="2"/>
  <c r="H227" i="2"/>
  <c r="I227" i="2"/>
  <c r="H226" i="2"/>
  <c r="I226" i="2"/>
  <c r="L226" i="2"/>
  <c r="I225" i="2"/>
  <c r="L225" i="2"/>
  <c r="R224" i="4"/>
  <c r="H224" i="2"/>
  <c r="I224" i="2"/>
  <c r="L224" i="2"/>
  <c r="J223" i="2"/>
  <c r="H223" i="2"/>
  <c r="I223" i="2"/>
  <c r="H222" i="2"/>
  <c r="I222" i="2"/>
  <c r="L222" i="2"/>
  <c r="H221" i="2"/>
  <c r="I221" i="2"/>
  <c r="L221" i="2"/>
  <c r="H220" i="2"/>
  <c r="I220" i="2"/>
  <c r="L220" i="2"/>
  <c r="S219" i="4"/>
  <c r="H219" i="2"/>
  <c r="I219" i="2"/>
  <c r="L219" i="2"/>
  <c r="M218" i="4"/>
  <c r="H218" i="2"/>
  <c r="I218" i="2"/>
  <c r="L218" i="2"/>
  <c r="H217" i="2"/>
  <c r="I217" i="2"/>
  <c r="L217" i="2"/>
  <c r="H216" i="2"/>
  <c r="I216" i="2"/>
  <c r="L216" i="2"/>
  <c r="J215" i="2"/>
  <c r="H215" i="2"/>
  <c r="I215" i="2"/>
  <c r="I214" i="2"/>
  <c r="L214" i="2"/>
  <c r="H213" i="2"/>
  <c r="I213" i="2"/>
  <c r="L213" i="2"/>
  <c r="P212" i="4"/>
  <c r="H212" i="2"/>
  <c r="I212" i="2"/>
  <c r="L212" i="2"/>
  <c r="V211" i="4"/>
  <c r="H211" i="2"/>
  <c r="I211" i="2"/>
  <c r="L211" i="2"/>
  <c r="H210" i="2"/>
  <c r="I210" i="2"/>
  <c r="L210" i="2"/>
  <c r="J209" i="2"/>
  <c r="H209" i="2"/>
  <c r="I209" i="2"/>
  <c r="H208" i="2"/>
  <c r="I208" i="2"/>
  <c r="L208" i="2"/>
  <c r="V207" i="4"/>
  <c r="J207" i="2"/>
  <c r="H207" i="2"/>
  <c r="I207" i="2"/>
  <c r="I206" i="2"/>
  <c r="L206" i="2"/>
  <c r="I205" i="2"/>
  <c r="L205" i="2"/>
  <c r="H204" i="2"/>
  <c r="I204" i="2"/>
  <c r="L204" i="2"/>
  <c r="H203" i="2"/>
  <c r="I203" i="2"/>
  <c r="L203" i="2"/>
  <c r="U202" i="4"/>
  <c r="H202" i="2"/>
  <c r="I202" i="2"/>
  <c r="L202" i="2"/>
  <c r="J201" i="2"/>
  <c r="H201" i="2"/>
  <c r="I201" i="2"/>
  <c r="J200" i="2"/>
  <c r="H200" i="2"/>
  <c r="I200" i="2"/>
  <c r="J199" i="2"/>
  <c r="H199" i="2"/>
  <c r="I199" i="2"/>
  <c r="H198" i="2"/>
  <c r="I198" i="2"/>
  <c r="L198" i="2"/>
  <c r="Y198" i="2"/>
  <c r="H197" i="2"/>
  <c r="I197" i="2"/>
  <c r="L197" i="2"/>
  <c r="H196" i="2"/>
  <c r="I196" i="2"/>
  <c r="L196" i="2"/>
  <c r="H195" i="2"/>
  <c r="I195" i="2"/>
  <c r="L195" i="2"/>
  <c r="H194" i="2"/>
  <c r="I194" i="2"/>
  <c r="L194" i="2"/>
  <c r="R193" i="4"/>
  <c r="H193" i="2"/>
  <c r="I193" i="2"/>
  <c r="L193" i="2"/>
  <c r="H192" i="2"/>
  <c r="I192" i="2"/>
  <c r="L192" i="2"/>
  <c r="H191" i="2"/>
  <c r="I191" i="2"/>
  <c r="L191" i="2"/>
  <c r="U190" i="4"/>
  <c r="H190" i="2"/>
  <c r="I190" i="2"/>
  <c r="L190" i="2"/>
  <c r="M189" i="4"/>
  <c r="H189" i="2"/>
  <c r="I189" i="2"/>
  <c r="L189" i="2"/>
  <c r="H188" i="2"/>
  <c r="I188" i="2"/>
  <c r="L188" i="2"/>
  <c r="H186" i="2"/>
  <c r="I186" i="2"/>
  <c r="L186" i="2"/>
  <c r="T185" i="4"/>
  <c r="H185" i="2"/>
  <c r="I185" i="2"/>
  <c r="L185" i="2"/>
  <c r="I184" i="2"/>
  <c r="L184" i="2"/>
  <c r="S183" i="4"/>
  <c r="H183" i="2"/>
  <c r="I183" i="2"/>
  <c r="L183" i="2"/>
  <c r="H182" i="2"/>
  <c r="I182" i="2"/>
  <c r="L182" i="2"/>
  <c r="H181" i="2"/>
  <c r="I181" i="2"/>
  <c r="L181" i="2"/>
  <c r="S180" i="4"/>
  <c r="J180" i="2"/>
  <c r="H180" i="2"/>
  <c r="I180" i="2"/>
  <c r="H179" i="2"/>
  <c r="I179" i="2"/>
  <c r="L179" i="2"/>
  <c r="N178" i="4"/>
  <c r="H178" i="2"/>
  <c r="I178" i="2"/>
  <c r="L178" i="2"/>
  <c r="H177" i="2"/>
  <c r="I177" i="2"/>
  <c r="L177" i="2"/>
  <c r="H176" i="2"/>
  <c r="I176" i="2"/>
  <c r="L176" i="2"/>
  <c r="H175" i="2"/>
  <c r="I175" i="2"/>
  <c r="L175" i="2"/>
  <c r="H174" i="2"/>
  <c r="I174" i="2"/>
  <c r="L174" i="2"/>
  <c r="S173" i="4"/>
  <c r="H173" i="2"/>
  <c r="I173" i="2"/>
  <c r="L173" i="2"/>
  <c r="H172" i="2"/>
  <c r="I172" i="2"/>
  <c r="L172" i="2"/>
  <c r="O171" i="4"/>
  <c r="H171" i="2"/>
  <c r="I171" i="2"/>
  <c r="L171" i="2"/>
  <c r="H170" i="2"/>
  <c r="I170" i="2"/>
  <c r="L170" i="2"/>
  <c r="M169" i="4"/>
  <c r="H169" i="2"/>
  <c r="I169" i="2"/>
  <c r="L169" i="2"/>
  <c r="H168" i="2"/>
  <c r="I168" i="2"/>
  <c r="L168" i="2"/>
  <c r="H167" i="2"/>
  <c r="I167" i="2"/>
  <c r="L167" i="2"/>
  <c r="H166" i="2"/>
  <c r="I166" i="2"/>
  <c r="L166" i="2"/>
  <c r="R165" i="4"/>
  <c r="J165" i="2"/>
  <c r="H165" i="2"/>
  <c r="I165" i="2"/>
  <c r="H164" i="2"/>
  <c r="I164" i="2"/>
  <c r="L164" i="2"/>
  <c r="J163" i="2"/>
  <c r="H163" i="2"/>
  <c r="I163" i="2"/>
  <c r="H162" i="2"/>
  <c r="I162" i="2"/>
  <c r="L162" i="2"/>
  <c r="H161" i="2"/>
  <c r="I161" i="2"/>
  <c r="L161" i="2"/>
  <c r="J160" i="2"/>
  <c r="H160" i="2"/>
  <c r="I160" i="2"/>
  <c r="J159" i="2"/>
  <c r="H159" i="2"/>
  <c r="I159" i="2"/>
  <c r="J158" i="2"/>
  <c r="H158" i="2"/>
  <c r="I158" i="2"/>
  <c r="J157" i="2"/>
  <c r="H157" i="2"/>
  <c r="I157" i="2"/>
  <c r="J156" i="2"/>
  <c r="H156" i="2"/>
  <c r="I156" i="2"/>
  <c r="H155" i="2"/>
  <c r="I155" i="2"/>
  <c r="L155" i="2"/>
  <c r="H154" i="2"/>
  <c r="I154" i="2"/>
  <c r="L154" i="2"/>
  <c r="P153" i="4"/>
  <c r="H153" i="2"/>
  <c r="I153" i="2"/>
  <c r="L153" i="2"/>
  <c r="U152" i="4"/>
  <c r="J152" i="2"/>
  <c r="H152" i="2"/>
  <c r="I152" i="2"/>
  <c r="H151" i="2"/>
  <c r="I151" i="2"/>
  <c r="L151" i="2"/>
  <c r="J150" i="2"/>
  <c r="H150" i="2"/>
  <c r="I150" i="2"/>
  <c r="J149" i="2"/>
  <c r="H149" i="2"/>
  <c r="I149" i="2"/>
  <c r="H148" i="2"/>
  <c r="I148" i="2"/>
  <c r="L148" i="2"/>
  <c r="S147" i="4"/>
  <c r="J147" i="2"/>
  <c r="H147" i="2"/>
  <c r="I147" i="2"/>
  <c r="H146" i="2"/>
  <c r="I146" i="2"/>
  <c r="L146" i="2"/>
  <c r="H145" i="2"/>
  <c r="I145" i="2"/>
  <c r="L145" i="2"/>
  <c r="P144" i="4"/>
  <c r="H144" i="2"/>
  <c r="I144" i="2"/>
  <c r="L144" i="2"/>
  <c r="H143" i="2"/>
  <c r="I143" i="2"/>
  <c r="L143" i="2"/>
  <c r="M142" i="4"/>
  <c r="H142" i="2"/>
  <c r="I142" i="2"/>
  <c r="L142" i="2"/>
  <c r="J141" i="2"/>
  <c r="H141" i="2"/>
  <c r="I141" i="2"/>
  <c r="H140" i="2"/>
  <c r="I140" i="2"/>
  <c r="L140" i="2"/>
  <c r="X139" i="4"/>
  <c r="Y139" i="4"/>
  <c r="J139" i="2"/>
  <c r="H139" i="2"/>
  <c r="I139" i="2"/>
  <c r="H138" i="2"/>
  <c r="I138" i="2"/>
  <c r="L138" i="2"/>
  <c r="V137" i="4"/>
  <c r="J137" i="2"/>
  <c r="H137" i="2"/>
  <c r="I137" i="2"/>
  <c r="H136" i="2"/>
  <c r="I136" i="2"/>
  <c r="L136" i="2"/>
  <c r="X135" i="4"/>
  <c r="Y135" i="4"/>
  <c r="H135" i="2"/>
  <c r="I135" i="2"/>
  <c r="L135" i="2"/>
  <c r="H134" i="2"/>
  <c r="I134" i="2"/>
  <c r="L134" i="2"/>
  <c r="I133" i="2"/>
  <c r="J132" i="2"/>
  <c r="H132" i="2"/>
  <c r="I132" i="2"/>
  <c r="H131" i="2"/>
  <c r="I131" i="2"/>
  <c r="L131" i="2"/>
  <c r="H130" i="2"/>
  <c r="I130" i="2"/>
  <c r="L130" i="2"/>
  <c r="J129" i="2"/>
  <c r="H129" i="2"/>
  <c r="I129" i="2"/>
  <c r="H128" i="2"/>
  <c r="I128" i="2"/>
  <c r="L128" i="2"/>
  <c r="H127" i="2"/>
  <c r="I127" i="2"/>
  <c r="L127" i="2"/>
  <c r="J126" i="2"/>
  <c r="H126" i="2"/>
  <c r="I126" i="2"/>
  <c r="J125" i="2"/>
  <c r="H125" i="2"/>
  <c r="I125" i="2"/>
  <c r="H124" i="2"/>
  <c r="I124" i="2"/>
  <c r="L124" i="2"/>
  <c r="U123" i="4"/>
  <c r="H123" i="2"/>
  <c r="I123" i="2"/>
  <c r="L123" i="2"/>
  <c r="N122" i="4"/>
  <c r="H122" i="2"/>
  <c r="I122" i="2"/>
  <c r="L122" i="2"/>
  <c r="M121" i="4"/>
  <c r="H121" i="2"/>
  <c r="I121" i="2"/>
  <c r="L121" i="2"/>
  <c r="I120" i="2"/>
  <c r="L120" i="2"/>
  <c r="J119" i="2"/>
  <c r="H119" i="2"/>
  <c r="I119" i="2"/>
  <c r="H118" i="2"/>
  <c r="I118" i="2"/>
  <c r="L118" i="2"/>
  <c r="H117" i="2"/>
  <c r="I117" i="2"/>
  <c r="L117" i="2"/>
  <c r="U116" i="4"/>
  <c r="H116" i="2"/>
  <c r="I116" i="2"/>
  <c r="L116" i="2"/>
  <c r="N115" i="4"/>
  <c r="H115" i="2"/>
  <c r="I115" i="2"/>
  <c r="L115" i="2"/>
  <c r="M114" i="4"/>
  <c r="J114" i="2"/>
  <c r="H114" i="2"/>
  <c r="I114" i="2"/>
  <c r="J113" i="2"/>
  <c r="H113" i="2"/>
  <c r="I113" i="2"/>
  <c r="H112" i="2"/>
  <c r="I112" i="2"/>
  <c r="L112" i="2"/>
  <c r="H111" i="2"/>
  <c r="I111" i="2"/>
  <c r="L111" i="2"/>
  <c r="W110" i="4"/>
  <c r="J110" i="2"/>
  <c r="H110" i="2"/>
  <c r="I110" i="2"/>
  <c r="H109" i="2"/>
  <c r="I109" i="2"/>
  <c r="L109" i="2"/>
  <c r="J108" i="2"/>
  <c r="H108" i="2"/>
  <c r="I108" i="2"/>
  <c r="L108" i="2"/>
  <c r="W107" i="4"/>
  <c r="H107" i="2"/>
  <c r="I107" i="2"/>
  <c r="L107" i="2"/>
  <c r="U106" i="4"/>
  <c r="H106" i="2"/>
  <c r="I106" i="2"/>
  <c r="L106" i="2"/>
  <c r="H105" i="2"/>
  <c r="I105" i="2"/>
  <c r="L105" i="2"/>
  <c r="H104" i="2"/>
  <c r="I104" i="2"/>
  <c r="L104" i="2"/>
  <c r="H103" i="2"/>
  <c r="I103" i="2"/>
  <c r="L103" i="2"/>
  <c r="H102" i="2"/>
  <c r="I102" i="2"/>
  <c r="L102" i="2"/>
  <c r="J101" i="2"/>
  <c r="H101" i="2"/>
  <c r="I101" i="2"/>
  <c r="J100" i="2"/>
  <c r="H100" i="2"/>
  <c r="I100" i="2"/>
  <c r="H99" i="2"/>
  <c r="I99" i="2"/>
  <c r="L99" i="2"/>
  <c r="U98" i="4"/>
  <c r="J98" i="2"/>
  <c r="H98" i="2"/>
  <c r="I98" i="2"/>
  <c r="H97" i="2"/>
  <c r="I97" i="2"/>
  <c r="L97" i="2"/>
  <c r="H96" i="2"/>
  <c r="I96" i="2"/>
  <c r="L96" i="2"/>
  <c r="O95" i="4"/>
  <c r="H95" i="2"/>
  <c r="I95" i="2"/>
  <c r="L95" i="2"/>
  <c r="H94" i="2"/>
  <c r="I94" i="2"/>
  <c r="L94" i="2"/>
  <c r="J93" i="2"/>
  <c r="H93" i="2"/>
  <c r="I93" i="2"/>
  <c r="H92" i="2"/>
  <c r="I92" i="2"/>
  <c r="L92" i="2"/>
  <c r="I91" i="2"/>
  <c r="L91" i="2"/>
  <c r="I90" i="2"/>
  <c r="L90" i="2"/>
  <c r="J89" i="2"/>
  <c r="H89" i="2"/>
  <c r="I89" i="2"/>
  <c r="J88" i="2"/>
  <c r="H88" i="2"/>
  <c r="I88" i="2"/>
  <c r="J87" i="2"/>
  <c r="H87" i="2"/>
  <c r="I87" i="2"/>
  <c r="J86" i="2"/>
  <c r="H86" i="2"/>
  <c r="I86" i="2"/>
  <c r="H85" i="2"/>
  <c r="I85" i="2"/>
  <c r="L85" i="2"/>
  <c r="T84" i="4"/>
  <c r="J84" i="2"/>
  <c r="H84" i="2"/>
  <c r="I84" i="2"/>
  <c r="J83" i="2"/>
  <c r="H83" i="2"/>
  <c r="I83" i="2"/>
  <c r="J82" i="2"/>
  <c r="H82" i="2"/>
  <c r="I82" i="2"/>
  <c r="H81" i="2"/>
  <c r="I81" i="2"/>
  <c r="L81" i="2"/>
  <c r="H80" i="2"/>
  <c r="I80" i="2"/>
  <c r="L80" i="2"/>
  <c r="X79" i="4"/>
  <c r="Y79" i="4"/>
  <c r="H79" i="2"/>
  <c r="I79" i="2"/>
  <c r="L79" i="2"/>
  <c r="H78" i="2"/>
  <c r="I78" i="2"/>
  <c r="L78" i="2"/>
  <c r="J77" i="2"/>
  <c r="H77" i="2"/>
  <c r="I77" i="2"/>
  <c r="H76" i="2"/>
  <c r="I76" i="2"/>
  <c r="L76" i="2"/>
  <c r="L75" i="2"/>
  <c r="N74" i="4"/>
  <c r="H74" i="2"/>
  <c r="I74" i="2"/>
  <c r="L74" i="2"/>
  <c r="J73" i="2"/>
  <c r="H73" i="2"/>
  <c r="I73" i="2"/>
  <c r="J72" i="2"/>
  <c r="H72" i="2"/>
  <c r="I72" i="2"/>
  <c r="H71" i="2"/>
  <c r="I71" i="2"/>
  <c r="L71" i="2"/>
  <c r="J70" i="2"/>
  <c r="H70" i="2"/>
  <c r="I70" i="2"/>
  <c r="J69" i="2"/>
  <c r="H69" i="2"/>
  <c r="I69" i="2"/>
  <c r="L69" i="2"/>
  <c r="Y69" i="2"/>
  <c r="J68" i="2"/>
  <c r="H68" i="2"/>
  <c r="I68" i="2"/>
  <c r="J67" i="2"/>
  <c r="H67" i="2"/>
  <c r="I67" i="2"/>
  <c r="J66" i="2"/>
  <c r="H66" i="2"/>
  <c r="I66" i="2"/>
  <c r="H65" i="2"/>
  <c r="I65" i="2"/>
  <c r="L65" i="2"/>
  <c r="H64" i="2"/>
  <c r="I64" i="2"/>
  <c r="L64" i="2"/>
  <c r="J63" i="2"/>
  <c r="H63" i="2"/>
  <c r="I63" i="2"/>
  <c r="J62" i="2"/>
  <c r="H62" i="2"/>
  <c r="I62" i="2"/>
  <c r="J61" i="2"/>
  <c r="H61" i="2"/>
  <c r="I61" i="2"/>
  <c r="J60" i="2"/>
  <c r="H60" i="2"/>
  <c r="I60" i="2"/>
  <c r="J59" i="2"/>
  <c r="H59" i="2"/>
  <c r="I59" i="2"/>
  <c r="H58" i="2"/>
  <c r="I58" i="2"/>
  <c r="L58" i="2"/>
  <c r="J57" i="2"/>
  <c r="H57" i="2"/>
  <c r="I57" i="2"/>
  <c r="J56" i="2"/>
  <c r="H56" i="2"/>
  <c r="I56" i="2"/>
  <c r="J55" i="2"/>
  <c r="H55" i="2"/>
  <c r="I55" i="2"/>
  <c r="J54" i="2"/>
  <c r="H54" i="2"/>
  <c r="I54" i="2"/>
  <c r="J53" i="2"/>
  <c r="H53" i="2"/>
  <c r="I53" i="2"/>
  <c r="H52" i="2"/>
  <c r="I52" i="2"/>
  <c r="L52" i="2"/>
  <c r="J51" i="2"/>
  <c r="H51" i="2"/>
  <c r="I51" i="2"/>
  <c r="H50" i="2"/>
  <c r="I50" i="2"/>
  <c r="L50" i="2"/>
  <c r="H49" i="2"/>
  <c r="I49" i="2"/>
  <c r="L49" i="2"/>
  <c r="Y49" i="2"/>
  <c r="H48" i="2"/>
  <c r="I48" i="2"/>
  <c r="L48" i="2"/>
  <c r="H47" i="2"/>
  <c r="I47" i="2"/>
  <c r="L47" i="2"/>
  <c r="H46" i="2"/>
  <c r="I46" i="2"/>
  <c r="L46" i="2"/>
  <c r="H45" i="2"/>
  <c r="I45" i="2"/>
  <c r="L45" i="2"/>
  <c r="V44" i="4"/>
  <c r="J44" i="2"/>
  <c r="H44" i="2"/>
  <c r="I44" i="2"/>
  <c r="H43" i="2"/>
  <c r="I43" i="2"/>
  <c r="L43" i="2"/>
  <c r="T42" i="4"/>
  <c r="H42" i="2"/>
  <c r="I42" i="2"/>
  <c r="L42" i="2"/>
  <c r="H41" i="2"/>
  <c r="I41" i="2"/>
  <c r="L41" i="2"/>
  <c r="H40" i="2"/>
  <c r="I40" i="2"/>
  <c r="L40" i="2"/>
  <c r="N39" i="4"/>
  <c r="H39" i="2"/>
  <c r="I39" i="2"/>
  <c r="L39" i="2"/>
  <c r="H38" i="2"/>
  <c r="I38" i="2"/>
  <c r="L38" i="2"/>
  <c r="T37" i="4"/>
  <c r="H37" i="2"/>
  <c r="I37" i="2"/>
  <c r="L37" i="2"/>
  <c r="J36" i="2"/>
  <c r="H36" i="2"/>
  <c r="I36" i="2"/>
  <c r="H35" i="2"/>
  <c r="I35" i="2"/>
  <c r="L35" i="2"/>
  <c r="U34" i="4"/>
  <c r="H34" i="2"/>
  <c r="I34" i="2"/>
  <c r="L34" i="2"/>
  <c r="H33" i="2"/>
  <c r="I33" i="2"/>
  <c r="L33" i="2"/>
  <c r="H32" i="2"/>
  <c r="I32" i="2"/>
  <c r="L32" i="2"/>
  <c r="H31" i="2"/>
  <c r="I31" i="2"/>
  <c r="H30" i="2"/>
  <c r="I30" i="2"/>
  <c r="J29" i="2"/>
  <c r="H29" i="2"/>
  <c r="I29" i="2"/>
  <c r="H28" i="2"/>
  <c r="I28" i="2"/>
  <c r="L28" i="2"/>
  <c r="H27" i="2"/>
  <c r="I27" i="2"/>
  <c r="L27" i="2"/>
  <c r="H26" i="2"/>
  <c r="I26" i="2"/>
  <c r="L26" i="2"/>
  <c r="X25" i="4"/>
  <c r="Y25" i="4"/>
  <c r="H25" i="2"/>
  <c r="I25" i="2"/>
  <c r="L25" i="2"/>
  <c r="J24" i="2"/>
  <c r="H24" i="2"/>
  <c r="I24" i="2"/>
  <c r="J23" i="2"/>
  <c r="H23" i="2"/>
  <c r="I23" i="2"/>
  <c r="I22" i="2"/>
  <c r="L22" i="2"/>
  <c r="J21" i="2"/>
  <c r="H21" i="2"/>
  <c r="I21" i="2"/>
  <c r="H20" i="2"/>
  <c r="I20" i="2"/>
  <c r="L20" i="2"/>
  <c r="W19" i="4"/>
  <c r="H19" i="2"/>
  <c r="I19" i="2"/>
  <c r="L19" i="2"/>
  <c r="P18" i="4"/>
  <c r="I18" i="2"/>
  <c r="L18" i="2"/>
  <c r="H17" i="2"/>
  <c r="I17" i="2"/>
  <c r="L17" i="2"/>
  <c r="S16" i="4"/>
  <c r="H16" i="2"/>
  <c r="I16" i="2"/>
  <c r="L16" i="2"/>
  <c r="J15" i="2"/>
  <c r="H15" i="2"/>
  <c r="I15" i="2"/>
  <c r="H14" i="2"/>
  <c r="I14" i="2"/>
  <c r="L14" i="2"/>
  <c r="V13" i="4"/>
  <c r="H13" i="2"/>
  <c r="I13" i="2"/>
  <c r="L13" i="2"/>
  <c r="H12" i="2"/>
  <c r="I12" i="2"/>
  <c r="L12" i="2"/>
  <c r="H11" i="2"/>
  <c r="I11" i="2"/>
  <c r="L11" i="2"/>
  <c r="H10" i="2"/>
  <c r="I10" i="2"/>
  <c r="L10" i="2"/>
  <c r="J9" i="2"/>
  <c r="H9" i="2"/>
  <c r="I9" i="2"/>
  <c r="H8" i="2"/>
  <c r="I8" i="2"/>
  <c r="L8" i="2"/>
  <c r="H7" i="2"/>
  <c r="I7" i="2"/>
  <c r="L7" i="2"/>
  <c r="S6" i="4"/>
  <c r="H6" i="2"/>
  <c r="I6" i="2"/>
  <c r="L6" i="2"/>
  <c r="J5" i="2"/>
  <c r="H5" i="2"/>
  <c r="I5" i="2"/>
  <c r="Y326" i="1"/>
  <c r="Y325" i="1"/>
  <c r="Y324" i="1"/>
  <c r="Y323" i="1"/>
  <c r="Y322" i="1"/>
  <c r="Y321" i="1"/>
  <c r="Y320" i="1"/>
  <c r="Y319" i="1"/>
  <c r="Y318" i="1"/>
  <c r="Y317" i="1"/>
  <c r="Y316" i="1"/>
  <c r="Y315" i="1"/>
  <c r="Y314" i="1"/>
  <c r="Y313" i="1"/>
  <c r="Y312" i="1"/>
  <c r="Y310" i="1"/>
  <c r="Y309" i="1"/>
  <c r="Y308" i="1"/>
  <c r="Y307" i="1"/>
  <c r="Y306" i="1"/>
  <c r="Y305" i="1"/>
  <c r="Y304" i="1"/>
  <c r="Y303" i="1"/>
  <c r="Y302" i="1"/>
  <c r="Y301" i="1"/>
  <c r="Y300" i="1"/>
  <c r="Y299" i="1"/>
  <c r="Y298" i="1"/>
  <c r="Y297" i="1"/>
  <c r="Y296" i="1"/>
  <c r="Y295" i="1"/>
  <c r="Y294" i="1"/>
  <c r="Y293" i="1"/>
  <c r="Y292" i="1"/>
  <c r="Y291" i="1"/>
  <c r="Y290" i="1"/>
  <c r="Y289" i="1"/>
  <c r="Y288" i="1"/>
  <c r="Y287" i="1"/>
  <c r="Y286" i="1"/>
  <c r="Y285" i="1"/>
  <c r="Y284" i="1"/>
  <c r="Y283" i="1"/>
  <c r="Y282" i="1"/>
  <c r="Y281" i="1"/>
  <c r="Y280" i="1"/>
  <c r="Y279" i="1"/>
  <c r="Y278" i="1"/>
  <c r="Y277" i="1"/>
  <c r="Y276" i="1"/>
  <c r="Y275" i="1"/>
  <c r="Y274" i="1"/>
  <c r="Y273" i="1"/>
  <c r="Y272" i="1"/>
  <c r="Y271" i="1"/>
  <c r="Y270" i="1"/>
  <c r="Y269" i="1"/>
  <c r="Y268" i="1"/>
  <c r="Y267" i="1"/>
  <c r="Y266" i="1"/>
  <c r="Y265" i="1"/>
  <c r="Y264" i="1"/>
  <c r="Y263" i="1"/>
  <c r="Y262" i="1"/>
  <c r="Y261" i="1"/>
  <c r="Y260" i="1"/>
  <c r="Y259" i="1"/>
  <c r="Y258" i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Y240" i="1"/>
  <c r="Y239" i="1"/>
  <c r="Y238" i="1"/>
  <c r="Y237" i="1"/>
  <c r="Y236" i="1"/>
  <c r="Y235" i="1"/>
  <c r="Y234" i="1"/>
  <c r="Y233" i="1"/>
  <c r="Y232" i="1"/>
  <c r="Y231" i="1"/>
  <c r="Y230" i="1"/>
  <c r="Y229" i="1"/>
  <c r="Y228" i="1"/>
  <c r="Y227" i="1"/>
  <c r="Y226" i="1"/>
  <c r="Y225" i="1"/>
  <c r="Y224" i="1"/>
  <c r="Y223" i="1"/>
  <c r="Y222" i="1"/>
  <c r="Y221" i="1"/>
  <c r="Y220" i="1"/>
  <c r="Y219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J326" i="1"/>
  <c r="H326" i="1"/>
  <c r="I326" i="1"/>
  <c r="H325" i="1"/>
  <c r="I325" i="1"/>
  <c r="L325" i="1"/>
  <c r="J324" i="1"/>
  <c r="H324" i="1"/>
  <c r="I324" i="1"/>
  <c r="L324" i="1"/>
  <c r="J323" i="1"/>
  <c r="H323" i="1"/>
  <c r="I323" i="1"/>
  <c r="I322" i="1"/>
  <c r="L322" i="1"/>
  <c r="J321" i="1"/>
  <c r="H321" i="1"/>
  <c r="I321" i="1"/>
  <c r="H320" i="1"/>
  <c r="I320" i="1"/>
  <c r="L320" i="1"/>
  <c r="H319" i="1"/>
  <c r="I319" i="1"/>
  <c r="L319" i="1"/>
  <c r="J318" i="1"/>
  <c r="H318" i="1"/>
  <c r="I318" i="1"/>
  <c r="J317" i="1"/>
  <c r="H317" i="1"/>
  <c r="I317" i="1"/>
  <c r="J316" i="1"/>
  <c r="H316" i="1"/>
  <c r="I316" i="1"/>
  <c r="H315" i="1"/>
  <c r="I315" i="1"/>
  <c r="L315" i="1"/>
  <c r="H314" i="1"/>
  <c r="I314" i="1"/>
  <c r="L314" i="1"/>
  <c r="H313" i="1"/>
  <c r="I313" i="1"/>
  <c r="L313" i="1"/>
  <c r="H312" i="1"/>
  <c r="I312" i="1"/>
  <c r="L312" i="1"/>
  <c r="H311" i="1"/>
  <c r="H310" i="1"/>
  <c r="I310" i="1"/>
  <c r="L310" i="1"/>
  <c r="H309" i="1"/>
  <c r="I309" i="1"/>
  <c r="L309" i="1"/>
  <c r="J308" i="1"/>
  <c r="H308" i="1"/>
  <c r="I308" i="1"/>
  <c r="H307" i="1"/>
  <c r="I307" i="1"/>
  <c r="L307" i="1"/>
  <c r="H306" i="1"/>
  <c r="I306" i="1"/>
  <c r="L306" i="1"/>
  <c r="H305" i="1"/>
  <c r="I305" i="1"/>
  <c r="L305" i="1"/>
  <c r="H304" i="1"/>
  <c r="I304" i="1"/>
  <c r="L304" i="1"/>
  <c r="H303" i="1"/>
  <c r="I303" i="1"/>
  <c r="L303" i="1"/>
  <c r="H302" i="1"/>
  <c r="I302" i="1"/>
  <c r="L302" i="1"/>
  <c r="H301" i="1"/>
  <c r="I301" i="1"/>
  <c r="L301" i="1"/>
  <c r="J300" i="1"/>
  <c r="H300" i="1"/>
  <c r="I300" i="1"/>
  <c r="H299" i="1"/>
  <c r="I299" i="1"/>
  <c r="L299" i="1"/>
  <c r="H298" i="1"/>
  <c r="I298" i="1"/>
  <c r="L298" i="1"/>
  <c r="J297" i="1"/>
  <c r="H297" i="1"/>
  <c r="I297" i="1"/>
  <c r="H296" i="1"/>
  <c r="I296" i="1"/>
  <c r="L296" i="1"/>
  <c r="J295" i="1"/>
  <c r="H295" i="1"/>
  <c r="I295" i="1"/>
  <c r="H294" i="1"/>
  <c r="I294" i="1"/>
  <c r="L294" i="1"/>
  <c r="H293" i="1"/>
  <c r="I293" i="1"/>
  <c r="L293" i="1"/>
  <c r="J292" i="1"/>
  <c r="H292" i="1"/>
  <c r="I292" i="1"/>
  <c r="J291" i="1"/>
  <c r="H291" i="1"/>
  <c r="I291" i="1"/>
  <c r="H290" i="1"/>
  <c r="I290" i="1"/>
  <c r="L290" i="1"/>
  <c r="I289" i="1"/>
  <c r="L289" i="1"/>
  <c r="I288" i="1"/>
  <c r="L288" i="1"/>
  <c r="H287" i="1"/>
  <c r="I287" i="1"/>
  <c r="L287" i="1"/>
  <c r="J286" i="1"/>
  <c r="H286" i="1"/>
  <c r="I286" i="1"/>
  <c r="H285" i="1"/>
  <c r="I285" i="1"/>
  <c r="L285" i="1"/>
  <c r="J284" i="1"/>
  <c r="H284" i="1"/>
  <c r="I284" i="1"/>
  <c r="H283" i="1"/>
  <c r="I283" i="1"/>
  <c r="L283" i="1"/>
  <c r="H282" i="1"/>
  <c r="I282" i="1"/>
  <c r="L282" i="1"/>
  <c r="J281" i="1"/>
  <c r="H281" i="1"/>
  <c r="I281" i="1"/>
  <c r="J280" i="1"/>
  <c r="H280" i="1"/>
  <c r="I280" i="1"/>
  <c r="J279" i="1"/>
  <c r="L279" i="1"/>
  <c r="H279" i="1"/>
  <c r="J278" i="1"/>
  <c r="H278" i="1"/>
  <c r="I278" i="1"/>
  <c r="H277" i="1"/>
  <c r="I277" i="1"/>
  <c r="L277" i="1"/>
  <c r="H276" i="1"/>
  <c r="I276" i="1"/>
  <c r="L276" i="1"/>
  <c r="H275" i="1"/>
  <c r="I275" i="1"/>
  <c r="L275" i="1"/>
  <c r="H274" i="1"/>
  <c r="I274" i="1"/>
  <c r="L274" i="1"/>
  <c r="H273" i="1"/>
  <c r="I273" i="1"/>
  <c r="L273" i="1"/>
  <c r="H272" i="1"/>
  <c r="I272" i="1"/>
  <c r="L272" i="1"/>
  <c r="H271" i="1"/>
  <c r="I271" i="1"/>
  <c r="L271" i="1"/>
  <c r="J270" i="1"/>
  <c r="H270" i="1"/>
  <c r="I270" i="1"/>
  <c r="H269" i="1"/>
  <c r="I269" i="1"/>
  <c r="L269" i="1"/>
  <c r="L268" i="1"/>
  <c r="H268" i="1"/>
  <c r="H267" i="1"/>
  <c r="I267" i="1"/>
  <c r="L267" i="1"/>
  <c r="H266" i="1"/>
  <c r="I266" i="1"/>
  <c r="L266" i="1"/>
  <c r="H265" i="1"/>
  <c r="I265" i="1"/>
  <c r="L265" i="1"/>
  <c r="H264" i="1"/>
  <c r="I264" i="1"/>
  <c r="L264" i="1"/>
  <c r="H263" i="1"/>
  <c r="I263" i="1"/>
  <c r="L263" i="1"/>
  <c r="H262" i="1"/>
  <c r="I262" i="1"/>
  <c r="L262" i="1"/>
  <c r="H261" i="1"/>
  <c r="I261" i="1"/>
  <c r="L261" i="1"/>
  <c r="H260" i="1"/>
  <c r="I260" i="1"/>
  <c r="L260" i="1"/>
  <c r="H259" i="1"/>
  <c r="I259" i="1"/>
  <c r="L259" i="1"/>
  <c r="H258" i="1"/>
  <c r="I258" i="1"/>
  <c r="L258" i="1"/>
  <c r="J257" i="1"/>
  <c r="H257" i="1"/>
  <c r="I257" i="1"/>
  <c r="H256" i="1"/>
  <c r="I256" i="1"/>
  <c r="L256" i="1"/>
  <c r="H255" i="1"/>
  <c r="I255" i="1"/>
  <c r="L255" i="1"/>
  <c r="H254" i="1"/>
  <c r="I254" i="1"/>
  <c r="L254" i="1"/>
  <c r="H253" i="1"/>
  <c r="I253" i="1"/>
  <c r="L253" i="1"/>
  <c r="H252" i="1"/>
  <c r="I252" i="1"/>
  <c r="L252" i="1"/>
  <c r="H251" i="1"/>
  <c r="I251" i="1"/>
  <c r="L251" i="1"/>
  <c r="J250" i="1"/>
  <c r="H250" i="1"/>
  <c r="I250" i="1"/>
  <c r="H249" i="1"/>
  <c r="I249" i="1"/>
  <c r="L249" i="1"/>
  <c r="J248" i="1"/>
  <c r="H248" i="1"/>
  <c r="I248" i="1"/>
  <c r="H247" i="1"/>
  <c r="I247" i="1"/>
  <c r="L247" i="1"/>
  <c r="H246" i="1"/>
  <c r="I246" i="1"/>
  <c r="L246" i="1"/>
  <c r="H245" i="1"/>
  <c r="I245" i="1"/>
  <c r="L245" i="1"/>
  <c r="H244" i="1"/>
  <c r="I244" i="1"/>
  <c r="L244" i="1"/>
  <c r="H243" i="1"/>
  <c r="I243" i="1"/>
  <c r="L243" i="1"/>
  <c r="H242" i="1"/>
  <c r="I242" i="1"/>
  <c r="L242" i="1"/>
  <c r="J241" i="1"/>
  <c r="H241" i="1"/>
  <c r="I241" i="1"/>
  <c r="J240" i="1"/>
  <c r="H240" i="1"/>
  <c r="I240" i="1"/>
  <c r="H239" i="1"/>
  <c r="I239" i="1"/>
  <c r="L239" i="1"/>
  <c r="J238" i="1"/>
  <c r="H238" i="1"/>
  <c r="I238" i="1"/>
  <c r="J237" i="1"/>
  <c r="H237" i="1"/>
  <c r="I237" i="1"/>
  <c r="L237" i="1"/>
  <c r="H236" i="1"/>
  <c r="I236" i="1"/>
  <c r="L236" i="1"/>
  <c r="J235" i="1"/>
  <c r="H235" i="1"/>
  <c r="I235" i="1"/>
  <c r="J234" i="1"/>
  <c r="H234" i="1"/>
  <c r="I234" i="1"/>
  <c r="H233" i="1"/>
  <c r="I233" i="1"/>
  <c r="L233" i="1"/>
  <c r="H232" i="1"/>
  <c r="I232" i="1"/>
  <c r="L232" i="1"/>
  <c r="H231" i="1"/>
  <c r="I231" i="1"/>
  <c r="L231" i="1"/>
  <c r="H230" i="1"/>
  <c r="I230" i="1"/>
  <c r="L230" i="1"/>
  <c r="L229" i="1"/>
  <c r="H229" i="1"/>
  <c r="J228" i="1"/>
  <c r="L228" i="1"/>
  <c r="H228" i="1"/>
  <c r="J227" i="1"/>
  <c r="H227" i="1"/>
  <c r="I227" i="1"/>
  <c r="H226" i="1"/>
  <c r="I226" i="1"/>
  <c r="L226" i="1"/>
  <c r="I225" i="1"/>
  <c r="L225" i="1"/>
  <c r="H224" i="1"/>
  <c r="I224" i="1"/>
  <c r="L224" i="1"/>
  <c r="J223" i="1"/>
  <c r="H223" i="1"/>
  <c r="I223" i="1"/>
  <c r="H222" i="1"/>
  <c r="I222" i="1"/>
  <c r="L222" i="1"/>
  <c r="H221" i="1"/>
  <c r="I221" i="1"/>
  <c r="L221" i="1"/>
  <c r="H220" i="1"/>
  <c r="I220" i="1"/>
  <c r="L220" i="1"/>
  <c r="H219" i="1"/>
  <c r="I219" i="1"/>
  <c r="L219" i="1"/>
  <c r="H218" i="1"/>
  <c r="I218" i="1"/>
  <c r="L218" i="1"/>
  <c r="H217" i="1"/>
  <c r="I217" i="1"/>
  <c r="L217" i="1"/>
  <c r="H216" i="1"/>
  <c r="I216" i="1"/>
  <c r="L216" i="1"/>
  <c r="J215" i="1"/>
  <c r="H215" i="1"/>
  <c r="I215" i="1"/>
  <c r="I214" i="1"/>
  <c r="L214" i="1"/>
  <c r="H213" i="1"/>
  <c r="I213" i="1"/>
  <c r="L213" i="1"/>
  <c r="H212" i="1"/>
  <c r="I212" i="1"/>
  <c r="L212" i="1"/>
  <c r="H211" i="1"/>
  <c r="I211" i="1"/>
  <c r="L211" i="1"/>
  <c r="H210" i="1"/>
  <c r="I210" i="1"/>
  <c r="L210" i="1"/>
  <c r="J209" i="1"/>
  <c r="H209" i="1"/>
  <c r="I209" i="1"/>
  <c r="H208" i="1"/>
  <c r="I208" i="1"/>
  <c r="L208" i="1"/>
  <c r="J207" i="1"/>
  <c r="H207" i="1"/>
  <c r="I207" i="1"/>
  <c r="I206" i="1"/>
  <c r="L206" i="1"/>
  <c r="I205" i="1"/>
  <c r="L205" i="1"/>
  <c r="H204" i="1"/>
  <c r="I204" i="1"/>
  <c r="L204" i="1"/>
  <c r="H203" i="1"/>
  <c r="I203" i="1"/>
  <c r="L203" i="1"/>
  <c r="H202" i="1"/>
  <c r="I202" i="1"/>
  <c r="L202" i="1"/>
  <c r="J201" i="1"/>
  <c r="H201" i="1"/>
  <c r="I201" i="1"/>
  <c r="J200" i="1"/>
  <c r="H200" i="1"/>
  <c r="I200" i="1"/>
  <c r="J199" i="1"/>
  <c r="H199" i="1"/>
  <c r="I199" i="1"/>
  <c r="H198" i="1"/>
  <c r="I198" i="1"/>
  <c r="L198" i="1"/>
  <c r="H197" i="1"/>
  <c r="I197" i="1"/>
  <c r="L197" i="1"/>
  <c r="H196" i="1"/>
  <c r="I196" i="1"/>
  <c r="L196" i="1"/>
  <c r="H195" i="1"/>
  <c r="I195" i="1"/>
  <c r="L195" i="1"/>
  <c r="H194" i="1"/>
  <c r="I194" i="1"/>
  <c r="L194" i="1"/>
  <c r="H193" i="1"/>
  <c r="I193" i="1"/>
  <c r="L193" i="1"/>
  <c r="H192" i="1"/>
  <c r="I192" i="1"/>
  <c r="L192" i="1"/>
  <c r="H191" i="1"/>
  <c r="I191" i="1"/>
  <c r="L191" i="1"/>
  <c r="H190" i="1"/>
  <c r="I190" i="1"/>
  <c r="L190" i="1"/>
  <c r="H189" i="1"/>
  <c r="I189" i="1"/>
  <c r="L189" i="1"/>
  <c r="H188" i="1"/>
  <c r="I188" i="1"/>
  <c r="L188" i="1"/>
  <c r="H186" i="1"/>
  <c r="I186" i="1"/>
  <c r="L186" i="1"/>
  <c r="H185" i="1"/>
  <c r="I185" i="1"/>
  <c r="L185" i="1"/>
  <c r="I184" i="1"/>
  <c r="L184" i="1"/>
  <c r="H183" i="1"/>
  <c r="I183" i="1"/>
  <c r="L183" i="1"/>
  <c r="H182" i="1"/>
  <c r="I182" i="1"/>
  <c r="L182" i="1"/>
  <c r="H181" i="1"/>
  <c r="I181" i="1"/>
  <c r="L181" i="1"/>
  <c r="J180" i="1"/>
  <c r="H180" i="1"/>
  <c r="I180" i="1"/>
  <c r="H179" i="1"/>
  <c r="I179" i="1"/>
  <c r="L179" i="1"/>
  <c r="H178" i="1"/>
  <c r="I178" i="1"/>
  <c r="L178" i="1"/>
  <c r="H177" i="1"/>
  <c r="I177" i="1"/>
  <c r="L177" i="1"/>
  <c r="H176" i="1"/>
  <c r="I176" i="1"/>
  <c r="L176" i="1"/>
  <c r="H175" i="1"/>
  <c r="I175" i="1"/>
  <c r="L175" i="1"/>
  <c r="H174" i="1"/>
  <c r="I174" i="1"/>
  <c r="L174" i="1"/>
  <c r="H173" i="1"/>
  <c r="I173" i="1"/>
  <c r="L173" i="1"/>
  <c r="H172" i="1"/>
  <c r="I172" i="1"/>
  <c r="L172" i="1"/>
  <c r="H171" i="1"/>
  <c r="I171" i="1"/>
  <c r="L171" i="1"/>
  <c r="H170" i="1"/>
  <c r="I170" i="1"/>
  <c r="L170" i="1"/>
  <c r="H169" i="1"/>
  <c r="I169" i="1"/>
  <c r="L169" i="1"/>
  <c r="H168" i="1"/>
  <c r="I168" i="1"/>
  <c r="L168" i="1"/>
  <c r="H167" i="1"/>
  <c r="I167" i="1"/>
  <c r="L167" i="1"/>
  <c r="H166" i="1"/>
  <c r="I166" i="1"/>
  <c r="L166" i="1"/>
  <c r="J165" i="1"/>
  <c r="H165" i="1"/>
  <c r="I165" i="1"/>
  <c r="H164" i="1"/>
  <c r="I164" i="1"/>
  <c r="L164" i="1"/>
  <c r="J163" i="1"/>
  <c r="H163" i="1"/>
  <c r="I163" i="1"/>
  <c r="H162" i="1"/>
  <c r="I162" i="1"/>
  <c r="L162" i="1"/>
  <c r="H161" i="1"/>
  <c r="I161" i="1"/>
  <c r="L161" i="1"/>
  <c r="J160" i="1"/>
  <c r="H160" i="1"/>
  <c r="I160" i="1"/>
  <c r="J159" i="1"/>
  <c r="H159" i="1"/>
  <c r="I159" i="1"/>
  <c r="J158" i="1"/>
  <c r="H158" i="1"/>
  <c r="I158" i="1"/>
  <c r="J157" i="1"/>
  <c r="H157" i="1"/>
  <c r="I157" i="1"/>
  <c r="J156" i="1"/>
  <c r="H156" i="1"/>
  <c r="I156" i="1"/>
  <c r="L156" i="1"/>
  <c r="H155" i="1"/>
  <c r="I155" i="1"/>
  <c r="L155" i="1"/>
  <c r="H154" i="1"/>
  <c r="I154" i="1"/>
  <c r="L154" i="1"/>
  <c r="H153" i="1"/>
  <c r="I153" i="1"/>
  <c r="L153" i="1"/>
  <c r="J152" i="1"/>
  <c r="H152" i="1"/>
  <c r="I152" i="1"/>
  <c r="H151" i="1"/>
  <c r="I151" i="1"/>
  <c r="L151" i="1"/>
  <c r="J150" i="1"/>
  <c r="H150" i="1"/>
  <c r="I150" i="1"/>
  <c r="J149" i="1"/>
  <c r="H149" i="1"/>
  <c r="I149" i="1"/>
  <c r="H148" i="1"/>
  <c r="I148" i="1"/>
  <c r="L148" i="1"/>
  <c r="J147" i="1"/>
  <c r="H147" i="1"/>
  <c r="I147" i="1"/>
  <c r="H146" i="1"/>
  <c r="I146" i="1"/>
  <c r="L146" i="1"/>
  <c r="H145" i="1"/>
  <c r="I145" i="1"/>
  <c r="L145" i="1"/>
  <c r="H144" i="1"/>
  <c r="I144" i="1"/>
  <c r="L144" i="1"/>
  <c r="H143" i="1"/>
  <c r="I143" i="1"/>
  <c r="L143" i="1"/>
  <c r="H142" i="1"/>
  <c r="I142" i="1"/>
  <c r="L142" i="1"/>
  <c r="J141" i="1"/>
  <c r="H141" i="1"/>
  <c r="I141" i="1"/>
  <c r="L141" i="1"/>
  <c r="H140" i="1"/>
  <c r="I140" i="1"/>
  <c r="L140" i="1"/>
  <c r="J139" i="1"/>
  <c r="H139" i="1"/>
  <c r="I139" i="1"/>
  <c r="H138" i="1"/>
  <c r="I138" i="1"/>
  <c r="L138" i="1"/>
  <c r="J137" i="1"/>
  <c r="H137" i="1"/>
  <c r="I137" i="1"/>
  <c r="H136" i="1"/>
  <c r="I136" i="1"/>
  <c r="L136" i="1"/>
  <c r="H135" i="1"/>
  <c r="I135" i="1"/>
  <c r="L135" i="1"/>
  <c r="H134" i="1"/>
  <c r="I134" i="1"/>
  <c r="L134" i="1"/>
  <c r="I133" i="1"/>
  <c r="J132" i="1"/>
  <c r="H132" i="1"/>
  <c r="I132" i="1"/>
  <c r="H131" i="1"/>
  <c r="I131" i="1"/>
  <c r="L131" i="1"/>
  <c r="H130" i="1"/>
  <c r="I130" i="1"/>
  <c r="L130" i="1"/>
  <c r="J129" i="1"/>
  <c r="H129" i="1"/>
  <c r="I129" i="1"/>
  <c r="H128" i="1"/>
  <c r="I128" i="1"/>
  <c r="L128" i="1"/>
  <c r="H127" i="1"/>
  <c r="I127" i="1"/>
  <c r="L127" i="1"/>
  <c r="J126" i="1"/>
  <c r="H126" i="1"/>
  <c r="I126" i="1"/>
  <c r="J125" i="1"/>
  <c r="H125" i="1"/>
  <c r="I125" i="1"/>
  <c r="H124" i="1"/>
  <c r="I124" i="1"/>
  <c r="L124" i="1"/>
  <c r="H123" i="1"/>
  <c r="I123" i="1"/>
  <c r="L123" i="1"/>
  <c r="H122" i="1"/>
  <c r="I122" i="1"/>
  <c r="L122" i="1"/>
  <c r="H121" i="1"/>
  <c r="I121" i="1"/>
  <c r="L121" i="1"/>
  <c r="I120" i="1"/>
  <c r="L120" i="1"/>
  <c r="J119" i="1"/>
  <c r="H119" i="1"/>
  <c r="I119" i="1"/>
  <c r="H118" i="1"/>
  <c r="I118" i="1"/>
  <c r="L118" i="1"/>
  <c r="H117" i="1"/>
  <c r="I117" i="1"/>
  <c r="L117" i="1"/>
  <c r="H116" i="1"/>
  <c r="I116" i="1"/>
  <c r="L116" i="1"/>
  <c r="H115" i="1"/>
  <c r="I115" i="1"/>
  <c r="L115" i="1"/>
  <c r="J114" i="1"/>
  <c r="H114" i="1"/>
  <c r="I114" i="1"/>
  <c r="J113" i="1"/>
  <c r="H113" i="1"/>
  <c r="I113" i="1"/>
  <c r="H112" i="1"/>
  <c r="I112" i="1"/>
  <c r="L112" i="1"/>
  <c r="H111" i="1"/>
  <c r="I111" i="1"/>
  <c r="L111" i="1"/>
  <c r="J110" i="1"/>
  <c r="H110" i="1"/>
  <c r="I110" i="1"/>
  <c r="H109" i="1"/>
  <c r="I109" i="1"/>
  <c r="L109" i="1"/>
  <c r="J108" i="1"/>
  <c r="H108" i="1"/>
  <c r="I108" i="1"/>
  <c r="L108" i="1"/>
  <c r="H107" i="1"/>
  <c r="I107" i="1"/>
  <c r="L107" i="1"/>
  <c r="H106" i="1"/>
  <c r="I106" i="1"/>
  <c r="L106" i="1"/>
  <c r="H105" i="1"/>
  <c r="I105" i="1"/>
  <c r="L105" i="1"/>
  <c r="H104" i="1"/>
  <c r="I104" i="1"/>
  <c r="L104" i="1"/>
  <c r="H103" i="1"/>
  <c r="I103" i="1"/>
  <c r="L103" i="1"/>
  <c r="H102" i="1"/>
  <c r="I102" i="1"/>
  <c r="L102" i="1"/>
  <c r="J101" i="1"/>
  <c r="H101" i="1"/>
  <c r="I101" i="1"/>
  <c r="J100" i="1"/>
  <c r="H100" i="1"/>
  <c r="I100" i="1"/>
  <c r="H99" i="1"/>
  <c r="I99" i="1"/>
  <c r="L99" i="1"/>
  <c r="J98" i="1"/>
  <c r="H98" i="1"/>
  <c r="I98" i="1"/>
  <c r="H97" i="1"/>
  <c r="I97" i="1"/>
  <c r="L97" i="1"/>
  <c r="H96" i="1"/>
  <c r="I96" i="1"/>
  <c r="L96" i="1"/>
  <c r="H95" i="1"/>
  <c r="I95" i="1"/>
  <c r="L95" i="1"/>
  <c r="H94" i="1"/>
  <c r="I94" i="1"/>
  <c r="L94" i="1"/>
  <c r="J93" i="1"/>
  <c r="H93" i="1"/>
  <c r="I93" i="1"/>
  <c r="H92" i="1"/>
  <c r="I92" i="1"/>
  <c r="L92" i="1"/>
  <c r="I91" i="1"/>
  <c r="L91" i="1"/>
  <c r="I90" i="1"/>
  <c r="L90" i="1"/>
  <c r="J89" i="1"/>
  <c r="H89" i="1"/>
  <c r="I89" i="1"/>
  <c r="J88" i="1"/>
  <c r="H88" i="1"/>
  <c r="I88" i="1"/>
  <c r="J87" i="1"/>
  <c r="H87" i="1"/>
  <c r="I87" i="1"/>
  <c r="J86" i="1"/>
  <c r="H86" i="1"/>
  <c r="I86" i="1"/>
  <c r="H85" i="1"/>
  <c r="I85" i="1"/>
  <c r="L85" i="1"/>
  <c r="J84" i="1"/>
  <c r="H84" i="1"/>
  <c r="I84" i="1"/>
  <c r="J83" i="1"/>
  <c r="H83" i="1"/>
  <c r="I83" i="1"/>
  <c r="J82" i="1"/>
  <c r="H82" i="1"/>
  <c r="I82" i="1"/>
  <c r="H81" i="1"/>
  <c r="I81" i="1"/>
  <c r="L81" i="1"/>
  <c r="H80" i="1"/>
  <c r="I80" i="1"/>
  <c r="L80" i="1"/>
  <c r="H79" i="1"/>
  <c r="I79" i="1"/>
  <c r="L79" i="1"/>
  <c r="H78" i="1"/>
  <c r="I78" i="1"/>
  <c r="L78" i="1"/>
  <c r="J77" i="1"/>
  <c r="H77" i="1"/>
  <c r="I77" i="1"/>
  <c r="H76" i="1"/>
  <c r="I76" i="1"/>
  <c r="L76" i="1"/>
  <c r="L75" i="1"/>
  <c r="H74" i="1"/>
  <c r="I74" i="1"/>
  <c r="L74" i="1"/>
  <c r="J73" i="1"/>
  <c r="H73" i="1"/>
  <c r="I73" i="1"/>
  <c r="J72" i="1"/>
  <c r="H72" i="1"/>
  <c r="I72" i="1"/>
  <c r="H71" i="1"/>
  <c r="I71" i="1"/>
  <c r="L71" i="1"/>
  <c r="J70" i="1"/>
  <c r="H70" i="1"/>
  <c r="I70" i="1"/>
  <c r="J69" i="1"/>
  <c r="H69" i="1"/>
  <c r="I69" i="1"/>
  <c r="L69" i="1"/>
  <c r="J68" i="1"/>
  <c r="H68" i="1"/>
  <c r="I68" i="1"/>
  <c r="J67" i="1"/>
  <c r="H67" i="1"/>
  <c r="I67" i="1"/>
  <c r="J66" i="1"/>
  <c r="H66" i="1"/>
  <c r="I66" i="1"/>
  <c r="H65" i="1"/>
  <c r="I65" i="1"/>
  <c r="L65" i="1"/>
  <c r="H64" i="1"/>
  <c r="I64" i="1"/>
  <c r="L64" i="1"/>
  <c r="J63" i="1"/>
  <c r="H63" i="1"/>
  <c r="I63" i="1"/>
  <c r="J62" i="1"/>
  <c r="H62" i="1"/>
  <c r="I62" i="1"/>
  <c r="J61" i="1"/>
  <c r="H61" i="1"/>
  <c r="I61" i="1"/>
  <c r="J60" i="1"/>
  <c r="H60" i="1"/>
  <c r="I60" i="1"/>
  <c r="J59" i="1"/>
  <c r="H59" i="1"/>
  <c r="I59" i="1"/>
  <c r="H58" i="1"/>
  <c r="I58" i="1"/>
  <c r="L58" i="1"/>
  <c r="J57" i="1"/>
  <c r="H57" i="1"/>
  <c r="I57" i="1"/>
  <c r="J56" i="1"/>
  <c r="H56" i="1"/>
  <c r="I56" i="1"/>
  <c r="J55" i="1"/>
  <c r="H55" i="1"/>
  <c r="I55" i="1"/>
  <c r="J54" i="1"/>
  <c r="H54" i="1"/>
  <c r="I54" i="1"/>
  <c r="J53" i="1"/>
  <c r="H53" i="1"/>
  <c r="I53" i="1"/>
  <c r="H52" i="1"/>
  <c r="I52" i="1"/>
  <c r="L52" i="1"/>
  <c r="J51" i="1"/>
  <c r="H51" i="1"/>
  <c r="I51" i="1"/>
  <c r="H50" i="1"/>
  <c r="I50" i="1"/>
  <c r="L50" i="1"/>
  <c r="H49" i="1"/>
  <c r="I49" i="1"/>
  <c r="L49" i="1"/>
  <c r="H48" i="1"/>
  <c r="I48" i="1"/>
  <c r="L48" i="1"/>
  <c r="H47" i="1"/>
  <c r="I47" i="1"/>
  <c r="L47" i="1"/>
  <c r="H46" i="1"/>
  <c r="I46" i="1"/>
  <c r="L46" i="1"/>
  <c r="H45" i="1"/>
  <c r="I45" i="1"/>
  <c r="L45" i="1"/>
  <c r="J44" i="1"/>
  <c r="H44" i="1"/>
  <c r="I44" i="1"/>
  <c r="H43" i="1"/>
  <c r="I43" i="1"/>
  <c r="L43" i="1"/>
  <c r="H42" i="1"/>
  <c r="I42" i="1"/>
  <c r="L42" i="1"/>
  <c r="H41" i="1"/>
  <c r="I41" i="1"/>
  <c r="L41" i="1"/>
  <c r="H40" i="1"/>
  <c r="I40" i="1"/>
  <c r="L40" i="1"/>
  <c r="H39" i="1"/>
  <c r="I39" i="1"/>
  <c r="L39" i="1"/>
  <c r="H38" i="1"/>
  <c r="I38" i="1"/>
  <c r="L38" i="1"/>
  <c r="H37" i="1"/>
  <c r="I37" i="1"/>
  <c r="L37" i="1"/>
  <c r="J36" i="1"/>
  <c r="H36" i="1"/>
  <c r="I36" i="1"/>
  <c r="H35" i="1"/>
  <c r="I35" i="1"/>
  <c r="L35" i="1"/>
  <c r="H34" i="1"/>
  <c r="I34" i="1"/>
  <c r="L34" i="1"/>
  <c r="H33" i="1"/>
  <c r="I33" i="1"/>
  <c r="L33" i="1"/>
  <c r="H32" i="1"/>
  <c r="I32" i="1"/>
  <c r="L32" i="1"/>
  <c r="H31" i="1"/>
  <c r="I31" i="1"/>
  <c r="H30" i="1"/>
  <c r="I30" i="1"/>
  <c r="J29" i="1"/>
  <c r="H29" i="1"/>
  <c r="I29" i="1"/>
  <c r="H28" i="1"/>
  <c r="I28" i="1"/>
  <c r="L28" i="1"/>
  <c r="H27" i="1"/>
  <c r="I27" i="1"/>
  <c r="L27" i="1"/>
  <c r="H26" i="1"/>
  <c r="I26" i="1"/>
  <c r="L26" i="1"/>
  <c r="H25" i="1"/>
  <c r="I25" i="1"/>
  <c r="L25" i="1"/>
  <c r="J24" i="1"/>
  <c r="H24" i="1"/>
  <c r="I24" i="1"/>
  <c r="J23" i="1"/>
  <c r="H23" i="1"/>
  <c r="I23" i="1"/>
  <c r="I22" i="1"/>
  <c r="L22" i="1"/>
  <c r="J21" i="1"/>
  <c r="H21" i="1"/>
  <c r="I21" i="1"/>
  <c r="H20" i="1"/>
  <c r="I20" i="1"/>
  <c r="L20" i="1"/>
  <c r="H19" i="1"/>
  <c r="I19" i="1"/>
  <c r="L19" i="1"/>
  <c r="I18" i="1"/>
  <c r="L18" i="1"/>
  <c r="H17" i="1"/>
  <c r="I17" i="1"/>
  <c r="L17" i="1"/>
  <c r="H16" i="1"/>
  <c r="I16" i="1"/>
  <c r="L16" i="1"/>
  <c r="J15" i="1"/>
  <c r="H15" i="1"/>
  <c r="I15" i="1"/>
  <c r="H14" i="1"/>
  <c r="I14" i="1"/>
  <c r="L14" i="1"/>
  <c r="H13" i="1"/>
  <c r="I13" i="1"/>
  <c r="L13" i="1"/>
  <c r="H12" i="1"/>
  <c r="I12" i="1"/>
  <c r="L12" i="1"/>
  <c r="H11" i="1"/>
  <c r="I11" i="1"/>
  <c r="L11" i="1"/>
  <c r="H10" i="1"/>
  <c r="I10" i="1"/>
  <c r="L10" i="1"/>
  <c r="J9" i="1"/>
  <c r="H9" i="1"/>
  <c r="I9" i="1"/>
  <c r="H8" i="1"/>
  <c r="I8" i="1"/>
  <c r="L8" i="1"/>
  <c r="H7" i="1"/>
  <c r="I7" i="1"/>
  <c r="L7" i="1"/>
  <c r="H6" i="1"/>
  <c r="I6" i="1"/>
  <c r="L6" i="1"/>
  <c r="J5" i="1"/>
  <c r="H5" i="1"/>
  <c r="I5" i="1"/>
  <c r="L55" i="2"/>
  <c r="Y55" i="2"/>
  <c r="P240" i="4"/>
  <c r="T240" i="4"/>
  <c r="X240" i="4"/>
  <c r="Y240" i="4"/>
  <c r="M240" i="4"/>
  <c r="Q240" i="4"/>
  <c r="U240" i="4"/>
  <c r="N240" i="4"/>
  <c r="R240" i="4"/>
  <c r="V240" i="4"/>
  <c r="S240" i="4"/>
  <c r="W240" i="4"/>
  <c r="O240" i="4"/>
  <c r="U303" i="4"/>
  <c r="T297" i="4"/>
  <c r="S297" i="4"/>
  <c r="O297" i="4"/>
  <c r="X130" i="4"/>
  <c r="Y130" i="4"/>
  <c r="S130" i="4"/>
  <c r="N207" i="4"/>
  <c r="R207" i="4"/>
  <c r="O207" i="4"/>
  <c r="S207" i="4"/>
  <c r="W207" i="4"/>
  <c r="X207" i="4"/>
  <c r="Y207" i="4"/>
  <c r="Q207" i="4"/>
  <c r="T207" i="4"/>
  <c r="Y208" i="2"/>
  <c r="M207" i="4"/>
  <c r="U207" i="4"/>
  <c r="X5" i="4"/>
  <c r="Y5" i="4"/>
  <c r="N5" i="4"/>
  <c r="W166" i="4"/>
  <c r="P185" i="4"/>
  <c r="N194" i="4"/>
  <c r="O194" i="4"/>
  <c r="P203" i="4"/>
  <c r="P278" i="4"/>
  <c r="T278" i="4"/>
  <c r="X278" i="4"/>
  <c r="Y278" i="4"/>
  <c r="M278" i="4"/>
  <c r="Q278" i="4"/>
  <c r="U278" i="4"/>
  <c r="N278" i="4"/>
  <c r="R278" i="4"/>
  <c r="V278" i="4"/>
  <c r="W278" i="4"/>
  <c r="O278" i="4"/>
  <c r="S278" i="4"/>
  <c r="Y279" i="2"/>
  <c r="M79" i="4"/>
  <c r="Y140" i="2"/>
  <c r="M145" i="4"/>
  <c r="W248" i="4"/>
  <c r="W311" i="4"/>
  <c r="M314" i="4"/>
  <c r="Q324" i="4"/>
  <c r="T93" i="4"/>
  <c r="Q111" i="4"/>
  <c r="Q272" i="4"/>
  <c r="W272" i="4"/>
  <c r="O10" i="4"/>
  <c r="T70" i="4"/>
  <c r="X70" i="4"/>
  <c r="Y70" i="4"/>
  <c r="W70" i="4"/>
  <c r="O70" i="4"/>
  <c r="M74" i="4"/>
  <c r="W74" i="4"/>
  <c r="R89" i="4"/>
  <c r="Y90" i="2"/>
  <c r="N127" i="4"/>
  <c r="R127" i="4"/>
  <c r="T127" i="4"/>
  <c r="X127" i="4"/>
  <c r="Y127" i="4"/>
  <c r="M127" i="4"/>
  <c r="O127" i="4"/>
  <c r="Q127" i="4"/>
  <c r="S127" i="4"/>
  <c r="N243" i="4"/>
  <c r="P259" i="4"/>
  <c r="R259" i="4"/>
  <c r="S292" i="4"/>
  <c r="X300" i="4"/>
  <c r="Y300" i="4"/>
  <c r="O12" i="4"/>
  <c r="W12" i="4"/>
  <c r="X12" i="4"/>
  <c r="Y12" i="4"/>
  <c r="M12" i="4"/>
  <c r="Q12" i="4"/>
  <c r="O21" i="4"/>
  <c r="V21" i="4"/>
  <c r="Q223" i="4"/>
  <c r="N232" i="4"/>
  <c r="R232" i="4"/>
  <c r="V232" i="4"/>
  <c r="O232" i="4"/>
  <c r="S232" i="4"/>
  <c r="W232" i="4"/>
  <c r="T232" i="4"/>
  <c r="M232" i="4"/>
  <c r="U232" i="4"/>
  <c r="P232" i="4"/>
  <c r="X232" i="4"/>
  <c r="Y232" i="4"/>
  <c r="Q232" i="4"/>
  <c r="Y233" i="2"/>
  <c r="P246" i="4"/>
  <c r="T246" i="4"/>
  <c r="X246" i="4"/>
  <c r="Y246" i="4"/>
  <c r="M246" i="4"/>
  <c r="Q246" i="4"/>
  <c r="U246" i="4"/>
  <c r="N246" i="4"/>
  <c r="R246" i="4"/>
  <c r="V246" i="4"/>
  <c r="O246" i="4"/>
  <c r="Y247" i="2"/>
  <c r="S246" i="4"/>
  <c r="W246" i="4"/>
  <c r="O266" i="4"/>
  <c r="P47" i="4"/>
  <c r="N47" i="4"/>
  <c r="S47" i="4"/>
  <c r="S75" i="4"/>
  <c r="Y106" i="2"/>
  <c r="R117" i="4"/>
  <c r="X117" i="4"/>
  <c r="Y117" i="4"/>
  <c r="Q121" i="4"/>
  <c r="P123" i="4"/>
  <c r="M174" i="4"/>
  <c r="Y175" i="2"/>
  <c r="M181" i="4"/>
  <c r="S262" i="4"/>
  <c r="X267" i="4"/>
  <c r="Y267" i="4"/>
  <c r="R267" i="4"/>
  <c r="O267" i="4"/>
  <c r="S267" i="4"/>
  <c r="Q274" i="4"/>
  <c r="U274" i="4"/>
  <c r="W274" i="4"/>
  <c r="T293" i="4"/>
  <c r="P301" i="4"/>
  <c r="T301" i="4"/>
  <c r="Q301" i="4"/>
  <c r="U301" i="4"/>
  <c r="V301" i="4"/>
  <c r="S301" i="4"/>
  <c r="O301" i="4"/>
  <c r="Q308" i="4"/>
  <c r="T319" i="4"/>
  <c r="Q319" i="4"/>
  <c r="S319" i="4"/>
  <c r="R32" i="4"/>
  <c r="N45" i="4"/>
  <c r="Q45" i="4"/>
  <c r="N97" i="4"/>
  <c r="R97" i="4"/>
  <c r="V97" i="4"/>
  <c r="O97" i="4"/>
  <c r="S97" i="4"/>
  <c r="W97" i="4"/>
  <c r="Q97" i="4"/>
  <c r="M97" i="4"/>
  <c r="U97" i="4"/>
  <c r="P97" i="4"/>
  <c r="T97" i="4"/>
  <c r="X97" i="4"/>
  <c r="Y97" i="4"/>
  <c r="Y98" i="2"/>
  <c r="R182" i="4"/>
  <c r="T182" i="4"/>
  <c r="X182" i="4"/>
  <c r="Y182" i="4"/>
  <c r="Q182" i="4"/>
  <c r="N228" i="4"/>
  <c r="R228" i="4"/>
  <c r="S228" i="4"/>
  <c r="W228" i="4"/>
  <c r="U228" i="4"/>
  <c r="P228" i="4"/>
  <c r="Q228" i="4"/>
  <c r="N264" i="4"/>
  <c r="R264" i="4"/>
  <c r="M270" i="4"/>
  <c r="T275" i="4"/>
  <c r="R33" i="4"/>
  <c r="R37" i="4"/>
  <c r="Y38" i="2"/>
  <c r="P63" i="4"/>
  <c r="Q44" i="4"/>
  <c r="N64" i="4"/>
  <c r="S64" i="4"/>
  <c r="Y65" i="2"/>
  <c r="R133" i="4"/>
  <c r="V133" i="4"/>
  <c r="P133" i="4"/>
  <c r="Q133" i="4"/>
  <c r="S133" i="4"/>
  <c r="U133" i="4"/>
  <c r="Y134" i="2"/>
  <c r="R177" i="4"/>
  <c r="Q177" i="4"/>
  <c r="R188" i="4"/>
  <c r="S188" i="4"/>
  <c r="Y202" i="2"/>
  <c r="X241" i="4"/>
  <c r="Y241" i="4"/>
  <c r="U241" i="4"/>
  <c r="S304" i="4"/>
  <c r="R309" i="4"/>
  <c r="W102" i="4"/>
  <c r="S284" i="4"/>
  <c r="N284" i="4"/>
  <c r="U39" i="4"/>
  <c r="N235" i="4"/>
  <c r="T245" i="4"/>
  <c r="U284" i="4"/>
  <c r="T7" i="4"/>
  <c r="P73" i="4"/>
  <c r="M126" i="4"/>
  <c r="R167" i="4"/>
  <c r="X167" i="4"/>
  <c r="Y167" i="4"/>
  <c r="Y315" i="2"/>
  <c r="P314" i="4"/>
  <c r="V314" i="4"/>
  <c r="X319" i="4"/>
  <c r="Y319" i="4"/>
  <c r="N319" i="4"/>
  <c r="Y320" i="2"/>
  <c r="U319" i="4"/>
  <c r="M319" i="4"/>
  <c r="R319" i="4"/>
  <c r="U38" i="4"/>
  <c r="P281" i="4"/>
  <c r="W281" i="4"/>
  <c r="U192" i="4"/>
  <c r="Q10" i="4"/>
  <c r="S18" i="4"/>
  <c r="P77" i="4"/>
  <c r="M93" i="4"/>
  <c r="X93" i="4"/>
  <c r="Y93" i="4"/>
  <c r="O93" i="4"/>
  <c r="V93" i="4"/>
  <c r="M129" i="4"/>
  <c r="Q129" i="4"/>
  <c r="Q163" i="4"/>
  <c r="M201" i="4"/>
  <c r="Q213" i="4"/>
  <c r="Y264" i="2"/>
  <c r="Y229" i="2"/>
  <c r="M228" i="4"/>
  <c r="O228" i="4"/>
  <c r="Q210" i="4"/>
  <c r="W120" i="4"/>
  <c r="M105" i="4"/>
  <c r="Y35" i="2"/>
  <c r="N21" i="4"/>
  <c r="U243" i="4"/>
  <c r="W5" i="4"/>
  <c r="V194" i="4"/>
  <c r="R194" i="4"/>
  <c r="V309" i="4"/>
  <c r="X228" i="4"/>
  <c r="Y228" i="4"/>
  <c r="T228" i="4"/>
  <c r="T105" i="4"/>
  <c r="Y96" i="2"/>
  <c r="X134" i="4"/>
  <c r="Y134" i="4"/>
  <c r="W169" i="4"/>
  <c r="M311" i="4"/>
  <c r="L326" i="2"/>
  <c r="L101" i="1"/>
  <c r="L149" i="1"/>
  <c r="L318" i="1"/>
  <c r="L157" i="4"/>
  <c r="A5" i="1"/>
  <c r="L308" i="1"/>
  <c r="L8" i="4"/>
  <c r="L52" i="4"/>
  <c r="L62" i="2"/>
  <c r="N61" i="4"/>
  <c r="L93" i="2"/>
  <c r="O92" i="4"/>
  <c r="L28" i="4"/>
  <c r="A265" i="2"/>
  <c r="Z265" i="2"/>
  <c r="A183" i="1"/>
  <c r="A63" i="2"/>
  <c r="Z63" i="2"/>
  <c r="AK120" i="3"/>
  <c r="U25" i="4"/>
  <c r="W25" i="4"/>
  <c r="N27" i="4"/>
  <c r="R27" i="4"/>
  <c r="U27" i="4"/>
  <c r="S31" i="4"/>
  <c r="T31" i="4"/>
  <c r="Q33" i="4"/>
  <c r="S33" i="4"/>
  <c r="N33" i="4"/>
  <c r="X33" i="4"/>
  <c r="Y33" i="4"/>
  <c r="Y34" i="2"/>
  <c r="V154" i="4"/>
  <c r="R154" i="4"/>
  <c r="V57" i="4"/>
  <c r="M57" i="4"/>
  <c r="R57" i="4"/>
  <c r="T57" i="4"/>
  <c r="W57" i="4"/>
  <c r="S57" i="4"/>
  <c r="R78" i="4"/>
  <c r="Q78" i="4"/>
  <c r="T78" i="4"/>
  <c r="M78" i="4"/>
  <c r="V101" i="4"/>
  <c r="T101" i="4"/>
  <c r="O101" i="4"/>
  <c r="S101" i="4"/>
  <c r="P101" i="4"/>
  <c r="N101" i="4"/>
  <c r="S103" i="4"/>
  <c r="T103" i="4"/>
  <c r="W103" i="4"/>
  <c r="P103" i="4"/>
  <c r="M103" i="4"/>
  <c r="Y104" i="2"/>
  <c r="M172" i="4"/>
  <c r="N172" i="4"/>
  <c r="R172" i="4"/>
  <c r="U172" i="4"/>
  <c r="Y173" i="2"/>
  <c r="V80" i="4"/>
  <c r="T80" i="4"/>
  <c r="O80" i="4"/>
  <c r="U80" i="4"/>
  <c r="S80" i="4"/>
  <c r="W80" i="4"/>
  <c r="Y81" i="2"/>
  <c r="N80" i="4"/>
  <c r="Q80" i="4"/>
  <c r="M90" i="4"/>
  <c r="N90" i="4"/>
  <c r="R90" i="4"/>
  <c r="S114" i="4"/>
  <c r="V114" i="4"/>
  <c r="T114" i="4"/>
  <c r="V170" i="4"/>
  <c r="P170" i="4"/>
  <c r="T170" i="4"/>
  <c r="M170" i="4"/>
  <c r="W170" i="4"/>
  <c r="Q170" i="4"/>
  <c r="N175" i="4"/>
  <c r="Y176" i="2"/>
  <c r="U175" i="4"/>
  <c r="M101" i="4"/>
  <c r="P80" i="4"/>
  <c r="R170" i="4"/>
  <c r="S150" i="4"/>
  <c r="X150" i="4"/>
  <c r="Y150" i="4"/>
  <c r="Q150" i="4"/>
  <c r="Y151" i="2"/>
  <c r="V150" i="4"/>
  <c r="O150" i="4"/>
  <c r="T150" i="4"/>
  <c r="Q152" i="4"/>
  <c r="N196" i="4"/>
  <c r="X196" i="4"/>
  <c r="Y196" i="4"/>
  <c r="R196" i="4"/>
  <c r="V196" i="4"/>
  <c r="O196" i="4"/>
  <c r="V221" i="4"/>
  <c r="X221" i="4"/>
  <c r="Y221" i="4"/>
  <c r="S221" i="4"/>
  <c r="M221" i="4"/>
  <c r="N224" i="4"/>
  <c r="S224" i="4"/>
  <c r="U224" i="4"/>
  <c r="Q224" i="4"/>
  <c r="V224" i="4"/>
  <c r="M224" i="4"/>
  <c r="Y225" i="2"/>
  <c r="O224" i="4"/>
  <c r="P224" i="4"/>
  <c r="X224" i="4"/>
  <c r="Y224" i="4"/>
  <c r="W224" i="4"/>
  <c r="M262" i="4"/>
  <c r="R262" i="4"/>
  <c r="W262" i="4"/>
  <c r="Q262" i="4"/>
  <c r="P262" i="4"/>
  <c r="T262" i="4"/>
  <c r="U262" i="4"/>
  <c r="X262" i="4"/>
  <c r="Y262" i="4"/>
  <c r="Y263" i="2"/>
  <c r="O262" i="4"/>
  <c r="N262" i="4"/>
  <c r="Y267" i="2"/>
  <c r="X266" i="4"/>
  <c r="Y266" i="4"/>
  <c r="R266" i="4"/>
  <c r="M266" i="4"/>
  <c r="V266" i="4"/>
  <c r="W266" i="4"/>
  <c r="Q266" i="4"/>
  <c r="R268" i="4"/>
  <c r="T268" i="4"/>
  <c r="W268" i="4"/>
  <c r="X268" i="4"/>
  <c r="Y268" i="4"/>
  <c r="S273" i="4"/>
  <c r="T276" i="4"/>
  <c r="T298" i="4"/>
  <c r="Q298" i="4"/>
  <c r="V298" i="4"/>
  <c r="X298" i="4"/>
  <c r="Y298" i="4"/>
  <c r="U298" i="4"/>
  <c r="W298" i="4"/>
  <c r="P298" i="4"/>
  <c r="R298" i="4"/>
  <c r="Y299" i="2"/>
  <c r="X304" i="4"/>
  <c r="Y304" i="4"/>
  <c r="O304" i="4"/>
  <c r="T304" i="4"/>
  <c r="N304" i="4"/>
  <c r="R304" i="4"/>
  <c r="W304" i="4"/>
  <c r="M304" i="4"/>
  <c r="P306" i="4"/>
  <c r="R306" i="4"/>
  <c r="Q306" i="4"/>
  <c r="Y307" i="2"/>
  <c r="N306" i="4"/>
  <c r="M313" i="4"/>
  <c r="V313" i="4"/>
  <c r="Q313" i="4"/>
  <c r="Y32" i="2"/>
  <c r="V262" i="4"/>
  <c r="T224" i="4"/>
  <c r="R101" i="4"/>
  <c r="U266" i="4"/>
  <c r="S268" i="4"/>
  <c r="R80" i="4"/>
  <c r="P150" i="4"/>
  <c r="O115" i="4"/>
  <c r="V139" i="4"/>
  <c r="U139" i="4"/>
  <c r="P139" i="4"/>
  <c r="Q139" i="4"/>
  <c r="O139" i="4"/>
  <c r="N139" i="4"/>
  <c r="S139" i="4"/>
  <c r="R139" i="4"/>
  <c r="M139" i="4"/>
  <c r="T139" i="4"/>
  <c r="W139" i="4"/>
  <c r="N141" i="4"/>
  <c r="T141" i="4"/>
  <c r="O141" i="4"/>
  <c r="R141" i="4"/>
  <c r="X141" i="4"/>
  <c r="Y141" i="4"/>
  <c r="Y142" i="2"/>
  <c r="V141" i="4"/>
  <c r="U141" i="4"/>
  <c r="W141" i="4"/>
  <c r="V143" i="4"/>
  <c r="U143" i="4"/>
  <c r="P143" i="4"/>
  <c r="N143" i="4"/>
  <c r="S143" i="4"/>
  <c r="M143" i="4"/>
  <c r="W143" i="4"/>
  <c r="V145" i="4"/>
  <c r="U145" i="4"/>
  <c r="Q145" i="4"/>
  <c r="O145" i="4"/>
  <c r="T145" i="4"/>
  <c r="X145" i="4"/>
  <c r="Y145" i="4"/>
  <c r="Y146" i="2"/>
  <c r="S145" i="4"/>
  <c r="O147" i="4"/>
  <c r="Q176" i="4"/>
  <c r="N176" i="4"/>
  <c r="W176" i="4"/>
  <c r="U176" i="4"/>
  <c r="Y177" i="2"/>
  <c r="U187" i="4"/>
  <c r="S187" i="4"/>
  <c r="V189" i="4"/>
  <c r="T189" i="4"/>
  <c r="W189" i="4"/>
  <c r="X189" i="4"/>
  <c r="Y189" i="4"/>
  <c r="S191" i="4"/>
  <c r="N193" i="4"/>
  <c r="T193" i="4"/>
  <c r="N195" i="4"/>
  <c r="S195" i="4"/>
  <c r="X195" i="4"/>
  <c r="Y195" i="4"/>
  <c r="W195" i="4"/>
  <c r="U195" i="4"/>
  <c r="R195" i="4"/>
  <c r="M195" i="4"/>
  <c r="T195" i="4"/>
  <c r="V195" i="4"/>
  <c r="P54" i="4"/>
  <c r="Q54" i="4"/>
  <c r="W54" i="4"/>
  <c r="W16" i="4"/>
  <c r="P61" i="4"/>
  <c r="U79" i="4"/>
  <c r="S79" i="4"/>
  <c r="M102" i="4"/>
  <c r="U102" i="4"/>
  <c r="N185" i="4"/>
  <c r="S185" i="4"/>
  <c r="X185" i="4"/>
  <c r="Y185" i="4"/>
  <c r="Y186" i="2"/>
  <c r="R185" i="4"/>
  <c r="W185" i="4"/>
  <c r="M185" i="4"/>
  <c r="S190" i="4"/>
  <c r="W190" i="4"/>
  <c r="P213" i="4"/>
  <c r="T213" i="4"/>
  <c r="N216" i="4"/>
  <c r="V220" i="4"/>
  <c r="O223" i="4"/>
  <c r="S223" i="4"/>
  <c r="Y258" i="2"/>
  <c r="T263" i="4"/>
  <c r="V263" i="4"/>
  <c r="W263" i="4"/>
  <c r="X272" i="4"/>
  <c r="Y272" i="4"/>
  <c r="O272" i="4"/>
  <c r="N272" i="4"/>
  <c r="S272" i="4"/>
  <c r="T292" i="4"/>
  <c r="Q292" i="4"/>
  <c r="X292" i="4"/>
  <c r="Y292" i="4"/>
  <c r="U292" i="4"/>
  <c r="T47" i="4"/>
  <c r="U47" i="4"/>
  <c r="M47" i="4"/>
  <c r="Y48" i="2"/>
  <c r="V70" i="4"/>
  <c r="U70" i="4"/>
  <c r="P70" i="4"/>
  <c r="N70" i="4"/>
  <c r="M70" i="4"/>
  <c r="R70" i="4"/>
  <c r="T74" i="4"/>
  <c r="S74" i="4"/>
  <c r="U74" i="4"/>
  <c r="Y75" i="2"/>
  <c r="X74" i="4"/>
  <c r="Y74" i="4"/>
  <c r="Q74" i="4"/>
  <c r="O74" i="4"/>
  <c r="P96" i="4"/>
  <c r="V166" i="4"/>
  <c r="P166" i="4"/>
  <c r="T166" i="4"/>
  <c r="M166" i="4"/>
  <c r="V182" i="4"/>
  <c r="P182" i="4"/>
  <c r="U182" i="4"/>
  <c r="Q259" i="4"/>
  <c r="V259" i="4"/>
  <c r="W259" i="4"/>
  <c r="U259" i="4"/>
  <c r="O259" i="4"/>
  <c r="S265" i="4"/>
  <c r="X270" i="4"/>
  <c r="Y270" i="4"/>
  <c r="U270" i="4"/>
  <c r="S300" i="4"/>
  <c r="P300" i="4"/>
  <c r="R300" i="4"/>
  <c r="T325" i="4"/>
  <c r="R263" i="4"/>
  <c r="U96" i="4"/>
  <c r="R270" i="4"/>
  <c r="M182" i="4"/>
  <c r="W182" i="4"/>
  <c r="N182" i="4"/>
  <c r="O126" i="4"/>
  <c r="O54" i="4"/>
  <c r="M54" i="4"/>
  <c r="M265" i="4"/>
  <c r="R231" i="4"/>
  <c r="Y214" i="2"/>
  <c r="R213" i="4"/>
  <c r="W47" i="4"/>
  <c r="O47" i="4"/>
  <c r="V300" i="4"/>
  <c r="N292" i="4"/>
  <c r="N259" i="4"/>
  <c r="R74" i="4"/>
  <c r="P74" i="4"/>
  <c r="Q70" i="4"/>
  <c r="T272" i="4"/>
  <c r="Y221" i="2"/>
  <c r="N79" i="4"/>
  <c r="U185" i="4"/>
  <c r="O185" i="4"/>
  <c r="X11" i="4"/>
  <c r="Y11" i="4"/>
  <c r="N13" i="4"/>
  <c r="O17" i="4"/>
  <c r="T17" i="4"/>
  <c r="Q19" i="4"/>
  <c r="S21" i="4"/>
  <c r="X21" i="4"/>
  <c r="Y21" i="4"/>
  <c r="Y22" i="2"/>
  <c r="W21" i="4"/>
  <c r="U21" i="4"/>
  <c r="Q40" i="4"/>
  <c r="R46" i="4"/>
  <c r="Q46" i="4"/>
  <c r="W46" i="4"/>
  <c r="P64" i="4"/>
  <c r="Q64" i="4"/>
  <c r="U64" i="4"/>
  <c r="O64" i="4"/>
  <c r="U75" i="4"/>
  <c r="X75" i="4"/>
  <c r="Y75" i="4"/>
  <c r="U91" i="4"/>
  <c r="N93" i="4"/>
  <c r="S93" i="4"/>
  <c r="U93" i="4"/>
  <c r="R93" i="4"/>
  <c r="W93" i="4"/>
  <c r="P93" i="4"/>
  <c r="Y94" i="2"/>
  <c r="S117" i="4"/>
  <c r="U117" i="4"/>
  <c r="W119" i="4"/>
  <c r="T121" i="4"/>
  <c r="U121" i="4"/>
  <c r="S121" i="4"/>
  <c r="V123" i="4"/>
  <c r="V130" i="4"/>
  <c r="U130" i="4"/>
  <c r="Q130" i="4"/>
  <c r="O130" i="4"/>
  <c r="R130" i="4"/>
  <c r="T130" i="4"/>
  <c r="W130" i="4"/>
  <c r="V167" i="4"/>
  <c r="M167" i="4"/>
  <c r="O167" i="4"/>
  <c r="T167" i="4"/>
  <c r="S167" i="4"/>
  <c r="U167" i="4"/>
  <c r="W167" i="4"/>
  <c r="R178" i="4"/>
  <c r="U180" i="4"/>
  <c r="N203" i="4"/>
  <c r="S203" i="4"/>
  <c r="Q203" i="4"/>
  <c r="T212" i="4"/>
  <c r="M243" i="4"/>
  <c r="S243" i="4"/>
  <c r="Q243" i="4"/>
  <c r="W243" i="4"/>
  <c r="N245" i="4"/>
  <c r="S250" i="4"/>
  <c r="R282" i="4"/>
  <c r="O282" i="4"/>
  <c r="V282" i="4"/>
  <c r="P284" i="4"/>
  <c r="M284" i="4"/>
  <c r="R284" i="4"/>
  <c r="Y285" i="2"/>
  <c r="T284" i="4"/>
  <c r="Q284" i="4"/>
  <c r="V284" i="4"/>
  <c r="W284" i="4"/>
  <c r="N288" i="4"/>
  <c r="S288" i="4"/>
  <c r="P288" i="4"/>
  <c r="R288" i="4"/>
  <c r="Y289" i="2"/>
  <c r="X293" i="4"/>
  <c r="Y293" i="4"/>
  <c r="S293" i="4"/>
  <c r="V318" i="4"/>
  <c r="R318" i="4"/>
  <c r="W318" i="4"/>
  <c r="P324" i="4"/>
  <c r="Y325" i="2"/>
  <c r="R324" i="4"/>
  <c r="T324" i="4"/>
  <c r="M324" i="4"/>
  <c r="W324" i="4"/>
  <c r="Q249" i="4"/>
  <c r="W325" i="4"/>
  <c r="S68" i="4"/>
  <c r="S263" i="4"/>
  <c r="N263" i="4"/>
  <c r="X96" i="4"/>
  <c r="Y96" i="4"/>
  <c r="W64" i="4"/>
  <c r="V64" i="4"/>
  <c r="M40" i="4"/>
  <c r="Y18" i="2"/>
  <c r="S270" i="4"/>
  <c r="T270" i="4"/>
  <c r="S182" i="4"/>
  <c r="T180" i="4"/>
  <c r="U126" i="4"/>
  <c r="N54" i="4"/>
  <c r="V54" i="4"/>
  <c r="W293" i="4"/>
  <c r="O265" i="4"/>
  <c r="S257" i="4"/>
  <c r="X257" i="4"/>
  <c r="Y257" i="4"/>
  <c r="N231" i="4"/>
  <c r="U213" i="4"/>
  <c r="N213" i="4"/>
  <c r="X123" i="4"/>
  <c r="Y123" i="4"/>
  <c r="O121" i="4"/>
  <c r="P121" i="4"/>
  <c r="W117" i="4"/>
  <c r="O75" i="4"/>
  <c r="P75" i="4"/>
  <c r="R47" i="4"/>
  <c r="U178" i="4"/>
  <c r="R102" i="4"/>
  <c r="T21" i="4"/>
  <c r="M318" i="4"/>
  <c r="Y293" i="2"/>
  <c r="O288" i="4"/>
  <c r="X288" i="4"/>
  <c r="Y288" i="4"/>
  <c r="S259" i="4"/>
  <c r="M259" i="4"/>
  <c r="Y244" i="2"/>
  <c r="V74" i="4"/>
  <c r="Y71" i="2"/>
  <c r="S70" i="4"/>
  <c r="Y47" i="2"/>
  <c r="X19" i="4"/>
  <c r="Y19" i="4"/>
  <c r="P16" i="4"/>
  <c r="O284" i="4"/>
  <c r="X284" i="4"/>
  <c r="Y284" i="4"/>
  <c r="R272" i="4"/>
  <c r="S212" i="4"/>
  <c r="Q93" i="4"/>
  <c r="M216" i="4"/>
  <c r="X203" i="4"/>
  <c r="Y203" i="4"/>
  <c r="Q185" i="4"/>
  <c r="V185" i="4"/>
  <c r="X166" i="4"/>
  <c r="Y166" i="4"/>
  <c r="N166" i="4"/>
  <c r="Y131" i="2"/>
  <c r="L292" i="1"/>
  <c r="L295" i="1"/>
  <c r="S10" i="4"/>
  <c r="V10" i="4"/>
  <c r="Y11" i="2"/>
  <c r="W10" i="4"/>
  <c r="X32" i="4"/>
  <c r="Y32" i="4"/>
  <c r="X37" i="4"/>
  <c r="Y37" i="4"/>
  <c r="W37" i="4"/>
  <c r="O37" i="4"/>
  <c r="P39" i="4"/>
  <c r="R39" i="4"/>
  <c r="N44" i="4"/>
  <c r="R44" i="4"/>
  <c r="O89" i="4"/>
  <c r="M89" i="4"/>
  <c r="X89" i="4"/>
  <c r="Y89" i="4"/>
  <c r="S89" i="4"/>
  <c r="U89" i="4"/>
  <c r="O110" i="4"/>
  <c r="M144" i="4"/>
  <c r="T144" i="4"/>
  <c r="V144" i="4"/>
  <c r="X144" i="4"/>
  <c r="Y144" i="4"/>
  <c r="W161" i="4"/>
  <c r="Y162" i="2"/>
  <c r="V163" i="4"/>
  <c r="M163" i="4"/>
  <c r="T192" i="4"/>
  <c r="N192" i="4"/>
  <c r="S192" i="4"/>
  <c r="N202" i="4"/>
  <c r="R202" i="4"/>
  <c r="Y243" i="2"/>
  <c r="X248" i="4"/>
  <c r="Y248" i="4"/>
  <c r="S254" i="4"/>
  <c r="M275" i="4"/>
  <c r="S275" i="4"/>
  <c r="U286" i="4"/>
  <c r="X289" i="4"/>
  <c r="Y289" i="4"/>
  <c r="N289" i="4"/>
  <c r="W289" i="4"/>
  <c r="O289" i="4"/>
  <c r="P303" i="4"/>
  <c r="M303" i="4"/>
  <c r="R303" i="4"/>
  <c r="S303" i="4"/>
  <c r="T303" i="4"/>
  <c r="Q303" i="4"/>
  <c r="V303" i="4"/>
  <c r="W303" i="4"/>
  <c r="N303" i="4"/>
  <c r="X303" i="4"/>
  <c r="Y303" i="4"/>
  <c r="Y304" i="2"/>
  <c r="P319" i="4"/>
  <c r="O319" i="4"/>
  <c r="V319" i="4"/>
  <c r="W319" i="4"/>
  <c r="W26" i="4"/>
  <c r="O77" i="4"/>
  <c r="T77" i="4"/>
  <c r="U77" i="4"/>
  <c r="S77" i="4"/>
  <c r="Q77" i="4"/>
  <c r="Y78" i="2"/>
  <c r="N129" i="4"/>
  <c r="T129" i="4"/>
  <c r="U129" i="4"/>
  <c r="S129" i="4"/>
  <c r="R129" i="4"/>
  <c r="X129" i="4"/>
  <c r="Y129" i="4"/>
  <c r="O129" i="4"/>
  <c r="Y130" i="2"/>
  <c r="P169" i="4"/>
  <c r="O169" i="4"/>
  <c r="Y226" i="2"/>
  <c r="S238" i="4"/>
  <c r="Q281" i="4"/>
  <c r="V281" i="4"/>
  <c r="O281" i="4"/>
  <c r="U281" i="4"/>
  <c r="S281" i="4"/>
  <c r="X295" i="4"/>
  <c r="Y295" i="4"/>
  <c r="Y296" i="2"/>
  <c r="N295" i="4"/>
  <c r="O295" i="4"/>
  <c r="N297" i="4"/>
  <c r="W297" i="4"/>
  <c r="P297" i="4"/>
  <c r="M297" i="4"/>
  <c r="R297" i="4"/>
  <c r="Y298" i="2"/>
  <c r="P312" i="4"/>
  <c r="M312" i="4"/>
  <c r="R312" i="4"/>
  <c r="S312" i="4"/>
  <c r="T312" i="4"/>
  <c r="Q312" i="4"/>
  <c r="V312" i="4"/>
  <c r="W312" i="4"/>
  <c r="A29" i="1"/>
  <c r="A109" i="4"/>
  <c r="A87" i="4"/>
  <c r="A9" i="2"/>
  <c r="Z9" i="2"/>
  <c r="A62" i="2"/>
  <c r="Z62" i="2"/>
  <c r="A81" i="4"/>
  <c r="A91" i="4"/>
  <c r="A193" i="2"/>
  <c r="Z193" i="2"/>
  <c r="A84" i="4"/>
  <c r="A97" i="4"/>
  <c r="A24" i="4"/>
  <c r="A102" i="2"/>
  <c r="Z102" i="2"/>
  <c r="A152" i="1"/>
  <c r="A174" i="2"/>
  <c r="Z174" i="2"/>
  <c r="A184" i="1"/>
  <c r="A48" i="4"/>
  <c r="A33" i="1"/>
  <c r="A4" i="4"/>
  <c r="A290" i="4"/>
  <c r="A174" i="4"/>
  <c r="A46" i="4"/>
  <c r="T18" i="4"/>
  <c r="X181" i="4"/>
  <c r="Y181" i="4"/>
  <c r="W258" i="4"/>
  <c r="Q258" i="4"/>
  <c r="T116" i="4"/>
  <c r="P106" i="4"/>
  <c r="S106" i="4"/>
  <c r="R34" i="4"/>
  <c r="N12" i="4"/>
  <c r="R12" i="4"/>
  <c r="T173" i="4"/>
  <c r="O135" i="4"/>
  <c r="Q135" i="4"/>
  <c r="W127" i="4"/>
  <c r="Y112" i="2"/>
  <c r="X111" i="4"/>
  <c r="Y111" i="4"/>
  <c r="W111" i="4"/>
  <c r="P197" i="4"/>
  <c r="R7" i="4"/>
  <c r="P194" i="4"/>
  <c r="Q5" i="4"/>
  <c r="V5" i="4"/>
  <c r="O321" i="4"/>
  <c r="W321" i="4"/>
  <c r="U297" i="4"/>
  <c r="S225" i="4"/>
  <c r="W295" i="4"/>
  <c r="Q295" i="4"/>
  <c r="M281" i="4"/>
  <c r="W238" i="4"/>
  <c r="M238" i="4"/>
  <c r="M26" i="4"/>
  <c r="U312" i="4"/>
  <c r="Y170" i="2"/>
  <c r="V77" i="4"/>
  <c r="W77" i="4"/>
  <c r="L223" i="1"/>
  <c r="P6" i="4"/>
  <c r="R6" i="4"/>
  <c r="O6" i="4"/>
  <c r="T6" i="4"/>
  <c r="Q6" i="4"/>
  <c r="L100" i="2"/>
  <c r="X99" i="4"/>
  <c r="Y99" i="4"/>
  <c r="L158" i="2"/>
  <c r="R157" i="4"/>
  <c r="N252" i="4"/>
  <c r="P252" i="4"/>
  <c r="R252" i="4"/>
  <c r="L53" i="4"/>
  <c r="A41" i="1"/>
  <c r="A264" i="4"/>
  <c r="A124" i="4"/>
  <c r="A36" i="4"/>
  <c r="X3" i="3"/>
  <c r="A85" i="1"/>
  <c r="P325" i="4"/>
  <c r="R325" i="4"/>
  <c r="O325" i="4"/>
  <c r="S325" i="4"/>
  <c r="N325" i="4"/>
  <c r="X325" i="4"/>
  <c r="Y325" i="4"/>
  <c r="U92" i="4"/>
  <c r="X92" i="4"/>
  <c r="Y92" i="4"/>
  <c r="P92" i="4"/>
  <c r="S92" i="4"/>
  <c r="Y93" i="2"/>
  <c r="W92" i="4"/>
  <c r="M92" i="4"/>
  <c r="V325" i="4"/>
  <c r="M325" i="4"/>
  <c r="Q325" i="4"/>
  <c r="N107" i="4"/>
  <c r="U325" i="4"/>
  <c r="U107" i="4"/>
  <c r="Y326" i="2"/>
  <c r="T61" i="4"/>
  <c r="M61" i="4"/>
  <c r="Q61" i="4"/>
  <c r="P99" i="4"/>
  <c r="AB170" i="3"/>
  <c r="AE170" i="3"/>
  <c r="AH170" i="3"/>
  <c r="AK170" i="3"/>
  <c r="AN170" i="3"/>
  <c r="AQ170" i="3"/>
  <c r="AT170" i="3"/>
  <c r="AW170" i="3"/>
  <c r="AZ170" i="3"/>
  <c r="BC170" i="3"/>
  <c r="BF170" i="3"/>
  <c r="BI170" i="3"/>
  <c r="BL170" i="3"/>
  <c r="BO170" i="3"/>
  <c r="BR170" i="3"/>
  <c r="BU170" i="3"/>
  <c r="BX170" i="3"/>
  <c r="CA170" i="3"/>
  <c r="CD170" i="3"/>
  <c r="CG170" i="3"/>
  <c r="CJ170" i="3"/>
  <c r="CM170" i="3"/>
  <c r="CP170" i="3"/>
  <c r="CS170" i="3"/>
  <c r="CV170" i="3"/>
  <c r="CY170" i="3"/>
  <c r="M95" i="4"/>
  <c r="X6" i="4"/>
  <c r="Y6" i="4"/>
  <c r="M41" i="4"/>
  <c r="T41" i="4"/>
  <c r="R293" i="4"/>
  <c r="Y294" i="2"/>
  <c r="M293" i="4"/>
  <c r="W306" i="4"/>
  <c r="S306" i="4"/>
  <c r="O306" i="4"/>
  <c r="Y310" i="2"/>
  <c r="U309" i="4"/>
  <c r="U313" i="4"/>
  <c r="S313" i="4"/>
  <c r="T313" i="4"/>
  <c r="Y314" i="2"/>
  <c r="T99" i="4"/>
  <c r="R99" i="4"/>
  <c r="Q169" i="4"/>
  <c r="R275" i="4"/>
  <c r="W144" i="4"/>
  <c r="N144" i="4"/>
  <c r="V79" i="4"/>
  <c r="Q123" i="4"/>
  <c r="W231" i="4"/>
  <c r="T243" i="4"/>
  <c r="W123" i="4"/>
  <c r="Y190" i="2"/>
  <c r="P147" i="4"/>
  <c r="W313" i="4"/>
  <c r="U306" i="4"/>
  <c r="T306" i="4"/>
  <c r="U268" i="4"/>
  <c r="U114" i="4"/>
  <c r="A238" i="1"/>
  <c r="X169" i="4"/>
  <c r="Y169" i="4"/>
  <c r="L87" i="1"/>
  <c r="R31" i="4"/>
  <c r="M31" i="4"/>
  <c r="W31" i="4"/>
  <c r="X31" i="4"/>
  <c r="Y31" i="4"/>
  <c r="X38" i="4"/>
  <c r="Y38" i="4"/>
  <c r="V38" i="4"/>
  <c r="W38" i="4"/>
  <c r="T38" i="4"/>
  <c r="W45" i="4"/>
  <c r="X45" i="4"/>
  <c r="Y45" i="4"/>
  <c r="Y46" i="2"/>
  <c r="P45" i="4"/>
  <c r="T143" i="4"/>
  <c r="Q143" i="4"/>
  <c r="R143" i="4"/>
  <c r="Y144" i="2"/>
  <c r="M168" i="4"/>
  <c r="X168" i="4"/>
  <c r="Y168" i="4"/>
  <c r="P172" i="4"/>
  <c r="Q172" i="4"/>
  <c r="O172" i="4"/>
  <c r="S172" i="4"/>
  <c r="W172" i="4"/>
  <c r="X172" i="4"/>
  <c r="Y172" i="4"/>
  <c r="O176" i="4"/>
  <c r="R176" i="4"/>
  <c r="X176" i="4"/>
  <c r="Y176" i="4"/>
  <c r="N188" i="4"/>
  <c r="M188" i="4"/>
  <c r="T188" i="4"/>
  <c r="U188" i="4"/>
  <c r="W192" i="4"/>
  <c r="P192" i="4"/>
  <c r="R192" i="4"/>
  <c r="Y197" i="2"/>
  <c r="T196" i="4"/>
  <c r="X201" i="4"/>
  <c r="Y201" i="4"/>
  <c r="W201" i="4"/>
  <c r="T201" i="4"/>
  <c r="S201" i="4"/>
  <c r="R201" i="4"/>
  <c r="V201" i="4"/>
  <c r="O201" i="4"/>
  <c r="U205" i="4"/>
  <c r="N205" i="4"/>
  <c r="V205" i="4"/>
  <c r="S205" i="4"/>
  <c r="Q205" i="4"/>
  <c r="X205" i="4"/>
  <c r="Y205" i="4"/>
  <c r="W230" i="4"/>
  <c r="S230" i="4"/>
  <c r="M264" i="4"/>
  <c r="Y265" i="2"/>
  <c r="X264" i="4"/>
  <c r="Y264" i="4"/>
  <c r="O264" i="4"/>
  <c r="T267" i="4"/>
  <c r="U267" i="4"/>
  <c r="Y268" i="2"/>
  <c r="P267" i="4"/>
  <c r="Q267" i="4"/>
  <c r="V267" i="4"/>
  <c r="W267" i="4"/>
  <c r="N267" i="4"/>
  <c r="V270" i="4"/>
  <c r="Q270" i="4"/>
  <c r="P270" i="4"/>
  <c r="W270" i="4"/>
  <c r="Y271" i="2"/>
  <c r="M274" i="4"/>
  <c r="R274" i="4"/>
  <c r="O274" i="4"/>
  <c r="X274" i="4"/>
  <c r="Y274" i="4"/>
  <c r="N274" i="4"/>
  <c r="Y275" i="2"/>
  <c r="P274" i="4"/>
  <c r="V274" i="4"/>
  <c r="V288" i="4"/>
  <c r="U288" i="4"/>
  <c r="L292" i="2"/>
  <c r="Q291" i="4"/>
  <c r="T25" i="4"/>
  <c r="Y26" i="2"/>
  <c r="S25" i="4"/>
  <c r="R25" i="4"/>
  <c r="R95" i="4"/>
  <c r="T95" i="4"/>
  <c r="S95" i="4"/>
  <c r="M123" i="4"/>
  <c r="Y124" i="2"/>
  <c r="T123" i="4"/>
  <c r="S123" i="4"/>
  <c r="O123" i="4"/>
  <c r="R173" i="4"/>
  <c r="Q173" i="4"/>
  <c r="P189" i="4"/>
  <c r="S189" i="4"/>
  <c r="Q197" i="4"/>
  <c r="X197" i="4"/>
  <c r="Y197" i="4"/>
  <c r="T197" i="4"/>
  <c r="N197" i="4"/>
  <c r="X243" i="4"/>
  <c r="Y243" i="4"/>
  <c r="O243" i="4"/>
  <c r="U257" i="4"/>
  <c r="Q257" i="4"/>
  <c r="P257" i="4"/>
  <c r="W265" i="4"/>
  <c r="U265" i="4"/>
  <c r="V265" i="4"/>
  <c r="M271" i="4"/>
  <c r="N271" i="4"/>
  <c r="A128" i="2"/>
  <c r="Z128" i="2"/>
  <c r="A7" i="1"/>
  <c r="Y40" i="2"/>
  <c r="V39" i="4"/>
  <c r="M39" i="4"/>
  <c r="O79" i="4"/>
  <c r="Q79" i="4"/>
  <c r="V135" i="4"/>
  <c r="Y136" i="2"/>
  <c r="N135" i="4"/>
  <c r="W135" i="4"/>
  <c r="S135" i="4"/>
  <c r="P177" i="4"/>
  <c r="S177" i="4"/>
  <c r="Y178" i="2"/>
  <c r="X177" i="4"/>
  <c r="Y177" i="4"/>
  <c r="T202" i="4"/>
  <c r="O202" i="4"/>
  <c r="M268" i="4"/>
  <c r="Q268" i="4"/>
  <c r="N268" i="4"/>
  <c r="U275" i="4"/>
  <c r="X275" i="4"/>
  <c r="Y275" i="4"/>
  <c r="O275" i="4"/>
  <c r="A110" i="1"/>
  <c r="A94" i="2"/>
  <c r="Z94" i="2"/>
  <c r="A280" i="1"/>
  <c r="A6" i="1"/>
  <c r="A75" i="1"/>
  <c r="S99" i="4"/>
  <c r="Y100" i="2"/>
  <c r="V92" i="4"/>
  <c r="N92" i="4"/>
  <c r="A44" i="4"/>
  <c r="N6" i="4"/>
  <c r="M6" i="4"/>
  <c r="Y166" i="2"/>
  <c r="M197" i="4"/>
  <c r="Q95" i="4"/>
  <c r="A114" i="4"/>
  <c r="A193" i="1"/>
  <c r="A36" i="1"/>
  <c r="A279" i="2"/>
  <c r="Z279" i="2"/>
  <c r="A90" i="2"/>
  <c r="Z90" i="2"/>
  <c r="A92" i="4"/>
  <c r="A162" i="2"/>
  <c r="Z162" i="2"/>
  <c r="U169" i="4"/>
  <c r="P275" i="4"/>
  <c r="W202" i="4"/>
  <c r="X192" i="4"/>
  <c r="Y192" i="4"/>
  <c r="O192" i="4"/>
  <c r="U144" i="4"/>
  <c r="O39" i="4"/>
  <c r="V122" i="4"/>
  <c r="N123" i="4"/>
  <c r="N257" i="4"/>
  <c r="Q293" i="4"/>
  <c r="N270" i="4"/>
  <c r="Y62" i="2"/>
  <c r="U318" i="4"/>
  <c r="U293" i="4"/>
  <c r="M288" i="4"/>
  <c r="S282" i="4"/>
  <c r="V243" i="4"/>
  <c r="R243" i="4"/>
  <c r="V183" i="4"/>
  <c r="M16" i="4"/>
  <c r="X265" i="4"/>
  <c r="Y265" i="4"/>
  <c r="R257" i="4"/>
  <c r="T79" i="4"/>
  <c r="X16" i="4"/>
  <c r="Y16" i="4"/>
  <c r="Q189" i="4"/>
  <c r="P176" i="4"/>
  <c r="X143" i="4"/>
  <c r="Y143" i="4"/>
  <c r="O143" i="4"/>
  <c r="X115" i="4"/>
  <c r="Y115" i="4"/>
  <c r="X306" i="4"/>
  <c r="Y306" i="4"/>
  <c r="O313" i="4"/>
  <c r="P313" i="4"/>
  <c r="V306" i="4"/>
  <c r="M306" i="4"/>
  <c r="O268" i="4"/>
  <c r="V268" i="4"/>
  <c r="P268" i="4"/>
  <c r="Q196" i="4"/>
  <c r="M152" i="4"/>
  <c r="Q114" i="4"/>
  <c r="T172" i="4"/>
  <c r="V172" i="4"/>
  <c r="U31" i="4"/>
  <c r="Q25" i="4"/>
  <c r="O25" i="4"/>
  <c r="A163" i="2"/>
  <c r="Z163" i="2"/>
  <c r="W6" i="4"/>
  <c r="P110" i="4"/>
  <c r="U201" i="4"/>
  <c r="X39" i="4"/>
  <c r="Y39" i="4"/>
  <c r="W196" i="4"/>
  <c r="V177" i="4"/>
  <c r="O270" i="4"/>
  <c r="T264" i="4"/>
  <c r="S274" i="4"/>
  <c r="T274" i="4"/>
  <c r="M267" i="4"/>
  <c r="R123" i="4"/>
  <c r="T288" i="4"/>
  <c r="P173" i="4"/>
  <c r="W197" i="4"/>
  <c r="O7" i="4"/>
  <c r="W7" i="4"/>
  <c r="Q47" i="4"/>
  <c r="V47" i="4"/>
  <c r="X47" i="4"/>
  <c r="Y47" i="4"/>
  <c r="U57" i="4"/>
  <c r="Q57" i="4"/>
  <c r="X57" i="4"/>
  <c r="Y57" i="4"/>
  <c r="X64" i="4"/>
  <c r="Y64" i="4"/>
  <c r="R64" i="4"/>
  <c r="T64" i="4"/>
  <c r="M64" i="4"/>
  <c r="M80" i="4"/>
  <c r="X80" i="4"/>
  <c r="Y80" i="4"/>
  <c r="U101" i="4"/>
  <c r="W101" i="4"/>
  <c r="S105" i="4"/>
  <c r="W105" i="4"/>
  <c r="R105" i="4"/>
  <c r="Q105" i="4"/>
  <c r="T111" i="4"/>
  <c r="U111" i="4"/>
  <c r="M301" i="4"/>
  <c r="R301" i="4"/>
  <c r="Y302" i="2"/>
  <c r="X301" i="4"/>
  <c r="Y301" i="4"/>
  <c r="N301" i="4"/>
  <c r="W301" i="4"/>
  <c r="Y309" i="2"/>
  <c r="V308" i="4"/>
  <c r="N312" i="4"/>
  <c r="O312" i="4"/>
  <c r="Y313" i="2"/>
  <c r="X312" i="4"/>
  <c r="Y312" i="4"/>
  <c r="L22" i="4"/>
  <c r="L100" i="4"/>
  <c r="L109" i="4"/>
  <c r="L112" i="4"/>
  <c r="L118" i="4"/>
  <c r="L137" i="1"/>
  <c r="L234" i="1"/>
  <c r="A5" i="4"/>
  <c r="L235" i="1"/>
  <c r="L86" i="2"/>
  <c r="X85" i="4"/>
  <c r="Y85" i="4"/>
  <c r="L113" i="2"/>
  <c r="L269" i="4"/>
  <c r="L291" i="4"/>
  <c r="Y205" i="2"/>
  <c r="Q204" i="4"/>
  <c r="N204" i="4"/>
  <c r="R204" i="4"/>
  <c r="S204" i="4"/>
  <c r="V204" i="4"/>
  <c r="W204" i="4"/>
  <c r="T204" i="4"/>
  <c r="X204" i="4"/>
  <c r="Y204" i="4"/>
  <c r="U204" i="4"/>
  <c r="P204" i="4"/>
  <c r="N24" i="4"/>
  <c r="R24" i="4"/>
  <c r="Y25" i="2"/>
  <c r="N104" i="4"/>
  <c r="R104" i="4"/>
  <c r="O104" i="4"/>
  <c r="M215" i="4"/>
  <c r="X215" i="4"/>
  <c r="Y215" i="4"/>
  <c r="U215" i="4"/>
  <c r="M302" i="4"/>
  <c r="S302" i="4"/>
  <c r="Y37" i="2"/>
  <c r="O36" i="4"/>
  <c r="N36" i="4"/>
  <c r="T36" i="4"/>
  <c r="R36" i="4"/>
  <c r="S36" i="4"/>
  <c r="U36" i="4"/>
  <c r="V36" i="4"/>
  <c r="X36" i="4"/>
  <c r="Y36" i="4"/>
  <c r="W36" i="4"/>
  <c r="M36" i="4"/>
  <c r="X209" i="4"/>
  <c r="Y209" i="4"/>
  <c r="T209" i="4"/>
  <c r="Y210" i="2"/>
  <c r="S255" i="4"/>
  <c r="V255" i="4"/>
  <c r="T291" i="4"/>
  <c r="L24" i="1"/>
  <c r="L141" i="2"/>
  <c r="L284" i="2"/>
  <c r="L300" i="2"/>
  <c r="R299" i="4"/>
  <c r="L58" i="4"/>
  <c r="L62" i="4"/>
  <c r="L67" i="4"/>
  <c r="L124" i="4"/>
  <c r="A5" i="2"/>
  <c r="Z5" i="2"/>
  <c r="L82" i="1"/>
  <c r="L146" i="4"/>
  <c r="P207" i="4"/>
  <c r="L63" i="1"/>
  <c r="L83" i="1"/>
  <c r="L291" i="1"/>
  <c r="L323" i="2"/>
  <c r="L66" i="4"/>
  <c r="L85" i="4"/>
  <c r="L199" i="4"/>
  <c r="L256" i="4"/>
  <c r="L317" i="4"/>
  <c r="W157" i="4"/>
  <c r="U99" i="4"/>
  <c r="W51" i="4"/>
  <c r="Q51" i="4"/>
  <c r="R51" i="4"/>
  <c r="U51" i="4"/>
  <c r="V51" i="4"/>
  <c r="N51" i="4"/>
  <c r="X140" i="4"/>
  <c r="Y140" i="4"/>
  <c r="Y141" i="2"/>
  <c r="P289" i="4"/>
  <c r="R289" i="4"/>
  <c r="S289" i="4"/>
  <c r="Q289" i="4"/>
  <c r="Y50" i="2"/>
  <c r="P49" i="4"/>
  <c r="V49" i="4"/>
  <c r="T49" i="4"/>
  <c r="S119" i="4"/>
  <c r="O119" i="4"/>
  <c r="N119" i="4"/>
  <c r="T119" i="4"/>
  <c r="V119" i="4"/>
  <c r="R119" i="4"/>
  <c r="T286" i="4"/>
  <c r="O286" i="4"/>
  <c r="M286" i="4"/>
  <c r="R286" i="4"/>
  <c r="P286" i="4"/>
  <c r="V286" i="4"/>
  <c r="W286" i="4"/>
  <c r="T94" i="4"/>
  <c r="V94" i="4"/>
  <c r="S94" i="4"/>
  <c r="N160" i="4"/>
  <c r="T160" i="4"/>
  <c r="V321" i="4"/>
  <c r="T321" i="4"/>
  <c r="U321" i="4"/>
  <c r="M321" i="4"/>
  <c r="Q321" i="4"/>
  <c r="R321" i="4"/>
  <c r="P217" i="4"/>
  <c r="W217" i="4"/>
  <c r="M217" i="4"/>
  <c r="L21" i="1"/>
  <c r="L207" i="1"/>
  <c r="L227" i="1"/>
  <c r="L284" i="1"/>
  <c r="L101" i="2"/>
  <c r="L149" i="2"/>
  <c r="L71" i="4"/>
  <c r="L76" i="4"/>
  <c r="L151" i="4"/>
  <c r="A285" i="4"/>
  <c r="A273" i="4"/>
  <c r="A265" i="4"/>
  <c r="A241" i="4"/>
  <c r="A221" i="4"/>
  <c r="A213" i="4"/>
  <c r="A201" i="4"/>
  <c r="A193" i="4"/>
  <c r="A185" i="4"/>
  <c r="A177" i="4"/>
  <c r="A129" i="4"/>
  <c r="A77" i="4"/>
  <c r="A57" i="4"/>
  <c r="A33" i="4"/>
  <c r="A319" i="2"/>
  <c r="Z319" i="2"/>
  <c r="A243" i="2"/>
  <c r="Z243" i="2"/>
  <c r="A226" i="2"/>
  <c r="Z226" i="2"/>
  <c r="A210" i="2"/>
  <c r="Z210" i="2"/>
  <c r="A166" i="2"/>
  <c r="Z166" i="2"/>
  <c r="A146" i="2"/>
  <c r="Z146" i="2"/>
  <c r="A118" i="2"/>
  <c r="Z118" i="2"/>
  <c r="A82" i="2"/>
  <c r="Z82" i="2"/>
  <c r="A66" i="2"/>
  <c r="Z66" i="2"/>
  <c r="A54" i="2"/>
  <c r="Z54" i="2"/>
  <c r="A18" i="2"/>
  <c r="Z18" i="2"/>
  <c r="A277" i="1"/>
  <c r="A181" i="1"/>
  <c r="A173" i="1"/>
  <c r="A169" i="1"/>
  <c r="A145" i="1"/>
  <c r="A137" i="1"/>
  <c r="A129" i="1"/>
  <c r="A61" i="1"/>
  <c r="A57" i="1"/>
  <c r="A25" i="1"/>
  <c r="A21" i="1"/>
  <c r="L67" i="1"/>
  <c r="L240" i="1"/>
  <c r="L44" i="2"/>
  <c r="L54" i="2"/>
  <c r="L67" i="2"/>
  <c r="L137" i="2"/>
  <c r="L150" i="2"/>
  <c r="L207" i="2"/>
  <c r="L215" i="2"/>
  <c r="L227" i="2"/>
  <c r="L237" i="2"/>
  <c r="L54" i="4"/>
  <c r="L233" i="4"/>
  <c r="L15" i="1"/>
  <c r="L270" i="1"/>
  <c r="L317" i="2"/>
  <c r="L81" i="4"/>
  <c r="L83" i="4"/>
  <c r="L97" i="4"/>
  <c r="L277" i="4"/>
  <c r="L279" i="4"/>
  <c r="A138" i="4"/>
  <c r="A108" i="4"/>
  <c r="A309" i="2"/>
  <c r="Z309" i="2"/>
  <c r="A232" i="2"/>
  <c r="Z232" i="2"/>
  <c r="A176" i="2"/>
  <c r="Z176" i="2"/>
  <c r="A136" i="2"/>
  <c r="Z136" i="2"/>
  <c r="A96" i="2"/>
  <c r="Z96" i="2"/>
  <c r="A64" i="2"/>
  <c r="Z64" i="2"/>
  <c r="A24" i="2"/>
  <c r="Z24" i="2"/>
  <c r="A291" i="1"/>
  <c r="A215" i="1"/>
  <c r="A163" i="1"/>
  <c r="A131" i="1"/>
  <c r="A91" i="1"/>
  <c r="A51" i="1"/>
  <c r="A11" i="1"/>
  <c r="A268" i="2"/>
  <c r="Z268" i="2"/>
  <c r="A191" i="2"/>
  <c r="Z191" i="2"/>
  <c r="A147" i="2"/>
  <c r="Z147" i="2"/>
  <c r="A107" i="2"/>
  <c r="Z107" i="2"/>
  <c r="A67" i="2"/>
  <c r="Z67" i="2"/>
  <c r="A31" i="2"/>
  <c r="Z31" i="2"/>
  <c r="A298" i="1"/>
  <c r="A218" i="1"/>
  <c r="A170" i="1"/>
  <c r="A130" i="1"/>
  <c r="A98" i="1"/>
  <c r="A50" i="1"/>
  <c r="A10" i="1"/>
  <c r="A195" i="2"/>
  <c r="Z195" i="2"/>
  <c r="A325" i="2"/>
  <c r="Z325" i="2"/>
  <c r="A212" i="2"/>
  <c r="Z212" i="2"/>
  <c r="A152" i="2"/>
  <c r="Z152" i="2"/>
  <c r="A112" i="2"/>
  <c r="Z112" i="2"/>
  <c r="A52" i="2"/>
  <c r="Z52" i="2"/>
  <c r="A327" i="1"/>
  <c r="A235" i="1"/>
  <c r="A155" i="1"/>
  <c r="A107" i="1"/>
  <c r="A67" i="1"/>
  <c r="A227" i="2"/>
  <c r="Z227" i="2"/>
  <c r="A155" i="2"/>
  <c r="Z155" i="2"/>
  <c r="A99" i="2"/>
  <c r="Z99" i="2"/>
  <c r="A47" i="2"/>
  <c r="Z47" i="2"/>
  <c r="A314" i="1"/>
  <c r="A194" i="1"/>
  <c r="A154" i="1"/>
  <c r="A106" i="1"/>
  <c r="A38" i="1"/>
  <c r="A111" i="4"/>
  <c r="A139" i="4"/>
  <c r="A250" i="2"/>
  <c r="Z250" i="2"/>
  <c r="A221" i="2"/>
  <c r="Z221" i="2"/>
  <c r="A157" i="2"/>
  <c r="Z157" i="2"/>
  <c r="A272" i="1"/>
  <c r="A183" i="4"/>
  <c r="A13" i="2"/>
  <c r="Z13" i="2"/>
  <c r="A12" i="1"/>
  <c r="A196" i="4"/>
  <c r="A8" i="4"/>
  <c r="A244" i="4"/>
  <c r="A147" i="4"/>
  <c r="A24" i="1"/>
  <c r="A300" i="4"/>
  <c r="A179" i="4"/>
  <c r="A97" i="2"/>
  <c r="Z97" i="2"/>
  <c r="A153" i="2"/>
  <c r="Z153" i="2"/>
  <c r="A200" i="1"/>
  <c r="A276" i="4"/>
  <c r="A129" i="2"/>
  <c r="Z129" i="2"/>
  <c r="A164" i="1"/>
  <c r="A124" i="1"/>
  <c r="A104" i="1"/>
  <c r="A274" i="4"/>
  <c r="A214" i="4"/>
  <c r="A170" i="4"/>
  <c r="A134" i="4"/>
  <c r="A102" i="4"/>
  <c r="A66" i="4"/>
  <c r="A42" i="4"/>
  <c r="A260" i="1"/>
  <c r="A77" i="2"/>
  <c r="Z77" i="2"/>
  <c r="A239" i="4"/>
  <c r="A180" i="4"/>
  <c r="A148" i="4"/>
  <c r="A232" i="4"/>
  <c r="A164" i="4"/>
  <c r="A120" i="4"/>
  <c r="A72" i="4"/>
  <c r="A11" i="4"/>
  <c r="A59" i="4"/>
  <c r="A289" i="2"/>
  <c r="Z289" i="2"/>
  <c r="A196" i="2"/>
  <c r="Z196" i="2"/>
  <c r="A148" i="2"/>
  <c r="Z148" i="2"/>
  <c r="A88" i="2"/>
  <c r="Z88" i="2"/>
  <c r="A40" i="2"/>
  <c r="Z40" i="2"/>
  <c r="A307" i="1"/>
  <c r="A195" i="1"/>
  <c r="A151" i="1"/>
  <c r="A99" i="1"/>
  <c r="A43" i="1"/>
  <c r="A308" i="2"/>
  <c r="Z308" i="2"/>
  <c r="A215" i="2"/>
  <c r="Z215" i="2"/>
  <c r="A131" i="2"/>
  <c r="Z131" i="2"/>
  <c r="A91" i="2"/>
  <c r="Z91" i="2"/>
  <c r="A43" i="2"/>
  <c r="Z43" i="2"/>
  <c r="A274" i="1"/>
  <c r="A190" i="1"/>
  <c r="A142" i="1"/>
  <c r="A74" i="1"/>
  <c r="A34" i="1"/>
  <c r="A310" i="2"/>
  <c r="Z310" i="2"/>
  <c r="A279" i="4"/>
  <c r="A123" i="4"/>
  <c r="A17" i="2"/>
  <c r="Z17" i="2"/>
  <c r="A197" i="2"/>
  <c r="Z197" i="2"/>
  <c r="A116" i="4"/>
  <c r="A163" i="4"/>
  <c r="A121" i="2"/>
  <c r="Z121" i="2"/>
  <c r="A192" i="1"/>
  <c r="A81" i="2"/>
  <c r="Z81" i="2"/>
  <c r="A141" i="2"/>
  <c r="Z141" i="2"/>
  <c r="A140" i="4"/>
  <c r="A7" i="4"/>
  <c r="A76" i="4"/>
  <c r="A107" i="4"/>
  <c r="A246" i="2"/>
  <c r="Z246" i="2"/>
  <c r="A145" i="2"/>
  <c r="Z145" i="2"/>
  <c r="A168" i="1"/>
  <c r="A311" i="4"/>
  <c r="A131" i="4"/>
  <c r="A31" i="4"/>
  <c r="A128" i="4"/>
  <c r="A100" i="1"/>
  <c r="A113" i="2"/>
  <c r="Z113" i="2"/>
  <c r="A262" i="4"/>
  <c r="A194" i="4"/>
  <c r="A162" i="4"/>
  <c r="A122" i="4"/>
  <c r="A94" i="4"/>
  <c r="A62" i="4"/>
  <c r="A26" i="4"/>
  <c r="A88" i="1"/>
  <c r="A35" i="4"/>
  <c r="A288" i="4"/>
  <c r="A312" i="4"/>
  <c r="A216" i="4"/>
  <c r="A152" i="4"/>
  <c r="A104" i="4"/>
  <c r="A56" i="4"/>
  <c r="A169" i="4"/>
  <c r="A161" i="4"/>
  <c r="A145" i="4"/>
  <c r="A133" i="4"/>
  <c r="A117" i="4"/>
  <c r="A45" i="4"/>
  <c r="A29" i="4"/>
  <c r="A17" i="4"/>
  <c r="A9" i="4"/>
  <c r="A315" i="2"/>
  <c r="Z315" i="2"/>
  <c r="A271" i="2"/>
  <c r="Z271" i="2"/>
  <c r="A247" i="2"/>
  <c r="Z247" i="2"/>
  <c r="A198" i="2"/>
  <c r="Z198" i="2"/>
  <c r="A186" i="2"/>
  <c r="Z186" i="2"/>
  <c r="A182" i="2"/>
  <c r="Z182" i="2"/>
  <c r="A126" i="2"/>
  <c r="Z126" i="2"/>
  <c r="A106" i="2"/>
  <c r="Z106" i="2"/>
  <c r="A70" i="2"/>
  <c r="Z70" i="2"/>
  <c r="A50" i="2"/>
  <c r="Z50" i="2"/>
  <c r="A26" i="2"/>
  <c r="Z26" i="2"/>
  <c r="A325" i="1"/>
  <c r="A309" i="1"/>
  <c r="A241" i="1"/>
  <c r="A233" i="1"/>
  <c r="A225" i="1"/>
  <c r="A117" i="1"/>
  <c r="A13" i="1"/>
  <c r="A144" i="4"/>
  <c r="A324" i="1"/>
  <c r="A118" i="4"/>
  <c r="A190" i="4"/>
  <c r="A252" i="1"/>
  <c r="A53" i="2"/>
  <c r="Z53" i="2"/>
  <c r="A171" i="4"/>
  <c r="A27" i="4"/>
  <c r="A165" i="2"/>
  <c r="Z165" i="2"/>
  <c r="A191" i="4"/>
  <c r="A18" i="1"/>
  <c r="A126" i="1"/>
  <c r="A79" i="2"/>
  <c r="Z79" i="2"/>
  <c r="A23" i="1"/>
  <c r="A247" i="1"/>
  <c r="A68" i="2"/>
  <c r="Z68" i="2"/>
  <c r="A146" i="4"/>
  <c r="A78" i="1"/>
  <c r="M305" i="4"/>
  <c r="Q305" i="4"/>
  <c r="A184" i="4"/>
  <c r="A71" i="4"/>
  <c r="V157" i="4"/>
  <c r="X157" i="4"/>
  <c r="Y157" i="4"/>
  <c r="T219" i="4"/>
  <c r="A142" i="4"/>
  <c r="A28" i="1"/>
  <c r="A228" i="1"/>
  <c r="A144" i="1"/>
  <c r="A201" i="2"/>
  <c r="Z201" i="2"/>
  <c r="A143" i="4"/>
  <c r="A96" i="1"/>
  <c r="A181" i="2"/>
  <c r="Z181" i="2"/>
  <c r="A211" i="4"/>
  <c r="A79" i="4"/>
  <c r="Q299" i="4"/>
  <c r="A58" i="1"/>
  <c r="A162" i="1"/>
  <c r="A11" i="2"/>
  <c r="Z11" i="2"/>
  <c r="A123" i="2"/>
  <c r="Z123" i="2"/>
  <c r="A248" i="2"/>
  <c r="Z248" i="2"/>
  <c r="A35" i="1"/>
  <c r="A135" i="1"/>
  <c r="A267" i="1"/>
  <c r="A84" i="2"/>
  <c r="Z84" i="2"/>
  <c r="A180" i="2"/>
  <c r="Z180" i="2"/>
  <c r="A246" i="4"/>
  <c r="A18" i="4"/>
  <c r="S17" i="4"/>
  <c r="Q17" i="4"/>
  <c r="X17" i="4"/>
  <c r="Y17" i="4"/>
  <c r="V17" i="4"/>
  <c r="N17" i="4"/>
  <c r="U17" i="4"/>
  <c r="W17" i="4"/>
  <c r="Y41" i="2"/>
  <c r="O40" i="4"/>
  <c r="N40" i="4"/>
  <c r="T46" i="4"/>
  <c r="U46" i="4"/>
  <c r="O46" i="4"/>
  <c r="V46" i="4"/>
  <c r="M46" i="4"/>
  <c r="P46" i="4"/>
  <c r="W49" i="4"/>
  <c r="M49" i="4"/>
  <c r="R49" i="4"/>
  <c r="Q49" i="4"/>
  <c r="U49" i="4"/>
  <c r="N49" i="4"/>
  <c r="S49" i="4"/>
  <c r="O49" i="4"/>
  <c r="X49" i="4"/>
  <c r="Y49" i="4"/>
  <c r="P51" i="4"/>
  <c r="Y52" i="2"/>
  <c r="O51" i="4"/>
  <c r="M51" i="4"/>
  <c r="T51" i="4"/>
  <c r="X51" i="4"/>
  <c r="Y51" i="4"/>
  <c r="S51" i="4"/>
  <c r="R53" i="4"/>
  <c r="Q53" i="4"/>
  <c r="T53" i="4"/>
  <c r="X53" i="4"/>
  <c r="Y53" i="4"/>
  <c r="Y54" i="2"/>
  <c r="P53" i="4"/>
  <c r="W53" i="4"/>
  <c r="X78" i="4"/>
  <c r="Y78" i="4"/>
  <c r="Y79" i="2"/>
  <c r="W78" i="4"/>
  <c r="N78" i="4"/>
  <c r="O78" i="4"/>
  <c r="U94" i="4"/>
  <c r="R94" i="4"/>
  <c r="M94" i="4"/>
  <c r="N94" i="4"/>
  <c r="W94" i="4"/>
  <c r="X94" i="4"/>
  <c r="Y94" i="4"/>
  <c r="P94" i="4"/>
  <c r="N126" i="4"/>
  <c r="X126" i="4"/>
  <c r="Y126" i="4"/>
  <c r="T126" i="4"/>
  <c r="X161" i="4"/>
  <c r="Y161" i="4"/>
  <c r="P161" i="4"/>
  <c r="R161" i="4"/>
  <c r="Q161" i="4"/>
  <c r="N163" i="4"/>
  <c r="W163" i="4"/>
  <c r="S166" i="4"/>
  <c r="Y167" i="2"/>
  <c r="Q166" i="4"/>
  <c r="U166" i="4"/>
  <c r="O166" i="4"/>
  <c r="R166" i="4"/>
  <c r="U170" i="4"/>
  <c r="S170" i="4"/>
  <c r="N170" i="4"/>
  <c r="O170" i="4"/>
  <c r="Y171" i="2"/>
  <c r="X170" i="4"/>
  <c r="Y170" i="4"/>
  <c r="P174" i="4"/>
  <c r="X174" i="4"/>
  <c r="Y174" i="4"/>
  <c r="V174" i="4"/>
  <c r="R174" i="4"/>
  <c r="O174" i="4"/>
  <c r="W174" i="4"/>
  <c r="R181" i="4"/>
  <c r="Q181" i="4"/>
  <c r="O181" i="4"/>
  <c r="V181" i="4"/>
  <c r="T181" i="4"/>
  <c r="Y182" i="2"/>
  <c r="W194" i="4"/>
  <c r="X194" i="4"/>
  <c r="Y194" i="4"/>
  <c r="T194" i="4"/>
  <c r="S194" i="4"/>
  <c r="U194" i="4"/>
  <c r="Y195" i="2"/>
  <c r="M194" i="4"/>
  <c r="Q194" i="4"/>
  <c r="M203" i="4"/>
  <c r="R203" i="4"/>
  <c r="W203" i="4"/>
  <c r="T206" i="4"/>
  <c r="W206" i="4"/>
  <c r="X206" i="4"/>
  <c r="Y206" i="4"/>
  <c r="S206" i="4"/>
  <c r="R206" i="4"/>
  <c r="R214" i="4"/>
  <c r="O214" i="4"/>
  <c r="U231" i="4"/>
  <c r="V231" i="4"/>
  <c r="S231" i="4"/>
  <c r="P231" i="4"/>
  <c r="X231" i="4"/>
  <c r="Y231" i="4"/>
  <c r="T236" i="4"/>
  <c r="X236" i="4"/>
  <c r="Y236" i="4"/>
  <c r="R236" i="4"/>
  <c r="O236" i="4"/>
  <c r="P238" i="4"/>
  <c r="O238" i="4"/>
  <c r="N238" i="4"/>
  <c r="P241" i="4"/>
  <c r="N241" i="4"/>
  <c r="V241" i="4"/>
  <c r="O241" i="4"/>
  <c r="T241" i="4"/>
  <c r="S241" i="4"/>
  <c r="P282" i="4"/>
  <c r="T282" i="4"/>
  <c r="X282" i="4"/>
  <c r="Y282" i="4"/>
  <c r="M282" i="4"/>
  <c r="Q282" i="4"/>
  <c r="U282" i="4"/>
  <c r="P292" i="4"/>
  <c r="V292" i="4"/>
  <c r="O292" i="4"/>
  <c r="M292" i="4"/>
  <c r="R292" i="4"/>
  <c r="W292" i="4"/>
  <c r="A165" i="4"/>
  <c r="A157" i="4"/>
  <c r="A141" i="4"/>
  <c r="A113" i="4"/>
  <c r="A89" i="4"/>
  <c r="A25" i="4"/>
  <c r="A275" i="2"/>
  <c r="Z275" i="2"/>
  <c r="A222" i="2"/>
  <c r="Z222" i="2"/>
  <c r="A178" i="2"/>
  <c r="Z178" i="2"/>
  <c r="A30" i="2"/>
  <c r="Z30" i="2"/>
  <c r="A10" i="2"/>
  <c r="Z10" i="2"/>
  <c r="A313" i="1"/>
  <c r="A285" i="1"/>
  <c r="A249" i="1"/>
  <c r="A229" i="1"/>
  <c r="A221" i="1"/>
  <c r="A177" i="1"/>
  <c r="A165" i="1"/>
  <c r="A149" i="1"/>
  <c r="A133" i="1"/>
  <c r="A109" i="1"/>
  <c r="A89" i="1"/>
  <c r="A81" i="1"/>
  <c r="A49" i="1"/>
  <c r="A17" i="1"/>
  <c r="A9" i="1"/>
  <c r="A40" i="4"/>
  <c r="A292" i="4"/>
  <c r="A50" i="4"/>
  <c r="A306" i="4"/>
  <c r="A83" i="4"/>
  <c r="A308" i="4"/>
  <c r="A275" i="4"/>
  <c r="A44" i="1"/>
  <c r="A282" i="2"/>
  <c r="Z282" i="2"/>
  <c r="A254" i="1"/>
  <c r="A179" i="2"/>
  <c r="Z179" i="2"/>
  <c r="A119" i="1"/>
  <c r="A168" i="2"/>
  <c r="Z168" i="2"/>
  <c r="U302" i="4"/>
  <c r="P302" i="4"/>
  <c r="N302" i="4"/>
  <c r="R302" i="4"/>
  <c r="A80" i="4"/>
  <c r="A176" i="4"/>
  <c r="A10" i="4"/>
  <c r="A78" i="4"/>
  <c r="A226" i="4"/>
  <c r="A167" i="4"/>
  <c r="A73" i="2"/>
  <c r="Z73" i="2"/>
  <c r="A92" i="1"/>
  <c r="A291" i="4"/>
  <c r="A61" i="2"/>
  <c r="Z61" i="2"/>
  <c r="A89" i="2"/>
  <c r="Z89" i="2"/>
  <c r="A172" i="1"/>
  <c r="A39" i="4"/>
  <c r="A88" i="4"/>
  <c r="A188" i="4"/>
  <c r="A236" i="4"/>
  <c r="M99" i="4"/>
  <c r="N99" i="4"/>
  <c r="Q99" i="4"/>
  <c r="V99" i="4"/>
  <c r="R305" i="4"/>
  <c r="A22" i="4"/>
  <c r="A86" i="4"/>
  <c r="A154" i="4"/>
  <c r="A242" i="4"/>
  <c r="A185" i="2"/>
  <c r="Z185" i="2"/>
  <c r="A116" i="1"/>
  <c r="A169" i="2"/>
  <c r="Z169" i="2"/>
  <c r="A219" i="4"/>
  <c r="A93" i="2"/>
  <c r="Z93" i="2"/>
  <c r="A28" i="4"/>
  <c r="A63" i="4"/>
  <c r="A64" i="4"/>
  <c r="A318" i="2"/>
  <c r="Z318" i="2"/>
  <c r="A51" i="4"/>
  <c r="A323" i="4"/>
  <c r="A70" i="1"/>
  <c r="A186" i="1"/>
  <c r="A15" i="2"/>
  <c r="Z15" i="2"/>
  <c r="A127" i="2"/>
  <c r="Z127" i="2"/>
  <c r="A284" i="2"/>
  <c r="Z284" i="2"/>
  <c r="A71" i="1"/>
  <c r="A179" i="1"/>
  <c r="A8" i="2"/>
  <c r="Z8" i="2"/>
  <c r="A116" i="2"/>
  <c r="Z116" i="2"/>
  <c r="A257" i="2"/>
  <c r="Z257" i="2"/>
  <c r="O61" i="4"/>
  <c r="R61" i="4"/>
  <c r="V61" i="4"/>
  <c r="W61" i="4"/>
  <c r="U61" i="4"/>
  <c r="A278" i="2"/>
  <c r="Z278" i="2"/>
  <c r="A264" i="1"/>
  <c r="A324" i="4"/>
  <c r="N25" i="4"/>
  <c r="V25" i="4"/>
  <c r="M25" i="4"/>
  <c r="P25" i="4"/>
  <c r="S41" i="4"/>
  <c r="Q41" i="4"/>
  <c r="Q265" i="4"/>
  <c r="N265" i="4"/>
  <c r="T265" i="4"/>
  <c r="S271" i="4"/>
  <c r="R271" i="4"/>
  <c r="U271" i="4"/>
  <c r="N275" i="4"/>
  <c r="V275" i="4"/>
  <c r="Q288" i="4"/>
  <c r="W288" i="4"/>
  <c r="X309" i="4"/>
  <c r="Y309" i="4"/>
  <c r="W309" i="4"/>
  <c r="X321" i="4"/>
  <c r="Y321" i="4"/>
  <c r="P321" i="4"/>
  <c r="N321" i="4"/>
  <c r="Y322" i="2"/>
  <c r="S321" i="4"/>
  <c r="L50" i="4"/>
  <c r="W291" i="4"/>
  <c r="V291" i="4"/>
  <c r="R73" i="4"/>
  <c r="Y74" i="2"/>
  <c r="V100" i="4"/>
  <c r="U100" i="4"/>
  <c r="O111" i="4"/>
  <c r="N111" i="4"/>
  <c r="R116" i="4"/>
  <c r="Y117" i="2"/>
  <c r="Y120" i="2"/>
  <c r="M119" i="4"/>
  <c r="O188" i="4"/>
  <c r="X188" i="4"/>
  <c r="Y188" i="4"/>
  <c r="W188" i="4"/>
  <c r="Y189" i="2"/>
  <c r="L114" i="1"/>
  <c r="L126" i="1"/>
  <c r="L157" i="1"/>
  <c r="T45" i="4"/>
  <c r="U45" i="4"/>
  <c r="L57" i="2"/>
  <c r="L82" i="2"/>
  <c r="Q110" i="4"/>
  <c r="X110" i="4"/>
  <c r="Y110" i="4"/>
  <c r="R135" i="4"/>
  <c r="M135" i="4"/>
  <c r="N177" i="4"/>
  <c r="W177" i="4"/>
  <c r="U177" i="4"/>
  <c r="O197" i="4"/>
  <c r="V197" i="4"/>
  <c r="A160" i="4"/>
  <c r="A96" i="4"/>
  <c r="L5" i="1"/>
  <c r="L68" i="1"/>
  <c r="L59" i="2"/>
  <c r="R58" i="4"/>
  <c r="L63" i="2"/>
  <c r="L66" i="2"/>
  <c r="W65" i="4"/>
  <c r="L72" i="2"/>
  <c r="Y72" i="2"/>
  <c r="L248" i="2"/>
  <c r="M247" i="4"/>
  <c r="L281" i="2"/>
  <c r="L308" i="2"/>
  <c r="X307" i="4"/>
  <c r="Y307" i="4"/>
  <c r="L162" i="4"/>
  <c r="L164" i="4"/>
  <c r="L283" i="4"/>
  <c r="L51" i="1"/>
  <c r="L57" i="1"/>
  <c r="L62" i="1"/>
  <c r="L73" i="1"/>
  <c r="L113" i="1"/>
  <c r="L125" i="1"/>
  <c r="L139" i="1"/>
  <c r="L160" i="1"/>
  <c r="L278" i="1"/>
  <c r="L321" i="1"/>
  <c r="L53" i="2"/>
  <c r="X52" i="4"/>
  <c r="Y52" i="4"/>
  <c r="L160" i="2"/>
  <c r="L180" i="2"/>
  <c r="L200" i="2"/>
  <c r="V199" i="4"/>
  <c r="L234" i="2"/>
  <c r="R233" i="4"/>
  <c r="L238" i="2"/>
  <c r="V237" i="4"/>
  <c r="L297" i="2"/>
  <c r="T296" i="4"/>
  <c r="L59" i="4"/>
  <c r="L61" i="4"/>
  <c r="L128" i="4"/>
  <c r="L138" i="4"/>
  <c r="L214" i="4"/>
  <c r="L226" i="4"/>
  <c r="L236" i="4"/>
  <c r="L247" i="4"/>
  <c r="L296" i="4"/>
  <c r="N3" i="3"/>
  <c r="L281" i="1"/>
  <c r="L4" i="4"/>
  <c r="L237" i="4"/>
  <c r="L325" i="4"/>
  <c r="A194" i="3"/>
  <c r="L56" i="1"/>
  <c r="L84" i="1"/>
  <c r="L241" i="1"/>
  <c r="L278" i="2"/>
  <c r="Q277" i="4"/>
  <c r="L316" i="2"/>
  <c r="L318" i="2"/>
  <c r="L88" i="4"/>
  <c r="L156" i="4"/>
  <c r="L29" i="1"/>
  <c r="L60" i="1"/>
  <c r="L132" i="1"/>
  <c r="L150" i="1"/>
  <c r="L152" i="1"/>
  <c r="L163" i="1"/>
  <c r="L209" i="1"/>
  <c r="L280" i="1"/>
  <c r="L300" i="1"/>
  <c r="L316" i="1"/>
  <c r="L126" i="2"/>
  <c r="M125" i="4"/>
  <c r="L240" i="2"/>
  <c r="R239" i="4"/>
  <c r="L291" i="2"/>
  <c r="L23" i="4"/>
  <c r="L200" i="4"/>
  <c r="Q68" i="4"/>
  <c r="L93" i="1"/>
  <c r="L110" i="1"/>
  <c r="L200" i="1"/>
  <c r="L286" i="1"/>
  <c r="L157" i="2"/>
  <c r="V156" i="4"/>
  <c r="L51" i="2"/>
  <c r="U50" i="4"/>
  <c r="L119" i="2"/>
  <c r="L152" i="2"/>
  <c r="S151" i="4"/>
  <c r="L223" i="2"/>
  <c r="Y223" i="2"/>
  <c r="L286" i="2"/>
  <c r="L295" i="2"/>
  <c r="Y295" i="2"/>
  <c r="L82" i="4"/>
  <c r="L198" i="4"/>
  <c r="L208" i="4"/>
  <c r="L234" i="4"/>
  <c r="L316" i="4"/>
  <c r="A172" i="3"/>
  <c r="A118" i="3"/>
  <c r="A94" i="3"/>
  <c r="A74" i="3"/>
  <c r="A46" i="3"/>
  <c r="A22" i="3"/>
  <c r="A18" i="3"/>
  <c r="L78" i="3"/>
  <c r="AB78" i="3"/>
  <c r="AE78" i="3"/>
  <c r="AH78" i="3"/>
  <c r="AK78" i="3"/>
  <c r="AN78" i="3"/>
  <c r="AQ78" i="3"/>
  <c r="AT78" i="3"/>
  <c r="AW78" i="3"/>
  <c r="AZ78" i="3"/>
  <c r="BC78" i="3"/>
  <c r="BF78" i="3"/>
  <c r="BI78" i="3"/>
  <c r="BL78" i="3"/>
  <c r="BO78" i="3"/>
  <c r="BR78" i="3"/>
  <c r="BU78" i="3"/>
  <c r="BX78" i="3"/>
  <c r="CA78" i="3"/>
  <c r="CD78" i="3"/>
  <c r="CG78" i="3"/>
  <c r="CJ78" i="3"/>
  <c r="CM78" i="3"/>
  <c r="CP78" i="3"/>
  <c r="CS78" i="3"/>
  <c r="CV78" i="3"/>
  <c r="CY78" i="3"/>
  <c r="L320" i="3"/>
  <c r="AB320" i="3"/>
  <c r="AE320" i="3"/>
  <c r="AH320" i="3"/>
  <c r="AK320" i="3"/>
  <c r="AN320" i="3"/>
  <c r="AQ320" i="3"/>
  <c r="AT320" i="3"/>
  <c r="AW320" i="3"/>
  <c r="AZ320" i="3"/>
  <c r="BC320" i="3"/>
  <c r="BF320" i="3"/>
  <c r="BI320" i="3"/>
  <c r="BL320" i="3"/>
  <c r="BO320" i="3"/>
  <c r="BR320" i="3"/>
  <c r="BU320" i="3"/>
  <c r="BX320" i="3"/>
  <c r="CA320" i="3"/>
  <c r="CD320" i="3"/>
  <c r="CG320" i="3"/>
  <c r="CJ320" i="3"/>
  <c r="CM320" i="3"/>
  <c r="CP320" i="3"/>
  <c r="CS320" i="3"/>
  <c r="CV320" i="3"/>
  <c r="CY320" i="3"/>
  <c r="L280" i="3"/>
  <c r="AB280" i="3"/>
  <c r="AE280" i="3"/>
  <c r="AH280" i="3"/>
  <c r="AK280" i="3"/>
  <c r="AN280" i="3"/>
  <c r="AQ280" i="3"/>
  <c r="AT280" i="3"/>
  <c r="AW280" i="3"/>
  <c r="AZ280" i="3"/>
  <c r="BC280" i="3"/>
  <c r="BF280" i="3"/>
  <c r="BI280" i="3"/>
  <c r="BL280" i="3"/>
  <c r="BO280" i="3"/>
  <c r="BR280" i="3"/>
  <c r="BU280" i="3"/>
  <c r="BX280" i="3"/>
  <c r="CA280" i="3"/>
  <c r="CD280" i="3"/>
  <c r="CG280" i="3"/>
  <c r="CJ280" i="3"/>
  <c r="CM280" i="3"/>
  <c r="CP280" i="3"/>
  <c r="CS280" i="3"/>
  <c r="CV280" i="3"/>
  <c r="CY280" i="3"/>
  <c r="A84" i="3"/>
  <c r="L44" i="3"/>
  <c r="AB44" i="3"/>
  <c r="AE44" i="3"/>
  <c r="AH44" i="3"/>
  <c r="AK44" i="3"/>
  <c r="AN44" i="3"/>
  <c r="AQ44" i="3"/>
  <c r="AT44" i="3"/>
  <c r="AW44" i="3"/>
  <c r="AZ44" i="3"/>
  <c r="BC44" i="3"/>
  <c r="BF44" i="3"/>
  <c r="BI44" i="3"/>
  <c r="BL44" i="3"/>
  <c r="BO44" i="3"/>
  <c r="BR44" i="3"/>
  <c r="BU44" i="3"/>
  <c r="BX44" i="3"/>
  <c r="CA44" i="3"/>
  <c r="CD44" i="3"/>
  <c r="CG44" i="3"/>
  <c r="CJ44" i="3"/>
  <c r="CM44" i="3"/>
  <c r="CP44" i="3"/>
  <c r="CS44" i="3"/>
  <c r="CV44" i="3"/>
  <c r="CY44" i="3"/>
  <c r="L323" i="1"/>
  <c r="L9" i="2"/>
  <c r="M8" i="4"/>
  <c r="L15" i="2"/>
  <c r="P14" i="4"/>
  <c r="L24" i="2"/>
  <c r="L61" i="2"/>
  <c r="L68" i="2"/>
  <c r="Y68" i="2"/>
  <c r="L84" i="2"/>
  <c r="T83" i="4"/>
  <c r="L110" i="2"/>
  <c r="L147" i="2"/>
  <c r="Y147" i="2"/>
  <c r="L92" i="4"/>
  <c r="L136" i="4"/>
  <c r="L179" i="4"/>
  <c r="L290" i="4"/>
  <c r="L315" i="4"/>
  <c r="A315" i="4"/>
  <c r="A303" i="4"/>
  <c r="A271" i="4"/>
  <c r="A259" i="4"/>
  <c r="A251" i="4"/>
  <c r="A235" i="4"/>
  <c r="A159" i="4"/>
  <c r="A155" i="4"/>
  <c r="A127" i="4"/>
  <c r="A115" i="4"/>
  <c r="A67" i="4"/>
  <c r="A55" i="4"/>
  <c r="A43" i="4"/>
  <c r="A19" i="4"/>
  <c r="A115" i="3"/>
  <c r="A305" i="2"/>
  <c r="Z305" i="2"/>
  <c r="A277" i="2"/>
  <c r="Z277" i="2"/>
  <c r="A245" i="2"/>
  <c r="Z245" i="2"/>
  <c r="A216" i="2"/>
  <c r="Z216" i="2"/>
  <c r="A192" i="2"/>
  <c r="Z192" i="2"/>
  <c r="A160" i="2"/>
  <c r="Z160" i="2"/>
  <c r="A132" i="2"/>
  <c r="Z132" i="2"/>
  <c r="A104" i="2"/>
  <c r="Z104" i="2"/>
  <c r="A72" i="2"/>
  <c r="Z72" i="2"/>
  <c r="A48" i="2"/>
  <c r="Z48" i="2"/>
  <c r="A20" i="2"/>
  <c r="Z20" i="2"/>
  <c r="A171" i="1"/>
  <c r="A139" i="1"/>
  <c r="A115" i="1"/>
  <c r="A87" i="1"/>
  <c r="A55" i="1"/>
  <c r="A27" i="1"/>
  <c r="L36" i="3"/>
  <c r="AB36" i="3"/>
  <c r="AE36" i="3"/>
  <c r="AH36" i="3"/>
  <c r="AK36" i="3"/>
  <c r="AN36" i="3"/>
  <c r="AQ36" i="3"/>
  <c r="AT36" i="3"/>
  <c r="AW36" i="3"/>
  <c r="AZ36" i="3"/>
  <c r="BC36" i="3"/>
  <c r="BF36" i="3"/>
  <c r="BI36" i="3"/>
  <c r="BL36" i="3"/>
  <c r="BO36" i="3"/>
  <c r="BR36" i="3"/>
  <c r="BU36" i="3"/>
  <c r="BX36" i="3"/>
  <c r="CA36" i="3"/>
  <c r="CD36" i="3"/>
  <c r="CG36" i="3"/>
  <c r="CJ36" i="3"/>
  <c r="CM36" i="3"/>
  <c r="CP36" i="3"/>
  <c r="CS36" i="3"/>
  <c r="CV36" i="3"/>
  <c r="CY36" i="3"/>
  <c r="AB210" i="3"/>
  <c r="AE210" i="3"/>
  <c r="AH210" i="3"/>
  <c r="AK210" i="3"/>
  <c r="AN210" i="3"/>
  <c r="AQ210" i="3"/>
  <c r="AT210" i="3"/>
  <c r="AW210" i="3"/>
  <c r="AZ210" i="3"/>
  <c r="BC210" i="3"/>
  <c r="L164" i="3"/>
  <c r="W307" i="4"/>
  <c r="N307" i="4"/>
  <c r="O307" i="4"/>
  <c r="T307" i="4"/>
  <c r="M307" i="4"/>
  <c r="P307" i="4"/>
  <c r="Q43" i="4"/>
  <c r="O43" i="4"/>
  <c r="S43" i="4"/>
  <c r="W13" i="4"/>
  <c r="O13" i="4"/>
  <c r="R13" i="4"/>
  <c r="P13" i="4"/>
  <c r="V15" i="4"/>
  <c r="M15" i="4"/>
  <c r="O15" i="4"/>
  <c r="R15" i="4"/>
  <c r="Q15" i="4"/>
  <c r="Y16" i="2"/>
  <c r="W15" i="4"/>
  <c r="T15" i="4"/>
  <c r="U15" i="4"/>
  <c r="N18" i="4"/>
  <c r="V18" i="4"/>
  <c r="W18" i="4"/>
  <c r="X18" i="4"/>
  <c r="Y18" i="4"/>
  <c r="Y19" i="2"/>
  <c r="M18" i="4"/>
  <c r="Q18" i="4"/>
  <c r="R18" i="4"/>
  <c r="P27" i="4"/>
  <c r="T27" i="4"/>
  <c r="M27" i="4"/>
  <c r="O27" i="4"/>
  <c r="X27" i="4"/>
  <c r="Y27" i="4"/>
  <c r="Q27" i="4"/>
  <c r="Y28" i="2"/>
  <c r="S27" i="4"/>
  <c r="P84" i="4"/>
  <c r="R84" i="4"/>
  <c r="Y85" i="2"/>
  <c r="O84" i="4"/>
  <c r="X84" i="4"/>
  <c r="Y84" i="4"/>
  <c r="Q84" i="4"/>
  <c r="V84" i="4"/>
  <c r="U84" i="4"/>
  <c r="N84" i="4"/>
  <c r="M84" i="4"/>
  <c r="V90" i="4"/>
  <c r="T90" i="4"/>
  <c r="P90" i="4"/>
  <c r="O90" i="4"/>
  <c r="Q90" i="4"/>
  <c r="Y91" i="2"/>
  <c r="S90" i="4"/>
  <c r="U90" i="4"/>
  <c r="S96" i="4"/>
  <c r="T96" i="4"/>
  <c r="R96" i="4"/>
  <c r="N96" i="4"/>
  <c r="O96" i="4"/>
  <c r="Q96" i="4"/>
  <c r="W96" i="4"/>
  <c r="V96" i="4"/>
  <c r="N98" i="4"/>
  <c r="Y99" i="2"/>
  <c r="R98" i="4"/>
  <c r="O98" i="4"/>
  <c r="M98" i="4"/>
  <c r="Y103" i="2"/>
  <c r="N102" i="4"/>
  <c r="X102" i="4"/>
  <c r="Y102" i="4"/>
  <c r="Q102" i="4"/>
  <c r="V102" i="4"/>
  <c r="P102" i="4"/>
  <c r="T102" i="4"/>
  <c r="X147" i="4"/>
  <c r="Y147" i="4"/>
  <c r="R147" i="4"/>
  <c r="Y148" i="2"/>
  <c r="N147" i="4"/>
  <c r="W147" i="4"/>
  <c r="T147" i="4"/>
  <c r="U147" i="4"/>
  <c r="Y153" i="2"/>
  <c r="W152" i="4"/>
  <c r="O152" i="4"/>
  <c r="S152" i="4"/>
  <c r="R152" i="4"/>
  <c r="N152" i="4"/>
  <c r="V152" i="4"/>
  <c r="U154" i="4"/>
  <c r="S154" i="4"/>
  <c r="N154" i="4"/>
  <c r="W154" i="4"/>
  <c r="Q154" i="4"/>
  <c r="P156" i="4"/>
  <c r="W156" i="4"/>
  <c r="R175" i="4"/>
  <c r="O175" i="4"/>
  <c r="S175" i="4"/>
  <c r="M175" i="4"/>
  <c r="Q175" i="4"/>
  <c r="V175" i="4"/>
  <c r="O178" i="4"/>
  <c r="T178" i="4"/>
  <c r="Q178" i="4"/>
  <c r="V178" i="4"/>
  <c r="M178" i="4"/>
  <c r="S178" i="4"/>
  <c r="Y179" i="2"/>
  <c r="P178" i="4"/>
  <c r="O180" i="4"/>
  <c r="P180" i="4"/>
  <c r="N180" i="4"/>
  <c r="Y181" i="2"/>
  <c r="Q180" i="4"/>
  <c r="Q183" i="4"/>
  <c r="U183" i="4"/>
  <c r="R183" i="4"/>
  <c r="P183" i="4"/>
  <c r="X183" i="4"/>
  <c r="Y183" i="4"/>
  <c r="O183" i="4"/>
  <c r="T183" i="4"/>
  <c r="W183" i="4"/>
  <c r="N183" i="4"/>
  <c r="T187" i="4"/>
  <c r="R187" i="4"/>
  <c r="P187" i="4"/>
  <c r="Q187" i="4"/>
  <c r="W187" i="4"/>
  <c r="O187" i="4"/>
  <c r="M187" i="4"/>
  <c r="Q190" i="4"/>
  <c r="M190" i="4"/>
  <c r="O190" i="4"/>
  <c r="V190" i="4"/>
  <c r="R190" i="4"/>
  <c r="P190" i="4"/>
  <c r="Q193" i="4"/>
  <c r="X193" i="4"/>
  <c r="Y193" i="4"/>
  <c r="Y194" i="2"/>
  <c r="V193" i="4"/>
  <c r="O193" i="4"/>
  <c r="S193" i="4"/>
  <c r="P193" i="4"/>
  <c r="U212" i="4"/>
  <c r="M212" i="4"/>
  <c r="R212" i="4"/>
  <c r="V212" i="4"/>
  <c r="O212" i="4"/>
  <c r="W212" i="4"/>
  <c r="X212" i="4"/>
  <c r="Y212" i="4"/>
  <c r="Y213" i="2"/>
  <c r="N212" i="4"/>
  <c r="S215" i="4"/>
  <c r="Q215" i="4"/>
  <c r="V215" i="4"/>
  <c r="W215" i="4"/>
  <c r="O215" i="4"/>
  <c r="S217" i="4"/>
  <c r="T217" i="4"/>
  <c r="N217" i="4"/>
  <c r="U217" i="4"/>
  <c r="O217" i="4"/>
  <c r="Q217" i="4"/>
  <c r="X219" i="4"/>
  <c r="Y219" i="4"/>
  <c r="Q219" i="4"/>
  <c r="O219" i="4"/>
  <c r="N219" i="4"/>
  <c r="N221" i="4"/>
  <c r="T221" i="4"/>
  <c r="R221" i="4"/>
  <c r="W221" i="4"/>
  <c r="P221" i="4"/>
  <c r="Q221" i="4"/>
  <c r="R223" i="4"/>
  <c r="N223" i="4"/>
  <c r="P223" i="4"/>
  <c r="Y224" i="2"/>
  <c r="U223" i="4"/>
  <c r="P226" i="4"/>
  <c r="U226" i="4"/>
  <c r="M226" i="4"/>
  <c r="V226" i="4"/>
  <c r="Q226" i="4"/>
  <c r="N226" i="4"/>
  <c r="W227" i="4"/>
  <c r="O227" i="4"/>
  <c r="R227" i="4"/>
  <c r="T227" i="4"/>
  <c r="Y228" i="2"/>
  <c r="N229" i="4"/>
  <c r="Q229" i="4"/>
  <c r="V229" i="4"/>
  <c r="M229" i="4"/>
  <c r="S229" i="4"/>
  <c r="U229" i="4"/>
  <c r="P229" i="4"/>
  <c r="S235" i="4"/>
  <c r="X235" i="4"/>
  <c r="Y235" i="4"/>
  <c r="O235" i="4"/>
  <c r="Y236" i="2"/>
  <c r="U235" i="4"/>
  <c r="V235" i="4"/>
  <c r="P235" i="4"/>
  <c r="T235" i="4"/>
  <c r="W235" i="4"/>
  <c r="R235" i="4"/>
  <c r="Q235" i="4"/>
  <c r="X244" i="4"/>
  <c r="Y244" i="4"/>
  <c r="N244" i="4"/>
  <c r="W244" i="4"/>
  <c r="T244" i="4"/>
  <c r="R244" i="4"/>
  <c r="O244" i="4"/>
  <c r="U244" i="4"/>
  <c r="M244" i="4"/>
  <c r="S244" i="4"/>
  <c r="P244" i="4"/>
  <c r="Q244" i="4"/>
  <c r="V247" i="4"/>
  <c r="Y250" i="2"/>
  <c r="U249" i="4"/>
  <c r="T249" i="4"/>
  <c r="P249" i="4"/>
  <c r="M249" i="4"/>
  <c r="T251" i="4"/>
  <c r="Q251" i="4"/>
  <c r="O251" i="4"/>
  <c r="R251" i="4"/>
  <c r="N251" i="4"/>
  <c r="M251" i="4"/>
  <c r="W251" i="4"/>
  <c r="O253" i="4"/>
  <c r="S253" i="4"/>
  <c r="U253" i="4"/>
  <c r="N253" i="4"/>
  <c r="M253" i="4"/>
  <c r="W253" i="4"/>
  <c r="T253" i="4"/>
  <c r="N255" i="4"/>
  <c r="P255" i="4"/>
  <c r="T255" i="4"/>
  <c r="R255" i="4"/>
  <c r="W255" i="4"/>
  <c r="P260" i="4"/>
  <c r="Q260" i="4"/>
  <c r="T260" i="4"/>
  <c r="U260" i="4"/>
  <c r="M260" i="4"/>
  <c r="R260" i="4"/>
  <c r="N260" i="4"/>
  <c r="Y261" i="2"/>
  <c r="O260" i="4"/>
  <c r="A314" i="2"/>
  <c r="Z314" i="2"/>
  <c r="Q107" i="4"/>
  <c r="S107" i="4"/>
  <c r="A30" i="3"/>
  <c r="A200" i="4"/>
  <c r="A252" i="4"/>
  <c r="A296" i="4"/>
  <c r="A306" i="2"/>
  <c r="Z306" i="2"/>
  <c r="A255" i="2"/>
  <c r="Z255" i="2"/>
  <c r="A288" i="1"/>
  <c r="M255" i="4"/>
  <c r="P219" i="4"/>
  <c r="A218" i="4"/>
  <c r="A250" i="4"/>
  <c r="A286" i="4"/>
  <c r="A322" i="4"/>
  <c r="A257" i="1"/>
  <c r="A220" i="4"/>
  <c r="A213" i="1"/>
  <c r="A232" i="1"/>
  <c r="A217" i="2"/>
  <c r="Z217" i="2"/>
  <c r="A205" i="1"/>
  <c r="A304" i="4"/>
  <c r="A240" i="1"/>
  <c r="A245" i="4"/>
  <c r="A208" i="1"/>
  <c r="A242" i="2"/>
  <c r="Z242" i="2"/>
  <c r="A225" i="2"/>
  <c r="Z225" i="2"/>
  <c r="A203" i="4"/>
  <c r="A213" i="2"/>
  <c r="Z213" i="2"/>
  <c r="A326" i="2"/>
  <c r="Z326" i="2"/>
  <c r="A266" i="2"/>
  <c r="Z266" i="2"/>
  <c r="A301" i="1"/>
  <c r="A237" i="4"/>
  <c r="S13" i="4"/>
  <c r="V260" i="4"/>
  <c r="R215" i="4"/>
  <c r="Q212" i="4"/>
  <c r="Y184" i="2"/>
  <c r="W178" i="4"/>
  <c r="T190" i="4"/>
  <c r="X107" i="4"/>
  <c r="Y107" i="4"/>
  <c r="Y97" i="2"/>
  <c r="X223" i="4"/>
  <c r="Y223" i="4"/>
  <c r="Y191" i="2"/>
  <c r="N190" i="4"/>
  <c r="S98" i="4"/>
  <c r="O24" i="4"/>
  <c r="M193" i="4"/>
  <c r="U193" i="4"/>
  <c r="N187" i="4"/>
  <c r="V187" i="4"/>
  <c r="V147" i="4"/>
  <c r="Y222" i="2"/>
  <c r="O221" i="4"/>
  <c r="R217" i="4"/>
  <c r="V217" i="4"/>
  <c r="X152" i="4"/>
  <c r="Y152" i="4"/>
  <c r="W175" i="4"/>
  <c r="T175" i="4"/>
  <c r="X90" i="4"/>
  <c r="Y90" i="4"/>
  <c r="U156" i="4"/>
  <c r="W27" i="4"/>
  <c r="A226" i="1"/>
  <c r="A270" i="1"/>
  <c r="A302" i="1"/>
  <c r="A219" i="2"/>
  <c r="Z219" i="2"/>
  <c r="A260" i="2"/>
  <c r="Z260" i="2"/>
  <c r="A300" i="2"/>
  <c r="Z300" i="2"/>
  <c r="A203" i="1"/>
  <c r="A243" i="1"/>
  <c r="A279" i="1"/>
  <c r="A323" i="1"/>
  <c r="A224" i="2"/>
  <c r="Z224" i="2"/>
  <c r="A261" i="2"/>
  <c r="Z261" i="2"/>
  <c r="A297" i="2"/>
  <c r="Z297" i="2"/>
  <c r="O206" i="4"/>
  <c r="M206" i="4"/>
  <c r="P206" i="4"/>
  <c r="U206" i="4"/>
  <c r="A310" i="4"/>
  <c r="A259" i="2"/>
  <c r="Z259" i="2"/>
  <c r="Y220" i="2"/>
  <c r="A314" i="4"/>
  <c r="M235" i="4"/>
  <c r="V244" i="4"/>
  <c r="O140" i="4"/>
  <c r="S140" i="4"/>
  <c r="N140" i="4"/>
  <c r="Q7" i="4"/>
  <c r="P7" i="4"/>
  <c r="N7" i="4"/>
  <c r="S7" i="4"/>
  <c r="X7" i="4"/>
  <c r="Y7" i="4"/>
  <c r="Y8" i="2"/>
  <c r="M7" i="4"/>
  <c r="V7" i="4"/>
  <c r="U7" i="4"/>
  <c r="P8" i="4"/>
  <c r="Y9" i="2"/>
  <c r="S11" i="4"/>
  <c r="M11" i="4"/>
  <c r="W11" i="4"/>
  <c r="X40" i="4"/>
  <c r="Y40" i="4"/>
  <c r="R40" i="4"/>
  <c r="U40" i="4"/>
  <c r="W40" i="4"/>
  <c r="S40" i="4"/>
  <c r="V40" i="4"/>
  <c r="T40" i="4"/>
  <c r="P40" i="4"/>
  <c r="O44" i="4"/>
  <c r="W44" i="4"/>
  <c r="S44" i="4"/>
  <c r="Y45" i="2"/>
  <c r="P44" i="4"/>
  <c r="U44" i="4"/>
  <c r="T44" i="4"/>
  <c r="M44" i="4"/>
  <c r="X44" i="4"/>
  <c r="Y44" i="4"/>
  <c r="R62" i="4"/>
  <c r="P62" i="4"/>
  <c r="X62" i="4"/>
  <c r="Y62" i="4"/>
  <c r="R65" i="4"/>
  <c r="T65" i="4"/>
  <c r="N65" i="4"/>
  <c r="Q71" i="4"/>
  <c r="M71" i="4"/>
  <c r="W75" i="4"/>
  <c r="N75" i="4"/>
  <c r="Q75" i="4"/>
  <c r="R75" i="4"/>
  <c r="Y76" i="2"/>
  <c r="M75" i="4"/>
  <c r="V75" i="4"/>
  <c r="T75" i="4"/>
  <c r="X83" i="4"/>
  <c r="Y83" i="4"/>
  <c r="O112" i="4"/>
  <c r="M112" i="4"/>
  <c r="W112" i="4"/>
  <c r="W114" i="4"/>
  <c r="X114" i="4"/>
  <c r="Y114" i="4"/>
  <c r="N114" i="4"/>
  <c r="R114" i="4"/>
  <c r="Y115" i="2"/>
  <c r="P114" i="4"/>
  <c r="O114" i="4"/>
  <c r="T134" i="4"/>
  <c r="O134" i="4"/>
  <c r="Q137" i="4"/>
  <c r="N137" i="4"/>
  <c r="O137" i="4"/>
  <c r="T137" i="4"/>
  <c r="Y138" i="2"/>
  <c r="M137" i="4"/>
  <c r="U146" i="4"/>
  <c r="R146" i="4"/>
  <c r="Q146" i="4"/>
  <c r="N150" i="4"/>
  <c r="R150" i="4"/>
  <c r="U150" i="4"/>
  <c r="W150" i="4"/>
  <c r="M150" i="4"/>
  <c r="M202" i="4"/>
  <c r="Q202" i="4"/>
  <c r="Y203" i="2"/>
  <c r="X202" i="4"/>
  <c r="Y202" i="4"/>
  <c r="V202" i="4"/>
  <c r="S202" i="4"/>
  <c r="P202" i="4"/>
  <c r="S210" i="4"/>
  <c r="X210" i="4"/>
  <c r="Y210" i="4"/>
  <c r="T210" i="4"/>
  <c r="V210" i="4"/>
  <c r="M210" i="4"/>
  <c r="X302" i="4"/>
  <c r="Y302" i="4"/>
  <c r="O302" i="4"/>
  <c r="Y303" i="2"/>
  <c r="T302" i="4"/>
  <c r="V302" i="4"/>
  <c r="W302" i="4"/>
  <c r="Q302" i="4"/>
  <c r="X305" i="4"/>
  <c r="Y305" i="4"/>
  <c r="S305" i="4"/>
  <c r="P305" i="4"/>
  <c r="U305" i="4"/>
  <c r="O305" i="4"/>
  <c r="N305" i="4"/>
  <c r="W305" i="4"/>
  <c r="T305" i="4"/>
  <c r="V305" i="4"/>
  <c r="N316" i="4"/>
  <c r="R316" i="4"/>
  <c r="V316" i="4"/>
  <c r="S316" i="4"/>
  <c r="S318" i="4"/>
  <c r="N318" i="4"/>
  <c r="T318" i="4"/>
  <c r="X318" i="4"/>
  <c r="Y318" i="4"/>
  <c r="Y319" i="2"/>
  <c r="O318" i="4"/>
  <c r="P318" i="4"/>
  <c r="P68" i="4"/>
  <c r="V68" i="4"/>
  <c r="M68" i="4"/>
  <c r="T68" i="4"/>
  <c r="O68" i="4"/>
  <c r="X68" i="4"/>
  <c r="Y68" i="4"/>
  <c r="U68" i="4"/>
  <c r="N68" i="4"/>
  <c r="R68" i="4"/>
  <c r="P151" i="4"/>
  <c r="V151" i="4"/>
  <c r="A311" i="1"/>
  <c r="A283" i="1"/>
  <c r="A259" i="1"/>
  <c r="A227" i="1"/>
  <c r="A199" i="1"/>
  <c r="Y108" i="2"/>
  <c r="A228" i="4"/>
  <c r="A272" i="4"/>
  <c r="A260" i="4"/>
  <c r="A270" i="2"/>
  <c r="Z270" i="2"/>
  <c r="Q255" i="4"/>
  <c r="U18" i="4"/>
  <c r="A198" i="4"/>
  <c r="A234" i="4"/>
  <c r="A270" i="4"/>
  <c r="A298" i="4"/>
  <c r="A197" i="1"/>
  <c r="A247" i="4"/>
  <c r="A257" i="4"/>
  <c r="A201" i="1"/>
  <c r="A253" i="1"/>
  <c r="A289" i="1"/>
  <c r="A268" i="1"/>
  <c r="A302" i="2"/>
  <c r="Z302" i="2"/>
  <c r="A295" i="2"/>
  <c r="Z295" i="2"/>
  <c r="A263" i="4"/>
  <c r="A197" i="4"/>
  <c r="A321" i="4"/>
  <c r="A224" i="4"/>
  <c r="A312" i="1"/>
  <c r="A321" i="1"/>
  <c r="A249" i="4"/>
  <c r="A319" i="4"/>
  <c r="A296" i="1"/>
  <c r="A311" i="2"/>
  <c r="Z311" i="2"/>
  <c r="A290" i="2"/>
  <c r="Z290" i="2"/>
  <c r="A299" i="2"/>
  <c r="Z299" i="2"/>
  <c r="A227" i="4"/>
  <c r="A218" i="2"/>
  <c r="Z218" i="2"/>
  <c r="A205" i="4"/>
  <c r="A301" i="4"/>
  <c r="A269" i="1"/>
  <c r="S84" i="4"/>
  <c r="W223" i="4"/>
  <c r="V180" i="4"/>
  <c r="M96" i="4"/>
  <c r="W68" i="4"/>
  <c r="O249" i="4"/>
  <c r="Y227" i="2"/>
  <c r="S260" i="4"/>
  <c r="N215" i="4"/>
  <c r="M183" i="4"/>
  <c r="X180" i="4"/>
  <c r="Y180" i="4"/>
  <c r="X178" i="4"/>
  <c r="Y178" i="4"/>
  <c r="T13" i="4"/>
  <c r="X249" i="4"/>
  <c r="Y249" i="4"/>
  <c r="S102" i="4"/>
  <c r="M223" i="4"/>
  <c r="X190" i="4"/>
  <c r="Y190" i="4"/>
  <c r="O102" i="4"/>
  <c r="Q24" i="4"/>
  <c r="T226" i="4"/>
  <c r="W193" i="4"/>
  <c r="X187" i="4"/>
  <c r="Y187" i="4"/>
  <c r="M147" i="4"/>
  <c r="Q147" i="4"/>
  <c r="U221" i="4"/>
  <c r="Y218" i="2"/>
  <c r="X217" i="4"/>
  <c r="Y217" i="4"/>
  <c r="P152" i="4"/>
  <c r="T152" i="4"/>
  <c r="P175" i="4"/>
  <c r="X175" i="4"/>
  <c r="Y175" i="4"/>
  <c r="W90" i="4"/>
  <c r="S156" i="4"/>
  <c r="T154" i="4"/>
  <c r="V27" i="4"/>
  <c r="A210" i="1"/>
  <c r="A250" i="1"/>
  <c r="A282" i="1"/>
  <c r="A322" i="1"/>
  <c r="A199" i="2"/>
  <c r="Z199" i="2"/>
  <c r="A244" i="2"/>
  <c r="Z244" i="2"/>
  <c r="A280" i="2"/>
  <c r="Z280" i="2"/>
  <c r="A312" i="2"/>
  <c r="Z312" i="2"/>
  <c r="A219" i="1"/>
  <c r="A263" i="1"/>
  <c r="A299" i="1"/>
  <c r="A200" i="2"/>
  <c r="Z200" i="2"/>
  <c r="A240" i="2"/>
  <c r="Z240" i="2"/>
  <c r="A281" i="2"/>
  <c r="Z281" i="2"/>
  <c r="A321" i="2"/>
  <c r="Z321" i="2"/>
  <c r="R92" i="4"/>
  <c r="Q92" i="4"/>
  <c r="T92" i="4"/>
  <c r="A297" i="1"/>
  <c r="A212" i="1"/>
  <c r="N283" i="4"/>
  <c r="W283" i="4"/>
  <c r="Y284" i="2"/>
  <c r="U283" i="4"/>
  <c r="A236" i="1"/>
  <c r="Y188" i="2"/>
  <c r="O18" i="4"/>
  <c r="W84" i="4"/>
  <c r="W260" i="4"/>
  <c r="O103" i="4"/>
  <c r="U103" i="4"/>
  <c r="Q103" i="4"/>
  <c r="V103" i="4"/>
  <c r="X103" i="4"/>
  <c r="Y103" i="4"/>
  <c r="W300" i="4"/>
  <c r="Q300" i="4"/>
  <c r="M300" i="4"/>
  <c r="T300" i="4"/>
  <c r="U300" i="4"/>
  <c r="O300" i="4"/>
  <c r="X308" i="4"/>
  <c r="Y308" i="4"/>
  <c r="N308" i="4"/>
  <c r="S308" i="4"/>
  <c r="T308" i="4"/>
  <c r="R308" i="4"/>
  <c r="W308" i="4"/>
  <c r="U308" i="4"/>
  <c r="M308" i="4"/>
  <c r="O308" i="4"/>
  <c r="P311" i="4"/>
  <c r="U311" i="4"/>
  <c r="Y312" i="2"/>
  <c r="O311" i="4"/>
  <c r="T311" i="4"/>
  <c r="V311" i="4"/>
  <c r="R311" i="4"/>
  <c r="N311" i="4"/>
  <c r="X311" i="4"/>
  <c r="Y311" i="4"/>
  <c r="S311" i="4"/>
  <c r="X314" i="4"/>
  <c r="Y314" i="4"/>
  <c r="N314" i="4"/>
  <c r="S314" i="4"/>
  <c r="R314" i="4"/>
  <c r="Q314" i="4"/>
  <c r="T314" i="4"/>
  <c r="O314" i="4"/>
  <c r="U314" i="4"/>
  <c r="L320" i="4"/>
  <c r="A297" i="4"/>
  <c r="A273" i="1"/>
  <c r="A134" i="2"/>
  <c r="Z134" i="2"/>
  <c r="A217" i="1"/>
  <c r="A238" i="2"/>
  <c r="Z238" i="2"/>
  <c r="A98" i="2"/>
  <c r="Z98" i="2"/>
  <c r="A42" i="2"/>
  <c r="Z42" i="2"/>
  <c r="A217" i="4"/>
  <c r="A186" i="4"/>
  <c r="A175" i="2"/>
  <c r="Z175" i="2"/>
  <c r="A73" i="1"/>
  <c r="A86" i="1"/>
  <c r="A65" i="4"/>
  <c r="A161" i="1"/>
  <c r="A58" i="2"/>
  <c r="Z58" i="2"/>
  <c r="A14" i="2"/>
  <c r="Z14" i="2"/>
  <c r="A49" i="4"/>
  <c r="A113" i="1"/>
  <c r="A266" i="4"/>
  <c r="A34" i="4"/>
  <c r="A320" i="2"/>
  <c r="Z320" i="2"/>
  <c r="A304" i="2"/>
  <c r="Z304" i="2"/>
  <c r="A288" i="2"/>
  <c r="Z288" i="2"/>
  <c r="A272" i="2"/>
  <c r="Z272" i="2"/>
  <c r="A256" i="2"/>
  <c r="Z256" i="2"/>
  <c r="A239" i="2"/>
  <c r="Z239" i="2"/>
  <c r="A223" i="2"/>
  <c r="Z223" i="2"/>
  <c r="A207" i="2"/>
  <c r="Z207" i="2"/>
  <c r="A187" i="2"/>
  <c r="Z187" i="2"/>
  <c r="A167" i="2"/>
  <c r="Z167" i="2"/>
  <c r="A151" i="2"/>
  <c r="Z151" i="2"/>
  <c r="A135" i="2"/>
  <c r="Z135" i="2"/>
  <c r="A119" i="2"/>
  <c r="Z119" i="2"/>
  <c r="A103" i="2"/>
  <c r="Z103" i="2"/>
  <c r="A87" i="2"/>
  <c r="Z87" i="2"/>
  <c r="A71" i="2"/>
  <c r="Z71" i="2"/>
  <c r="A55" i="2"/>
  <c r="Z55" i="2"/>
  <c r="A35" i="2"/>
  <c r="Z35" i="2"/>
  <c r="A19" i="2"/>
  <c r="Z19" i="2"/>
  <c r="A326" i="1"/>
  <c r="A310" i="1"/>
  <c r="A294" i="1"/>
  <c r="A278" i="1"/>
  <c r="A262" i="1"/>
  <c r="A246" i="1"/>
  <c r="A230" i="1"/>
  <c r="A214" i="1"/>
  <c r="A198" i="1"/>
  <c r="A182" i="1"/>
  <c r="A166" i="1"/>
  <c r="A150" i="1"/>
  <c r="A134" i="1"/>
  <c r="A118" i="1"/>
  <c r="A102" i="1"/>
  <c r="A82" i="1"/>
  <c r="A62" i="1"/>
  <c r="A46" i="1"/>
  <c r="A30" i="1"/>
  <c r="A14" i="1"/>
  <c r="A45" i="1"/>
  <c r="A77" i="1"/>
  <c r="A52" i="1"/>
  <c r="A253" i="4"/>
  <c r="A189" i="4"/>
  <c r="A125" i="4"/>
  <c r="A61" i="4"/>
  <c r="A234" i="2"/>
  <c r="Z234" i="2"/>
  <c r="A202" i="2"/>
  <c r="Z202" i="2"/>
  <c r="A170" i="2"/>
  <c r="Z170" i="2"/>
  <c r="A237" i="1"/>
  <c r="A323" i="2"/>
  <c r="Z323" i="2"/>
  <c r="A283" i="2"/>
  <c r="Z283" i="2"/>
  <c r="A274" i="2"/>
  <c r="Z274" i="2"/>
  <c r="A25" i="2"/>
  <c r="Z25" i="2"/>
  <c r="A132" i="1"/>
  <c r="A237" i="2"/>
  <c r="Z237" i="2"/>
  <c r="A205" i="2"/>
  <c r="Z205" i="2"/>
  <c r="A173" i="2"/>
  <c r="Z173" i="2"/>
  <c r="A78" i="2"/>
  <c r="Z78" i="2"/>
  <c r="A46" i="2"/>
  <c r="Z46" i="2"/>
  <c r="A64" i="1"/>
  <c r="A84" i="1"/>
  <c r="A141" i="1"/>
  <c r="A293" i="4"/>
  <c r="A209" i="4"/>
  <c r="A121" i="4"/>
  <c r="A37" i="4"/>
  <c r="A150" i="2"/>
  <c r="Z150" i="2"/>
  <c r="A303" i="2"/>
  <c r="Z303" i="2"/>
  <c r="A109" i="2"/>
  <c r="Z109" i="2"/>
  <c r="A262" i="2"/>
  <c r="Z262" i="2"/>
  <c r="A121" i="1"/>
  <c r="A161" i="2"/>
  <c r="Z161" i="2"/>
  <c r="A16" i="1"/>
  <c r="A29" i="2"/>
  <c r="Z29" i="2"/>
  <c r="A122" i="2"/>
  <c r="Z122" i="2"/>
  <c r="A216" i="1"/>
  <c r="A316" i="1"/>
  <c r="A309" i="4"/>
  <c r="A225" i="4"/>
  <c r="A137" i="4"/>
  <c r="A53" i="4"/>
  <c r="A190" i="2"/>
  <c r="Z190" i="2"/>
  <c r="A153" i="1"/>
  <c r="A317" i="4"/>
  <c r="A153" i="4"/>
  <c r="A230" i="2"/>
  <c r="Z230" i="2"/>
  <c r="A137" i="2"/>
  <c r="Z137" i="2"/>
  <c r="A128" i="1"/>
  <c r="A69" i="2"/>
  <c r="Z69" i="2"/>
  <c r="A80" i="1"/>
  <c r="A86" i="2"/>
  <c r="Z86" i="2"/>
  <c r="A56" i="1"/>
  <c r="A204" i="1"/>
  <c r="A308" i="1"/>
  <c r="A180" i="1"/>
  <c r="A97" i="1"/>
  <c r="A261" i="4"/>
  <c r="A41" i="4"/>
  <c r="A133" i="2"/>
  <c r="Z133" i="2"/>
  <c r="A286" i="2"/>
  <c r="Z286" i="2"/>
  <c r="A209" i="2"/>
  <c r="Z209" i="2"/>
  <c r="A224" i="1"/>
  <c r="A33" i="2"/>
  <c r="Z33" i="2"/>
  <c r="A248" i="1"/>
  <c r="A284" i="1"/>
  <c r="A60" i="1"/>
  <c r="A196" i="1"/>
  <c r="A305" i="4"/>
  <c r="A85" i="4"/>
  <c r="A263" i="2"/>
  <c r="Z263" i="2"/>
  <c r="A189" i="1"/>
  <c r="A65" i="2"/>
  <c r="Z65" i="2"/>
  <c r="A245" i="1"/>
  <c r="A220" i="1"/>
  <c r="A276" i="1"/>
  <c r="A76" i="1"/>
  <c r="A318" i="4"/>
  <c r="A294" i="4"/>
  <c r="A278" i="4"/>
  <c r="A258" i="4"/>
  <c r="A238" i="4"/>
  <c r="A222" i="4"/>
  <c r="A206" i="4"/>
  <c r="A182" i="4"/>
  <c r="A166" i="4"/>
  <c r="A150" i="4"/>
  <c r="A126" i="4"/>
  <c r="A110" i="4"/>
  <c r="A90" i="4"/>
  <c r="A70" i="4"/>
  <c r="A54" i="4"/>
  <c r="A38" i="4"/>
  <c r="A14" i="4"/>
  <c r="A65" i="1"/>
  <c r="A265" i="1"/>
  <c r="A37" i="2"/>
  <c r="Z37" i="2"/>
  <c r="A177" i="2"/>
  <c r="Z177" i="2"/>
  <c r="A148" i="1"/>
  <c r="A277" i="4"/>
  <c r="A206" i="2"/>
  <c r="Z206" i="2"/>
  <c r="A120" i="1"/>
  <c r="A202" i="4"/>
  <c r="A48" i="1"/>
  <c r="A85" i="2"/>
  <c r="Z85" i="2"/>
  <c r="A188" i="1"/>
  <c r="A39" i="2"/>
  <c r="Z39" i="2"/>
  <c r="A74" i="4"/>
  <c r="A98" i="4"/>
  <c r="A316" i="2"/>
  <c r="Z316" i="2"/>
  <c r="A296" i="2"/>
  <c r="Z296" i="2"/>
  <c r="A276" i="2"/>
  <c r="Z276" i="2"/>
  <c r="A252" i="2"/>
  <c r="Z252" i="2"/>
  <c r="A231" i="2"/>
  <c r="Z231" i="2"/>
  <c r="A211" i="2"/>
  <c r="Z211" i="2"/>
  <c r="A183" i="2"/>
  <c r="Z183" i="2"/>
  <c r="A159" i="2"/>
  <c r="Z159" i="2"/>
  <c r="A139" i="2"/>
  <c r="Z139" i="2"/>
  <c r="A115" i="2"/>
  <c r="Z115" i="2"/>
  <c r="A95" i="2"/>
  <c r="Z95" i="2"/>
  <c r="A75" i="2"/>
  <c r="Z75" i="2"/>
  <c r="A51" i="2"/>
  <c r="Z51" i="2"/>
  <c r="A27" i="2"/>
  <c r="Z27" i="2"/>
  <c r="A7" i="2"/>
  <c r="Z7" i="2"/>
  <c r="A306" i="1"/>
  <c r="A286" i="1"/>
  <c r="A266" i="1"/>
  <c r="A242" i="1"/>
  <c r="A222" i="1"/>
  <c r="A202" i="1"/>
  <c r="A178" i="1"/>
  <c r="A158" i="1"/>
  <c r="A138" i="1"/>
  <c r="A114" i="1"/>
  <c r="A94" i="1"/>
  <c r="A66" i="1"/>
  <c r="A42" i="1"/>
  <c r="A22" i="1"/>
  <c r="A295" i="4"/>
  <c r="A287" i="4"/>
  <c r="A255" i="4"/>
  <c r="A243" i="4"/>
  <c r="A223" i="4"/>
  <c r="A195" i="4"/>
  <c r="A175" i="4"/>
  <c r="A135" i="4"/>
  <c r="A99" i="4"/>
  <c r="A47" i="4"/>
  <c r="A325" i="3"/>
  <c r="A317" i="3"/>
  <c r="A305" i="3"/>
  <c r="A297" i="3"/>
  <c r="A289" i="3"/>
  <c r="A281" i="3"/>
  <c r="A273" i="3"/>
  <c r="A265" i="3"/>
  <c r="A257" i="3"/>
  <c r="A249" i="3"/>
  <c r="A241" i="3"/>
  <c r="A233" i="3"/>
  <c r="A225" i="3"/>
  <c r="A217" i="3"/>
  <c r="A209" i="3"/>
  <c r="A201" i="3"/>
  <c r="A189" i="3"/>
  <c r="A181" i="3"/>
  <c r="A173" i="3"/>
  <c r="A164" i="3"/>
  <c r="A156" i="3"/>
  <c r="A148" i="3"/>
  <c r="A140" i="3"/>
  <c r="A132" i="3"/>
  <c r="A124" i="3"/>
  <c r="A111" i="3"/>
  <c r="A103" i="3"/>
  <c r="A95" i="3"/>
  <c r="A87" i="3"/>
  <c r="A79" i="3"/>
  <c r="A75" i="3"/>
  <c r="A67" i="3"/>
  <c r="A59" i="3"/>
  <c r="A51" i="3"/>
  <c r="A43" i="3"/>
  <c r="A35" i="3"/>
  <c r="A27" i="3"/>
  <c r="A15" i="3"/>
  <c r="A7" i="3"/>
  <c r="A313" i="2"/>
  <c r="Z313" i="2"/>
  <c r="A301" i="2"/>
  <c r="Z301" i="2"/>
  <c r="A273" i="2"/>
  <c r="Z273" i="2"/>
  <c r="A253" i="2"/>
  <c r="Z253" i="2"/>
  <c r="A236" i="2"/>
  <c r="Z236" i="2"/>
  <c r="A204" i="2"/>
  <c r="Z204" i="2"/>
  <c r="A184" i="2"/>
  <c r="Z184" i="2"/>
  <c r="A164" i="2"/>
  <c r="Z164" i="2"/>
  <c r="A144" i="2"/>
  <c r="Z144" i="2"/>
  <c r="A120" i="2"/>
  <c r="Z120" i="2"/>
  <c r="A100" i="2"/>
  <c r="Z100" i="2"/>
  <c r="A80" i="2"/>
  <c r="Z80" i="2"/>
  <c r="A60" i="2"/>
  <c r="Z60" i="2"/>
  <c r="A28" i="2"/>
  <c r="Z28" i="2"/>
  <c r="A12" i="2"/>
  <c r="Z12" i="2"/>
  <c r="A315" i="1"/>
  <c r="A295" i="1"/>
  <c r="A271" i="1"/>
  <c r="A255" i="1"/>
  <c r="A211" i="1"/>
  <c r="A191" i="1"/>
  <c r="A167" i="1"/>
  <c r="N106" i="4"/>
  <c r="R106" i="4"/>
  <c r="N110" i="4"/>
  <c r="S110" i="4"/>
  <c r="R110" i="4"/>
  <c r="Y111" i="2"/>
  <c r="M110" i="4"/>
  <c r="U110" i="4"/>
  <c r="T110" i="4"/>
  <c r="V110" i="4"/>
  <c r="X163" i="4"/>
  <c r="Y163" i="4"/>
  <c r="R163" i="4"/>
  <c r="U163" i="4"/>
  <c r="O163" i="4"/>
  <c r="Y164" i="2"/>
  <c r="P163" i="4"/>
  <c r="S163" i="4"/>
  <c r="T163" i="4"/>
  <c r="L322" i="4"/>
  <c r="A307" i="4"/>
  <c r="A299" i="4"/>
  <c r="A283" i="4"/>
  <c r="A267" i="4"/>
  <c r="A231" i="4"/>
  <c r="A215" i="4"/>
  <c r="A207" i="4"/>
  <c r="A199" i="4"/>
  <c r="A187" i="4"/>
  <c r="A151" i="4"/>
  <c r="A119" i="4"/>
  <c r="A103" i="4"/>
  <c r="A95" i="4"/>
  <c r="A75" i="4"/>
  <c r="A23" i="4"/>
  <c r="A15" i="4"/>
  <c r="A321" i="3"/>
  <c r="A313" i="3"/>
  <c r="A309" i="3"/>
  <c r="A301" i="3"/>
  <c r="A293" i="3"/>
  <c r="A285" i="3"/>
  <c r="A277" i="3"/>
  <c r="A269" i="3"/>
  <c r="A261" i="3"/>
  <c r="A253" i="3"/>
  <c r="A245" i="3"/>
  <c r="A237" i="3"/>
  <c r="A229" i="3"/>
  <c r="A221" i="3"/>
  <c r="A213" i="3"/>
  <c r="A205" i="3"/>
  <c r="A197" i="3"/>
  <c r="A193" i="3"/>
  <c r="A185" i="3"/>
  <c r="A177" i="3"/>
  <c r="A168" i="3"/>
  <c r="A160" i="3"/>
  <c r="A152" i="3"/>
  <c r="A144" i="3"/>
  <c r="A136" i="3"/>
  <c r="A128" i="3"/>
  <c r="A119" i="3"/>
  <c r="A107" i="3"/>
  <c r="A99" i="3"/>
  <c r="A91" i="3"/>
  <c r="A83" i="3"/>
  <c r="A71" i="3"/>
  <c r="A63" i="3"/>
  <c r="A55" i="3"/>
  <c r="A47" i="3"/>
  <c r="A39" i="3"/>
  <c r="A31" i="3"/>
  <c r="A23" i="3"/>
  <c r="A19" i="3"/>
  <c r="A11" i="3"/>
  <c r="A317" i="2"/>
  <c r="Z317" i="2"/>
  <c r="A293" i="2"/>
  <c r="Z293" i="2"/>
  <c r="A285" i="2"/>
  <c r="Z285" i="2"/>
  <c r="A269" i="2"/>
  <c r="Z269" i="2"/>
  <c r="A249" i="2"/>
  <c r="Z249" i="2"/>
  <c r="A228" i="2"/>
  <c r="Z228" i="2"/>
  <c r="A220" i="2"/>
  <c r="Z220" i="2"/>
  <c r="A208" i="2"/>
  <c r="Z208" i="2"/>
  <c r="A188" i="2"/>
  <c r="Z188" i="2"/>
  <c r="A172" i="2"/>
  <c r="Z172" i="2"/>
  <c r="A156" i="2"/>
  <c r="Z156" i="2"/>
  <c r="A140" i="2"/>
  <c r="Z140" i="2"/>
  <c r="A124" i="2"/>
  <c r="Z124" i="2"/>
  <c r="A108" i="2"/>
  <c r="Z108" i="2"/>
  <c r="A92" i="2"/>
  <c r="Z92" i="2"/>
  <c r="A76" i="2"/>
  <c r="Z76" i="2"/>
  <c r="A56" i="2"/>
  <c r="Z56" i="2"/>
  <c r="A44" i="2"/>
  <c r="Z44" i="2"/>
  <c r="A36" i="2"/>
  <c r="Z36" i="2"/>
  <c r="A16" i="2"/>
  <c r="Z16" i="2"/>
  <c r="A319" i="1"/>
  <c r="A303" i="1"/>
  <c r="A287" i="1"/>
  <c r="A275" i="1"/>
  <c r="A251" i="1"/>
  <c r="A239" i="1"/>
  <c r="A231" i="1"/>
  <c r="A223" i="1"/>
  <c r="A207" i="1"/>
  <c r="A187" i="1"/>
  <c r="A175" i="1"/>
  <c r="A159" i="1"/>
  <c r="A147" i="1"/>
  <c r="A143" i="1"/>
  <c r="A127" i="1"/>
  <c r="A123" i="1"/>
  <c r="A111" i="1"/>
  <c r="A103" i="1"/>
  <c r="A95" i="1"/>
  <c r="A83" i="1"/>
  <c r="A79" i="1"/>
  <c r="A63" i="1"/>
  <c r="A59" i="1"/>
  <c r="A47" i="1"/>
  <c r="A39" i="1"/>
  <c r="A31" i="1"/>
  <c r="A19" i="1"/>
  <c r="A15" i="1"/>
  <c r="P236" i="4"/>
  <c r="U236" i="4"/>
  <c r="A53" i="1"/>
  <c r="A125" i="1"/>
  <c r="A6" i="2"/>
  <c r="Z6" i="2"/>
  <c r="A20" i="4"/>
  <c r="A60" i="4"/>
  <c r="A100" i="4"/>
  <c r="A136" i="4"/>
  <c r="A168" i="4"/>
  <c r="A208" i="4"/>
  <c r="A248" i="4"/>
  <c r="A280" i="4"/>
  <c r="A316" i="4"/>
  <c r="A204" i="4"/>
  <c r="A320" i="4"/>
  <c r="A233" i="4"/>
  <c r="A101" i="2"/>
  <c r="Z101" i="2"/>
  <c r="A74" i="2"/>
  <c r="Z74" i="2"/>
  <c r="A114" i="2"/>
  <c r="Z114" i="2"/>
  <c r="A209" i="1"/>
  <c r="Q106" i="4"/>
  <c r="A6" i="4"/>
  <c r="A30" i="4"/>
  <c r="A58" i="4"/>
  <c r="A82" i="4"/>
  <c r="A106" i="4"/>
  <c r="A130" i="4"/>
  <c r="A158" i="4"/>
  <c r="A178" i="4"/>
  <c r="A210" i="4"/>
  <c r="A230" i="4"/>
  <c r="A254" i="4"/>
  <c r="A282" i="4"/>
  <c r="A302" i="4"/>
  <c r="A40" i="1"/>
  <c r="A305" i="1"/>
  <c r="A281" i="1"/>
  <c r="A293" i="1"/>
  <c r="A21" i="4"/>
  <c r="A108" i="1"/>
  <c r="A32" i="1"/>
  <c r="A320" i="1"/>
  <c r="A20" i="1"/>
  <c r="A68" i="1"/>
  <c r="A307" i="2"/>
  <c r="Z307" i="2"/>
  <c r="A176" i="1"/>
  <c r="A142" i="2"/>
  <c r="Z142" i="2"/>
  <c r="A149" i="4"/>
  <c r="A68" i="4"/>
  <c r="A136" i="1"/>
  <c r="A244" i="1"/>
  <c r="A185" i="1"/>
  <c r="A112" i="1"/>
  <c r="A130" i="2"/>
  <c r="Z130" i="2"/>
  <c r="A41" i="2"/>
  <c r="Z41" i="2"/>
  <c r="A256" i="1"/>
  <c r="A304" i="1"/>
  <c r="A69" i="4"/>
  <c r="A281" i="4"/>
  <c r="A192" i="4"/>
  <c r="A37" i="1"/>
  <c r="A158" i="2"/>
  <c r="Z158" i="2"/>
  <c r="A73" i="4"/>
  <c r="A181" i="4"/>
  <c r="A289" i="4"/>
  <c r="A112" i="4"/>
  <c r="A256" i="4"/>
  <c r="A157" i="1"/>
  <c r="A105" i="1"/>
  <c r="A110" i="2"/>
  <c r="Z110" i="2"/>
  <c r="A49" i="2"/>
  <c r="Z49" i="2"/>
  <c r="A34" i="2"/>
  <c r="Z34" i="2"/>
  <c r="A322" i="2"/>
  <c r="Z322" i="2"/>
  <c r="A294" i="2"/>
  <c r="Z294" i="2"/>
  <c r="A251" i="2"/>
  <c r="Z251" i="2"/>
  <c r="A214" i="2"/>
  <c r="Z214" i="2"/>
  <c r="A101" i="4"/>
  <c r="A229" i="4"/>
  <c r="A325" i="4"/>
  <c r="A12" i="4"/>
  <c r="A69" i="1"/>
  <c r="A261" i="1"/>
  <c r="A38" i="2"/>
  <c r="Z38" i="2"/>
  <c r="A149" i="2"/>
  <c r="Z149" i="2"/>
  <c r="A189" i="2"/>
  <c r="Z189" i="2"/>
  <c r="A229" i="2"/>
  <c r="Z229" i="2"/>
  <c r="A317" i="1"/>
  <c r="A258" i="2"/>
  <c r="Z258" i="2"/>
  <c r="A298" i="2"/>
  <c r="Z298" i="2"/>
  <c r="A291" i="2"/>
  <c r="Z291" i="2"/>
  <c r="A154" i="2"/>
  <c r="Z154" i="2"/>
  <c r="A194" i="2"/>
  <c r="Z194" i="2"/>
  <c r="A13" i="4"/>
  <c r="A93" i="4"/>
  <c r="A173" i="4"/>
  <c r="A269" i="4"/>
  <c r="A313" i="4"/>
  <c r="A101" i="1"/>
  <c r="Y301" i="2"/>
  <c r="N300" i="4"/>
  <c r="R103" i="4"/>
  <c r="N103" i="4"/>
  <c r="A26" i="1"/>
  <c r="A54" i="1"/>
  <c r="A90" i="1"/>
  <c r="A122" i="1"/>
  <c r="A146" i="1"/>
  <c r="A174" i="1"/>
  <c r="A206" i="1"/>
  <c r="A234" i="1"/>
  <c r="A258" i="1"/>
  <c r="A290" i="1"/>
  <c r="A318" i="1"/>
  <c r="A23" i="2"/>
  <c r="Z23" i="2"/>
  <c r="A59" i="2"/>
  <c r="Z59" i="2"/>
  <c r="A83" i="2"/>
  <c r="Z83" i="2"/>
  <c r="A111" i="2"/>
  <c r="Z111" i="2"/>
  <c r="A143" i="2"/>
  <c r="Z143" i="2"/>
  <c r="A171" i="2"/>
  <c r="Z171" i="2"/>
  <c r="A203" i="2"/>
  <c r="Z203" i="2"/>
  <c r="A235" i="2"/>
  <c r="Z235" i="2"/>
  <c r="A264" i="2"/>
  <c r="Z264" i="2"/>
  <c r="A292" i="2"/>
  <c r="Z292" i="2"/>
  <c r="A324" i="2"/>
  <c r="Z324" i="2"/>
  <c r="S61" i="4"/>
  <c r="X61" i="4"/>
  <c r="Y61" i="4"/>
  <c r="A138" i="2"/>
  <c r="Z138" i="2"/>
  <c r="A93" i="1"/>
  <c r="A254" i="2"/>
  <c r="Z254" i="2"/>
  <c r="A22" i="2"/>
  <c r="Z22" i="2"/>
  <c r="A287" i="2"/>
  <c r="Z287" i="2"/>
  <c r="A233" i="2"/>
  <c r="Z233" i="2"/>
  <c r="W314" i="4"/>
  <c r="A160" i="1"/>
  <c r="M291" i="4"/>
  <c r="R291" i="4"/>
  <c r="S291" i="4"/>
  <c r="P291" i="4"/>
  <c r="U291" i="4"/>
  <c r="O291" i="4"/>
  <c r="N291" i="4"/>
  <c r="X291" i="4"/>
  <c r="Y291" i="4"/>
  <c r="Y292" i="2"/>
  <c r="P308" i="4"/>
  <c r="Q311" i="4"/>
  <c r="S54" i="4"/>
  <c r="R54" i="4"/>
  <c r="U54" i="4"/>
  <c r="T54" i="4"/>
  <c r="X54" i="4"/>
  <c r="Y54" i="4"/>
  <c r="L129" i="1"/>
  <c r="Y33" i="2"/>
  <c r="W32" i="4"/>
  <c r="T32" i="4"/>
  <c r="S38" i="4"/>
  <c r="N38" i="4"/>
  <c r="O38" i="4"/>
  <c r="P38" i="4"/>
  <c r="Y39" i="2"/>
  <c r="M38" i="4"/>
  <c r="Q38" i="4"/>
  <c r="R38" i="4"/>
  <c r="P41" i="4"/>
  <c r="R41" i="4"/>
  <c r="O41" i="4"/>
  <c r="Y42" i="2"/>
  <c r="W41" i="4"/>
  <c r="V41" i="4"/>
  <c r="X41" i="4"/>
  <c r="Y41" i="4"/>
  <c r="U41" i="4"/>
  <c r="N41" i="4"/>
  <c r="S58" i="4"/>
  <c r="M115" i="4"/>
  <c r="U115" i="4"/>
  <c r="R144" i="4"/>
  <c r="O144" i="4"/>
  <c r="Q144" i="4"/>
  <c r="S144" i="4"/>
  <c r="Y145" i="2"/>
  <c r="O149" i="4"/>
  <c r="Q149" i="4"/>
  <c r="V149" i="4"/>
  <c r="U149" i="4"/>
  <c r="Y150" i="2"/>
  <c r="N149" i="4"/>
  <c r="T149" i="4"/>
  <c r="W149" i="4"/>
  <c r="O195" i="4"/>
  <c r="Y196" i="2"/>
  <c r="P195" i="4"/>
  <c r="Q195" i="4"/>
  <c r="U263" i="4"/>
  <c r="O263" i="4"/>
  <c r="M263" i="4"/>
  <c r="Q263" i="4"/>
  <c r="X263" i="4"/>
  <c r="Y263" i="4"/>
  <c r="P263" i="4"/>
  <c r="V299" i="4"/>
  <c r="W299" i="4"/>
  <c r="N322" i="4"/>
  <c r="R322" i="4"/>
  <c r="Y323" i="2"/>
  <c r="P322" i="4"/>
  <c r="V322" i="4"/>
  <c r="W322" i="4"/>
  <c r="O322" i="4"/>
  <c r="X324" i="4"/>
  <c r="Y324" i="4"/>
  <c r="N324" i="4"/>
  <c r="S324" i="4"/>
  <c r="U324" i="4"/>
  <c r="O324" i="4"/>
  <c r="V324" i="4"/>
  <c r="L55" i="1"/>
  <c r="L70" i="1"/>
  <c r="L77" i="1"/>
  <c r="L88" i="1"/>
  <c r="S5" i="4"/>
  <c r="U5" i="4"/>
  <c r="M5" i="4"/>
  <c r="O5" i="4"/>
  <c r="Y6" i="2"/>
  <c r="R5" i="4"/>
  <c r="T5" i="4"/>
  <c r="V9" i="4"/>
  <c r="R9" i="4"/>
  <c r="Q14" i="4"/>
  <c r="N16" i="4"/>
  <c r="U16" i="4"/>
  <c r="P21" i="4"/>
  <c r="M21" i="4"/>
  <c r="R21" i="4"/>
  <c r="Q21" i="4"/>
  <c r="Y24" i="2"/>
  <c r="N23" i="4"/>
  <c r="P23" i="4"/>
  <c r="M23" i="4"/>
  <c r="X23" i="4"/>
  <c r="Y23" i="4"/>
  <c r="L77" i="2"/>
  <c r="U78" i="4"/>
  <c r="V78" i="4"/>
  <c r="P78" i="4"/>
  <c r="S78" i="4"/>
  <c r="L87" i="2"/>
  <c r="S86" i="4"/>
  <c r="P89" i="4"/>
  <c r="W89" i="4"/>
  <c r="N89" i="4"/>
  <c r="Q101" i="4"/>
  <c r="Y102" i="2"/>
  <c r="X101" i="4"/>
  <c r="Y101" i="4"/>
  <c r="X104" i="4"/>
  <c r="Y104" i="4"/>
  <c r="Q104" i="4"/>
  <c r="M104" i="4"/>
  <c r="N167" i="4"/>
  <c r="P167" i="4"/>
  <c r="Q167" i="4"/>
  <c r="Y168" i="2"/>
  <c r="S174" i="4"/>
  <c r="U174" i="4"/>
  <c r="N174" i="4"/>
  <c r="T174" i="4"/>
  <c r="Q174" i="4"/>
  <c r="R189" i="4"/>
  <c r="O189" i="4"/>
  <c r="U189" i="4"/>
  <c r="N189" i="4"/>
  <c r="V192" i="4"/>
  <c r="M192" i="4"/>
  <c r="Q192" i="4"/>
  <c r="Y193" i="2"/>
  <c r="L199" i="2"/>
  <c r="Y260" i="2"/>
  <c r="T259" i="4"/>
  <c r="X259" i="4"/>
  <c r="Y259" i="4"/>
  <c r="T266" i="4"/>
  <c r="N266" i="4"/>
  <c r="S266" i="4"/>
  <c r="P266" i="4"/>
  <c r="L270" i="2"/>
  <c r="Y273" i="2"/>
  <c r="M272" i="4"/>
  <c r="U272" i="4"/>
  <c r="V272" i="4"/>
  <c r="P272" i="4"/>
  <c r="M298" i="4"/>
  <c r="S298" i="4"/>
  <c r="N298" i="4"/>
  <c r="O298" i="4"/>
  <c r="Q304" i="4"/>
  <c r="P304" i="4"/>
  <c r="U304" i="4"/>
  <c r="Y305" i="2"/>
  <c r="V304" i="4"/>
  <c r="P309" i="4"/>
  <c r="N309" i="4"/>
  <c r="T309" i="4"/>
  <c r="Q309" i="4"/>
  <c r="M309" i="4"/>
  <c r="S309" i="4"/>
  <c r="O309" i="4"/>
  <c r="L35" i="4"/>
  <c r="L131" i="4"/>
  <c r="A284" i="4"/>
  <c r="A268" i="4"/>
  <c r="A240" i="4"/>
  <c r="A212" i="4"/>
  <c r="A172" i="4"/>
  <c r="A156" i="4"/>
  <c r="A132" i="4"/>
  <c r="A52" i="4"/>
  <c r="A32" i="4"/>
  <c r="A16" i="4"/>
  <c r="A105" i="2"/>
  <c r="Z105" i="2"/>
  <c r="A45" i="2"/>
  <c r="Z45" i="2"/>
  <c r="A292" i="1"/>
  <c r="A140" i="1"/>
  <c r="P5" i="4"/>
  <c r="L61" i="1"/>
  <c r="U10" i="4"/>
  <c r="X10" i="4"/>
  <c r="Y10" i="4"/>
  <c r="N10" i="4"/>
  <c r="S37" i="4"/>
  <c r="V37" i="4"/>
  <c r="M45" i="4"/>
  <c r="S45" i="4"/>
  <c r="V45" i="4"/>
  <c r="R45" i="4"/>
  <c r="O45" i="4"/>
  <c r="N57" i="4"/>
  <c r="P57" i="4"/>
  <c r="O57" i="4"/>
  <c r="Y58" i="2"/>
  <c r="L60" i="2"/>
  <c r="Q59" i="4"/>
  <c r="N77" i="4"/>
  <c r="M77" i="4"/>
  <c r="R77" i="4"/>
  <c r="X77" i="4"/>
  <c r="Y77" i="4"/>
  <c r="R79" i="4"/>
  <c r="Y80" i="2"/>
  <c r="Q94" i="4"/>
  <c r="Y95" i="2"/>
  <c r="O94" i="4"/>
  <c r="Y101" i="2"/>
  <c r="T100" i="4"/>
  <c r="V105" i="4"/>
  <c r="N105" i="4"/>
  <c r="U105" i="4"/>
  <c r="O105" i="4"/>
  <c r="P105" i="4"/>
  <c r="X105" i="4"/>
  <c r="Y105" i="4"/>
  <c r="S116" i="4"/>
  <c r="P116" i="4"/>
  <c r="M116" i="4"/>
  <c r="Q119" i="4"/>
  <c r="P119" i="4"/>
  <c r="U119" i="4"/>
  <c r="X119" i="4"/>
  <c r="Y119" i="4"/>
  <c r="Y122" i="2"/>
  <c r="N121" i="4"/>
  <c r="U125" i="4"/>
  <c r="N130" i="4"/>
  <c r="P130" i="4"/>
  <c r="M130" i="4"/>
  <c r="N133" i="4"/>
  <c r="T133" i="4"/>
  <c r="M133" i="4"/>
  <c r="O133" i="4"/>
  <c r="X133" i="4"/>
  <c r="Y133" i="4"/>
  <c r="W133" i="4"/>
  <c r="Q141" i="4"/>
  <c r="S141" i="4"/>
  <c r="M141" i="4"/>
  <c r="P141" i="4"/>
  <c r="R145" i="4"/>
  <c r="P145" i="4"/>
  <c r="W145" i="4"/>
  <c r="N145" i="4"/>
  <c r="L156" i="2"/>
  <c r="S159" i="4"/>
  <c r="T159" i="4"/>
  <c r="Y160" i="2"/>
  <c r="U161" i="4"/>
  <c r="M161" i="4"/>
  <c r="T161" i="4"/>
  <c r="V161" i="4"/>
  <c r="N169" i="4"/>
  <c r="R169" i="4"/>
  <c r="V169" i="4"/>
  <c r="T169" i="4"/>
  <c r="S169" i="4"/>
  <c r="O173" i="4"/>
  <c r="N173" i="4"/>
  <c r="W173" i="4"/>
  <c r="M173" i="4"/>
  <c r="V173" i="4"/>
  <c r="Y174" i="2"/>
  <c r="X173" i="4"/>
  <c r="Y173" i="4"/>
  <c r="U173" i="4"/>
  <c r="S176" i="4"/>
  <c r="T176" i="4"/>
  <c r="M176" i="4"/>
  <c r="V176" i="4"/>
  <c r="N179" i="4"/>
  <c r="T179" i="4"/>
  <c r="P179" i="4"/>
  <c r="U179" i="4"/>
  <c r="M179" i="4"/>
  <c r="W179" i="4"/>
  <c r="N181" i="4"/>
  <c r="W181" i="4"/>
  <c r="U181" i="4"/>
  <c r="P181" i="4"/>
  <c r="S181" i="4"/>
  <c r="M196" i="4"/>
  <c r="S196" i="4"/>
  <c r="P196" i="4"/>
  <c r="U196" i="4"/>
  <c r="T203" i="4"/>
  <c r="V203" i="4"/>
  <c r="O203" i="4"/>
  <c r="Y204" i="2"/>
  <c r="U203" i="4"/>
  <c r="S213" i="4"/>
  <c r="O213" i="4"/>
  <c r="M213" i="4"/>
  <c r="V213" i="4"/>
  <c r="X213" i="4"/>
  <c r="Y213" i="4"/>
  <c r="W213" i="4"/>
  <c r="Q231" i="4"/>
  <c r="O231" i="4"/>
  <c r="M231" i="4"/>
  <c r="Y232" i="2"/>
  <c r="L235" i="2"/>
  <c r="T234" i="4"/>
  <c r="V238" i="4"/>
  <c r="R238" i="4"/>
  <c r="U238" i="4"/>
  <c r="M241" i="4"/>
  <c r="R241" i="4"/>
  <c r="Y242" i="2"/>
  <c r="Q241" i="4"/>
  <c r="W241" i="4"/>
  <c r="T257" i="4"/>
  <c r="W257" i="4"/>
  <c r="O257" i="4"/>
  <c r="M257" i="4"/>
  <c r="P264" i="4"/>
  <c r="Q264" i="4"/>
  <c r="V264" i="4"/>
  <c r="W264" i="4"/>
  <c r="U264" i="4"/>
  <c r="S264" i="4"/>
  <c r="Y278" i="2"/>
  <c r="N281" i="4"/>
  <c r="R281" i="4"/>
  <c r="T281" i="4"/>
  <c r="X281" i="4"/>
  <c r="Y281" i="4"/>
  <c r="Y282" i="2"/>
  <c r="Q286" i="4"/>
  <c r="Y287" i="2"/>
  <c r="N286" i="4"/>
  <c r="S286" i="4"/>
  <c r="X286" i="4"/>
  <c r="Y286" i="4"/>
  <c r="U289" i="4"/>
  <c r="M289" i="4"/>
  <c r="N293" i="4"/>
  <c r="O293" i="4"/>
  <c r="V293" i="4"/>
  <c r="P293" i="4"/>
  <c r="M295" i="4"/>
  <c r="P295" i="4"/>
  <c r="U295" i="4"/>
  <c r="N313" i="4"/>
  <c r="R313" i="4"/>
  <c r="X313" i="4"/>
  <c r="Y313" i="4"/>
  <c r="M317" i="4"/>
  <c r="P317" i="4"/>
  <c r="U317" i="4"/>
  <c r="T317" i="4"/>
  <c r="L158" i="4"/>
  <c r="A306" i="3"/>
  <c r="A270" i="3"/>
  <c r="A234" i="3"/>
  <c r="A186" i="3"/>
  <c r="A170" i="3"/>
  <c r="A161" i="3"/>
  <c r="A157" i="3"/>
  <c r="A153" i="3"/>
  <c r="A149" i="3"/>
  <c r="A133" i="3"/>
  <c r="A129" i="3"/>
  <c r="A121" i="3"/>
  <c r="A104" i="3"/>
  <c r="A80" i="3"/>
  <c r="A72" i="3"/>
  <c r="A64" i="3"/>
  <c r="A60" i="3"/>
  <c r="A44" i="3"/>
  <c r="A36" i="3"/>
  <c r="A16" i="3"/>
  <c r="A125" i="2"/>
  <c r="Z125" i="2"/>
  <c r="A117" i="2"/>
  <c r="Z117" i="2"/>
  <c r="A57" i="2"/>
  <c r="Z57" i="2"/>
  <c r="A21" i="2"/>
  <c r="Z21" i="2"/>
  <c r="A300" i="1"/>
  <c r="A72" i="1"/>
  <c r="A8" i="1"/>
  <c r="L23" i="1"/>
  <c r="L59" i="1"/>
  <c r="L165" i="1"/>
  <c r="L199" i="1"/>
  <c r="L250" i="1"/>
  <c r="P36" i="4"/>
  <c r="Q36" i="4"/>
  <c r="Q39" i="4"/>
  <c r="T39" i="4"/>
  <c r="W39" i="4"/>
  <c r="S39" i="4"/>
  <c r="L73" i="2"/>
  <c r="L114" i="2"/>
  <c r="O113" i="4"/>
  <c r="V127" i="4"/>
  <c r="P127" i="4"/>
  <c r="U127" i="4"/>
  <c r="Y128" i="2"/>
  <c r="P135" i="4"/>
  <c r="T135" i="4"/>
  <c r="U135" i="4"/>
  <c r="L139" i="2"/>
  <c r="T138" i="4"/>
  <c r="L163" i="2"/>
  <c r="Q162" i="4"/>
  <c r="L165" i="2"/>
  <c r="O177" i="4"/>
  <c r="T177" i="4"/>
  <c r="M177" i="4"/>
  <c r="O182" i="4"/>
  <c r="Y183" i="2"/>
  <c r="V188" i="4"/>
  <c r="P188" i="4"/>
  <c r="Q188" i="4"/>
  <c r="S197" i="4"/>
  <c r="U197" i="4"/>
  <c r="R197" i="4"/>
  <c r="N201" i="4"/>
  <c r="Q201" i="4"/>
  <c r="P201" i="4"/>
  <c r="O204" i="4"/>
  <c r="M204" i="4"/>
  <c r="Y266" i="2"/>
  <c r="P265" i="4"/>
  <c r="Q275" i="4"/>
  <c r="Y276" i="2"/>
  <c r="Y283" i="2"/>
  <c r="N282" i="4"/>
  <c r="V297" i="4"/>
  <c r="X297" i="4"/>
  <c r="Y297" i="4"/>
  <c r="M315" i="4"/>
  <c r="W315" i="4"/>
  <c r="L321" i="2"/>
  <c r="L14" i="4"/>
  <c r="L125" i="4"/>
  <c r="L9" i="1"/>
  <c r="L72" i="1"/>
  <c r="L86" i="1"/>
  <c r="L147" i="1"/>
  <c r="L238" i="1"/>
  <c r="L317" i="1"/>
  <c r="L326" i="1"/>
  <c r="L5" i="2"/>
  <c r="M4" i="4"/>
  <c r="L29" i="2"/>
  <c r="P28" i="4"/>
  <c r="L56" i="2"/>
  <c r="V55" i="4"/>
  <c r="L88" i="2"/>
  <c r="Q87" i="4"/>
  <c r="L132" i="2"/>
  <c r="Y132" i="2"/>
  <c r="L209" i="2"/>
  <c r="S208" i="4"/>
  <c r="L257" i="2"/>
  <c r="O256" i="4"/>
  <c r="L280" i="2"/>
  <c r="L324" i="2"/>
  <c r="V323" i="4"/>
  <c r="L60" i="4"/>
  <c r="L65" i="4"/>
  <c r="L280" i="4"/>
  <c r="L294" i="4"/>
  <c r="L36" i="1"/>
  <c r="L53" i="1"/>
  <c r="L98" i="1"/>
  <c r="L119" i="1"/>
  <c r="L257" i="1"/>
  <c r="L69" i="4"/>
  <c r="L239" i="4"/>
  <c r="L249" i="4"/>
  <c r="L285" i="4"/>
  <c r="A105" i="4"/>
  <c r="A323" i="3"/>
  <c r="A319" i="3"/>
  <c r="A315" i="3"/>
  <c r="A311" i="3"/>
  <c r="A307" i="3"/>
  <c r="A303" i="3"/>
  <c r="A299" i="3"/>
  <c r="A295" i="3"/>
  <c r="A291" i="3"/>
  <c r="A287" i="3"/>
  <c r="A283" i="3"/>
  <c r="A279" i="3"/>
  <c r="A275" i="3"/>
  <c r="A271" i="3"/>
  <c r="A267" i="3"/>
  <c r="A263" i="3"/>
  <c r="A259" i="3"/>
  <c r="A255" i="3"/>
  <c r="A251" i="3"/>
  <c r="A247" i="3"/>
  <c r="A243" i="3"/>
  <c r="A239" i="3"/>
  <c r="A235" i="3"/>
  <c r="A231" i="3"/>
  <c r="A227" i="3"/>
  <c r="A223" i="3"/>
  <c r="A219" i="3"/>
  <c r="A215" i="3"/>
  <c r="A211" i="3"/>
  <c r="A207" i="3"/>
  <c r="A203" i="3"/>
  <c r="A199" i="3"/>
  <c r="A195" i="3"/>
  <c r="A191" i="3"/>
  <c r="A187" i="3"/>
  <c r="A183" i="3"/>
  <c r="A179" i="3"/>
  <c r="A175" i="3"/>
  <c r="A171" i="3"/>
  <c r="A166" i="3"/>
  <c r="A162" i="3"/>
  <c r="A158" i="3"/>
  <c r="A154" i="3"/>
  <c r="A150" i="3"/>
  <c r="A146" i="3"/>
  <c r="A142" i="3"/>
  <c r="A138" i="3"/>
  <c r="A134" i="3"/>
  <c r="A130" i="3"/>
  <c r="A126" i="3"/>
  <c r="A122" i="3"/>
  <c r="A117" i="3"/>
  <c r="A113" i="3"/>
  <c r="A109" i="3"/>
  <c r="A105" i="3"/>
  <c r="A101" i="3"/>
  <c r="A97" i="3"/>
  <c r="A93" i="3"/>
  <c r="A89" i="3"/>
  <c r="A85" i="3"/>
  <c r="A81" i="3"/>
  <c r="A77" i="3"/>
  <c r="A73" i="3"/>
  <c r="A69" i="3"/>
  <c r="A65" i="3"/>
  <c r="A61" i="3"/>
  <c r="A57" i="3"/>
  <c r="A53" i="3"/>
  <c r="A49" i="3"/>
  <c r="A45" i="3"/>
  <c r="A41" i="3"/>
  <c r="A37" i="3"/>
  <c r="A33" i="3"/>
  <c r="A29" i="3"/>
  <c r="A25" i="3"/>
  <c r="A21" i="3"/>
  <c r="A17" i="3"/>
  <c r="A13" i="3"/>
  <c r="A9" i="3"/>
  <c r="L150" i="3"/>
  <c r="AB150" i="3"/>
  <c r="AE150" i="3"/>
  <c r="AH150" i="3"/>
  <c r="AK150" i="3"/>
  <c r="AN150" i="3"/>
  <c r="AQ150" i="3"/>
  <c r="AT150" i="3"/>
  <c r="AW150" i="3"/>
  <c r="AZ150" i="3"/>
  <c r="BC150" i="3"/>
  <c r="BF150" i="3"/>
  <c r="BI150" i="3"/>
  <c r="BL150" i="3"/>
  <c r="BO150" i="3"/>
  <c r="BR150" i="3"/>
  <c r="BU150" i="3"/>
  <c r="BX150" i="3"/>
  <c r="CA150" i="3"/>
  <c r="CD150" i="3"/>
  <c r="CG150" i="3"/>
  <c r="CJ150" i="3"/>
  <c r="CM150" i="3"/>
  <c r="CP150" i="3"/>
  <c r="CS150" i="3"/>
  <c r="CV150" i="3"/>
  <c r="CY150" i="3"/>
  <c r="L158" i="3"/>
  <c r="AB158" i="3"/>
  <c r="AE158" i="3"/>
  <c r="AH158" i="3"/>
  <c r="AK158" i="3"/>
  <c r="AN158" i="3"/>
  <c r="AQ158" i="3"/>
  <c r="AT158" i="3"/>
  <c r="AW158" i="3"/>
  <c r="AZ158" i="3"/>
  <c r="BC158" i="3"/>
  <c r="BF158" i="3"/>
  <c r="BI158" i="3"/>
  <c r="BL158" i="3"/>
  <c r="BO158" i="3"/>
  <c r="BR158" i="3"/>
  <c r="BU158" i="3"/>
  <c r="BX158" i="3"/>
  <c r="CA158" i="3"/>
  <c r="CD158" i="3"/>
  <c r="CG158" i="3"/>
  <c r="CJ158" i="3"/>
  <c r="CM158" i="3"/>
  <c r="CP158" i="3"/>
  <c r="CS158" i="3"/>
  <c r="CV158" i="3"/>
  <c r="CY158" i="3"/>
  <c r="L200" i="3"/>
  <c r="AB200" i="3"/>
  <c r="AE200" i="3"/>
  <c r="AH200" i="3"/>
  <c r="AK200" i="3"/>
  <c r="AN200" i="3"/>
  <c r="AQ200" i="3"/>
  <c r="AT200" i="3"/>
  <c r="AW200" i="3"/>
  <c r="AZ200" i="3"/>
  <c r="BC200" i="3"/>
  <c r="BF200" i="3"/>
  <c r="BI200" i="3"/>
  <c r="BL200" i="3"/>
  <c r="BO200" i="3"/>
  <c r="BR200" i="3"/>
  <c r="BU200" i="3"/>
  <c r="BX200" i="3"/>
  <c r="CA200" i="3"/>
  <c r="CD200" i="3"/>
  <c r="CG200" i="3"/>
  <c r="CJ200" i="3"/>
  <c r="CM200" i="3"/>
  <c r="CP200" i="3"/>
  <c r="CS200" i="3"/>
  <c r="CV200" i="3"/>
  <c r="CY200" i="3"/>
  <c r="L283" i="3"/>
  <c r="AB283" i="3"/>
  <c r="AE283" i="3"/>
  <c r="AH283" i="3"/>
  <c r="AK283" i="3"/>
  <c r="AN283" i="3"/>
  <c r="AQ283" i="3"/>
  <c r="AT283" i="3"/>
  <c r="AW283" i="3"/>
  <c r="AZ283" i="3"/>
  <c r="BC283" i="3"/>
  <c r="BF283" i="3"/>
  <c r="BI283" i="3"/>
  <c r="BL283" i="3"/>
  <c r="BO283" i="3"/>
  <c r="BR283" i="3"/>
  <c r="BU283" i="3"/>
  <c r="BX283" i="3"/>
  <c r="CA283" i="3"/>
  <c r="CD283" i="3"/>
  <c r="CG283" i="3"/>
  <c r="CJ283" i="3"/>
  <c r="CM283" i="3"/>
  <c r="CP283" i="3"/>
  <c r="CS283" i="3"/>
  <c r="CV283" i="3"/>
  <c r="CY283" i="3"/>
  <c r="L291" i="3"/>
  <c r="AB291" i="3"/>
  <c r="AE291" i="3"/>
  <c r="AH291" i="3"/>
  <c r="AK291" i="3"/>
  <c r="AN291" i="3"/>
  <c r="AQ291" i="3"/>
  <c r="AT291" i="3"/>
  <c r="AW291" i="3"/>
  <c r="AZ291" i="3"/>
  <c r="BC291" i="3"/>
  <c r="BF291" i="3"/>
  <c r="BI291" i="3"/>
  <c r="BL291" i="3"/>
  <c r="BO291" i="3"/>
  <c r="BR291" i="3"/>
  <c r="BU291" i="3"/>
  <c r="BX291" i="3"/>
  <c r="CA291" i="3"/>
  <c r="CD291" i="3"/>
  <c r="CG291" i="3"/>
  <c r="CJ291" i="3"/>
  <c r="CM291" i="3"/>
  <c r="CP291" i="3"/>
  <c r="CS291" i="3"/>
  <c r="CV291" i="3"/>
  <c r="CY291" i="3"/>
  <c r="V329" i="3"/>
  <c r="L141" i="3"/>
  <c r="AB141" i="3"/>
  <c r="AE141" i="3"/>
  <c r="AH141" i="3"/>
  <c r="AK141" i="3"/>
  <c r="AN141" i="3"/>
  <c r="AQ141" i="3"/>
  <c r="AT141" i="3"/>
  <c r="AW141" i="3"/>
  <c r="AZ141" i="3"/>
  <c r="BC141" i="3"/>
  <c r="BF141" i="3"/>
  <c r="BI141" i="3"/>
  <c r="BL141" i="3"/>
  <c r="BO141" i="3"/>
  <c r="BR141" i="3"/>
  <c r="BU141" i="3"/>
  <c r="BX141" i="3"/>
  <c r="CA141" i="3"/>
  <c r="CD141" i="3"/>
  <c r="CG141" i="3"/>
  <c r="CJ141" i="3"/>
  <c r="CM141" i="3"/>
  <c r="CP141" i="3"/>
  <c r="CS141" i="3"/>
  <c r="CV141" i="3"/>
  <c r="CY141" i="3"/>
  <c r="AB165" i="3"/>
  <c r="L43" i="4"/>
  <c r="L56" i="4"/>
  <c r="L68" i="4"/>
  <c r="L113" i="4"/>
  <c r="L299" i="4"/>
  <c r="L307" i="4"/>
  <c r="A156" i="1"/>
  <c r="A176" i="3"/>
  <c r="A163" i="3"/>
  <c r="A159" i="3"/>
  <c r="A151" i="3"/>
  <c r="A139" i="3"/>
  <c r="A123" i="3"/>
  <c r="A110" i="3"/>
  <c r="A106" i="3"/>
  <c r="A98" i="3"/>
  <c r="A90" i="3"/>
  <c r="A86" i="3"/>
  <c r="A70" i="3"/>
  <c r="A66" i="3"/>
  <c r="A54" i="3"/>
  <c r="A50" i="3"/>
  <c r="A42" i="3"/>
  <c r="A34" i="3"/>
  <c r="L9" i="3"/>
  <c r="AB9" i="3"/>
  <c r="AE9" i="3"/>
  <c r="AH9" i="3"/>
  <c r="AK9" i="3"/>
  <c r="AN9" i="3"/>
  <c r="AQ9" i="3"/>
  <c r="AT9" i="3"/>
  <c r="AW9" i="3"/>
  <c r="AZ9" i="3"/>
  <c r="BC9" i="3"/>
  <c r="BF9" i="3"/>
  <c r="BI9" i="3"/>
  <c r="BL9" i="3"/>
  <c r="BO9" i="3"/>
  <c r="BR9" i="3"/>
  <c r="BU9" i="3"/>
  <c r="BX9" i="3"/>
  <c r="CA9" i="3"/>
  <c r="CD9" i="3"/>
  <c r="CG9" i="3"/>
  <c r="CJ9" i="3"/>
  <c r="CM9" i="3"/>
  <c r="CP9" i="3"/>
  <c r="CS9" i="3"/>
  <c r="CV9" i="3"/>
  <c r="CY9" i="3"/>
  <c r="L53" i="3"/>
  <c r="AB53" i="3"/>
  <c r="AE53" i="3"/>
  <c r="AH53" i="3"/>
  <c r="AK53" i="3"/>
  <c r="AN53" i="3"/>
  <c r="AQ53" i="3"/>
  <c r="AT53" i="3"/>
  <c r="AW53" i="3"/>
  <c r="AZ53" i="3"/>
  <c r="BC53" i="3"/>
  <c r="BF53" i="3"/>
  <c r="BI53" i="3"/>
  <c r="BL53" i="3"/>
  <c r="BO53" i="3"/>
  <c r="BR53" i="3"/>
  <c r="BU53" i="3"/>
  <c r="BX53" i="3"/>
  <c r="CA53" i="3"/>
  <c r="CD53" i="3"/>
  <c r="CG53" i="3"/>
  <c r="CJ53" i="3"/>
  <c r="CM53" i="3"/>
  <c r="CP53" i="3"/>
  <c r="CS53" i="3"/>
  <c r="CV53" i="3"/>
  <c r="CY53" i="3"/>
  <c r="L57" i="3"/>
  <c r="AB57" i="3"/>
  <c r="AE57" i="3"/>
  <c r="AH57" i="3"/>
  <c r="AK57" i="3"/>
  <c r="AN57" i="3"/>
  <c r="AQ57" i="3"/>
  <c r="AT57" i="3"/>
  <c r="AW57" i="3"/>
  <c r="AZ57" i="3"/>
  <c r="BC57" i="3"/>
  <c r="BF57" i="3"/>
  <c r="BI57" i="3"/>
  <c r="BL57" i="3"/>
  <c r="BO57" i="3"/>
  <c r="BR57" i="3"/>
  <c r="BU57" i="3"/>
  <c r="BX57" i="3"/>
  <c r="CA57" i="3"/>
  <c r="CD57" i="3"/>
  <c r="CG57" i="3"/>
  <c r="CJ57" i="3"/>
  <c r="CM57" i="3"/>
  <c r="CP57" i="3"/>
  <c r="CS57" i="3"/>
  <c r="CV57" i="3"/>
  <c r="CY57" i="3"/>
  <c r="L73" i="3"/>
  <c r="AB73" i="3"/>
  <c r="AE73" i="3"/>
  <c r="AH73" i="3"/>
  <c r="AK73" i="3"/>
  <c r="AN73" i="3"/>
  <c r="AQ73" i="3"/>
  <c r="AT73" i="3"/>
  <c r="AW73" i="3"/>
  <c r="AZ73" i="3"/>
  <c r="BC73" i="3"/>
  <c r="BF73" i="3"/>
  <c r="BI73" i="3"/>
  <c r="BL73" i="3"/>
  <c r="BO73" i="3"/>
  <c r="BR73" i="3"/>
  <c r="BU73" i="3"/>
  <c r="BX73" i="3"/>
  <c r="CA73" i="3"/>
  <c r="CD73" i="3"/>
  <c r="CG73" i="3"/>
  <c r="CJ73" i="3"/>
  <c r="CM73" i="3"/>
  <c r="CP73" i="3"/>
  <c r="CS73" i="3"/>
  <c r="CV73" i="3"/>
  <c r="CY73" i="3"/>
  <c r="L89" i="3"/>
  <c r="AB89" i="3"/>
  <c r="AE89" i="3"/>
  <c r="AH89" i="3"/>
  <c r="AK89" i="3"/>
  <c r="AN89" i="3"/>
  <c r="AQ89" i="3"/>
  <c r="AT89" i="3"/>
  <c r="AW89" i="3"/>
  <c r="AZ89" i="3"/>
  <c r="BC89" i="3"/>
  <c r="BF89" i="3"/>
  <c r="BI89" i="3"/>
  <c r="BL89" i="3"/>
  <c r="BO89" i="3"/>
  <c r="BR89" i="3"/>
  <c r="BU89" i="3"/>
  <c r="BX89" i="3"/>
  <c r="CA89" i="3"/>
  <c r="CD89" i="3"/>
  <c r="CG89" i="3"/>
  <c r="CJ89" i="3"/>
  <c r="CM89" i="3"/>
  <c r="CP89" i="3"/>
  <c r="CS89" i="3"/>
  <c r="CV89" i="3"/>
  <c r="CY89" i="3"/>
  <c r="L100" i="3"/>
  <c r="AB100" i="3"/>
  <c r="AE100" i="3"/>
  <c r="AH100" i="3"/>
  <c r="AK100" i="3"/>
  <c r="AN100" i="3"/>
  <c r="AQ100" i="3"/>
  <c r="AT100" i="3"/>
  <c r="AW100" i="3"/>
  <c r="AZ100" i="3"/>
  <c r="BC100" i="3"/>
  <c r="BF100" i="3"/>
  <c r="BI100" i="3"/>
  <c r="BL100" i="3"/>
  <c r="BO100" i="3"/>
  <c r="BR100" i="3"/>
  <c r="BU100" i="3"/>
  <c r="BX100" i="3"/>
  <c r="CA100" i="3"/>
  <c r="CD100" i="3"/>
  <c r="CG100" i="3"/>
  <c r="CJ100" i="3"/>
  <c r="CM100" i="3"/>
  <c r="CP100" i="3"/>
  <c r="CS100" i="3"/>
  <c r="CV100" i="3"/>
  <c r="CY100" i="3"/>
  <c r="L108" i="3"/>
  <c r="AB108" i="3"/>
  <c r="AE108" i="3"/>
  <c r="AH108" i="3"/>
  <c r="AK108" i="3"/>
  <c r="AN108" i="3"/>
  <c r="AQ108" i="3"/>
  <c r="AT108" i="3"/>
  <c r="AW108" i="3"/>
  <c r="AZ108" i="3"/>
  <c r="BC108" i="3"/>
  <c r="BF108" i="3"/>
  <c r="BI108" i="3"/>
  <c r="BL108" i="3"/>
  <c r="BO108" i="3"/>
  <c r="BR108" i="3"/>
  <c r="BU108" i="3"/>
  <c r="BX108" i="3"/>
  <c r="CA108" i="3"/>
  <c r="CD108" i="3"/>
  <c r="CG108" i="3"/>
  <c r="CJ108" i="3"/>
  <c r="CM108" i="3"/>
  <c r="CP108" i="3"/>
  <c r="CS108" i="3"/>
  <c r="CV108" i="3"/>
  <c r="CY108" i="3"/>
  <c r="L132" i="3"/>
  <c r="AB132" i="3"/>
  <c r="L237" i="3"/>
  <c r="AB237" i="3"/>
  <c r="AE237" i="3"/>
  <c r="AH237" i="3"/>
  <c r="AK237" i="3"/>
  <c r="AN237" i="3"/>
  <c r="AQ237" i="3"/>
  <c r="AT237" i="3"/>
  <c r="AW237" i="3"/>
  <c r="AZ237" i="3"/>
  <c r="BC237" i="3"/>
  <c r="BF237" i="3"/>
  <c r="BI237" i="3"/>
  <c r="BL237" i="3"/>
  <c r="BO237" i="3"/>
  <c r="BR237" i="3"/>
  <c r="BU237" i="3"/>
  <c r="BX237" i="3"/>
  <c r="CA237" i="3"/>
  <c r="CD237" i="3"/>
  <c r="CG237" i="3"/>
  <c r="CJ237" i="3"/>
  <c r="CM237" i="3"/>
  <c r="CP237" i="3"/>
  <c r="CS237" i="3"/>
  <c r="CV237" i="3"/>
  <c r="CY237" i="3"/>
  <c r="BL120" i="3"/>
  <c r="BO120" i="3"/>
  <c r="BR120" i="3"/>
  <c r="BU120" i="3"/>
  <c r="BX120" i="3"/>
  <c r="CA120" i="3"/>
  <c r="CD120" i="3"/>
  <c r="CG120" i="3"/>
  <c r="CJ120" i="3"/>
  <c r="CM120" i="3"/>
  <c r="CP120" i="3"/>
  <c r="CS120" i="3"/>
  <c r="CV120" i="3"/>
  <c r="CY120" i="3"/>
  <c r="AB161" i="3"/>
  <c r="AB300" i="3"/>
  <c r="R52" i="4"/>
  <c r="N52" i="4"/>
  <c r="O52" i="4"/>
  <c r="Q148" i="4"/>
  <c r="X148" i="4"/>
  <c r="Y148" i="4"/>
  <c r="N148" i="4"/>
  <c r="Y149" i="2"/>
  <c r="T148" i="4"/>
  <c r="W148" i="4"/>
  <c r="U148" i="4"/>
  <c r="R148" i="4"/>
  <c r="V148" i="4"/>
  <c r="S148" i="4"/>
  <c r="P148" i="4"/>
  <c r="M148" i="4"/>
  <c r="O148" i="4"/>
  <c r="O85" i="4"/>
  <c r="Q85" i="4"/>
  <c r="U85" i="4"/>
  <c r="P85" i="4"/>
  <c r="N85" i="4"/>
  <c r="R85" i="4"/>
  <c r="T85" i="4"/>
  <c r="Y86" i="2"/>
  <c r="W85" i="4"/>
  <c r="R56" i="4"/>
  <c r="X56" i="4"/>
  <c r="Y56" i="4"/>
  <c r="Y57" i="2"/>
  <c r="U56" i="4"/>
  <c r="V56" i="4"/>
  <c r="S56" i="4"/>
  <c r="T56" i="4"/>
  <c r="M56" i="4"/>
  <c r="O56" i="4"/>
  <c r="P56" i="4"/>
  <c r="X4" i="4"/>
  <c r="Y4" i="4"/>
  <c r="U19" i="4"/>
  <c r="S19" i="4"/>
  <c r="M19" i="4"/>
  <c r="N19" i="4"/>
  <c r="V19" i="4"/>
  <c r="T26" i="4"/>
  <c r="S26" i="4"/>
  <c r="X26" i="4"/>
  <c r="Y26" i="4"/>
  <c r="U26" i="4"/>
  <c r="P26" i="4"/>
  <c r="Y27" i="2"/>
  <c r="V26" i="4"/>
  <c r="X42" i="4"/>
  <c r="Y42" i="4"/>
  <c r="V42" i="4"/>
  <c r="Y43" i="2"/>
  <c r="Q42" i="4"/>
  <c r="O42" i="4"/>
  <c r="P42" i="4"/>
  <c r="N42" i="4"/>
  <c r="U42" i="4"/>
  <c r="S42" i="4"/>
  <c r="R42" i="4"/>
  <c r="X48" i="4"/>
  <c r="Y48" i="4"/>
  <c r="O48" i="4"/>
  <c r="M48" i="4"/>
  <c r="U48" i="4"/>
  <c r="T48" i="4"/>
  <c r="W48" i="4"/>
  <c r="N48" i="4"/>
  <c r="P48" i="4"/>
  <c r="S48" i="4"/>
  <c r="O50" i="4"/>
  <c r="W50" i="4"/>
  <c r="R50" i="4"/>
  <c r="N50" i="4"/>
  <c r="X50" i="4"/>
  <c r="Y50" i="4"/>
  <c r="T50" i="4"/>
  <c r="Y51" i="2"/>
  <c r="Q50" i="4"/>
  <c r="M50" i="4"/>
  <c r="Q55" i="4"/>
  <c r="Y56" i="2"/>
  <c r="U60" i="4"/>
  <c r="Q60" i="4"/>
  <c r="Y61" i="2"/>
  <c r="X60" i="4"/>
  <c r="Y60" i="4"/>
  <c r="M60" i="4"/>
  <c r="R60" i="4"/>
  <c r="M63" i="4"/>
  <c r="U63" i="4"/>
  <c r="Q63" i="4"/>
  <c r="T63" i="4"/>
  <c r="W63" i="4"/>
  <c r="N63" i="4"/>
  <c r="R63" i="4"/>
  <c r="Y64" i="2"/>
  <c r="O63" i="4"/>
  <c r="V81" i="4"/>
  <c r="M81" i="4"/>
  <c r="N81" i="4"/>
  <c r="T81" i="4"/>
  <c r="W81" i="4"/>
  <c r="P81" i="4"/>
  <c r="O81" i="4"/>
  <c r="R81" i="4"/>
  <c r="X81" i="4"/>
  <c r="Y81" i="4"/>
  <c r="P91" i="4"/>
  <c r="O91" i="4"/>
  <c r="Y92" i="2"/>
  <c r="T91" i="4"/>
  <c r="V91" i="4"/>
  <c r="V108" i="4"/>
  <c r="R108" i="4"/>
  <c r="P108" i="4"/>
  <c r="X108" i="4"/>
  <c r="Y108" i="4"/>
  <c r="T108" i="4"/>
  <c r="W108" i="4"/>
  <c r="O108" i="4"/>
  <c r="S108" i="4"/>
  <c r="Q108" i="4"/>
  <c r="U108" i="4"/>
  <c r="M108" i="4"/>
  <c r="S120" i="4"/>
  <c r="N120" i="4"/>
  <c r="P120" i="4"/>
  <c r="Y121" i="2"/>
  <c r="Q120" i="4"/>
  <c r="O120" i="4"/>
  <c r="M120" i="4"/>
  <c r="R120" i="4"/>
  <c r="X120" i="4"/>
  <c r="Y120" i="4"/>
  <c r="U120" i="4"/>
  <c r="Q122" i="4"/>
  <c r="S122" i="4"/>
  <c r="M122" i="4"/>
  <c r="O122" i="4"/>
  <c r="W122" i="4"/>
  <c r="Y123" i="2"/>
  <c r="P122" i="4"/>
  <c r="U142" i="4"/>
  <c r="Y143" i="2"/>
  <c r="W142" i="4"/>
  <c r="R142" i="4"/>
  <c r="X142" i="4"/>
  <c r="Y142" i="4"/>
  <c r="P142" i="4"/>
  <c r="O142" i="4"/>
  <c r="R153" i="4"/>
  <c r="W153" i="4"/>
  <c r="Q153" i="4"/>
  <c r="O153" i="4"/>
  <c r="T153" i="4"/>
  <c r="Y154" i="2"/>
  <c r="N153" i="4"/>
  <c r="X153" i="4"/>
  <c r="Y153" i="4"/>
  <c r="V153" i="4"/>
  <c r="U153" i="4"/>
  <c r="W160" i="4"/>
  <c r="R160" i="4"/>
  <c r="M160" i="4"/>
  <c r="O160" i="4"/>
  <c r="X160" i="4"/>
  <c r="Y160" i="4"/>
  <c r="P160" i="4"/>
  <c r="U162" i="4"/>
  <c r="P162" i="4"/>
  <c r="W162" i="4"/>
  <c r="X165" i="4"/>
  <c r="Y165" i="4"/>
  <c r="O165" i="4"/>
  <c r="M165" i="4"/>
  <c r="N165" i="4"/>
  <c r="W165" i="4"/>
  <c r="T165" i="4"/>
  <c r="O168" i="4"/>
  <c r="Q168" i="4"/>
  <c r="N168" i="4"/>
  <c r="R168" i="4"/>
  <c r="T168" i="4"/>
  <c r="V168" i="4"/>
  <c r="S168" i="4"/>
  <c r="W168" i="4"/>
  <c r="W171" i="4"/>
  <c r="Y172" i="2"/>
  <c r="S171" i="4"/>
  <c r="P171" i="4"/>
  <c r="Q171" i="4"/>
  <c r="X171" i="4"/>
  <c r="Y171" i="4"/>
  <c r="M171" i="4"/>
  <c r="S184" i="4"/>
  <c r="Q184" i="4"/>
  <c r="M184" i="4"/>
  <c r="V184" i="4"/>
  <c r="T184" i="4"/>
  <c r="Y185" i="2"/>
  <c r="R184" i="4"/>
  <c r="N184" i="4"/>
  <c r="U184" i="4"/>
  <c r="O184" i="4"/>
  <c r="W184" i="4"/>
  <c r="R191" i="4"/>
  <c r="V191" i="4"/>
  <c r="T191" i="4"/>
  <c r="W191" i="4"/>
  <c r="P191" i="4"/>
  <c r="M191" i="4"/>
  <c r="Q191" i="4"/>
  <c r="T199" i="4"/>
  <c r="Y200" i="2"/>
  <c r="X199" i="4"/>
  <c r="Y199" i="4"/>
  <c r="R199" i="4"/>
  <c r="Q199" i="4"/>
  <c r="Q209" i="4"/>
  <c r="N209" i="4"/>
  <c r="S209" i="4"/>
  <c r="V209" i="4"/>
  <c r="O209" i="4"/>
  <c r="R209" i="4"/>
  <c r="M209" i="4"/>
  <c r="W209" i="4"/>
  <c r="P209" i="4"/>
  <c r="R211" i="4"/>
  <c r="M211" i="4"/>
  <c r="P211" i="4"/>
  <c r="U211" i="4"/>
  <c r="N211" i="4"/>
  <c r="Q211" i="4"/>
  <c r="S211" i="4"/>
  <c r="T211" i="4"/>
  <c r="O216" i="4"/>
  <c r="T216" i="4"/>
  <c r="U216" i="4"/>
  <c r="P216" i="4"/>
  <c r="Q216" i="4"/>
  <c r="Y217" i="2"/>
  <c r="X216" i="4"/>
  <c r="Y216" i="4"/>
  <c r="W218" i="4"/>
  <c r="S218" i="4"/>
  <c r="T218" i="4"/>
  <c r="N218" i="4"/>
  <c r="X218" i="4"/>
  <c r="Y218" i="4"/>
  <c r="U218" i="4"/>
  <c r="Y219" i="2"/>
  <c r="Q220" i="4"/>
  <c r="N220" i="4"/>
  <c r="W220" i="4"/>
  <c r="X220" i="4"/>
  <c r="Y220" i="4"/>
  <c r="S220" i="4"/>
  <c r="U220" i="4"/>
  <c r="O220" i="4"/>
  <c r="M222" i="4"/>
  <c r="S222" i="4"/>
  <c r="W222" i="4"/>
  <c r="X222" i="4"/>
  <c r="Y222" i="4"/>
  <c r="U222" i="4"/>
  <c r="P222" i="4"/>
  <c r="O222" i="4"/>
  <c r="M225" i="4"/>
  <c r="O225" i="4"/>
  <c r="N225" i="4"/>
  <c r="Q225" i="4"/>
  <c r="T225" i="4"/>
  <c r="X225" i="4"/>
  <c r="Y225" i="4"/>
  <c r="U230" i="4"/>
  <c r="P230" i="4"/>
  <c r="X230" i="4"/>
  <c r="Y230" i="4"/>
  <c r="Y231" i="2"/>
  <c r="R230" i="4"/>
  <c r="V230" i="4"/>
  <c r="Q230" i="4"/>
  <c r="N230" i="4"/>
  <c r="M230" i="4"/>
  <c r="T230" i="4"/>
  <c r="Q237" i="4"/>
  <c r="N237" i="4"/>
  <c r="R237" i="4"/>
  <c r="X237" i="4"/>
  <c r="Y237" i="4"/>
  <c r="S237" i="4"/>
  <c r="U237" i="4"/>
  <c r="W237" i="4"/>
  <c r="T237" i="4"/>
  <c r="O237" i="4"/>
  <c r="Y238" i="2"/>
  <c r="P239" i="4"/>
  <c r="N239" i="4"/>
  <c r="Q242" i="4"/>
  <c r="P242" i="4"/>
  <c r="T242" i="4"/>
  <c r="S242" i="4"/>
  <c r="W242" i="4"/>
  <c r="N242" i="4"/>
  <c r="X242" i="4"/>
  <c r="Y242" i="4"/>
  <c r="M242" i="4"/>
  <c r="R245" i="4"/>
  <c r="V245" i="4"/>
  <c r="Y246" i="2"/>
  <c r="S245" i="4"/>
  <c r="O245" i="4"/>
  <c r="P245" i="4"/>
  <c r="M245" i="4"/>
  <c r="R248" i="4"/>
  <c r="M248" i="4"/>
  <c r="Y249" i="2"/>
  <c r="Q248" i="4"/>
  <c r="U248" i="4"/>
  <c r="P248" i="4"/>
  <c r="Q250" i="4"/>
  <c r="U250" i="4"/>
  <c r="Y251" i="2"/>
  <c r="T250" i="4"/>
  <c r="N250" i="4"/>
  <c r="R250" i="4"/>
  <c r="X250" i="4"/>
  <c r="Y250" i="4"/>
  <c r="V250" i="4"/>
  <c r="Q252" i="4"/>
  <c r="O252" i="4"/>
  <c r="S252" i="4"/>
  <c r="V252" i="4"/>
  <c r="T252" i="4"/>
  <c r="X252" i="4"/>
  <c r="Y252" i="4"/>
  <c r="P254" i="4"/>
  <c r="R254" i="4"/>
  <c r="M254" i="4"/>
  <c r="O254" i="4"/>
  <c r="W254" i="4"/>
  <c r="V254" i="4"/>
  <c r="Y255" i="2"/>
  <c r="N254" i="4"/>
  <c r="M256" i="4"/>
  <c r="T258" i="4"/>
  <c r="U258" i="4"/>
  <c r="Y259" i="2"/>
  <c r="X258" i="4"/>
  <c r="Y258" i="4"/>
  <c r="R258" i="4"/>
  <c r="M258" i="4"/>
  <c r="N258" i="4"/>
  <c r="R261" i="4"/>
  <c r="P261" i="4"/>
  <c r="V261" i="4"/>
  <c r="W261" i="4"/>
  <c r="Q261" i="4"/>
  <c r="Y262" i="2"/>
  <c r="N261" i="4"/>
  <c r="Q273" i="4"/>
  <c r="M273" i="4"/>
  <c r="T273" i="4"/>
  <c r="N273" i="4"/>
  <c r="R273" i="4"/>
  <c r="V273" i="4"/>
  <c r="W276" i="4"/>
  <c r="P276" i="4"/>
  <c r="V276" i="4"/>
  <c r="S276" i="4"/>
  <c r="X276" i="4"/>
  <c r="Y276" i="4"/>
  <c r="M276" i="4"/>
  <c r="Q276" i="4"/>
  <c r="U276" i="4"/>
  <c r="Q280" i="4"/>
  <c r="M280" i="4"/>
  <c r="S280" i="4"/>
  <c r="V280" i="4"/>
  <c r="N280" i="4"/>
  <c r="N287" i="4"/>
  <c r="T287" i="4"/>
  <c r="S287" i="4"/>
  <c r="Y288" i="2"/>
  <c r="V287" i="4"/>
  <c r="U287" i="4"/>
  <c r="P287" i="4"/>
  <c r="W287" i="4"/>
  <c r="T290" i="4"/>
  <c r="W290" i="4"/>
  <c r="M294" i="4"/>
  <c r="S294" i="4"/>
  <c r="X294" i="4"/>
  <c r="Y294" i="4"/>
  <c r="V294" i="4"/>
  <c r="O296" i="4"/>
  <c r="N296" i="4"/>
  <c r="V296" i="4"/>
  <c r="M296" i="4"/>
  <c r="U296" i="4"/>
  <c r="X296" i="4"/>
  <c r="Y296" i="4"/>
  <c r="Y297" i="2"/>
  <c r="O62" i="4"/>
  <c r="S62" i="4"/>
  <c r="N62" i="4"/>
  <c r="N157" i="4"/>
  <c r="O157" i="4"/>
  <c r="Q157" i="4"/>
  <c r="T112" i="4"/>
  <c r="X112" i="4"/>
  <c r="Y112" i="4"/>
  <c r="Y113" i="2"/>
  <c r="R307" i="4"/>
  <c r="S307" i="4"/>
  <c r="Q307" i="4"/>
  <c r="Y286" i="2"/>
  <c r="S285" i="4"/>
  <c r="V285" i="4"/>
  <c r="W236" i="4"/>
  <c r="M236" i="4"/>
  <c r="S236" i="4"/>
  <c r="O146" i="4"/>
  <c r="M146" i="4"/>
  <c r="Y291" i="2"/>
  <c r="P256" i="4"/>
  <c r="O87" i="4"/>
  <c r="M252" i="4"/>
  <c r="U225" i="4"/>
  <c r="P237" i="4"/>
  <c r="O287" i="4"/>
  <c r="W225" i="4"/>
  <c r="Q165" i="4"/>
  <c r="Q26" i="4"/>
  <c r="Q254" i="4"/>
  <c r="O248" i="4"/>
  <c r="U242" i="4"/>
  <c r="T60" i="4"/>
  <c r="W60" i="4"/>
  <c r="R220" i="4"/>
  <c r="M261" i="4"/>
  <c r="Y20" i="2"/>
  <c r="M91" i="4"/>
  <c r="U122" i="4"/>
  <c r="U209" i="4"/>
  <c r="Y161" i="2"/>
  <c r="X280" i="4"/>
  <c r="Y280" i="4"/>
  <c r="W250" i="4"/>
  <c r="X91" i="4"/>
  <c r="Y91" i="4"/>
  <c r="S91" i="4"/>
  <c r="R19" i="4"/>
  <c r="P19" i="4"/>
  <c r="W211" i="4"/>
  <c r="P199" i="4"/>
  <c r="N290" i="4"/>
  <c r="O261" i="4"/>
  <c r="O218" i="4"/>
  <c r="V171" i="4"/>
  <c r="X122" i="4"/>
  <c r="Y122" i="4"/>
  <c r="W216" i="4"/>
  <c r="S142" i="4"/>
  <c r="V142" i="4"/>
  <c r="X191" i="4"/>
  <c r="Y191" i="4"/>
  <c r="O191" i="4"/>
  <c r="T55" i="4"/>
  <c r="Q296" i="4"/>
  <c r="R296" i="4"/>
  <c r="Q294" i="4"/>
  <c r="O276" i="4"/>
  <c r="X273" i="4"/>
  <c r="Y273" i="4"/>
  <c r="W273" i="4"/>
  <c r="R222" i="4"/>
  <c r="Q56" i="4"/>
  <c r="U81" i="4"/>
  <c r="O273" i="4"/>
  <c r="W42" i="4"/>
  <c r="Q48" i="4"/>
  <c r="O199" i="4"/>
  <c r="X245" i="4"/>
  <c r="Y245" i="4"/>
  <c r="V242" i="4"/>
  <c r="V48" i="4"/>
  <c r="S63" i="4"/>
  <c r="T120" i="4"/>
  <c r="S153" i="4"/>
  <c r="R287" i="4"/>
  <c r="S258" i="4"/>
  <c r="N248" i="4"/>
  <c r="X184" i="4"/>
  <c r="Y184" i="4"/>
  <c r="U252" i="4"/>
  <c r="S157" i="4"/>
  <c r="Y158" i="2"/>
  <c r="P157" i="4"/>
  <c r="P225" i="4"/>
  <c r="R225" i="4"/>
  <c r="P165" i="4"/>
  <c r="R26" i="4"/>
  <c r="U254" i="4"/>
  <c r="T254" i="4"/>
  <c r="V248" i="4"/>
  <c r="W234" i="4"/>
  <c r="O60" i="4"/>
  <c r="N60" i="4"/>
  <c r="Q218" i="4"/>
  <c r="P168" i="4"/>
  <c r="P220" i="4"/>
  <c r="O211" i="4"/>
  <c r="Q245" i="4"/>
  <c r="M290" i="4"/>
  <c r="P50" i="4"/>
  <c r="M250" i="4"/>
  <c r="U160" i="4"/>
  <c r="W91" i="4"/>
  <c r="N91" i="4"/>
  <c r="T19" i="4"/>
  <c r="R171" i="4"/>
  <c r="M199" i="4"/>
  <c r="R290" i="4"/>
  <c r="U261" i="4"/>
  <c r="P218" i="4"/>
  <c r="V218" i="4"/>
  <c r="R122" i="4"/>
  <c r="M220" i="4"/>
  <c r="R216" i="4"/>
  <c r="Y169" i="2"/>
  <c r="T142" i="4"/>
  <c r="N199" i="4"/>
  <c r="N191" i="4"/>
  <c r="U191" i="4"/>
  <c r="S296" i="4"/>
  <c r="P296" i="4"/>
  <c r="Y277" i="2"/>
  <c r="U273" i="4"/>
  <c r="W239" i="4"/>
  <c r="T222" i="4"/>
  <c r="Q222" i="4"/>
  <c r="W256" i="4"/>
  <c r="Y82" i="2"/>
  <c r="T4" i="4"/>
  <c r="T107" i="4"/>
  <c r="V107" i="4"/>
  <c r="M107" i="4"/>
  <c r="O8" i="4"/>
  <c r="Q8" i="4"/>
  <c r="T8" i="4"/>
  <c r="N8" i="4"/>
  <c r="X8" i="4"/>
  <c r="Y8" i="4"/>
  <c r="W8" i="4"/>
  <c r="W67" i="4"/>
  <c r="Q287" i="4"/>
  <c r="V85" i="4"/>
  <c r="R242" i="4"/>
  <c r="S85" i="4"/>
  <c r="M85" i="4"/>
  <c r="M237" i="4"/>
  <c r="V63" i="4"/>
  <c r="Y109" i="2"/>
  <c r="X287" i="4"/>
  <c r="Y287" i="4"/>
  <c r="O258" i="4"/>
  <c r="Q91" i="4"/>
  <c r="V214" i="4"/>
  <c r="N214" i="4"/>
  <c r="T214" i="4"/>
  <c r="P214" i="4"/>
  <c r="X214" i="4"/>
  <c r="Y214" i="4"/>
  <c r="U214" i="4"/>
  <c r="M214" i="4"/>
  <c r="Y215" i="2"/>
  <c r="S214" i="4"/>
  <c r="T140" i="4"/>
  <c r="Q140" i="4"/>
  <c r="V140" i="4"/>
  <c r="U140" i="4"/>
  <c r="M140" i="4"/>
  <c r="R140" i="4"/>
  <c r="W140" i="4"/>
  <c r="O280" i="4"/>
  <c r="P184" i="4"/>
  <c r="Q62" i="4"/>
  <c r="Y63" i="2"/>
  <c r="U157" i="4"/>
  <c r="M157" i="4"/>
  <c r="T157" i="4"/>
  <c r="P112" i="4"/>
  <c r="R112" i="4"/>
  <c r="V307" i="4"/>
  <c r="U307" i="4"/>
  <c r="N285" i="4"/>
  <c r="R285" i="4"/>
  <c r="X285" i="4"/>
  <c r="Y285" i="4"/>
  <c r="O99" i="4"/>
  <c r="W99" i="4"/>
  <c r="N236" i="4"/>
  <c r="V236" i="4"/>
  <c r="X256" i="4"/>
  <c r="Y256" i="4"/>
  <c r="P107" i="4"/>
  <c r="R107" i="4"/>
  <c r="M234" i="4"/>
  <c r="X67" i="4"/>
  <c r="Y67" i="4"/>
  <c r="M67" i="4"/>
  <c r="P146" i="4"/>
  <c r="X146" i="4"/>
  <c r="Y146" i="4"/>
  <c r="N146" i="4"/>
  <c r="Q290" i="4"/>
  <c r="O290" i="4"/>
  <c r="Y253" i="2"/>
  <c r="W252" i="4"/>
  <c r="O26" i="4"/>
  <c r="S165" i="4"/>
  <c r="V258" i="4"/>
  <c r="V225" i="4"/>
  <c r="V165" i="4"/>
  <c r="N26" i="4"/>
  <c r="X254" i="4"/>
  <c r="Y254" i="4"/>
  <c r="S248" i="4"/>
  <c r="T248" i="4"/>
  <c r="V120" i="4"/>
  <c r="P60" i="4"/>
  <c r="N142" i="4"/>
  <c r="N171" i="4"/>
  <c r="O250" i="4"/>
  <c r="V160" i="4"/>
  <c r="W245" i="4"/>
  <c r="U199" i="4"/>
  <c r="V50" i="4"/>
  <c r="P280" i="4"/>
  <c r="P250" i="4"/>
  <c r="S160" i="4"/>
  <c r="R91" i="4"/>
  <c r="O19" i="4"/>
  <c r="V216" i="4"/>
  <c r="S261" i="4"/>
  <c r="S50" i="4"/>
  <c r="X261" i="4"/>
  <c r="Y261" i="4"/>
  <c r="R218" i="4"/>
  <c r="Y212" i="2"/>
  <c r="T171" i="4"/>
  <c r="T122" i="4"/>
  <c r="T220" i="4"/>
  <c r="S216" i="4"/>
  <c r="U168" i="4"/>
  <c r="Q142" i="4"/>
  <c r="O107" i="4"/>
  <c r="W214" i="4"/>
  <c r="Y192" i="2"/>
  <c r="W296" i="4"/>
  <c r="O294" i="4"/>
  <c r="W294" i="4"/>
  <c r="R276" i="4"/>
  <c r="Y274" i="2"/>
  <c r="V222" i="4"/>
  <c r="N222" i="4"/>
  <c r="S81" i="4"/>
  <c r="Q81" i="4"/>
  <c r="T43" i="4"/>
  <c r="M43" i="4"/>
  <c r="R43" i="4"/>
  <c r="P43" i="4"/>
  <c r="V43" i="4"/>
  <c r="N43" i="4"/>
  <c r="W43" i="4"/>
  <c r="X43" i="4"/>
  <c r="Y43" i="4"/>
  <c r="U43" i="4"/>
  <c r="Y44" i="2"/>
  <c r="M287" i="4"/>
  <c r="R48" i="4"/>
  <c r="N276" i="4"/>
  <c r="Q214" i="4"/>
  <c r="U245" i="4"/>
  <c r="O230" i="4"/>
  <c r="P140" i="4"/>
  <c r="Y281" i="2"/>
  <c r="Q160" i="4"/>
  <c r="X63" i="4"/>
  <c r="Y63" i="4"/>
  <c r="O242" i="4"/>
  <c r="N108" i="4"/>
  <c r="X211" i="4"/>
  <c r="Y211" i="4"/>
  <c r="M153" i="4"/>
  <c r="P258" i="4"/>
  <c r="M42" i="4"/>
  <c r="T261" i="4"/>
  <c r="T280" i="4"/>
  <c r="U171" i="4"/>
  <c r="U165" i="4"/>
  <c r="P9" i="4"/>
  <c r="M9" i="4"/>
  <c r="X9" i="4"/>
  <c r="Y9" i="4"/>
  <c r="O9" i="4"/>
  <c r="N9" i="4"/>
  <c r="U9" i="4"/>
  <c r="W9" i="4"/>
  <c r="Y10" i="2"/>
  <c r="S9" i="4"/>
  <c r="T9" i="4"/>
  <c r="Q9" i="4"/>
  <c r="O11" i="4"/>
  <c r="R11" i="4"/>
  <c r="P11" i="4"/>
  <c r="Q11" i="4"/>
  <c r="U11" i="4"/>
  <c r="T11" i="4"/>
  <c r="N11" i="4"/>
  <c r="V11" i="4"/>
  <c r="Y12" i="2"/>
  <c r="X13" i="4"/>
  <c r="Y13" i="4"/>
  <c r="Y14" i="2"/>
  <c r="U13" i="4"/>
  <c r="M13" i="4"/>
  <c r="Q13" i="4"/>
  <c r="R16" i="4"/>
  <c r="Q16" i="4"/>
  <c r="T16" i="4"/>
  <c r="V16" i="4"/>
  <c r="O16" i="4"/>
  <c r="Y17" i="2"/>
  <c r="S24" i="4"/>
  <c r="W24" i="4"/>
  <c r="P24" i="4"/>
  <c r="T24" i="4"/>
  <c r="V24" i="4"/>
  <c r="X24" i="4"/>
  <c r="Y24" i="4"/>
  <c r="U24" i="4"/>
  <c r="M24" i="4"/>
  <c r="T28" i="4"/>
  <c r="N28" i="4"/>
  <c r="M32" i="4"/>
  <c r="U32" i="4"/>
  <c r="P32" i="4"/>
  <c r="S32" i="4"/>
  <c r="Q32" i="4"/>
  <c r="N32" i="4"/>
  <c r="V32" i="4"/>
  <c r="O32" i="4"/>
  <c r="X34" i="4"/>
  <c r="Y34" i="4"/>
  <c r="M34" i="4"/>
  <c r="P34" i="4"/>
  <c r="T34" i="4"/>
  <c r="W34" i="4"/>
  <c r="N34" i="4"/>
  <c r="Q34" i="4"/>
  <c r="O34" i="4"/>
  <c r="S34" i="4"/>
  <c r="V34" i="4"/>
  <c r="U65" i="4"/>
  <c r="O65" i="4"/>
  <c r="P65" i="4"/>
  <c r="S65" i="4"/>
  <c r="Y66" i="2"/>
  <c r="V65" i="4"/>
  <c r="V73" i="4"/>
  <c r="Q73" i="4"/>
  <c r="N73" i="4"/>
  <c r="T73" i="4"/>
  <c r="X73" i="4"/>
  <c r="Y73" i="4"/>
  <c r="O73" i="4"/>
  <c r="U73" i="4"/>
  <c r="S73" i="4"/>
  <c r="M73" i="4"/>
  <c r="W73" i="4"/>
  <c r="X98" i="4"/>
  <c r="Y98" i="4"/>
  <c r="W98" i="4"/>
  <c r="T98" i="4"/>
  <c r="Q98" i="4"/>
  <c r="V98" i="4"/>
  <c r="P98" i="4"/>
  <c r="Y107" i="2"/>
  <c r="V106" i="4"/>
  <c r="T106" i="4"/>
  <c r="M106" i="4"/>
  <c r="X106" i="4"/>
  <c r="Y106" i="4"/>
  <c r="O106" i="4"/>
  <c r="W106" i="4"/>
  <c r="T115" i="4"/>
  <c r="R115" i="4"/>
  <c r="V115" i="4"/>
  <c r="Y116" i="2"/>
  <c r="W115" i="4"/>
  <c r="Q115" i="4"/>
  <c r="S115" i="4"/>
  <c r="P115" i="4"/>
  <c r="Q117" i="4"/>
  <c r="Y118" i="2"/>
  <c r="V117" i="4"/>
  <c r="P117" i="4"/>
  <c r="O117" i="4"/>
  <c r="N117" i="4"/>
  <c r="T117" i="4"/>
  <c r="M117" i="4"/>
  <c r="W126" i="4"/>
  <c r="Q126" i="4"/>
  <c r="P126" i="4"/>
  <c r="S126" i="4"/>
  <c r="R126" i="4"/>
  <c r="V126" i="4"/>
  <c r="Y127" i="2"/>
  <c r="U131" i="4"/>
  <c r="R134" i="4"/>
  <c r="U134" i="4"/>
  <c r="M134" i="4"/>
  <c r="P134" i="4"/>
  <c r="S134" i="4"/>
  <c r="W134" i="4"/>
  <c r="Y135" i="2"/>
  <c r="Q134" i="4"/>
  <c r="N134" i="4"/>
  <c r="V134" i="4"/>
  <c r="W138" i="4"/>
  <c r="U138" i="4"/>
  <c r="O138" i="4"/>
  <c r="R138" i="4"/>
  <c r="M299" i="4"/>
  <c r="Y300" i="2"/>
  <c r="X299" i="4"/>
  <c r="Y299" i="4"/>
  <c r="S299" i="4"/>
  <c r="U299" i="4"/>
  <c r="N299" i="4"/>
  <c r="T299" i="4"/>
  <c r="P299" i="4"/>
  <c r="O299" i="4"/>
  <c r="W316" i="4"/>
  <c r="P316" i="4"/>
  <c r="Y317" i="2"/>
  <c r="X316" i="4"/>
  <c r="Y316" i="4"/>
  <c r="T316" i="4"/>
  <c r="Q316" i="4"/>
  <c r="T323" i="4"/>
  <c r="L44" i="1"/>
  <c r="L89" i="1"/>
  <c r="L180" i="1"/>
  <c r="L215" i="1"/>
  <c r="U6" i="4"/>
  <c r="V6" i="4"/>
  <c r="Y7" i="2"/>
  <c r="T10" i="4"/>
  <c r="M10" i="4"/>
  <c r="P10" i="4"/>
  <c r="R10" i="4"/>
  <c r="P12" i="4"/>
  <c r="T12" i="4"/>
  <c r="V12" i="4"/>
  <c r="S12" i="4"/>
  <c r="U12" i="4"/>
  <c r="Y13" i="2"/>
  <c r="N15" i="4"/>
  <c r="S15" i="4"/>
  <c r="X15" i="4"/>
  <c r="Y15" i="4"/>
  <c r="P15" i="4"/>
  <c r="P17" i="4"/>
  <c r="R17" i="4"/>
  <c r="M17" i="4"/>
  <c r="Q31" i="4"/>
  <c r="P31" i="4"/>
  <c r="O31" i="4"/>
  <c r="N31" i="4"/>
  <c r="V31" i="4"/>
  <c r="O33" i="4"/>
  <c r="M33" i="4"/>
  <c r="W33" i="4"/>
  <c r="V33" i="4"/>
  <c r="P33" i="4"/>
  <c r="T33" i="4"/>
  <c r="U33" i="4"/>
  <c r="L36" i="2"/>
  <c r="S46" i="4"/>
  <c r="X46" i="4"/>
  <c r="Y46" i="4"/>
  <c r="N46" i="4"/>
  <c r="Q66" i="4"/>
  <c r="V66" i="4"/>
  <c r="T66" i="4"/>
  <c r="L70" i="2"/>
  <c r="S76" i="4"/>
  <c r="N76" i="4"/>
  <c r="P76" i="4"/>
  <c r="U76" i="4"/>
  <c r="V95" i="4"/>
  <c r="N95" i="4"/>
  <c r="P95" i="4"/>
  <c r="U95" i="4"/>
  <c r="W95" i="4"/>
  <c r="X95" i="4"/>
  <c r="Y95" i="4"/>
  <c r="T104" i="4"/>
  <c r="P104" i="4"/>
  <c r="Y105" i="2"/>
  <c r="V104" i="4"/>
  <c r="U104" i="4"/>
  <c r="S104" i="4"/>
  <c r="W104" i="4"/>
  <c r="S111" i="4"/>
  <c r="P111" i="4"/>
  <c r="R111" i="4"/>
  <c r="V111" i="4"/>
  <c r="M111" i="4"/>
  <c r="N113" i="4"/>
  <c r="V116" i="4"/>
  <c r="O116" i="4"/>
  <c r="Q116" i="4"/>
  <c r="N116" i="4"/>
  <c r="W116" i="4"/>
  <c r="X116" i="4"/>
  <c r="Y116" i="4"/>
  <c r="P129" i="4"/>
  <c r="V129" i="4"/>
  <c r="W129" i="4"/>
  <c r="R137" i="4"/>
  <c r="X137" i="4"/>
  <c r="Y137" i="4"/>
  <c r="U137" i="4"/>
  <c r="P137" i="4"/>
  <c r="S137" i="4"/>
  <c r="W137" i="4"/>
  <c r="L86" i="4"/>
  <c r="L99" i="4"/>
  <c r="L155" i="4"/>
  <c r="T156" i="4"/>
  <c r="Q156" i="4"/>
  <c r="R156" i="4"/>
  <c r="O156" i="4"/>
  <c r="X156" i="4"/>
  <c r="Y156" i="4"/>
  <c r="Y157" i="2"/>
  <c r="N156" i="4"/>
  <c r="U59" i="4"/>
  <c r="S59" i="4"/>
  <c r="W59" i="4"/>
  <c r="Q315" i="4"/>
  <c r="O315" i="4"/>
  <c r="T315" i="4"/>
  <c r="Y316" i="2"/>
  <c r="R315" i="4"/>
  <c r="L54" i="1"/>
  <c r="L66" i="1"/>
  <c r="L100" i="1"/>
  <c r="L158" i="1"/>
  <c r="L201" i="1"/>
  <c r="L297" i="1"/>
  <c r="P37" i="4"/>
  <c r="N37" i="4"/>
  <c r="Q37" i="4"/>
  <c r="M37" i="4"/>
  <c r="U37" i="4"/>
  <c r="P79" i="4"/>
  <c r="W79" i="4"/>
  <c r="V89" i="4"/>
  <c r="T89" i="4"/>
  <c r="Q89" i="4"/>
  <c r="O109" i="4"/>
  <c r="P109" i="4"/>
  <c r="Q109" i="4"/>
  <c r="Y110" i="2"/>
  <c r="N109" i="4"/>
  <c r="V121" i="4"/>
  <c r="X121" i="4"/>
  <c r="Y121" i="4"/>
  <c r="R121" i="4"/>
  <c r="W121" i="4"/>
  <c r="L125" i="2"/>
  <c r="O154" i="4"/>
  <c r="X154" i="4"/>
  <c r="Y154" i="4"/>
  <c r="P154" i="4"/>
  <c r="M154" i="4"/>
  <c r="Y155" i="2"/>
  <c r="L159" i="2"/>
  <c r="N161" i="4"/>
  <c r="O161" i="4"/>
  <c r="S161" i="4"/>
  <c r="W180" i="4"/>
  <c r="R180" i="4"/>
  <c r="M180" i="4"/>
  <c r="L201" i="2"/>
  <c r="W205" i="4"/>
  <c r="R205" i="4"/>
  <c r="P205" i="4"/>
  <c r="Y206" i="2"/>
  <c r="M205" i="4"/>
  <c r="T205" i="4"/>
  <c r="O205" i="4"/>
  <c r="N208" i="4"/>
  <c r="Y209" i="2"/>
  <c r="P208" i="4"/>
  <c r="O210" i="4"/>
  <c r="W210" i="4"/>
  <c r="N210" i="4"/>
  <c r="Y211" i="2"/>
  <c r="R210" i="4"/>
  <c r="P210" i="4"/>
  <c r="U210" i="4"/>
  <c r="T215" i="4"/>
  <c r="P215" i="4"/>
  <c r="Y216" i="2"/>
  <c r="W219" i="4"/>
  <c r="U219" i="4"/>
  <c r="V219" i="4"/>
  <c r="R219" i="4"/>
  <c r="M219" i="4"/>
  <c r="V223" i="4"/>
  <c r="T223" i="4"/>
  <c r="S226" i="4"/>
  <c r="W226" i="4"/>
  <c r="N227" i="4"/>
  <c r="S227" i="4"/>
  <c r="Q227" i="4"/>
  <c r="U227" i="4"/>
  <c r="V227" i="4"/>
  <c r="P227" i="4"/>
  <c r="M227" i="4"/>
  <c r="O229" i="4"/>
  <c r="X229" i="4"/>
  <c r="Y229" i="4"/>
  <c r="Y230" i="2"/>
  <c r="R229" i="4"/>
  <c r="W229" i="4"/>
  <c r="T229" i="4"/>
  <c r="P233" i="4"/>
  <c r="T238" i="4"/>
  <c r="Y239" i="2"/>
  <c r="Q238" i="4"/>
  <c r="P247" i="4"/>
  <c r="S249" i="4"/>
  <c r="R249" i="4"/>
  <c r="N249" i="4"/>
  <c r="V249" i="4"/>
  <c r="P251" i="4"/>
  <c r="U251" i="4"/>
  <c r="Y252" i="2"/>
  <c r="X251" i="4"/>
  <c r="Y251" i="4"/>
  <c r="V251" i="4"/>
  <c r="Q253" i="4"/>
  <c r="Y254" i="2"/>
  <c r="R253" i="4"/>
  <c r="P253" i="4"/>
  <c r="V253" i="4"/>
  <c r="X253" i="4"/>
  <c r="Y253" i="4"/>
  <c r="X255" i="4"/>
  <c r="Y255" i="4"/>
  <c r="Y256" i="2"/>
  <c r="O255" i="4"/>
  <c r="U255" i="4"/>
  <c r="T271" i="4"/>
  <c r="Q271" i="4"/>
  <c r="W271" i="4"/>
  <c r="O271" i="4"/>
  <c r="P271" i="4"/>
  <c r="V271" i="4"/>
  <c r="X271" i="4"/>
  <c r="Y271" i="4"/>
  <c r="Y272" i="2"/>
  <c r="T289" i="4"/>
  <c r="V289" i="4"/>
  <c r="R295" i="4"/>
  <c r="T295" i="4"/>
  <c r="S295" i="4"/>
  <c r="L159" i="1"/>
  <c r="L248" i="1"/>
  <c r="L83" i="2"/>
  <c r="L89" i="2"/>
  <c r="L129" i="2"/>
  <c r="L55" i="4"/>
  <c r="L21" i="2"/>
  <c r="L23" i="2"/>
  <c r="L87" i="4"/>
  <c r="L148" i="4"/>
  <c r="L222" i="4"/>
  <c r="L5" i="3"/>
  <c r="AB5" i="3"/>
  <c r="AE5" i="3"/>
  <c r="AH5" i="3"/>
  <c r="AK5" i="3"/>
  <c r="AN5" i="3"/>
  <c r="AQ5" i="3"/>
  <c r="AT5" i="3"/>
  <c r="AW5" i="3"/>
  <c r="AZ5" i="3"/>
  <c r="BC5" i="3"/>
  <c r="BF5" i="3"/>
  <c r="BI5" i="3"/>
  <c r="BL5" i="3"/>
  <c r="BO5" i="3"/>
  <c r="BR5" i="3"/>
  <c r="BU5" i="3"/>
  <c r="BX5" i="3"/>
  <c r="CA5" i="3"/>
  <c r="CD5" i="3"/>
  <c r="CG5" i="3"/>
  <c r="CJ5" i="3"/>
  <c r="CM5" i="3"/>
  <c r="CP5" i="3"/>
  <c r="CS5" i="3"/>
  <c r="CV5" i="3"/>
  <c r="CY5" i="3"/>
  <c r="L23" i="3"/>
  <c r="AB23" i="3"/>
  <c r="AE23" i="3"/>
  <c r="AH23" i="3"/>
  <c r="AK23" i="3"/>
  <c r="AN23" i="3"/>
  <c r="AQ23" i="3"/>
  <c r="AT23" i="3"/>
  <c r="AW23" i="3"/>
  <c r="AZ23" i="3"/>
  <c r="BC23" i="3"/>
  <c r="BF23" i="3"/>
  <c r="BI23" i="3"/>
  <c r="BL23" i="3"/>
  <c r="BO23" i="3"/>
  <c r="BR23" i="3"/>
  <c r="BU23" i="3"/>
  <c r="BX23" i="3"/>
  <c r="CA23" i="3"/>
  <c r="CD23" i="3"/>
  <c r="CG23" i="3"/>
  <c r="CJ23" i="3"/>
  <c r="CM23" i="3"/>
  <c r="CP23" i="3"/>
  <c r="CS23" i="3"/>
  <c r="CV23" i="3"/>
  <c r="CY23" i="3"/>
  <c r="L61" i="3"/>
  <c r="AB61" i="3"/>
  <c r="AE61" i="3"/>
  <c r="AH61" i="3"/>
  <c r="AK61" i="3"/>
  <c r="AN61" i="3"/>
  <c r="AQ61" i="3"/>
  <c r="AT61" i="3"/>
  <c r="AW61" i="3"/>
  <c r="AZ61" i="3"/>
  <c r="BC61" i="3"/>
  <c r="BF61" i="3"/>
  <c r="BI61" i="3"/>
  <c r="BL61" i="3"/>
  <c r="BO61" i="3"/>
  <c r="BR61" i="3"/>
  <c r="BU61" i="3"/>
  <c r="BX61" i="3"/>
  <c r="CA61" i="3"/>
  <c r="CD61" i="3"/>
  <c r="CG61" i="3"/>
  <c r="CJ61" i="3"/>
  <c r="CM61" i="3"/>
  <c r="CP61" i="3"/>
  <c r="CS61" i="3"/>
  <c r="CV61" i="3"/>
  <c r="CY61" i="3"/>
  <c r="L70" i="3"/>
  <c r="AB70" i="3"/>
  <c r="AE70" i="3"/>
  <c r="AH70" i="3"/>
  <c r="AK70" i="3"/>
  <c r="AN70" i="3"/>
  <c r="AQ70" i="3"/>
  <c r="AT70" i="3"/>
  <c r="AW70" i="3"/>
  <c r="AZ70" i="3"/>
  <c r="BC70" i="3"/>
  <c r="BF70" i="3"/>
  <c r="BI70" i="3"/>
  <c r="BL70" i="3"/>
  <c r="BO70" i="3"/>
  <c r="BR70" i="3"/>
  <c r="BU70" i="3"/>
  <c r="BX70" i="3"/>
  <c r="CA70" i="3"/>
  <c r="CD70" i="3"/>
  <c r="CG70" i="3"/>
  <c r="CJ70" i="3"/>
  <c r="CM70" i="3"/>
  <c r="CP70" i="3"/>
  <c r="CS70" i="3"/>
  <c r="CV70" i="3"/>
  <c r="CY70" i="3"/>
  <c r="L82" i="3"/>
  <c r="AB82" i="3"/>
  <c r="AE82" i="3"/>
  <c r="AH82" i="3"/>
  <c r="AK82" i="3"/>
  <c r="AN82" i="3"/>
  <c r="AQ82" i="3"/>
  <c r="AT82" i="3"/>
  <c r="AW82" i="3"/>
  <c r="AZ82" i="3"/>
  <c r="BC82" i="3"/>
  <c r="BF82" i="3"/>
  <c r="BI82" i="3"/>
  <c r="BL82" i="3"/>
  <c r="BO82" i="3"/>
  <c r="BR82" i="3"/>
  <c r="BU82" i="3"/>
  <c r="BX82" i="3"/>
  <c r="CA82" i="3"/>
  <c r="CD82" i="3"/>
  <c r="CG82" i="3"/>
  <c r="CJ82" i="3"/>
  <c r="CM82" i="3"/>
  <c r="CP82" i="3"/>
  <c r="CS82" i="3"/>
  <c r="CV82" i="3"/>
  <c r="CY82" i="3"/>
  <c r="L86" i="3"/>
  <c r="AB86" i="3"/>
  <c r="AE86" i="3"/>
  <c r="AH86" i="3"/>
  <c r="AK86" i="3"/>
  <c r="AN86" i="3"/>
  <c r="AQ86" i="3"/>
  <c r="AT86" i="3"/>
  <c r="AW86" i="3"/>
  <c r="AZ86" i="3"/>
  <c r="BC86" i="3"/>
  <c r="BF86" i="3"/>
  <c r="BI86" i="3"/>
  <c r="BL86" i="3"/>
  <c r="BO86" i="3"/>
  <c r="BR86" i="3"/>
  <c r="BU86" i="3"/>
  <c r="BX86" i="3"/>
  <c r="CA86" i="3"/>
  <c r="CD86" i="3"/>
  <c r="CG86" i="3"/>
  <c r="CJ86" i="3"/>
  <c r="CM86" i="3"/>
  <c r="CP86" i="3"/>
  <c r="CS86" i="3"/>
  <c r="CV86" i="3"/>
  <c r="CY86" i="3"/>
  <c r="L113" i="3"/>
  <c r="AB113" i="3"/>
  <c r="AE113" i="3"/>
  <c r="AH113" i="3"/>
  <c r="AK113" i="3"/>
  <c r="AN113" i="3"/>
  <c r="AQ113" i="3"/>
  <c r="AT113" i="3"/>
  <c r="AW113" i="3"/>
  <c r="AZ113" i="3"/>
  <c r="BC113" i="3"/>
  <c r="BF113" i="3"/>
  <c r="BI113" i="3"/>
  <c r="BL113" i="3"/>
  <c r="BO113" i="3"/>
  <c r="BR113" i="3"/>
  <c r="BU113" i="3"/>
  <c r="BX113" i="3"/>
  <c r="CA113" i="3"/>
  <c r="CD113" i="3"/>
  <c r="CG113" i="3"/>
  <c r="CJ113" i="3"/>
  <c r="CM113" i="3"/>
  <c r="CP113" i="3"/>
  <c r="CS113" i="3"/>
  <c r="CV113" i="3"/>
  <c r="CY113" i="3"/>
  <c r="L201" i="3"/>
  <c r="AB201" i="3"/>
  <c r="AE201" i="3"/>
  <c r="AH201" i="3"/>
  <c r="AK201" i="3"/>
  <c r="AN201" i="3"/>
  <c r="AQ201" i="3"/>
  <c r="AT201" i="3"/>
  <c r="AW201" i="3"/>
  <c r="AZ201" i="3"/>
  <c r="BC201" i="3"/>
  <c r="BF201" i="3"/>
  <c r="BI201" i="3"/>
  <c r="BL201" i="3"/>
  <c r="BO201" i="3"/>
  <c r="BR201" i="3"/>
  <c r="BU201" i="3"/>
  <c r="BX201" i="3"/>
  <c r="CA201" i="3"/>
  <c r="CD201" i="3"/>
  <c r="CG201" i="3"/>
  <c r="CJ201" i="3"/>
  <c r="CM201" i="3"/>
  <c r="CP201" i="3"/>
  <c r="CS201" i="3"/>
  <c r="CV201" i="3"/>
  <c r="CY201" i="3"/>
  <c r="L238" i="3"/>
  <c r="AB238" i="3"/>
  <c r="AE238" i="3"/>
  <c r="AH238" i="3"/>
  <c r="AK238" i="3"/>
  <c r="AN238" i="3"/>
  <c r="AQ238" i="3"/>
  <c r="AT238" i="3"/>
  <c r="AW238" i="3"/>
  <c r="AZ238" i="3"/>
  <c r="BC238" i="3"/>
  <c r="BF238" i="3"/>
  <c r="BI238" i="3"/>
  <c r="BL238" i="3"/>
  <c r="BO238" i="3"/>
  <c r="BR238" i="3"/>
  <c r="BU238" i="3"/>
  <c r="BX238" i="3"/>
  <c r="CA238" i="3"/>
  <c r="CD238" i="3"/>
  <c r="CG238" i="3"/>
  <c r="CJ238" i="3"/>
  <c r="CM238" i="3"/>
  <c r="CP238" i="3"/>
  <c r="CS238" i="3"/>
  <c r="CV238" i="3"/>
  <c r="CY238" i="3"/>
  <c r="L296" i="3"/>
  <c r="AB296" i="3"/>
  <c r="AE296" i="3"/>
  <c r="AH296" i="3"/>
  <c r="AK296" i="3"/>
  <c r="AN296" i="3"/>
  <c r="AQ296" i="3"/>
  <c r="AT296" i="3"/>
  <c r="AW296" i="3"/>
  <c r="AZ296" i="3"/>
  <c r="BC296" i="3"/>
  <c r="BF296" i="3"/>
  <c r="BI296" i="3"/>
  <c r="BL296" i="3"/>
  <c r="BO296" i="3"/>
  <c r="BR296" i="3"/>
  <c r="BU296" i="3"/>
  <c r="BX296" i="3"/>
  <c r="CA296" i="3"/>
  <c r="CD296" i="3"/>
  <c r="CG296" i="3"/>
  <c r="CJ296" i="3"/>
  <c r="CM296" i="3"/>
  <c r="CP296" i="3"/>
  <c r="CS296" i="3"/>
  <c r="CV296" i="3"/>
  <c r="CY296" i="3"/>
  <c r="L316" i="3"/>
  <c r="AB316" i="3"/>
  <c r="AE316" i="3"/>
  <c r="AH316" i="3"/>
  <c r="AK316" i="3"/>
  <c r="AN316" i="3"/>
  <c r="AQ316" i="3"/>
  <c r="AT316" i="3"/>
  <c r="AW316" i="3"/>
  <c r="AZ316" i="3"/>
  <c r="BC316" i="3"/>
  <c r="BF316" i="3"/>
  <c r="BI316" i="3"/>
  <c r="BL316" i="3"/>
  <c r="BO316" i="3"/>
  <c r="BR316" i="3"/>
  <c r="BU316" i="3"/>
  <c r="BX316" i="3"/>
  <c r="CA316" i="3"/>
  <c r="CD316" i="3"/>
  <c r="CG316" i="3"/>
  <c r="CJ316" i="3"/>
  <c r="CM316" i="3"/>
  <c r="CP316" i="3"/>
  <c r="CS316" i="3"/>
  <c r="CV316" i="3"/>
  <c r="CY316" i="3"/>
  <c r="A5" i="3"/>
  <c r="A322" i="3"/>
  <c r="A318" i="3"/>
  <c r="A314" i="3"/>
  <c r="A310" i="3"/>
  <c r="A302" i="3"/>
  <c r="A298" i="3"/>
  <c r="A294" i="3"/>
  <c r="A290" i="3"/>
  <c r="A286" i="3"/>
  <c r="A282" i="3"/>
  <c r="A278" i="3"/>
  <c r="A274" i="3"/>
  <c r="A266" i="3"/>
  <c r="A262" i="3"/>
  <c r="A258" i="3"/>
  <c r="A254" i="3"/>
  <c r="A250" i="3"/>
  <c r="A246" i="3"/>
  <c r="A242" i="3"/>
  <c r="A238" i="3"/>
  <c r="A230" i="3"/>
  <c r="A226" i="3"/>
  <c r="A222" i="3"/>
  <c r="A218" i="3"/>
  <c r="A214" i="3"/>
  <c r="A210" i="3"/>
  <c r="A206" i="3"/>
  <c r="A202" i="3"/>
  <c r="A198" i="3"/>
  <c r="A190" i="3"/>
  <c r="A182" i="3"/>
  <c r="A178" i="3"/>
  <c r="A174" i="3"/>
  <c r="A165" i="3"/>
  <c r="A145" i="3"/>
  <c r="A141" i="3"/>
  <c r="A137" i="3"/>
  <c r="A125" i="3"/>
  <c r="A116" i="3"/>
  <c r="A112" i="3"/>
  <c r="A108" i="3"/>
  <c r="A100" i="3"/>
  <c r="A96" i="3"/>
  <c r="A92" i="3"/>
  <c r="A88" i="3"/>
  <c r="A76" i="3"/>
  <c r="A68" i="3"/>
  <c r="A56" i="3"/>
  <c r="A52" i="3"/>
  <c r="A48" i="3"/>
  <c r="A40" i="3"/>
  <c r="A32" i="3"/>
  <c r="A28" i="3"/>
  <c r="A24" i="3"/>
  <c r="A20" i="3"/>
  <c r="A12" i="3"/>
  <c r="A8" i="3"/>
  <c r="L56" i="3"/>
  <c r="AB56" i="3"/>
  <c r="AE56" i="3"/>
  <c r="AH56" i="3"/>
  <c r="AK56" i="3"/>
  <c r="AN56" i="3"/>
  <c r="AQ56" i="3"/>
  <c r="AT56" i="3"/>
  <c r="AW56" i="3"/>
  <c r="AZ56" i="3"/>
  <c r="BC56" i="3"/>
  <c r="BF56" i="3"/>
  <c r="BI56" i="3"/>
  <c r="BL56" i="3"/>
  <c r="BO56" i="3"/>
  <c r="BR56" i="3"/>
  <c r="BU56" i="3"/>
  <c r="BX56" i="3"/>
  <c r="CA56" i="3"/>
  <c r="CD56" i="3"/>
  <c r="CG56" i="3"/>
  <c r="CJ56" i="3"/>
  <c r="CM56" i="3"/>
  <c r="CP56" i="3"/>
  <c r="CS56" i="3"/>
  <c r="CV56" i="3"/>
  <c r="CY56" i="3"/>
  <c r="L60" i="3"/>
  <c r="AB60" i="3"/>
  <c r="AE60" i="3"/>
  <c r="AH60" i="3"/>
  <c r="AK60" i="3"/>
  <c r="AN60" i="3"/>
  <c r="AQ60" i="3"/>
  <c r="AT60" i="3"/>
  <c r="AW60" i="3"/>
  <c r="AZ60" i="3"/>
  <c r="BC60" i="3"/>
  <c r="BF60" i="3"/>
  <c r="BI60" i="3"/>
  <c r="BL60" i="3"/>
  <c r="BO60" i="3"/>
  <c r="BR60" i="3"/>
  <c r="BU60" i="3"/>
  <c r="BX60" i="3"/>
  <c r="CA60" i="3"/>
  <c r="CD60" i="3"/>
  <c r="CG60" i="3"/>
  <c r="CJ60" i="3"/>
  <c r="CM60" i="3"/>
  <c r="CP60" i="3"/>
  <c r="CS60" i="3"/>
  <c r="CV60" i="3"/>
  <c r="CY60" i="3"/>
  <c r="L69" i="3"/>
  <c r="AB69" i="3"/>
  <c r="AE69" i="3"/>
  <c r="AH69" i="3"/>
  <c r="AK69" i="3"/>
  <c r="AN69" i="3"/>
  <c r="AQ69" i="3"/>
  <c r="AT69" i="3"/>
  <c r="AW69" i="3"/>
  <c r="AZ69" i="3"/>
  <c r="BC69" i="3"/>
  <c r="BF69" i="3"/>
  <c r="BI69" i="3"/>
  <c r="BL69" i="3"/>
  <c r="BO69" i="3"/>
  <c r="BR69" i="3"/>
  <c r="BU69" i="3"/>
  <c r="BX69" i="3"/>
  <c r="CA69" i="3"/>
  <c r="CD69" i="3"/>
  <c r="CG69" i="3"/>
  <c r="CJ69" i="3"/>
  <c r="CM69" i="3"/>
  <c r="CP69" i="3"/>
  <c r="CS69" i="3"/>
  <c r="CV69" i="3"/>
  <c r="CY69" i="3"/>
  <c r="L77" i="3"/>
  <c r="AB77" i="3"/>
  <c r="AE77" i="3"/>
  <c r="AH77" i="3"/>
  <c r="AK77" i="3"/>
  <c r="AN77" i="3"/>
  <c r="AQ77" i="3"/>
  <c r="AT77" i="3"/>
  <c r="AW77" i="3"/>
  <c r="AZ77" i="3"/>
  <c r="BC77" i="3"/>
  <c r="BF77" i="3"/>
  <c r="BI77" i="3"/>
  <c r="BL77" i="3"/>
  <c r="BO77" i="3"/>
  <c r="BR77" i="3"/>
  <c r="BU77" i="3"/>
  <c r="BX77" i="3"/>
  <c r="CA77" i="3"/>
  <c r="CD77" i="3"/>
  <c r="CG77" i="3"/>
  <c r="CJ77" i="3"/>
  <c r="CM77" i="3"/>
  <c r="CP77" i="3"/>
  <c r="CS77" i="3"/>
  <c r="CV77" i="3"/>
  <c r="CY77" i="3"/>
  <c r="L93" i="3"/>
  <c r="AB93" i="3"/>
  <c r="AE93" i="3"/>
  <c r="AH93" i="3"/>
  <c r="AK93" i="3"/>
  <c r="AN93" i="3"/>
  <c r="AQ93" i="3"/>
  <c r="AT93" i="3"/>
  <c r="AW93" i="3"/>
  <c r="AZ93" i="3"/>
  <c r="BC93" i="3"/>
  <c r="BF93" i="3"/>
  <c r="BI93" i="3"/>
  <c r="BL93" i="3"/>
  <c r="BO93" i="3"/>
  <c r="BR93" i="3"/>
  <c r="BU93" i="3"/>
  <c r="BX93" i="3"/>
  <c r="CA93" i="3"/>
  <c r="CD93" i="3"/>
  <c r="CG93" i="3"/>
  <c r="CJ93" i="3"/>
  <c r="CM93" i="3"/>
  <c r="CP93" i="3"/>
  <c r="CS93" i="3"/>
  <c r="CV93" i="3"/>
  <c r="CY93" i="3"/>
  <c r="L126" i="3"/>
  <c r="AB126" i="3"/>
  <c r="AE126" i="3"/>
  <c r="AH126" i="3"/>
  <c r="AK126" i="3"/>
  <c r="AN126" i="3"/>
  <c r="AQ126" i="3"/>
  <c r="AT126" i="3"/>
  <c r="AW126" i="3"/>
  <c r="AZ126" i="3"/>
  <c r="BC126" i="3"/>
  <c r="BF126" i="3"/>
  <c r="BI126" i="3"/>
  <c r="BL126" i="3"/>
  <c r="BO126" i="3"/>
  <c r="BR126" i="3"/>
  <c r="BU126" i="3"/>
  <c r="BX126" i="3"/>
  <c r="CA126" i="3"/>
  <c r="CD126" i="3"/>
  <c r="CG126" i="3"/>
  <c r="CJ126" i="3"/>
  <c r="CM126" i="3"/>
  <c r="CP126" i="3"/>
  <c r="CS126" i="3"/>
  <c r="CV126" i="3"/>
  <c r="CY126" i="3"/>
  <c r="L137" i="3"/>
  <c r="AB137" i="3"/>
  <c r="AE137" i="3"/>
  <c r="AH137" i="3"/>
  <c r="AK137" i="3"/>
  <c r="AN137" i="3"/>
  <c r="AQ137" i="3"/>
  <c r="AT137" i="3"/>
  <c r="AW137" i="3"/>
  <c r="AZ137" i="3"/>
  <c r="BC137" i="3"/>
  <c r="BF137" i="3"/>
  <c r="BI137" i="3"/>
  <c r="BL137" i="3"/>
  <c r="BO137" i="3"/>
  <c r="BR137" i="3"/>
  <c r="BU137" i="3"/>
  <c r="BX137" i="3"/>
  <c r="CA137" i="3"/>
  <c r="CD137" i="3"/>
  <c r="CG137" i="3"/>
  <c r="CJ137" i="3"/>
  <c r="CM137" i="3"/>
  <c r="CP137" i="3"/>
  <c r="CS137" i="3"/>
  <c r="CV137" i="3"/>
  <c r="CY137" i="3"/>
  <c r="L149" i="3"/>
  <c r="AB149" i="3"/>
  <c r="AE149" i="3"/>
  <c r="AH149" i="3"/>
  <c r="AK149" i="3"/>
  <c r="AN149" i="3"/>
  <c r="AQ149" i="3"/>
  <c r="AT149" i="3"/>
  <c r="AW149" i="3"/>
  <c r="AZ149" i="3"/>
  <c r="BC149" i="3"/>
  <c r="BF149" i="3"/>
  <c r="BI149" i="3"/>
  <c r="BL149" i="3"/>
  <c r="BO149" i="3"/>
  <c r="BR149" i="3"/>
  <c r="BU149" i="3"/>
  <c r="BX149" i="3"/>
  <c r="CA149" i="3"/>
  <c r="CD149" i="3"/>
  <c r="CG149" i="3"/>
  <c r="CJ149" i="3"/>
  <c r="CM149" i="3"/>
  <c r="CP149" i="3"/>
  <c r="CS149" i="3"/>
  <c r="CV149" i="3"/>
  <c r="CY149" i="3"/>
  <c r="L157" i="3"/>
  <c r="AB157" i="3"/>
  <c r="AE157" i="3"/>
  <c r="AH157" i="3"/>
  <c r="AK157" i="3"/>
  <c r="AN157" i="3"/>
  <c r="AQ157" i="3"/>
  <c r="AT157" i="3"/>
  <c r="AW157" i="3"/>
  <c r="AZ157" i="3"/>
  <c r="BC157" i="3"/>
  <c r="BF157" i="3"/>
  <c r="BI157" i="3"/>
  <c r="BL157" i="3"/>
  <c r="BO157" i="3"/>
  <c r="BR157" i="3"/>
  <c r="BU157" i="3"/>
  <c r="BX157" i="3"/>
  <c r="CA157" i="3"/>
  <c r="CD157" i="3"/>
  <c r="CG157" i="3"/>
  <c r="CJ157" i="3"/>
  <c r="CM157" i="3"/>
  <c r="CP157" i="3"/>
  <c r="CS157" i="3"/>
  <c r="CV157" i="3"/>
  <c r="CY157" i="3"/>
  <c r="L181" i="3"/>
  <c r="AB181" i="3"/>
  <c r="AE181" i="3"/>
  <c r="AH181" i="3"/>
  <c r="AK181" i="3"/>
  <c r="AN181" i="3"/>
  <c r="AQ181" i="3"/>
  <c r="AT181" i="3"/>
  <c r="AW181" i="3"/>
  <c r="AZ181" i="3"/>
  <c r="BC181" i="3"/>
  <c r="BF181" i="3"/>
  <c r="BI181" i="3"/>
  <c r="BL181" i="3"/>
  <c r="BO181" i="3"/>
  <c r="BR181" i="3"/>
  <c r="BU181" i="3"/>
  <c r="BX181" i="3"/>
  <c r="CA181" i="3"/>
  <c r="CD181" i="3"/>
  <c r="CG181" i="3"/>
  <c r="CJ181" i="3"/>
  <c r="CM181" i="3"/>
  <c r="CP181" i="3"/>
  <c r="CS181" i="3"/>
  <c r="CV181" i="3"/>
  <c r="CY181" i="3"/>
  <c r="L234" i="3"/>
  <c r="AB234" i="3"/>
  <c r="L249" i="3"/>
  <c r="AB249" i="3"/>
  <c r="AE249" i="3"/>
  <c r="AH249" i="3"/>
  <c r="AK249" i="3"/>
  <c r="AN249" i="3"/>
  <c r="AQ249" i="3"/>
  <c r="AT249" i="3"/>
  <c r="AW249" i="3"/>
  <c r="AZ249" i="3"/>
  <c r="BC249" i="3"/>
  <c r="BF249" i="3"/>
  <c r="BI249" i="3"/>
  <c r="BL249" i="3"/>
  <c r="BO249" i="3"/>
  <c r="BR249" i="3"/>
  <c r="BU249" i="3"/>
  <c r="BX249" i="3"/>
  <c r="CA249" i="3"/>
  <c r="CD249" i="3"/>
  <c r="CG249" i="3"/>
  <c r="CJ249" i="3"/>
  <c r="CM249" i="3"/>
  <c r="CP249" i="3"/>
  <c r="CS249" i="3"/>
  <c r="CV249" i="3"/>
  <c r="CY249" i="3"/>
  <c r="L269" i="3"/>
  <c r="AB269" i="3"/>
  <c r="AE269" i="3"/>
  <c r="AH269" i="3"/>
  <c r="AK269" i="3"/>
  <c r="AN269" i="3"/>
  <c r="AQ269" i="3"/>
  <c r="AT269" i="3"/>
  <c r="AW269" i="3"/>
  <c r="AZ269" i="3"/>
  <c r="BC269" i="3"/>
  <c r="BF269" i="3"/>
  <c r="BI269" i="3"/>
  <c r="BL269" i="3"/>
  <c r="BO269" i="3"/>
  <c r="BR269" i="3"/>
  <c r="BU269" i="3"/>
  <c r="BX269" i="3"/>
  <c r="CA269" i="3"/>
  <c r="CD269" i="3"/>
  <c r="CG269" i="3"/>
  <c r="CJ269" i="3"/>
  <c r="CM269" i="3"/>
  <c r="CP269" i="3"/>
  <c r="CS269" i="3"/>
  <c r="CV269" i="3"/>
  <c r="CY269" i="3"/>
  <c r="L279" i="3"/>
  <c r="AB279" i="3"/>
  <c r="AE279" i="3"/>
  <c r="AH279" i="3"/>
  <c r="AK279" i="3"/>
  <c r="AN279" i="3"/>
  <c r="AQ279" i="3"/>
  <c r="AT279" i="3"/>
  <c r="AW279" i="3"/>
  <c r="AZ279" i="3"/>
  <c r="BC279" i="3"/>
  <c r="BF279" i="3"/>
  <c r="BI279" i="3"/>
  <c r="BL279" i="3"/>
  <c r="BO279" i="3"/>
  <c r="BR279" i="3"/>
  <c r="BU279" i="3"/>
  <c r="BX279" i="3"/>
  <c r="CA279" i="3"/>
  <c r="CD279" i="3"/>
  <c r="CG279" i="3"/>
  <c r="CJ279" i="3"/>
  <c r="CM279" i="3"/>
  <c r="CP279" i="3"/>
  <c r="CS279" i="3"/>
  <c r="CV279" i="3"/>
  <c r="CY279" i="3"/>
  <c r="L299" i="3"/>
  <c r="AB299" i="3"/>
  <c r="AE299" i="3"/>
  <c r="AH299" i="3"/>
  <c r="AK299" i="3"/>
  <c r="AN299" i="3"/>
  <c r="AQ299" i="3"/>
  <c r="AT299" i="3"/>
  <c r="AW299" i="3"/>
  <c r="AZ299" i="3"/>
  <c r="BC299" i="3"/>
  <c r="BF299" i="3"/>
  <c r="BI299" i="3"/>
  <c r="BL299" i="3"/>
  <c r="BO299" i="3"/>
  <c r="BR299" i="3"/>
  <c r="BU299" i="3"/>
  <c r="BX299" i="3"/>
  <c r="CA299" i="3"/>
  <c r="CD299" i="3"/>
  <c r="CG299" i="3"/>
  <c r="CJ299" i="3"/>
  <c r="CM299" i="3"/>
  <c r="CP299" i="3"/>
  <c r="CS299" i="3"/>
  <c r="CV299" i="3"/>
  <c r="CY299" i="3"/>
  <c r="L315" i="3"/>
  <c r="AB315" i="3"/>
  <c r="AE315" i="3"/>
  <c r="AH315" i="3"/>
  <c r="AK315" i="3"/>
  <c r="AN315" i="3"/>
  <c r="AQ315" i="3"/>
  <c r="AT315" i="3"/>
  <c r="AW315" i="3"/>
  <c r="AZ315" i="3"/>
  <c r="BC315" i="3"/>
  <c r="BF315" i="3"/>
  <c r="BI315" i="3"/>
  <c r="BL315" i="3"/>
  <c r="BO315" i="3"/>
  <c r="BR315" i="3"/>
  <c r="BU315" i="3"/>
  <c r="BX315" i="3"/>
  <c r="CA315" i="3"/>
  <c r="CD315" i="3"/>
  <c r="CG315" i="3"/>
  <c r="CJ315" i="3"/>
  <c r="CM315" i="3"/>
  <c r="CP315" i="3"/>
  <c r="CS315" i="3"/>
  <c r="CV315" i="3"/>
  <c r="CY315" i="3"/>
  <c r="L323" i="3"/>
  <c r="AB323" i="3"/>
  <c r="AE323" i="3"/>
  <c r="AH323" i="3"/>
  <c r="AK323" i="3"/>
  <c r="AN323" i="3"/>
  <c r="AQ323" i="3"/>
  <c r="AT323" i="3"/>
  <c r="AW323" i="3"/>
  <c r="AZ323" i="3"/>
  <c r="BC323" i="3"/>
  <c r="BF323" i="3"/>
  <c r="BI323" i="3"/>
  <c r="BL323" i="3"/>
  <c r="BO323" i="3"/>
  <c r="BR323" i="3"/>
  <c r="BU323" i="3"/>
  <c r="BX323" i="3"/>
  <c r="CA323" i="3"/>
  <c r="CD323" i="3"/>
  <c r="CG323" i="3"/>
  <c r="CJ323" i="3"/>
  <c r="CM323" i="3"/>
  <c r="CP323" i="3"/>
  <c r="CS323" i="3"/>
  <c r="CV323" i="3"/>
  <c r="CY323" i="3"/>
  <c r="L163" i="3"/>
  <c r="AB163" i="3"/>
  <c r="L15" i="3"/>
  <c r="AB15" i="3"/>
  <c r="AE15" i="3"/>
  <c r="AH15" i="3"/>
  <c r="AK15" i="3"/>
  <c r="AN15" i="3"/>
  <c r="AQ15" i="3"/>
  <c r="AT15" i="3"/>
  <c r="AW15" i="3"/>
  <c r="AZ15" i="3"/>
  <c r="BC15" i="3"/>
  <c r="BF15" i="3"/>
  <c r="BI15" i="3"/>
  <c r="BL15" i="3"/>
  <c r="BO15" i="3"/>
  <c r="BR15" i="3"/>
  <c r="BU15" i="3"/>
  <c r="BX15" i="3"/>
  <c r="CA15" i="3"/>
  <c r="CD15" i="3"/>
  <c r="CG15" i="3"/>
  <c r="CJ15" i="3"/>
  <c r="CM15" i="3"/>
  <c r="CP15" i="3"/>
  <c r="CS15" i="3"/>
  <c r="CV15" i="3"/>
  <c r="CY15" i="3"/>
  <c r="L21" i="3"/>
  <c r="AB21" i="3"/>
  <c r="AE21" i="3"/>
  <c r="AH21" i="3"/>
  <c r="AK21" i="3"/>
  <c r="AN21" i="3"/>
  <c r="AQ21" i="3"/>
  <c r="AT21" i="3"/>
  <c r="AW21" i="3"/>
  <c r="AZ21" i="3"/>
  <c r="BC21" i="3"/>
  <c r="BF21" i="3"/>
  <c r="BI21" i="3"/>
  <c r="BL21" i="3"/>
  <c r="BO21" i="3"/>
  <c r="BR21" i="3"/>
  <c r="BU21" i="3"/>
  <c r="BX21" i="3"/>
  <c r="CA21" i="3"/>
  <c r="CD21" i="3"/>
  <c r="CG21" i="3"/>
  <c r="CJ21" i="3"/>
  <c r="CM21" i="3"/>
  <c r="CP21" i="3"/>
  <c r="CS21" i="3"/>
  <c r="CV21" i="3"/>
  <c r="CY21" i="3"/>
  <c r="L29" i="3"/>
  <c r="AB29" i="3"/>
  <c r="AE29" i="3"/>
  <c r="AH29" i="3"/>
  <c r="AK29" i="3"/>
  <c r="AN29" i="3"/>
  <c r="AQ29" i="3"/>
  <c r="AT29" i="3"/>
  <c r="AW29" i="3"/>
  <c r="AZ29" i="3"/>
  <c r="BC29" i="3"/>
  <c r="BF29" i="3"/>
  <c r="BI29" i="3"/>
  <c r="BL29" i="3"/>
  <c r="BO29" i="3"/>
  <c r="BR29" i="3"/>
  <c r="BU29" i="3"/>
  <c r="BX29" i="3"/>
  <c r="CA29" i="3"/>
  <c r="CD29" i="3"/>
  <c r="CG29" i="3"/>
  <c r="CJ29" i="3"/>
  <c r="CM29" i="3"/>
  <c r="CP29" i="3"/>
  <c r="CS29" i="3"/>
  <c r="CV29" i="3"/>
  <c r="CY29" i="3"/>
  <c r="L51" i="3"/>
  <c r="AB51" i="3"/>
  <c r="AE51" i="3"/>
  <c r="AH51" i="3"/>
  <c r="AK51" i="3"/>
  <c r="AN51" i="3"/>
  <c r="AQ51" i="3"/>
  <c r="AT51" i="3"/>
  <c r="AW51" i="3"/>
  <c r="AZ51" i="3"/>
  <c r="BC51" i="3"/>
  <c r="BF51" i="3"/>
  <c r="BI51" i="3"/>
  <c r="BL51" i="3"/>
  <c r="BO51" i="3"/>
  <c r="BR51" i="3"/>
  <c r="BU51" i="3"/>
  <c r="BX51" i="3"/>
  <c r="CA51" i="3"/>
  <c r="CD51" i="3"/>
  <c r="CG51" i="3"/>
  <c r="CJ51" i="3"/>
  <c r="CM51" i="3"/>
  <c r="CP51" i="3"/>
  <c r="CS51" i="3"/>
  <c r="CV51" i="3"/>
  <c r="CY51" i="3"/>
  <c r="L55" i="3"/>
  <c r="AB55" i="3"/>
  <c r="AE55" i="3"/>
  <c r="AH55" i="3"/>
  <c r="AK55" i="3"/>
  <c r="AN55" i="3"/>
  <c r="AQ55" i="3"/>
  <c r="AT55" i="3"/>
  <c r="AW55" i="3"/>
  <c r="AZ55" i="3"/>
  <c r="BC55" i="3"/>
  <c r="BF55" i="3"/>
  <c r="BI55" i="3"/>
  <c r="BL55" i="3"/>
  <c r="BO55" i="3"/>
  <c r="BR55" i="3"/>
  <c r="BU55" i="3"/>
  <c r="BX55" i="3"/>
  <c r="CA55" i="3"/>
  <c r="CD55" i="3"/>
  <c r="CG55" i="3"/>
  <c r="CJ55" i="3"/>
  <c r="CM55" i="3"/>
  <c r="CP55" i="3"/>
  <c r="CS55" i="3"/>
  <c r="CV55" i="3"/>
  <c r="CY55" i="3"/>
  <c r="L59" i="3"/>
  <c r="AB59" i="3"/>
  <c r="AE59" i="3"/>
  <c r="AH59" i="3"/>
  <c r="AK59" i="3"/>
  <c r="AN59" i="3"/>
  <c r="AQ59" i="3"/>
  <c r="AT59" i="3"/>
  <c r="AW59" i="3"/>
  <c r="AZ59" i="3"/>
  <c r="BC59" i="3"/>
  <c r="BF59" i="3"/>
  <c r="BI59" i="3"/>
  <c r="BL59" i="3"/>
  <c r="BO59" i="3"/>
  <c r="BR59" i="3"/>
  <c r="BU59" i="3"/>
  <c r="BX59" i="3"/>
  <c r="CA59" i="3"/>
  <c r="CD59" i="3"/>
  <c r="CG59" i="3"/>
  <c r="CJ59" i="3"/>
  <c r="CM59" i="3"/>
  <c r="CP59" i="3"/>
  <c r="CS59" i="3"/>
  <c r="CV59" i="3"/>
  <c r="CY59" i="3"/>
  <c r="L63" i="3"/>
  <c r="AB63" i="3"/>
  <c r="AE63" i="3"/>
  <c r="AH63" i="3"/>
  <c r="AK63" i="3"/>
  <c r="AN63" i="3"/>
  <c r="AQ63" i="3"/>
  <c r="AT63" i="3"/>
  <c r="AW63" i="3"/>
  <c r="AZ63" i="3"/>
  <c r="BC63" i="3"/>
  <c r="BF63" i="3"/>
  <c r="BI63" i="3"/>
  <c r="BL63" i="3"/>
  <c r="BO63" i="3"/>
  <c r="BR63" i="3"/>
  <c r="BU63" i="3"/>
  <c r="BX63" i="3"/>
  <c r="CA63" i="3"/>
  <c r="CD63" i="3"/>
  <c r="CG63" i="3"/>
  <c r="CJ63" i="3"/>
  <c r="CM63" i="3"/>
  <c r="CP63" i="3"/>
  <c r="CS63" i="3"/>
  <c r="CV63" i="3"/>
  <c r="CY63" i="3"/>
  <c r="L68" i="3"/>
  <c r="AB68" i="3"/>
  <c r="AE68" i="3"/>
  <c r="AH68" i="3"/>
  <c r="AK68" i="3"/>
  <c r="AN68" i="3"/>
  <c r="AQ68" i="3"/>
  <c r="AT68" i="3"/>
  <c r="AW68" i="3"/>
  <c r="AZ68" i="3"/>
  <c r="BC68" i="3"/>
  <c r="BF68" i="3"/>
  <c r="BI68" i="3"/>
  <c r="BL68" i="3"/>
  <c r="BO68" i="3"/>
  <c r="BR68" i="3"/>
  <c r="BU68" i="3"/>
  <c r="BX68" i="3"/>
  <c r="CA68" i="3"/>
  <c r="CD68" i="3"/>
  <c r="CG68" i="3"/>
  <c r="CJ68" i="3"/>
  <c r="CM68" i="3"/>
  <c r="CP68" i="3"/>
  <c r="CS68" i="3"/>
  <c r="CV68" i="3"/>
  <c r="CY68" i="3"/>
  <c r="L72" i="3"/>
  <c r="AB72" i="3"/>
  <c r="AE72" i="3"/>
  <c r="AH72" i="3"/>
  <c r="AK72" i="3"/>
  <c r="AN72" i="3"/>
  <c r="AQ72" i="3"/>
  <c r="AT72" i="3"/>
  <c r="AW72" i="3"/>
  <c r="AZ72" i="3"/>
  <c r="BC72" i="3"/>
  <c r="BF72" i="3"/>
  <c r="BI72" i="3"/>
  <c r="BL72" i="3"/>
  <c r="BO72" i="3"/>
  <c r="BR72" i="3"/>
  <c r="BU72" i="3"/>
  <c r="BX72" i="3"/>
  <c r="CA72" i="3"/>
  <c r="CD72" i="3"/>
  <c r="CG72" i="3"/>
  <c r="CJ72" i="3"/>
  <c r="CM72" i="3"/>
  <c r="CP72" i="3"/>
  <c r="CS72" i="3"/>
  <c r="CV72" i="3"/>
  <c r="CY72" i="3"/>
  <c r="L84" i="3"/>
  <c r="AB84" i="3"/>
  <c r="AE84" i="3"/>
  <c r="AH84" i="3"/>
  <c r="AK84" i="3"/>
  <c r="AN84" i="3"/>
  <c r="AQ84" i="3"/>
  <c r="AT84" i="3"/>
  <c r="AW84" i="3"/>
  <c r="AZ84" i="3"/>
  <c r="BC84" i="3"/>
  <c r="BF84" i="3"/>
  <c r="BI84" i="3"/>
  <c r="BL84" i="3"/>
  <c r="BO84" i="3"/>
  <c r="BR84" i="3"/>
  <c r="BU84" i="3"/>
  <c r="BX84" i="3"/>
  <c r="CA84" i="3"/>
  <c r="CD84" i="3"/>
  <c r="CG84" i="3"/>
  <c r="CJ84" i="3"/>
  <c r="CM84" i="3"/>
  <c r="CP84" i="3"/>
  <c r="CS84" i="3"/>
  <c r="CV84" i="3"/>
  <c r="CY84" i="3"/>
  <c r="L88" i="3"/>
  <c r="AB88" i="3"/>
  <c r="AE88" i="3"/>
  <c r="AH88" i="3"/>
  <c r="AK88" i="3"/>
  <c r="AN88" i="3"/>
  <c r="AQ88" i="3"/>
  <c r="AT88" i="3"/>
  <c r="AW88" i="3"/>
  <c r="AZ88" i="3"/>
  <c r="BC88" i="3"/>
  <c r="BF88" i="3"/>
  <c r="BI88" i="3"/>
  <c r="BL88" i="3"/>
  <c r="BO88" i="3"/>
  <c r="BR88" i="3"/>
  <c r="BU88" i="3"/>
  <c r="BX88" i="3"/>
  <c r="CA88" i="3"/>
  <c r="CD88" i="3"/>
  <c r="CG88" i="3"/>
  <c r="CJ88" i="3"/>
  <c r="CM88" i="3"/>
  <c r="CP88" i="3"/>
  <c r="CS88" i="3"/>
  <c r="CV88" i="3"/>
  <c r="CY88" i="3"/>
  <c r="L119" i="3"/>
  <c r="AB119" i="3"/>
  <c r="AE119" i="3"/>
  <c r="AH119" i="3"/>
  <c r="AK119" i="3"/>
  <c r="AN119" i="3"/>
  <c r="AQ119" i="3"/>
  <c r="AT119" i="3"/>
  <c r="AW119" i="3"/>
  <c r="AZ119" i="3"/>
  <c r="BC119" i="3"/>
  <c r="BF119" i="3"/>
  <c r="BI119" i="3"/>
  <c r="L125" i="3"/>
  <c r="AB125" i="3"/>
  <c r="AE125" i="3"/>
  <c r="AH125" i="3"/>
  <c r="AK125" i="3"/>
  <c r="AN125" i="3"/>
  <c r="AQ125" i="3"/>
  <c r="AT125" i="3"/>
  <c r="AW125" i="3"/>
  <c r="AZ125" i="3"/>
  <c r="BC125" i="3"/>
  <c r="BF125" i="3"/>
  <c r="BI125" i="3"/>
  <c r="BL125" i="3"/>
  <c r="BO125" i="3"/>
  <c r="BR125" i="3"/>
  <c r="BU125" i="3"/>
  <c r="BX125" i="3"/>
  <c r="CA125" i="3"/>
  <c r="CD125" i="3"/>
  <c r="CG125" i="3"/>
  <c r="CJ125" i="3"/>
  <c r="CM125" i="3"/>
  <c r="CP125" i="3"/>
  <c r="CS125" i="3"/>
  <c r="CV125" i="3"/>
  <c r="CY125" i="3"/>
  <c r="L129" i="3"/>
  <c r="AB129" i="3"/>
  <c r="AE129" i="3"/>
  <c r="AH129" i="3"/>
  <c r="AK129" i="3"/>
  <c r="AN129" i="3"/>
  <c r="AQ129" i="3"/>
  <c r="AT129" i="3"/>
  <c r="AW129" i="3"/>
  <c r="AZ129" i="3"/>
  <c r="BC129" i="3"/>
  <c r="BF129" i="3"/>
  <c r="BI129" i="3"/>
  <c r="BL129" i="3"/>
  <c r="BO129" i="3"/>
  <c r="BR129" i="3"/>
  <c r="BU129" i="3"/>
  <c r="BX129" i="3"/>
  <c r="CA129" i="3"/>
  <c r="CD129" i="3"/>
  <c r="CG129" i="3"/>
  <c r="CJ129" i="3"/>
  <c r="CM129" i="3"/>
  <c r="CP129" i="3"/>
  <c r="CS129" i="3"/>
  <c r="CV129" i="3"/>
  <c r="CY129" i="3"/>
  <c r="L152" i="3"/>
  <c r="AB152" i="3"/>
  <c r="AE152" i="3"/>
  <c r="AH152" i="3"/>
  <c r="AK152" i="3"/>
  <c r="AN152" i="3"/>
  <c r="AQ152" i="3"/>
  <c r="AT152" i="3"/>
  <c r="AW152" i="3"/>
  <c r="AZ152" i="3"/>
  <c r="BC152" i="3"/>
  <c r="BF152" i="3"/>
  <c r="BI152" i="3"/>
  <c r="BL152" i="3"/>
  <c r="BO152" i="3"/>
  <c r="BR152" i="3"/>
  <c r="BU152" i="3"/>
  <c r="BX152" i="3"/>
  <c r="CA152" i="3"/>
  <c r="CD152" i="3"/>
  <c r="CG152" i="3"/>
  <c r="CJ152" i="3"/>
  <c r="CM152" i="3"/>
  <c r="CP152" i="3"/>
  <c r="CS152" i="3"/>
  <c r="CV152" i="3"/>
  <c r="CY152" i="3"/>
  <c r="L156" i="3"/>
  <c r="AB156" i="3"/>
  <c r="AE156" i="3"/>
  <c r="AH156" i="3"/>
  <c r="AK156" i="3"/>
  <c r="AN156" i="3"/>
  <c r="AQ156" i="3"/>
  <c r="AT156" i="3"/>
  <c r="AW156" i="3"/>
  <c r="AZ156" i="3"/>
  <c r="BC156" i="3"/>
  <c r="BF156" i="3"/>
  <c r="BI156" i="3"/>
  <c r="BL156" i="3"/>
  <c r="BO156" i="3"/>
  <c r="BR156" i="3"/>
  <c r="BU156" i="3"/>
  <c r="BX156" i="3"/>
  <c r="CA156" i="3"/>
  <c r="CD156" i="3"/>
  <c r="CG156" i="3"/>
  <c r="CJ156" i="3"/>
  <c r="CM156" i="3"/>
  <c r="CP156" i="3"/>
  <c r="CS156" i="3"/>
  <c r="CV156" i="3"/>
  <c r="CY156" i="3"/>
  <c r="L160" i="3"/>
  <c r="AB160" i="3"/>
  <c r="AE160" i="3"/>
  <c r="AH160" i="3"/>
  <c r="AK160" i="3"/>
  <c r="AN160" i="3"/>
  <c r="AQ160" i="3"/>
  <c r="AT160" i="3"/>
  <c r="AW160" i="3"/>
  <c r="AZ160" i="3"/>
  <c r="BC160" i="3"/>
  <c r="BF160" i="3"/>
  <c r="BI160" i="3"/>
  <c r="BL160" i="3"/>
  <c r="BO160" i="3"/>
  <c r="BR160" i="3"/>
  <c r="BU160" i="3"/>
  <c r="BX160" i="3"/>
  <c r="CA160" i="3"/>
  <c r="CD160" i="3"/>
  <c r="CG160" i="3"/>
  <c r="CJ160" i="3"/>
  <c r="CM160" i="3"/>
  <c r="CP160" i="3"/>
  <c r="CS160" i="3"/>
  <c r="CV160" i="3"/>
  <c r="CY160" i="3"/>
  <c r="L240" i="3"/>
  <c r="AB240" i="3"/>
  <c r="AE240" i="3"/>
  <c r="AH240" i="3"/>
  <c r="AK240" i="3"/>
  <c r="AN240" i="3"/>
  <c r="AQ240" i="3"/>
  <c r="AT240" i="3"/>
  <c r="AW240" i="3"/>
  <c r="AZ240" i="3"/>
  <c r="BC240" i="3"/>
  <c r="BF240" i="3"/>
  <c r="BI240" i="3"/>
  <c r="BL240" i="3"/>
  <c r="BO240" i="3"/>
  <c r="BR240" i="3"/>
  <c r="BU240" i="3"/>
  <c r="BX240" i="3"/>
  <c r="CA240" i="3"/>
  <c r="CD240" i="3"/>
  <c r="CG240" i="3"/>
  <c r="CJ240" i="3"/>
  <c r="CM240" i="3"/>
  <c r="CP240" i="3"/>
  <c r="CS240" i="3"/>
  <c r="CV240" i="3"/>
  <c r="CY240" i="3"/>
  <c r="L256" i="3"/>
  <c r="AB256" i="3"/>
  <c r="AE256" i="3"/>
  <c r="AH256" i="3"/>
  <c r="AK256" i="3"/>
  <c r="AN256" i="3"/>
  <c r="AQ256" i="3"/>
  <c r="AT256" i="3"/>
  <c r="AW256" i="3"/>
  <c r="AZ256" i="3"/>
  <c r="BC256" i="3"/>
  <c r="BF256" i="3"/>
  <c r="BI256" i="3"/>
  <c r="BL256" i="3"/>
  <c r="BO256" i="3"/>
  <c r="BR256" i="3"/>
  <c r="BU256" i="3"/>
  <c r="BX256" i="3"/>
  <c r="CA256" i="3"/>
  <c r="CD256" i="3"/>
  <c r="CG256" i="3"/>
  <c r="CJ256" i="3"/>
  <c r="CM256" i="3"/>
  <c r="CP256" i="3"/>
  <c r="CS256" i="3"/>
  <c r="CV256" i="3"/>
  <c r="CY256" i="3"/>
  <c r="L290" i="3"/>
  <c r="AB290" i="3"/>
  <c r="AE290" i="3"/>
  <c r="AH290" i="3"/>
  <c r="AK290" i="3"/>
  <c r="AN290" i="3"/>
  <c r="AQ290" i="3"/>
  <c r="AT290" i="3"/>
  <c r="AW290" i="3"/>
  <c r="AZ290" i="3"/>
  <c r="BC290" i="3"/>
  <c r="BF290" i="3"/>
  <c r="BI290" i="3"/>
  <c r="BL290" i="3"/>
  <c r="BO290" i="3"/>
  <c r="BR290" i="3"/>
  <c r="BU290" i="3"/>
  <c r="BX290" i="3"/>
  <c r="CA290" i="3"/>
  <c r="CD290" i="3"/>
  <c r="CG290" i="3"/>
  <c r="CJ290" i="3"/>
  <c r="CM290" i="3"/>
  <c r="CP290" i="3"/>
  <c r="CS290" i="3"/>
  <c r="CV290" i="3"/>
  <c r="CY290" i="3"/>
  <c r="L294" i="3"/>
  <c r="AB294" i="3"/>
  <c r="AE294" i="3"/>
  <c r="AH294" i="3"/>
  <c r="AK294" i="3"/>
  <c r="AN294" i="3"/>
  <c r="AQ294" i="3"/>
  <c r="AT294" i="3"/>
  <c r="AW294" i="3"/>
  <c r="AZ294" i="3"/>
  <c r="BC294" i="3"/>
  <c r="BF294" i="3"/>
  <c r="BI294" i="3"/>
  <c r="BL294" i="3"/>
  <c r="BO294" i="3"/>
  <c r="BR294" i="3"/>
  <c r="BU294" i="3"/>
  <c r="BX294" i="3"/>
  <c r="CA294" i="3"/>
  <c r="CD294" i="3"/>
  <c r="CG294" i="3"/>
  <c r="CJ294" i="3"/>
  <c r="CM294" i="3"/>
  <c r="CP294" i="3"/>
  <c r="CS294" i="3"/>
  <c r="CV294" i="3"/>
  <c r="CY294" i="3"/>
  <c r="L322" i="3"/>
  <c r="AB322" i="3"/>
  <c r="AE322" i="3"/>
  <c r="AH322" i="3"/>
  <c r="AK322" i="3"/>
  <c r="AN322" i="3"/>
  <c r="AQ322" i="3"/>
  <c r="AT322" i="3"/>
  <c r="AW322" i="3"/>
  <c r="AZ322" i="3"/>
  <c r="BC322" i="3"/>
  <c r="BF322" i="3"/>
  <c r="BI322" i="3"/>
  <c r="BL322" i="3"/>
  <c r="BO322" i="3"/>
  <c r="BR322" i="3"/>
  <c r="BU322" i="3"/>
  <c r="BX322" i="3"/>
  <c r="CA322" i="3"/>
  <c r="CD322" i="3"/>
  <c r="CG322" i="3"/>
  <c r="CJ322" i="3"/>
  <c r="CM322" i="3"/>
  <c r="CP322" i="3"/>
  <c r="CS322" i="3"/>
  <c r="CV322" i="3"/>
  <c r="CY322" i="3"/>
  <c r="A324" i="3"/>
  <c r="A320" i="3"/>
  <c r="A316" i="3"/>
  <c r="A312" i="3"/>
  <c r="A308" i="3"/>
  <c r="A304" i="3"/>
  <c r="A300" i="3"/>
  <c r="A296" i="3"/>
  <c r="A292" i="3"/>
  <c r="A288" i="3"/>
  <c r="A284" i="3"/>
  <c r="A280" i="3"/>
  <c r="A276" i="3"/>
  <c r="A272" i="3"/>
  <c r="A268" i="3"/>
  <c r="A264" i="3"/>
  <c r="A260" i="3"/>
  <c r="A256" i="3"/>
  <c r="A252" i="3"/>
  <c r="A248" i="3"/>
  <c r="A244" i="3"/>
  <c r="A240" i="3"/>
  <c r="A236" i="3"/>
  <c r="A232" i="3"/>
  <c r="A228" i="3"/>
  <c r="A224" i="3"/>
  <c r="A220" i="3"/>
  <c r="A216" i="3"/>
  <c r="A212" i="3"/>
  <c r="A208" i="3"/>
  <c r="A204" i="3"/>
  <c r="A200" i="3"/>
  <c r="A196" i="3"/>
  <c r="A192" i="3"/>
  <c r="A188" i="3"/>
  <c r="A184" i="3"/>
  <c r="A180" i="3"/>
  <c r="A167" i="3"/>
  <c r="A155" i="3"/>
  <c r="A147" i="3"/>
  <c r="A143" i="3"/>
  <c r="A135" i="3"/>
  <c r="A131" i="3"/>
  <c r="A127" i="3"/>
  <c r="A114" i="3"/>
  <c r="A102" i="3"/>
  <c r="A82" i="3"/>
  <c r="A78" i="3"/>
  <c r="A62" i="3"/>
  <c r="A58" i="3"/>
  <c r="A38" i="3"/>
  <c r="A26" i="3"/>
  <c r="A14" i="3"/>
  <c r="A10" i="3"/>
  <c r="A6" i="3"/>
  <c r="L24" i="3"/>
  <c r="AB24" i="3"/>
  <c r="AE24" i="3"/>
  <c r="AH24" i="3"/>
  <c r="AK24" i="3"/>
  <c r="AN24" i="3"/>
  <c r="AQ24" i="3"/>
  <c r="AT24" i="3"/>
  <c r="AW24" i="3"/>
  <c r="AZ24" i="3"/>
  <c r="BC24" i="3"/>
  <c r="BF24" i="3"/>
  <c r="BI24" i="3"/>
  <c r="BL24" i="3"/>
  <c r="BO24" i="3"/>
  <c r="BR24" i="3"/>
  <c r="BU24" i="3"/>
  <c r="BX24" i="3"/>
  <c r="CA24" i="3"/>
  <c r="CD24" i="3"/>
  <c r="CG24" i="3"/>
  <c r="CJ24" i="3"/>
  <c r="CM24" i="3"/>
  <c r="CP24" i="3"/>
  <c r="CS24" i="3"/>
  <c r="CV24" i="3"/>
  <c r="CY24" i="3"/>
  <c r="L54" i="3"/>
  <c r="AB54" i="3"/>
  <c r="AE54" i="3"/>
  <c r="AH54" i="3"/>
  <c r="AK54" i="3"/>
  <c r="AN54" i="3"/>
  <c r="AQ54" i="3"/>
  <c r="AT54" i="3"/>
  <c r="AW54" i="3"/>
  <c r="AZ54" i="3"/>
  <c r="BC54" i="3"/>
  <c r="BF54" i="3"/>
  <c r="BI54" i="3"/>
  <c r="BL54" i="3"/>
  <c r="BO54" i="3"/>
  <c r="BR54" i="3"/>
  <c r="BU54" i="3"/>
  <c r="BX54" i="3"/>
  <c r="CA54" i="3"/>
  <c r="CD54" i="3"/>
  <c r="CG54" i="3"/>
  <c r="CJ54" i="3"/>
  <c r="CM54" i="3"/>
  <c r="CP54" i="3"/>
  <c r="CS54" i="3"/>
  <c r="CV54" i="3"/>
  <c r="CY54" i="3"/>
  <c r="L62" i="3"/>
  <c r="AB62" i="3"/>
  <c r="AE62" i="3"/>
  <c r="AH62" i="3"/>
  <c r="AK62" i="3"/>
  <c r="AN62" i="3"/>
  <c r="AQ62" i="3"/>
  <c r="AT62" i="3"/>
  <c r="AW62" i="3"/>
  <c r="AZ62" i="3"/>
  <c r="BC62" i="3"/>
  <c r="BF62" i="3"/>
  <c r="BI62" i="3"/>
  <c r="BL62" i="3"/>
  <c r="BO62" i="3"/>
  <c r="BR62" i="3"/>
  <c r="BU62" i="3"/>
  <c r="BX62" i="3"/>
  <c r="CA62" i="3"/>
  <c r="CD62" i="3"/>
  <c r="CG62" i="3"/>
  <c r="CJ62" i="3"/>
  <c r="CM62" i="3"/>
  <c r="CP62" i="3"/>
  <c r="CS62" i="3"/>
  <c r="CV62" i="3"/>
  <c r="CY62" i="3"/>
  <c r="L66" i="3"/>
  <c r="AB66" i="3"/>
  <c r="AE66" i="3"/>
  <c r="AH66" i="3"/>
  <c r="AK66" i="3"/>
  <c r="AN66" i="3"/>
  <c r="AQ66" i="3"/>
  <c r="AT66" i="3"/>
  <c r="AW66" i="3"/>
  <c r="AZ66" i="3"/>
  <c r="BC66" i="3"/>
  <c r="BF66" i="3"/>
  <c r="BI66" i="3"/>
  <c r="BL66" i="3"/>
  <c r="BO66" i="3"/>
  <c r="BR66" i="3"/>
  <c r="BU66" i="3"/>
  <c r="BX66" i="3"/>
  <c r="CA66" i="3"/>
  <c r="CD66" i="3"/>
  <c r="CG66" i="3"/>
  <c r="CJ66" i="3"/>
  <c r="CM66" i="3"/>
  <c r="CP66" i="3"/>
  <c r="CS66" i="3"/>
  <c r="CV66" i="3"/>
  <c r="CY66" i="3"/>
  <c r="L67" i="3"/>
  <c r="AB67" i="3"/>
  <c r="AE67" i="3"/>
  <c r="AH67" i="3"/>
  <c r="AK67" i="3"/>
  <c r="AN67" i="3"/>
  <c r="AQ67" i="3"/>
  <c r="AT67" i="3"/>
  <c r="AW67" i="3"/>
  <c r="AZ67" i="3"/>
  <c r="BC67" i="3"/>
  <c r="BF67" i="3"/>
  <c r="BI67" i="3"/>
  <c r="BL67" i="3"/>
  <c r="BO67" i="3"/>
  <c r="BR67" i="3"/>
  <c r="BU67" i="3"/>
  <c r="BX67" i="3"/>
  <c r="CA67" i="3"/>
  <c r="CD67" i="3"/>
  <c r="CG67" i="3"/>
  <c r="CJ67" i="3"/>
  <c r="CM67" i="3"/>
  <c r="CP67" i="3"/>
  <c r="CS67" i="3"/>
  <c r="CV67" i="3"/>
  <c r="CY67" i="3"/>
  <c r="L83" i="3"/>
  <c r="AB83" i="3"/>
  <c r="AE83" i="3"/>
  <c r="AH83" i="3"/>
  <c r="AK83" i="3"/>
  <c r="AN83" i="3"/>
  <c r="AQ83" i="3"/>
  <c r="AT83" i="3"/>
  <c r="AW83" i="3"/>
  <c r="AZ83" i="3"/>
  <c r="BC83" i="3"/>
  <c r="BF83" i="3"/>
  <c r="BI83" i="3"/>
  <c r="BL83" i="3"/>
  <c r="BO83" i="3"/>
  <c r="BR83" i="3"/>
  <c r="BU83" i="3"/>
  <c r="BX83" i="3"/>
  <c r="CA83" i="3"/>
  <c r="CD83" i="3"/>
  <c r="CG83" i="3"/>
  <c r="CJ83" i="3"/>
  <c r="CM83" i="3"/>
  <c r="CP83" i="3"/>
  <c r="CS83" i="3"/>
  <c r="CV83" i="3"/>
  <c r="CY83" i="3"/>
  <c r="L87" i="3"/>
  <c r="AB87" i="3"/>
  <c r="AE87" i="3"/>
  <c r="AH87" i="3"/>
  <c r="AK87" i="3"/>
  <c r="AN87" i="3"/>
  <c r="AQ87" i="3"/>
  <c r="AT87" i="3"/>
  <c r="AW87" i="3"/>
  <c r="AZ87" i="3"/>
  <c r="BC87" i="3"/>
  <c r="BF87" i="3"/>
  <c r="BI87" i="3"/>
  <c r="BL87" i="3"/>
  <c r="BO87" i="3"/>
  <c r="BR87" i="3"/>
  <c r="BU87" i="3"/>
  <c r="BX87" i="3"/>
  <c r="CA87" i="3"/>
  <c r="CD87" i="3"/>
  <c r="CG87" i="3"/>
  <c r="CJ87" i="3"/>
  <c r="CM87" i="3"/>
  <c r="CP87" i="3"/>
  <c r="CS87" i="3"/>
  <c r="CV87" i="3"/>
  <c r="CY87" i="3"/>
  <c r="L101" i="3"/>
  <c r="AB101" i="3"/>
  <c r="L110" i="3"/>
  <c r="AB110" i="3"/>
  <c r="AE110" i="3"/>
  <c r="AH110" i="3"/>
  <c r="AK110" i="3"/>
  <c r="AN110" i="3"/>
  <c r="AQ110" i="3"/>
  <c r="AT110" i="3"/>
  <c r="AW110" i="3"/>
  <c r="AZ110" i="3"/>
  <c r="BC110" i="3"/>
  <c r="BF110" i="3"/>
  <c r="BI110" i="3"/>
  <c r="BL110" i="3"/>
  <c r="BO110" i="3"/>
  <c r="BR110" i="3"/>
  <c r="BU110" i="3"/>
  <c r="BX110" i="3"/>
  <c r="CA110" i="3"/>
  <c r="CD110" i="3"/>
  <c r="CG110" i="3"/>
  <c r="CJ110" i="3"/>
  <c r="CM110" i="3"/>
  <c r="CP110" i="3"/>
  <c r="CS110" i="3"/>
  <c r="CV110" i="3"/>
  <c r="CY110" i="3"/>
  <c r="L114" i="3"/>
  <c r="AB114" i="3"/>
  <c r="AE114" i="3"/>
  <c r="AH114" i="3"/>
  <c r="AK114" i="3"/>
  <c r="AN114" i="3"/>
  <c r="AQ114" i="3"/>
  <c r="AT114" i="3"/>
  <c r="AW114" i="3"/>
  <c r="AZ114" i="3"/>
  <c r="BC114" i="3"/>
  <c r="BF114" i="3"/>
  <c r="BI114" i="3"/>
  <c r="BL114" i="3"/>
  <c r="BO114" i="3"/>
  <c r="BR114" i="3"/>
  <c r="BU114" i="3"/>
  <c r="BX114" i="3"/>
  <c r="CA114" i="3"/>
  <c r="CD114" i="3"/>
  <c r="CG114" i="3"/>
  <c r="CJ114" i="3"/>
  <c r="CM114" i="3"/>
  <c r="CP114" i="3"/>
  <c r="CS114" i="3"/>
  <c r="CV114" i="3"/>
  <c r="CY114" i="3"/>
  <c r="L139" i="3"/>
  <c r="AB139" i="3"/>
  <c r="AE139" i="3"/>
  <c r="AH139" i="3"/>
  <c r="AK139" i="3"/>
  <c r="AN139" i="3"/>
  <c r="AQ139" i="3"/>
  <c r="AT139" i="3"/>
  <c r="AW139" i="3"/>
  <c r="AZ139" i="3"/>
  <c r="BC139" i="3"/>
  <c r="BF139" i="3"/>
  <c r="BI139" i="3"/>
  <c r="BL139" i="3"/>
  <c r="BO139" i="3"/>
  <c r="BR139" i="3"/>
  <c r="BU139" i="3"/>
  <c r="BX139" i="3"/>
  <c r="CA139" i="3"/>
  <c r="CD139" i="3"/>
  <c r="CG139" i="3"/>
  <c r="CJ139" i="3"/>
  <c r="CM139" i="3"/>
  <c r="CP139" i="3"/>
  <c r="CS139" i="3"/>
  <c r="CV139" i="3"/>
  <c r="CY139" i="3"/>
  <c r="L147" i="3"/>
  <c r="AB147" i="3"/>
  <c r="AE147" i="3"/>
  <c r="AH147" i="3"/>
  <c r="AK147" i="3"/>
  <c r="AN147" i="3"/>
  <c r="AQ147" i="3"/>
  <c r="AT147" i="3"/>
  <c r="AW147" i="3"/>
  <c r="AZ147" i="3"/>
  <c r="BC147" i="3"/>
  <c r="BF147" i="3"/>
  <c r="BI147" i="3"/>
  <c r="BL147" i="3"/>
  <c r="BO147" i="3"/>
  <c r="BR147" i="3"/>
  <c r="BU147" i="3"/>
  <c r="BX147" i="3"/>
  <c r="CA147" i="3"/>
  <c r="CD147" i="3"/>
  <c r="CG147" i="3"/>
  <c r="CJ147" i="3"/>
  <c r="CM147" i="3"/>
  <c r="CP147" i="3"/>
  <c r="CS147" i="3"/>
  <c r="CV147" i="3"/>
  <c r="CY147" i="3"/>
  <c r="L159" i="3"/>
  <c r="AB159" i="3"/>
  <c r="AE159" i="3"/>
  <c r="AH159" i="3"/>
  <c r="AK159" i="3"/>
  <c r="AN159" i="3"/>
  <c r="AQ159" i="3"/>
  <c r="AT159" i="3"/>
  <c r="AW159" i="3"/>
  <c r="AZ159" i="3"/>
  <c r="BC159" i="3"/>
  <c r="BF159" i="3"/>
  <c r="BI159" i="3"/>
  <c r="BL159" i="3"/>
  <c r="BO159" i="3"/>
  <c r="BR159" i="3"/>
  <c r="BU159" i="3"/>
  <c r="BX159" i="3"/>
  <c r="CA159" i="3"/>
  <c r="CD159" i="3"/>
  <c r="CG159" i="3"/>
  <c r="CJ159" i="3"/>
  <c r="CM159" i="3"/>
  <c r="CP159" i="3"/>
  <c r="CS159" i="3"/>
  <c r="CV159" i="3"/>
  <c r="CY159" i="3"/>
  <c r="L202" i="3"/>
  <c r="AB202" i="3"/>
  <c r="AE202" i="3"/>
  <c r="AH202" i="3"/>
  <c r="AK202" i="3"/>
  <c r="AN202" i="3"/>
  <c r="AQ202" i="3"/>
  <c r="AT202" i="3"/>
  <c r="AW202" i="3"/>
  <c r="AZ202" i="3"/>
  <c r="BC202" i="3"/>
  <c r="BF202" i="3"/>
  <c r="BI202" i="3"/>
  <c r="BL202" i="3"/>
  <c r="BO202" i="3"/>
  <c r="BR202" i="3"/>
  <c r="BU202" i="3"/>
  <c r="BX202" i="3"/>
  <c r="CA202" i="3"/>
  <c r="CD202" i="3"/>
  <c r="CG202" i="3"/>
  <c r="CJ202" i="3"/>
  <c r="CM202" i="3"/>
  <c r="CP202" i="3"/>
  <c r="CS202" i="3"/>
  <c r="CV202" i="3"/>
  <c r="CY202" i="3"/>
  <c r="L215" i="3"/>
  <c r="AB215" i="3"/>
  <c r="AE215" i="3"/>
  <c r="AH215" i="3"/>
  <c r="AK215" i="3"/>
  <c r="AN215" i="3"/>
  <c r="AQ215" i="3"/>
  <c r="AT215" i="3"/>
  <c r="AW215" i="3"/>
  <c r="AZ215" i="3"/>
  <c r="BC215" i="3"/>
  <c r="BF215" i="3"/>
  <c r="BI215" i="3"/>
  <c r="BL215" i="3"/>
  <c r="BO215" i="3"/>
  <c r="BR215" i="3"/>
  <c r="BU215" i="3"/>
  <c r="BX215" i="3"/>
  <c r="CA215" i="3"/>
  <c r="CD215" i="3"/>
  <c r="CG215" i="3"/>
  <c r="CJ215" i="3"/>
  <c r="CM215" i="3"/>
  <c r="CP215" i="3"/>
  <c r="CS215" i="3"/>
  <c r="CV215" i="3"/>
  <c r="CY215" i="3"/>
  <c r="L223" i="3"/>
  <c r="AB223" i="3"/>
  <c r="AE223" i="3"/>
  <c r="AH223" i="3"/>
  <c r="AK223" i="3"/>
  <c r="AN223" i="3"/>
  <c r="AQ223" i="3"/>
  <c r="AT223" i="3"/>
  <c r="AW223" i="3"/>
  <c r="AZ223" i="3"/>
  <c r="BC223" i="3"/>
  <c r="BF223" i="3"/>
  <c r="BI223" i="3"/>
  <c r="BL223" i="3"/>
  <c r="BO223" i="3"/>
  <c r="BR223" i="3"/>
  <c r="BU223" i="3"/>
  <c r="BX223" i="3"/>
  <c r="CA223" i="3"/>
  <c r="CD223" i="3"/>
  <c r="CG223" i="3"/>
  <c r="CJ223" i="3"/>
  <c r="CM223" i="3"/>
  <c r="CP223" i="3"/>
  <c r="CS223" i="3"/>
  <c r="CV223" i="3"/>
  <c r="CY223" i="3"/>
  <c r="L227" i="3"/>
  <c r="AB227" i="3"/>
  <c r="AE227" i="3"/>
  <c r="AH227" i="3"/>
  <c r="AK227" i="3"/>
  <c r="AN227" i="3"/>
  <c r="AQ227" i="3"/>
  <c r="AT227" i="3"/>
  <c r="AW227" i="3"/>
  <c r="AZ227" i="3"/>
  <c r="BC227" i="3"/>
  <c r="BF227" i="3"/>
  <c r="BI227" i="3"/>
  <c r="BL227" i="3"/>
  <c r="BO227" i="3"/>
  <c r="BR227" i="3"/>
  <c r="BU227" i="3"/>
  <c r="BX227" i="3"/>
  <c r="CA227" i="3"/>
  <c r="CD227" i="3"/>
  <c r="CG227" i="3"/>
  <c r="CJ227" i="3"/>
  <c r="CM227" i="3"/>
  <c r="CP227" i="3"/>
  <c r="CS227" i="3"/>
  <c r="CV227" i="3"/>
  <c r="CY227" i="3"/>
  <c r="L235" i="3"/>
  <c r="AB235" i="3"/>
  <c r="AE235" i="3"/>
  <c r="AH235" i="3"/>
  <c r="AK235" i="3"/>
  <c r="AN235" i="3"/>
  <c r="AQ235" i="3"/>
  <c r="AT235" i="3"/>
  <c r="AW235" i="3"/>
  <c r="AZ235" i="3"/>
  <c r="BC235" i="3"/>
  <c r="BF235" i="3"/>
  <c r="BI235" i="3"/>
  <c r="BL235" i="3"/>
  <c r="BO235" i="3"/>
  <c r="BR235" i="3"/>
  <c r="BU235" i="3"/>
  <c r="BX235" i="3"/>
  <c r="CA235" i="3"/>
  <c r="CD235" i="3"/>
  <c r="CG235" i="3"/>
  <c r="CJ235" i="3"/>
  <c r="CM235" i="3"/>
  <c r="CP235" i="3"/>
  <c r="CS235" i="3"/>
  <c r="CV235" i="3"/>
  <c r="CY235" i="3"/>
  <c r="L247" i="3"/>
  <c r="AB247" i="3"/>
  <c r="AE247" i="3"/>
  <c r="AH247" i="3"/>
  <c r="AK247" i="3"/>
  <c r="AN247" i="3"/>
  <c r="AQ247" i="3"/>
  <c r="AT247" i="3"/>
  <c r="AW247" i="3"/>
  <c r="AZ247" i="3"/>
  <c r="BC247" i="3"/>
  <c r="BF247" i="3"/>
  <c r="BI247" i="3"/>
  <c r="BL247" i="3"/>
  <c r="BO247" i="3"/>
  <c r="BR247" i="3"/>
  <c r="BU247" i="3"/>
  <c r="BX247" i="3"/>
  <c r="CA247" i="3"/>
  <c r="CD247" i="3"/>
  <c r="CG247" i="3"/>
  <c r="CJ247" i="3"/>
  <c r="CM247" i="3"/>
  <c r="CP247" i="3"/>
  <c r="CS247" i="3"/>
  <c r="CV247" i="3"/>
  <c r="CY247" i="3"/>
  <c r="L277" i="3"/>
  <c r="AB277" i="3"/>
  <c r="AE277" i="3"/>
  <c r="AH277" i="3"/>
  <c r="AK277" i="3"/>
  <c r="AN277" i="3"/>
  <c r="AQ277" i="3"/>
  <c r="AT277" i="3"/>
  <c r="AW277" i="3"/>
  <c r="AZ277" i="3"/>
  <c r="BC277" i="3"/>
  <c r="BF277" i="3"/>
  <c r="BI277" i="3"/>
  <c r="BL277" i="3"/>
  <c r="BO277" i="3"/>
  <c r="BR277" i="3"/>
  <c r="BU277" i="3"/>
  <c r="BX277" i="3"/>
  <c r="CA277" i="3"/>
  <c r="CD277" i="3"/>
  <c r="CG277" i="3"/>
  <c r="CJ277" i="3"/>
  <c r="CM277" i="3"/>
  <c r="CP277" i="3"/>
  <c r="CS277" i="3"/>
  <c r="CV277" i="3"/>
  <c r="CY277" i="3"/>
  <c r="L285" i="3"/>
  <c r="AB285" i="3"/>
  <c r="AE285" i="3"/>
  <c r="AH285" i="3"/>
  <c r="AK285" i="3"/>
  <c r="AN285" i="3"/>
  <c r="AQ285" i="3"/>
  <c r="AT285" i="3"/>
  <c r="AW285" i="3"/>
  <c r="AZ285" i="3"/>
  <c r="BC285" i="3"/>
  <c r="BF285" i="3"/>
  <c r="BI285" i="3"/>
  <c r="BL285" i="3"/>
  <c r="BO285" i="3"/>
  <c r="BR285" i="3"/>
  <c r="BU285" i="3"/>
  <c r="BX285" i="3"/>
  <c r="CA285" i="3"/>
  <c r="CD285" i="3"/>
  <c r="CG285" i="3"/>
  <c r="CJ285" i="3"/>
  <c r="CM285" i="3"/>
  <c r="CP285" i="3"/>
  <c r="CS285" i="3"/>
  <c r="CV285" i="3"/>
  <c r="CY285" i="3"/>
  <c r="L307" i="3"/>
  <c r="AB307" i="3"/>
  <c r="AE307" i="3"/>
  <c r="AH307" i="3"/>
  <c r="AK307" i="3"/>
  <c r="AN307" i="3"/>
  <c r="AQ307" i="3"/>
  <c r="AT307" i="3"/>
  <c r="AW307" i="3"/>
  <c r="AZ307" i="3"/>
  <c r="BC307" i="3"/>
  <c r="BF307" i="3"/>
  <c r="BI307" i="3"/>
  <c r="BL307" i="3"/>
  <c r="BO307" i="3"/>
  <c r="BR307" i="3"/>
  <c r="BU307" i="3"/>
  <c r="BX307" i="3"/>
  <c r="CA307" i="3"/>
  <c r="CD307" i="3"/>
  <c r="CG307" i="3"/>
  <c r="CJ307" i="3"/>
  <c r="CM307" i="3"/>
  <c r="CP307" i="3"/>
  <c r="CS307" i="3"/>
  <c r="CV307" i="3"/>
  <c r="CY307" i="3"/>
  <c r="L317" i="3"/>
  <c r="AB317" i="3"/>
  <c r="AE317" i="3"/>
  <c r="AH317" i="3"/>
  <c r="AK317" i="3"/>
  <c r="AN317" i="3"/>
  <c r="AQ317" i="3"/>
  <c r="AT317" i="3"/>
  <c r="AW317" i="3"/>
  <c r="AZ317" i="3"/>
  <c r="BC317" i="3"/>
  <c r="BF317" i="3"/>
  <c r="BI317" i="3"/>
  <c r="BL317" i="3"/>
  <c r="BO317" i="3"/>
  <c r="BR317" i="3"/>
  <c r="BU317" i="3"/>
  <c r="BX317" i="3"/>
  <c r="CA317" i="3"/>
  <c r="CD317" i="3"/>
  <c r="CG317" i="3"/>
  <c r="CJ317" i="3"/>
  <c r="CM317" i="3"/>
  <c r="CP317" i="3"/>
  <c r="CS317" i="3"/>
  <c r="CV317" i="3"/>
  <c r="CY317" i="3"/>
  <c r="L325" i="3"/>
  <c r="AB325" i="3"/>
  <c r="AE325" i="3"/>
  <c r="AH325" i="3"/>
  <c r="AK325" i="3"/>
  <c r="AN325" i="3"/>
  <c r="AQ325" i="3"/>
  <c r="AT325" i="3"/>
  <c r="AW325" i="3"/>
  <c r="AZ325" i="3"/>
  <c r="BC325" i="3"/>
  <c r="BF325" i="3"/>
  <c r="BI325" i="3"/>
  <c r="BL325" i="3"/>
  <c r="BO325" i="3"/>
  <c r="BR325" i="3"/>
  <c r="BU325" i="3"/>
  <c r="BX325" i="3"/>
  <c r="CA325" i="3"/>
  <c r="CD325" i="3"/>
  <c r="CG325" i="3"/>
  <c r="CJ325" i="3"/>
  <c r="CM325" i="3"/>
  <c r="CP325" i="3"/>
  <c r="CS325" i="3"/>
  <c r="CV325" i="3"/>
  <c r="CY325" i="3"/>
  <c r="L208" i="3"/>
  <c r="AB208" i="3"/>
  <c r="AE208" i="3"/>
  <c r="AH208" i="3"/>
  <c r="AK208" i="3"/>
  <c r="AN208" i="3"/>
  <c r="AQ208" i="3"/>
  <c r="AT208" i="3"/>
  <c r="AW208" i="3"/>
  <c r="AZ208" i="3"/>
  <c r="BC208" i="3"/>
  <c r="BF208" i="3"/>
  <c r="BI208" i="3"/>
  <c r="BL208" i="3"/>
  <c r="BO208" i="3"/>
  <c r="BR208" i="3"/>
  <c r="BU208" i="3"/>
  <c r="BX208" i="3"/>
  <c r="CA208" i="3"/>
  <c r="CD208" i="3"/>
  <c r="CG208" i="3"/>
  <c r="CJ208" i="3"/>
  <c r="CM208" i="3"/>
  <c r="CP208" i="3"/>
  <c r="CS208" i="3"/>
  <c r="CV208" i="3"/>
  <c r="CY208" i="3"/>
  <c r="AB232" i="3"/>
  <c r="AB133" i="3"/>
  <c r="AB188" i="3"/>
  <c r="AE188" i="3"/>
  <c r="AH188" i="3"/>
  <c r="AK188" i="3"/>
  <c r="AN188" i="3"/>
  <c r="AQ188" i="3"/>
  <c r="AT188" i="3"/>
  <c r="AW188" i="3"/>
  <c r="AZ188" i="3"/>
  <c r="BC188" i="3"/>
  <c r="BF188" i="3"/>
  <c r="BI188" i="3"/>
  <c r="BL188" i="3"/>
  <c r="BO188" i="3"/>
  <c r="BR188" i="3"/>
  <c r="BU188" i="3"/>
  <c r="BX188" i="3"/>
  <c r="CA188" i="3"/>
  <c r="CD188" i="3"/>
  <c r="CG188" i="3"/>
  <c r="CJ188" i="3"/>
  <c r="CM188" i="3"/>
  <c r="CP188" i="3"/>
  <c r="CS188" i="3"/>
  <c r="CV188" i="3"/>
  <c r="CY188" i="3"/>
  <c r="AB308" i="3"/>
  <c r="AB98" i="3"/>
  <c r="AE98" i="3"/>
  <c r="AH98" i="3"/>
  <c r="AK98" i="3"/>
  <c r="AN98" i="3"/>
  <c r="AQ98" i="3"/>
  <c r="AT98" i="3"/>
  <c r="AW98" i="3"/>
  <c r="AZ98" i="3"/>
  <c r="BC98" i="3"/>
  <c r="BF98" i="3"/>
  <c r="BI98" i="3"/>
  <c r="BL98" i="3"/>
  <c r="BO98" i="3"/>
  <c r="BR98" i="3"/>
  <c r="BU98" i="3"/>
  <c r="BX98" i="3"/>
  <c r="CA98" i="3"/>
  <c r="CD98" i="3"/>
  <c r="CG98" i="3"/>
  <c r="CJ98" i="3"/>
  <c r="CM98" i="3"/>
  <c r="CP98" i="3"/>
  <c r="CS98" i="3"/>
  <c r="CV98" i="3"/>
  <c r="CY98" i="3"/>
  <c r="AB278" i="3"/>
  <c r="AE278" i="3"/>
  <c r="AH278" i="3"/>
  <c r="AK278" i="3"/>
  <c r="AN278" i="3"/>
  <c r="AQ278" i="3"/>
  <c r="AT278" i="3"/>
  <c r="AW278" i="3"/>
  <c r="AZ278" i="3"/>
  <c r="BC278" i="3"/>
  <c r="BF278" i="3"/>
  <c r="BI278" i="3"/>
  <c r="BL278" i="3"/>
  <c r="BO278" i="3"/>
  <c r="BR278" i="3"/>
  <c r="BU278" i="3"/>
  <c r="BX278" i="3"/>
  <c r="CA278" i="3"/>
  <c r="CD278" i="3"/>
  <c r="CG278" i="3"/>
  <c r="CJ278" i="3"/>
  <c r="CM278" i="3"/>
  <c r="CP278" i="3"/>
  <c r="CS278" i="3"/>
  <c r="CV278" i="3"/>
  <c r="CY278" i="3"/>
  <c r="AB288" i="3"/>
  <c r="AB11" i="3"/>
  <c r="AE11" i="3"/>
  <c r="AH11" i="3"/>
  <c r="AK11" i="3"/>
  <c r="AN11" i="3"/>
  <c r="AQ11" i="3"/>
  <c r="AT11" i="3"/>
  <c r="AW11" i="3"/>
  <c r="AZ11" i="3"/>
  <c r="BC11" i="3"/>
  <c r="BF11" i="3"/>
  <c r="BI11" i="3"/>
  <c r="BL11" i="3"/>
  <c r="BO11" i="3"/>
  <c r="BR11" i="3"/>
  <c r="BU11" i="3"/>
  <c r="BX11" i="3"/>
  <c r="CA11" i="3"/>
  <c r="CD11" i="3"/>
  <c r="CG11" i="3"/>
  <c r="CJ11" i="3"/>
  <c r="CM11" i="3"/>
  <c r="CP11" i="3"/>
  <c r="CS11" i="3"/>
  <c r="CV11" i="3"/>
  <c r="CY11" i="3"/>
  <c r="AB18" i="3"/>
  <c r="AE18" i="3"/>
  <c r="AH18" i="3"/>
  <c r="AK18" i="3"/>
  <c r="AN18" i="3"/>
  <c r="AQ18" i="3"/>
  <c r="AT18" i="3"/>
  <c r="AW18" i="3"/>
  <c r="AZ18" i="3"/>
  <c r="BC18" i="3"/>
  <c r="BF18" i="3"/>
  <c r="BI18" i="3"/>
  <c r="BL18" i="3"/>
  <c r="BO18" i="3"/>
  <c r="BR18" i="3"/>
  <c r="BU18" i="3"/>
  <c r="BX18" i="3"/>
  <c r="CA18" i="3"/>
  <c r="CD18" i="3"/>
  <c r="CG18" i="3"/>
  <c r="CJ18" i="3"/>
  <c r="CM18" i="3"/>
  <c r="CP18" i="3"/>
  <c r="CS18" i="3"/>
  <c r="CV18" i="3"/>
  <c r="CY18" i="3"/>
  <c r="AB41" i="3"/>
  <c r="AE41" i="3"/>
  <c r="AH41" i="3"/>
  <c r="AK41" i="3"/>
  <c r="AN41" i="3"/>
  <c r="AQ41" i="3"/>
  <c r="AT41" i="3"/>
  <c r="AW41" i="3"/>
  <c r="AZ41" i="3"/>
  <c r="BC41" i="3"/>
  <c r="BF41" i="3"/>
  <c r="BI41" i="3"/>
  <c r="BL41" i="3"/>
  <c r="BO41" i="3"/>
  <c r="BR41" i="3"/>
  <c r="BU41" i="3"/>
  <c r="BX41" i="3"/>
  <c r="CA41" i="3"/>
  <c r="CD41" i="3"/>
  <c r="CG41" i="3"/>
  <c r="CJ41" i="3"/>
  <c r="CM41" i="3"/>
  <c r="CP41" i="3"/>
  <c r="CS41" i="3"/>
  <c r="CV41" i="3"/>
  <c r="CY41" i="3"/>
  <c r="AB80" i="3"/>
  <c r="AE80" i="3"/>
  <c r="AH80" i="3"/>
  <c r="AK80" i="3"/>
  <c r="AN80" i="3"/>
  <c r="AQ80" i="3"/>
  <c r="AT80" i="3"/>
  <c r="AW80" i="3"/>
  <c r="AZ80" i="3"/>
  <c r="BC80" i="3"/>
  <c r="BF80" i="3"/>
  <c r="BI80" i="3"/>
  <c r="BL80" i="3"/>
  <c r="BO80" i="3"/>
  <c r="BR80" i="3"/>
  <c r="BU80" i="3"/>
  <c r="BX80" i="3"/>
  <c r="CA80" i="3"/>
  <c r="CD80" i="3"/>
  <c r="CG80" i="3"/>
  <c r="CJ80" i="3"/>
  <c r="CM80" i="3"/>
  <c r="CP80" i="3"/>
  <c r="CS80" i="3"/>
  <c r="CV80" i="3"/>
  <c r="CY80" i="3"/>
  <c r="AB99" i="3"/>
  <c r="AE99" i="3"/>
  <c r="AH99" i="3"/>
  <c r="AK99" i="3"/>
  <c r="AN99" i="3"/>
  <c r="AQ99" i="3"/>
  <c r="AT99" i="3"/>
  <c r="AW99" i="3"/>
  <c r="AZ99" i="3"/>
  <c r="BC99" i="3"/>
  <c r="BF99" i="3"/>
  <c r="BI99" i="3"/>
  <c r="BL99" i="3"/>
  <c r="BO99" i="3"/>
  <c r="BR99" i="3"/>
  <c r="BU99" i="3"/>
  <c r="BX99" i="3"/>
  <c r="CA99" i="3"/>
  <c r="CD99" i="3"/>
  <c r="CG99" i="3"/>
  <c r="CJ99" i="3"/>
  <c r="CM99" i="3"/>
  <c r="CP99" i="3"/>
  <c r="CS99" i="3"/>
  <c r="CV99" i="3"/>
  <c r="CY99" i="3"/>
  <c r="AB106" i="3"/>
  <c r="AE106" i="3"/>
  <c r="AH106" i="3"/>
  <c r="AK106" i="3"/>
  <c r="AN106" i="3"/>
  <c r="AQ106" i="3"/>
  <c r="AT106" i="3"/>
  <c r="AW106" i="3"/>
  <c r="AZ106" i="3"/>
  <c r="BC106" i="3"/>
  <c r="BF106" i="3"/>
  <c r="BI106" i="3"/>
  <c r="BL106" i="3"/>
  <c r="BO106" i="3"/>
  <c r="BR106" i="3"/>
  <c r="BU106" i="3"/>
  <c r="BX106" i="3"/>
  <c r="CA106" i="3"/>
  <c r="CD106" i="3"/>
  <c r="CG106" i="3"/>
  <c r="CJ106" i="3"/>
  <c r="CM106" i="3"/>
  <c r="CP106" i="3"/>
  <c r="CS106" i="3"/>
  <c r="CV106" i="3"/>
  <c r="CY106" i="3"/>
  <c r="AB112" i="3"/>
  <c r="AE112" i="3"/>
  <c r="AH112" i="3"/>
  <c r="AK112" i="3"/>
  <c r="AN112" i="3"/>
  <c r="AQ112" i="3"/>
  <c r="AT112" i="3"/>
  <c r="AW112" i="3"/>
  <c r="AZ112" i="3"/>
  <c r="BC112" i="3"/>
  <c r="BF112" i="3"/>
  <c r="BI112" i="3"/>
  <c r="BL112" i="3"/>
  <c r="BO112" i="3"/>
  <c r="BR112" i="3"/>
  <c r="BU112" i="3"/>
  <c r="BX112" i="3"/>
  <c r="CA112" i="3"/>
  <c r="CD112" i="3"/>
  <c r="CG112" i="3"/>
  <c r="CJ112" i="3"/>
  <c r="CM112" i="3"/>
  <c r="CP112" i="3"/>
  <c r="CS112" i="3"/>
  <c r="CV112" i="3"/>
  <c r="CY112" i="3"/>
  <c r="AB116" i="3"/>
  <c r="AE116" i="3"/>
  <c r="AH116" i="3"/>
  <c r="AK116" i="3"/>
  <c r="AN116" i="3"/>
  <c r="AQ116" i="3"/>
  <c r="AT116" i="3"/>
  <c r="AW116" i="3"/>
  <c r="AZ116" i="3"/>
  <c r="BC116" i="3"/>
  <c r="BF116" i="3"/>
  <c r="BI116" i="3"/>
  <c r="BL116" i="3"/>
  <c r="BO116" i="3"/>
  <c r="BR116" i="3"/>
  <c r="BU116" i="3"/>
  <c r="BX116" i="3"/>
  <c r="CA116" i="3"/>
  <c r="CD116" i="3"/>
  <c r="CG116" i="3"/>
  <c r="CJ116" i="3"/>
  <c r="CM116" i="3"/>
  <c r="CP116" i="3"/>
  <c r="CS116" i="3"/>
  <c r="CV116" i="3"/>
  <c r="CY116" i="3"/>
  <c r="AB118" i="3"/>
  <c r="AE118" i="3"/>
  <c r="AH118" i="3"/>
  <c r="AK118" i="3"/>
  <c r="AN118" i="3"/>
  <c r="AQ118" i="3"/>
  <c r="AT118" i="3"/>
  <c r="AW118" i="3"/>
  <c r="AZ118" i="3"/>
  <c r="BC118" i="3"/>
  <c r="BF118" i="3"/>
  <c r="BI118" i="3"/>
  <c r="BL118" i="3"/>
  <c r="BO118" i="3"/>
  <c r="BR118" i="3"/>
  <c r="BU118" i="3"/>
  <c r="BX118" i="3"/>
  <c r="CA118" i="3"/>
  <c r="CD118" i="3"/>
  <c r="CG118" i="3"/>
  <c r="CJ118" i="3"/>
  <c r="CM118" i="3"/>
  <c r="CP118" i="3"/>
  <c r="CS118" i="3"/>
  <c r="CV118" i="3"/>
  <c r="CY118" i="3"/>
  <c r="AB122" i="3"/>
  <c r="AE122" i="3"/>
  <c r="AH122" i="3"/>
  <c r="AK122" i="3"/>
  <c r="AN122" i="3"/>
  <c r="AQ122" i="3"/>
  <c r="AT122" i="3"/>
  <c r="AW122" i="3"/>
  <c r="AZ122" i="3"/>
  <c r="BC122" i="3"/>
  <c r="BF122" i="3"/>
  <c r="BI122" i="3"/>
  <c r="BL122" i="3"/>
  <c r="BO122" i="3"/>
  <c r="BR122" i="3"/>
  <c r="BU122" i="3"/>
  <c r="BX122" i="3"/>
  <c r="CA122" i="3"/>
  <c r="CD122" i="3"/>
  <c r="CG122" i="3"/>
  <c r="CJ122" i="3"/>
  <c r="CM122" i="3"/>
  <c r="CP122" i="3"/>
  <c r="CS122" i="3"/>
  <c r="CV122" i="3"/>
  <c r="CY122" i="3"/>
  <c r="AB124" i="3"/>
  <c r="AE124" i="3"/>
  <c r="AH124" i="3"/>
  <c r="AK124" i="3"/>
  <c r="AN124" i="3"/>
  <c r="AQ124" i="3"/>
  <c r="AT124" i="3"/>
  <c r="AW124" i="3"/>
  <c r="AZ124" i="3"/>
  <c r="BC124" i="3"/>
  <c r="BF124" i="3"/>
  <c r="BI124" i="3"/>
  <c r="BL124" i="3"/>
  <c r="BO124" i="3"/>
  <c r="BR124" i="3"/>
  <c r="BU124" i="3"/>
  <c r="BX124" i="3"/>
  <c r="CA124" i="3"/>
  <c r="CD124" i="3"/>
  <c r="CG124" i="3"/>
  <c r="CJ124" i="3"/>
  <c r="CM124" i="3"/>
  <c r="CP124" i="3"/>
  <c r="CS124" i="3"/>
  <c r="CV124" i="3"/>
  <c r="CY124" i="3"/>
  <c r="AB128" i="3"/>
  <c r="AE128" i="3"/>
  <c r="AH128" i="3"/>
  <c r="AK128" i="3"/>
  <c r="AN128" i="3"/>
  <c r="AQ128" i="3"/>
  <c r="AT128" i="3"/>
  <c r="AW128" i="3"/>
  <c r="AZ128" i="3"/>
  <c r="BC128" i="3"/>
  <c r="BF128" i="3"/>
  <c r="BI128" i="3"/>
  <c r="BL128" i="3"/>
  <c r="BO128" i="3"/>
  <c r="BR128" i="3"/>
  <c r="BU128" i="3"/>
  <c r="BX128" i="3"/>
  <c r="CA128" i="3"/>
  <c r="CD128" i="3"/>
  <c r="CG128" i="3"/>
  <c r="CJ128" i="3"/>
  <c r="CM128" i="3"/>
  <c r="CP128" i="3"/>
  <c r="CS128" i="3"/>
  <c r="CV128" i="3"/>
  <c r="CY128" i="3"/>
  <c r="AB130" i="3"/>
  <c r="AE130" i="3"/>
  <c r="AH130" i="3"/>
  <c r="AK130" i="3"/>
  <c r="AN130" i="3"/>
  <c r="AQ130" i="3"/>
  <c r="AT130" i="3"/>
  <c r="AW130" i="3"/>
  <c r="AZ130" i="3"/>
  <c r="BC130" i="3"/>
  <c r="BF130" i="3"/>
  <c r="BI130" i="3"/>
  <c r="BL130" i="3"/>
  <c r="BO130" i="3"/>
  <c r="BR130" i="3"/>
  <c r="BU130" i="3"/>
  <c r="BX130" i="3"/>
  <c r="CA130" i="3"/>
  <c r="CD130" i="3"/>
  <c r="CG130" i="3"/>
  <c r="CJ130" i="3"/>
  <c r="CM130" i="3"/>
  <c r="CP130" i="3"/>
  <c r="CS130" i="3"/>
  <c r="CV130" i="3"/>
  <c r="CY130" i="3"/>
  <c r="AB140" i="3"/>
  <c r="AE140" i="3"/>
  <c r="AH140" i="3"/>
  <c r="AK140" i="3"/>
  <c r="AN140" i="3"/>
  <c r="AQ140" i="3"/>
  <c r="AT140" i="3"/>
  <c r="AW140" i="3"/>
  <c r="AZ140" i="3"/>
  <c r="BC140" i="3"/>
  <c r="BF140" i="3"/>
  <c r="BI140" i="3"/>
  <c r="BL140" i="3"/>
  <c r="BO140" i="3"/>
  <c r="BR140" i="3"/>
  <c r="BU140" i="3"/>
  <c r="BX140" i="3"/>
  <c r="CA140" i="3"/>
  <c r="CD140" i="3"/>
  <c r="CG140" i="3"/>
  <c r="CJ140" i="3"/>
  <c r="CM140" i="3"/>
  <c r="CP140" i="3"/>
  <c r="CS140" i="3"/>
  <c r="CV140" i="3"/>
  <c r="CY140" i="3"/>
  <c r="AB148" i="3"/>
  <c r="AE148" i="3"/>
  <c r="AH148" i="3"/>
  <c r="AK148" i="3"/>
  <c r="AN148" i="3"/>
  <c r="AQ148" i="3"/>
  <c r="AT148" i="3"/>
  <c r="AW148" i="3"/>
  <c r="AZ148" i="3"/>
  <c r="BC148" i="3"/>
  <c r="BF148" i="3"/>
  <c r="BI148" i="3"/>
  <c r="BL148" i="3"/>
  <c r="BO148" i="3"/>
  <c r="BR148" i="3"/>
  <c r="BU148" i="3"/>
  <c r="BX148" i="3"/>
  <c r="CA148" i="3"/>
  <c r="CD148" i="3"/>
  <c r="CG148" i="3"/>
  <c r="CJ148" i="3"/>
  <c r="CM148" i="3"/>
  <c r="CP148" i="3"/>
  <c r="CS148" i="3"/>
  <c r="CV148" i="3"/>
  <c r="CY148" i="3"/>
  <c r="AB154" i="3"/>
  <c r="AB174" i="3"/>
  <c r="AE174" i="3"/>
  <c r="AH174" i="3"/>
  <c r="AK174" i="3"/>
  <c r="AN174" i="3"/>
  <c r="AQ174" i="3"/>
  <c r="AT174" i="3"/>
  <c r="AW174" i="3"/>
  <c r="AZ174" i="3"/>
  <c r="BC174" i="3"/>
  <c r="BF174" i="3"/>
  <c r="BI174" i="3"/>
  <c r="BL174" i="3"/>
  <c r="BO174" i="3"/>
  <c r="BR174" i="3"/>
  <c r="BU174" i="3"/>
  <c r="BX174" i="3"/>
  <c r="CA174" i="3"/>
  <c r="CD174" i="3"/>
  <c r="CG174" i="3"/>
  <c r="CJ174" i="3"/>
  <c r="CM174" i="3"/>
  <c r="CP174" i="3"/>
  <c r="CS174" i="3"/>
  <c r="CV174" i="3"/>
  <c r="CY174" i="3"/>
  <c r="AB195" i="3"/>
  <c r="AE195" i="3"/>
  <c r="AH195" i="3"/>
  <c r="AK195" i="3"/>
  <c r="AN195" i="3"/>
  <c r="AQ195" i="3"/>
  <c r="AT195" i="3"/>
  <c r="AW195" i="3"/>
  <c r="AZ195" i="3"/>
  <c r="BC195" i="3"/>
  <c r="BF195" i="3"/>
  <c r="BI195" i="3"/>
  <c r="BL195" i="3"/>
  <c r="BO195" i="3"/>
  <c r="BR195" i="3"/>
  <c r="BU195" i="3"/>
  <c r="BX195" i="3"/>
  <c r="CA195" i="3"/>
  <c r="CD195" i="3"/>
  <c r="CG195" i="3"/>
  <c r="CJ195" i="3"/>
  <c r="CM195" i="3"/>
  <c r="CP195" i="3"/>
  <c r="CS195" i="3"/>
  <c r="CV195" i="3"/>
  <c r="CY195" i="3"/>
  <c r="AB196" i="3"/>
  <c r="AB205" i="3"/>
  <c r="AE205" i="3"/>
  <c r="AH205" i="3"/>
  <c r="AK205" i="3"/>
  <c r="AN205" i="3"/>
  <c r="AQ205" i="3"/>
  <c r="AT205" i="3"/>
  <c r="AW205" i="3"/>
  <c r="AZ205" i="3"/>
  <c r="BC205" i="3"/>
  <c r="BF205" i="3"/>
  <c r="BI205" i="3"/>
  <c r="BL205" i="3"/>
  <c r="BO205" i="3"/>
  <c r="BR205" i="3"/>
  <c r="BU205" i="3"/>
  <c r="BX205" i="3"/>
  <c r="CA205" i="3"/>
  <c r="CD205" i="3"/>
  <c r="CG205" i="3"/>
  <c r="CJ205" i="3"/>
  <c r="CM205" i="3"/>
  <c r="CP205" i="3"/>
  <c r="CS205" i="3"/>
  <c r="CV205" i="3"/>
  <c r="CY205" i="3"/>
  <c r="AB229" i="3"/>
  <c r="AE229" i="3"/>
  <c r="AH229" i="3"/>
  <c r="AK229" i="3"/>
  <c r="AN229" i="3"/>
  <c r="AQ229" i="3"/>
  <c r="AT229" i="3"/>
  <c r="AW229" i="3"/>
  <c r="AZ229" i="3"/>
  <c r="BC229" i="3"/>
  <c r="BF229" i="3"/>
  <c r="BI229" i="3"/>
  <c r="BL229" i="3"/>
  <c r="BO229" i="3"/>
  <c r="BR229" i="3"/>
  <c r="BU229" i="3"/>
  <c r="BX229" i="3"/>
  <c r="CA229" i="3"/>
  <c r="CD229" i="3"/>
  <c r="CG229" i="3"/>
  <c r="CJ229" i="3"/>
  <c r="CM229" i="3"/>
  <c r="CP229" i="3"/>
  <c r="CS229" i="3"/>
  <c r="CV229" i="3"/>
  <c r="CY229" i="3"/>
  <c r="AB243" i="3"/>
  <c r="AE243" i="3"/>
  <c r="AH243" i="3"/>
  <c r="AK243" i="3"/>
  <c r="AN243" i="3"/>
  <c r="AQ243" i="3"/>
  <c r="AT243" i="3"/>
  <c r="AW243" i="3"/>
  <c r="AZ243" i="3"/>
  <c r="BC243" i="3"/>
  <c r="BF243" i="3"/>
  <c r="BI243" i="3"/>
  <c r="BL243" i="3"/>
  <c r="BO243" i="3"/>
  <c r="BR243" i="3"/>
  <c r="BU243" i="3"/>
  <c r="BX243" i="3"/>
  <c r="CA243" i="3"/>
  <c r="CD243" i="3"/>
  <c r="CG243" i="3"/>
  <c r="CJ243" i="3"/>
  <c r="CM243" i="3"/>
  <c r="CP243" i="3"/>
  <c r="CS243" i="3"/>
  <c r="CV243" i="3"/>
  <c r="CY243" i="3"/>
  <c r="AB252" i="3"/>
  <c r="AE252" i="3"/>
  <c r="AH252" i="3"/>
  <c r="AK252" i="3"/>
  <c r="AN252" i="3"/>
  <c r="AQ252" i="3"/>
  <c r="AT252" i="3"/>
  <c r="AW252" i="3"/>
  <c r="AZ252" i="3"/>
  <c r="BC252" i="3"/>
  <c r="BF252" i="3"/>
  <c r="BI252" i="3"/>
  <c r="BL252" i="3"/>
  <c r="BO252" i="3"/>
  <c r="BR252" i="3"/>
  <c r="BU252" i="3"/>
  <c r="BX252" i="3"/>
  <c r="CA252" i="3"/>
  <c r="CD252" i="3"/>
  <c r="CG252" i="3"/>
  <c r="CJ252" i="3"/>
  <c r="CM252" i="3"/>
  <c r="CP252" i="3"/>
  <c r="CS252" i="3"/>
  <c r="CV252" i="3"/>
  <c r="CY252" i="3"/>
  <c r="AB260" i="3"/>
  <c r="AE260" i="3"/>
  <c r="AH260" i="3"/>
  <c r="AK260" i="3"/>
  <c r="AN260" i="3"/>
  <c r="AQ260" i="3"/>
  <c r="AT260" i="3"/>
  <c r="AW260" i="3"/>
  <c r="AZ260" i="3"/>
  <c r="BC260" i="3"/>
  <c r="BF260" i="3"/>
  <c r="BI260" i="3"/>
  <c r="BL260" i="3"/>
  <c r="BO260" i="3"/>
  <c r="BR260" i="3"/>
  <c r="BU260" i="3"/>
  <c r="BX260" i="3"/>
  <c r="CA260" i="3"/>
  <c r="CD260" i="3"/>
  <c r="CG260" i="3"/>
  <c r="CJ260" i="3"/>
  <c r="CM260" i="3"/>
  <c r="CP260" i="3"/>
  <c r="CS260" i="3"/>
  <c r="CV260" i="3"/>
  <c r="CY260" i="3"/>
  <c r="AB261" i="3"/>
  <c r="AB270" i="3"/>
  <c r="AE270" i="3"/>
  <c r="AH270" i="3"/>
  <c r="AK270" i="3"/>
  <c r="AN270" i="3"/>
  <c r="AQ270" i="3"/>
  <c r="AT270" i="3"/>
  <c r="AW270" i="3"/>
  <c r="AZ270" i="3"/>
  <c r="BC270" i="3"/>
  <c r="BF270" i="3"/>
  <c r="BI270" i="3"/>
  <c r="BL270" i="3"/>
  <c r="BO270" i="3"/>
  <c r="BR270" i="3"/>
  <c r="BU270" i="3"/>
  <c r="BX270" i="3"/>
  <c r="CA270" i="3"/>
  <c r="CD270" i="3"/>
  <c r="CG270" i="3"/>
  <c r="CJ270" i="3"/>
  <c r="CM270" i="3"/>
  <c r="CP270" i="3"/>
  <c r="CS270" i="3"/>
  <c r="CV270" i="3"/>
  <c r="CY270" i="3"/>
  <c r="AB305" i="3"/>
  <c r="AE305" i="3"/>
  <c r="AH305" i="3"/>
  <c r="AK305" i="3"/>
  <c r="AN305" i="3"/>
  <c r="AQ305" i="3"/>
  <c r="AT305" i="3"/>
  <c r="AW305" i="3"/>
  <c r="AZ305" i="3"/>
  <c r="BC305" i="3"/>
  <c r="BF305" i="3"/>
  <c r="BI305" i="3"/>
  <c r="BL305" i="3"/>
  <c r="BO305" i="3"/>
  <c r="BR305" i="3"/>
  <c r="BU305" i="3"/>
  <c r="BX305" i="3"/>
  <c r="CA305" i="3"/>
  <c r="CD305" i="3"/>
  <c r="CG305" i="3"/>
  <c r="CJ305" i="3"/>
  <c r="CM305" i="3"/>
  <c r="CP305" i="3"/>
  <c r="CS305" i="3"/>
  <c r="CV305" i="3"/>
  <c r="CY305" i="3"/>
  <c r="AB313" i="3"/>
  <c r="AE313" i="3"/>
  <c r="AH313" i="3"/>
  <c r="AK313" i="3"/>
  <c r="AN313" i="3"/>
  <c r="AQ313" i="3"/>
  <c r="AT313" i="3"/>
  <c r="AW313" i="3"/>
  <c r="AZ313" i="3"/>
  <c r="BC313" i="3"/>
  <c r="BF313" i="3"/>
  <c r="BI313" i="3"/>
  <c r="BL313" i="3"/>
  <c r="BO313" i="3"/>
  <c r="BR313" i="3"/>
  <c r="BU313" i="3"/>
  <c r="BX313" i="3"/>
  <c r="CA313" i="3"/>
  <c r="CD313" i="3"/>
  <c r="CG313" i="3"/>
  <c r="CJ313" i="3"/>
  <c r="CM313" i="3"/>
  <c r="CP313" i="3"/>
  <c r="CS313" i="3"/>
  <c r="CV313" i="3"/>
  <c r="CY313" i="3"/>
  <c r="AB7" i="3"/>
  <c r="AE7" i="3"/>
  <c r="AH7" i="3"/>
  <c r="AK7" i="3"/>
  <c r="AN7" i="3"/>
  <c r="AQ7" i="3"/>
  <c r="AT7" i="3"/>
  <c r="AW7" i="3"/>
  <c r="AZ7" i="3"/>
  <c r="BC7" i="3"/>
  <c r="BF7" i="3"/>
  <c r="BI7" i="3"/>
  <c r="BL7" i="3"/>
  <c r="BO7" i="3"/>
  <c r="BR7" i="3"/>
  <c r="BU7" i="3"/>
  <c r="BX7" i="3"/>
  <c r="CA7" i="3"/>
  <c r="CD7" i="3"/>
  <c r="CG7" i="3"/>
  <c r="CJ7" i="3"/>
  <c r="CM7" i="3"/>
  <c r="CP7" i="3"/>
  <c r="CS7" i="3"/>
  <c r="CV7" i="3"/>
  <c r="CY7" i="3"/>
  <c r="AB25" i="3"/>
  <c r="AE25" i="3"/>
  <c r="AH25" i="3"/>
  <c r="AK25" i="3"/>
  <c r="AN25" i="3"/>
  <c r="AQ25" i="3"/>
  <c r="AT25" i="3"/>
  <c r="AW25" i="3"/>
  <c r="AZ25" i="3"/>
  <c r="BC25" i="3"/>
  <c r="BF25" i="3"/>
  <c r="BI25" i="3"/>
  <c r="BL25" i="3"/>
  <c r="BO25" i="3"/>
  <c r="BR25" i="3"/>
  <c r="BU25" i="3"/>
  <c r="BX25" i="3"/>
  <c r="CA25" i="3"/>
  <c r="CD25" i="3"/>
  <c r="CG25" i="3"/>
  <c r="CJ25" i="3"/>
  <c r="CM25" i="3"/>
  <c r="CP25" i="3"/>
  <c r="CS25" i="3"/>
  <c r="CV25" i="3"/>
  <c r="CY25" i="3"/>
  <c r="AB35" i="3"/>
  <c r="AE35" i="3"/>
  <c r="AH35" i="3"/>
  <c r="AK35" i="3"/>
  <c r="AN35" i="3"/>
  <c r="AQ35" i="3"/>
  <c r="AT35" i="3"/>
  <c r="AW35" i="3"/>
  <c r="AZ35" i="3"/>
  <c r="BC35" i="3"/>
  <c r="BF35" i="3"/>
  <c r="BI35" i="3"/>
  <c r="BL35" i="3"/>
  <c r="BO35" i="3"/>
  <c r="BR35" i="3"/>
  <c r="BU35" i="3"/>
  <c r="BX35" i="3"/>
  <c r="CA35" i="3"/>
  <c r="CD35" i="3"/>
  <c r="CG35" i="3"/>
  <c r="CJ35" i="3"/>
  <c r="CM35" i="3"/>
  <c r="CP35" i="3"/>
  <c r="CS35" i="3"/>
  <c r="CV35" i="3"/>
  <c r="CY35" i="3"/>
  <c r="AB76" i="3"/>
  <c r="AE76" i="3"/>
  <c r="AH76" i="3"/>
  <c r="AK76" i="3"/>
  <c r="AN76" i="3"/>
  <c r="AQ76" i="3"/>
  <c r="AT76" i="3"/>
  <c r="AW76" i="3"/>
  <c r="AZ76" i="3"/>
  <c r="BC76" i="3"/>
  <c r="BF76" i="3"/>
  <c r="BI76" i="3"/>
  <c r="BL76" i="3"/>
  <c r="BO76" i="3"/>
  <c r="BR76" i="3"/>
  <c r="BU76" i="3"/>
  <c r="BX76" i="3"/>
  <c r="CA76" i="3"/>
  <c r="CD76" i="3"/>
  <c r="CG76" i="3"/>
  <c r="CJ76" i="3"/>
  <c r="CM76" i="3"/>
  <c r="CP76" i="3"/>
  <c r="CS76" i="3"/>
  <c r="CV76" i="3"/>
  <c r="CY76" i="3"/>
  <c r="AB92" i="3"/>
  <c r="AE92" i="3"/>
  <c r="AH92" i="3"/>
  <c r="AK92" i="3"/>
  <c r="AN92" i="3"/>
  <c r="AQ92" i="3"/>
  <c r="AT92" i="3"/>
  <c r="AB90" i="3"/>
  <c r="AE90" i="3"/>
  <c r="AH90" i="3"/>
  <c r="AK90" i="3"/>
  <c r="AN90" i="3"/>
  <c r="AQ90" i="3"/>
  <c r="AT90" i="3"/>
  <c r="AB96" i="3"/>
  <c r="AE96" i="3"/>
  <c r="AH96" i="3"/>
  <c r="AK96" i="3"/>
  <c r="AN96" i="3"/>
  <c r="AQ96" i="3"/>
  <c r="AT96" i="3"/>
  <c r="AW96" i="3"/>
  <c r="AZ96" i="3"/>
  <c r="BC96" i="3"/>
  <c r="BF96" i="3"/>
  <c r="BI96" i="3"/>
  <c r="BL96" i="3"/>
  <c r="BO96" i="3"/>
  <c r="BR96" i="3"/>
  <c r="BU96" i="3"/>
  <c r="BX96" i="3"/>
  <c r="CA96" i="3"/>
  <c r="CD96" i="3"/>
  <c r="CG96" i="3"/>
  <c r="CJ96" i="3"/>
  <c r="CM96" i="3"/>
  <c r="CP96" i="3"/>
  <c r="CS96" i="3"/>
  <c r="CV96" i="3"/>
  <c r="CY96" i="3"/>
  <c r="AB102" i="3"/>
  <c r="AB103" i="3"/>
  <c r="AE103" i="3"/>
  <c r="AH103" i="3"/>
  <c r="AK103" i="3"/>
  <c r="AN103" i="3"/>
  <c r="AQ103" i="3"/>
  <c r="AT103" i="3"/>
  <c r="AW103" i="3"/>
  <c r="AZ103" i="3"/>
  <c r="BC103" i="3"/>
  <c r="BF103" i="3"/>
  <c r="BI103" i="3"/>
  <c r="BL103" i="3"/>
  <c r="BO103" i="3"/>
  <c r="BR103" i="3"/>
  <c r="BU103" i="3"/>
  <c r="BX103" i="3"/>
  <c r="CA103" i="3"/>
  <c r="CD103" i="3"/>
  <c r="CG103" i="3"/>
  <c r="CJ103" i="3"/>
  <c r="CM103" i="3"/>
  <c r="CP103" i="3"/>
  <c r="CS103" i="3"/>
  <c r="CV103" i="3"/>
  <c r="CY103" i="3"/>
  <c r="AB136" i="3"/>
  <c r="AE136" i="3"/>
  <c r="AH136" i="3"/>
  <c r="AK136" i="3"/>
  <c r="AN136" i="3"/>
  <c r="AQ136" i="3"/>
  <c r="AT136" i="3"/>
  <c r="AW136" i="3"/>
  <c r="AZ136" i="3"/>
  <c r="BC136" i="3"/>
  <c r="BF136" i="3"/>
  <c r="BI136" i="3"/>
  <c r="AB144" i="3"/>
  <c r="AE144" i="3"/>
  <c r="AH144" i="3"/>
  <c r="AK144" i="3"/>
  <c r="AN144" i="3"/>
  <c r="AQ144" i="3"/>
  <c r="AT144" i="3"/>
  <c r="AW144" i="3"/>
  <c r="AZ144" i="3"/>
  <c r="BC144" i="3"/>
  <c r="BF144" i="3"/>
  <c r="BI144" i="3"/>
  <c r="BL144" i="3"/>
  <c r="BO144" i="3"/>
  <c r="BR144" i="3"/>
  <c r="BU144" i="3"/>
  <c r="BX144" i="3"/>
  <c r="CA144" i="3"/>
  <c r="CD144" i="3"/>
  <c r="CG144" i="3"/>
  <c r="CJ144" i="3"/>
  <c r="CM144" i="3"/>
  <c r="CP144" i="3"/>
  <c r="CS144" i="3"/>
  <c r="CV144" i="3"/>
  <c r="CY144" i="3"/>
  <c r="AB153" i="3"/>
  <c r="AB167" i="3"/>
  <c r="AE167" i="3"/>
  <c r="AH167" i="3"/>
  <c r="AK167" i="3"/>
  <c r="AN167" i="3"/>
  <c r="AQ167" i="3"/>
  <c r="AT167" i="3"/>
  <c r="AW167" i="3"/>
  <c r="AZ167" i="3"/>
  <c r="BC167" i="3"/>
  <c r="BF167" i="3"/>
  <c r="BI167" i="3"/>
  <c r="BL167" i="3"/>
  <c r="BO167" i="3"/>
  <c r="BR167" i="3"/>
  <c r="BU167" i="3"/>
  <c r="BX167" i="3"/>
  <c r="CA167" i="3"/>
  <c r="CD167" i="3"/>
  <c r="CG167" i="3"/>
  <c r="CJ167" i="3"/>
  <c r="CM167" i="3"/>
  <c r="CP167" i="3"/>
  <c r="CS167" i="3"/>
  <c r="CV167" i="3"/>
  <c r="CY167" i="3"/>
  <c r="AB178" i="3"/>
  <c r="AE178" i="3"/>
  <c r="AH178" i="3"/>
  <c r="AK178" i="3"/>
  <c r="AN178" i="3"/>
  <c r="AQ178" i="3"/>
  <c r="AT178" i="3"/>
  <c r="AW178" i="3"/>
  <c r="AZ178" i="3"/>
  <c r="BC178" i="3"/>
  <c r="BF178" i="3"/>
  <c r="BI178" i="3"/>
  <c r="BL178" i="3"/>
  <c r="BO178" i="3"/>
  <c r="BR178" i="3"/>
  <c r="BU178" i="3"/>
  <c r="BX178" i="3"/>
  <c r="CA178" i="3"/>
  <c r="CD178" i="3"/>
  <c r="CG178" i="3"/>
  <c r="CJ178" i="3"/>
  <c r="CM178" i="3"/>
  <c r="CP178" i="3"/>
  <c r="CS178" i="3"/>
  <c r="CV178" i="3"/>
  <c r="CY178" i="3"/>
  <c r="AB191" i="3"/>
  <c r="AE191" i="3"/>
  <c r="AH191" i="3"/>
  <c r="AK191" i="3"/>
  <c r="AN191" i="3"/>
  <c r="AQ191" i="3"/>
  <c r="AT191" i="3"/>
  <c r="AW191" i="3"/>
  <c r="AZ191" i="3"/>
  <c r="BC191" i="3"/>
  <c r="BF191" i="3"/>
  <c r="BI191" i="3"/>
  <c r="BL191" i="3"/>
  <c r="BO191" i="3"/>
  <c r="BR191" i="3"/>
  <c r="BU191" i="3"/>
  <c r="BX191" i="3"/>
  <c r="CA191" i="3"/>
  <c r="CD191" i="3"/>
  <c r="CG191" i="3"/>
  <c r="CJ191" i="3"/>
  <c r="CM191" i="3"/>
  <c r="CP191" i="3"/>
  <c r="CS191" i="3"/>
  <c r="CV191" i="3"/>
  <c r="CY191" i="3"/>
  <c r="AB197" i="3"/>
  <c r="AB209" i="3"/>
  <c r="AE209" i="3"/>
  <c r="AH209" i="3"/>
  <c r="AK209" i="3"/>
  <c r="AN209" i="3"/>
  <c r="AQ209" i="3"/>
  <c r="AT209" i="3"/>
  <c r="AW209" i="3"/>
  <c r="AZ209" i="3"/>
  <c r="BC209" i="3"/>
  <c r="AB212" i="3"/>
  <c r="AE212" i="3"/>
  <c r="AH212" i="3"/>
  <c r="AK212" i="3"/>
  <c r="AN212" i="3"/>
  <c r="AQ212" i="3"/>
  <c r="AT212" i="3"/>
  <c r="AW212" i="3"/>
  <c r="AZ212" i="3"/>
  <c r="BC212" i="3"/>
  <c r="BF212" i="3"/>
  <c r="BI212" i="3"/>
  <c r="BL212" i="3"/>
  <c r="BO212" i="3"/>
  <c r="BR212" i="3"/>
  <c r="BU212" i="3"/>
  <c r="BX212" i="3"/>
  <c r="CA212" i="3"/>
  <c r="CD212" i="3"/>
  <c r="CG212" i="3"/>
  <c r="CJ212" i="3"/>
  <c r="CM212" i="3"/>
  <c r="CP212" i="3"/>
  <c r="CS212" i="3"/>
  <c r="CV212" i="3"/>
  <c r="CY212" i="3"/>
  <c r="AB214" i="3"/>
  <c r="AE214" i="3"/>
  <c r="AH214" i="3"/>
  <c r="AK214" i="3"/>
  <c r="AN214" i="3"/>
  <c r="AQ214" i="3"/>
  <c r="AT214" i="3"/>
  <c r="AW214" i="3"/>
  <c r="AZ214" i="3"/>
  <c r="BC214" i="3"/>
  <c r="BF214" i="3"/>
  <c r="BI214" i="3"/>
  <c r="BL214" i="3"/>
  <c r="BO214" i="3"/>
  <c r="BR214" i="3"/>
  <c r="BU214" i="3"/>
  <c r="BX214" i="3"/>
  <c r="CA214" i="3"/>
  <c r="CD214" i="3"/>
  <c r="CG214" i="3"/>
  <c r="CJ214" i="3"/>
  <c r="CM214" i="3"/>
  <c r="CP214" i="3"/>
  <c r="CS214" i="3"/>
  <c r="CV214" i="3"/>
  <c r="CY214" i="3"/>
  <c r="AB216" i="3"/>
  <c r="AE216" i="3"/>
  <c r="AH216" i="3"/>
  <c r="AK216" i="3"/>
  <c r="AN216" i="3"/>
  <c r="AQ216" i="3"/>
  <c r="AT216" i="3"/>
  <c r="AW216" i="3"/>
  <c r="AZ216" i="3"/>
  <c r="BC216" i="3"/>
  <c r="BF216" i="3"/>
  <c r="BI216" i="3"/>
  <c r="BL216" i="3"/>
  <c r="BO216" i="3"/>
  <c r="BR216" i="3"/>
  <c r="BU216" i="3"/>
  <c r="BX216" i="3"/>
  <c r="CA216" i="3"/>
  <c r="CD216" i="3"/>
  <c r="CG216" i="3"/>
  <c r="CJ216" i="3"/>
  <c r="CM216" i="3"/>
  <c r="CP216" i="3"/>
  <c r="CS216" i="3"/>
  <c r="CV216" i="3"/>
  <c r="CY216" i="3"/>
  <c r="AB218" i="3"/>
  <c r="AE218" i="3"/>
  <c r="AH218" i="3"/>
  <c r="AK218" i="3"/>
  <c r="AN218" i="3"/>
  <c r="AQ218" i="3"/>
  <c r="AT218" i="3"/>
  <c r="AW218" i="3"/>
  <c r="AZ218" i="3"/>
  <c r="BC218" i="3"/>
  <c r="BF218" i="3"/>
  <c r="BI218" i="3"/>
  <c r="BL218" i="3"/>
  <c r="BO218" i="3"/>
  <c r="BR218" i="3"/>
  <c r="BU218" i="3"/>
  <c r="BX218" i="3"/>
  <c r="CA218" i="3"/>
  <c r="CD218" i="3"/>
  <c r="CG218" i="3"/>
  <c r="CJ218" i="3"/>
  <c r="CM218" i="3"/>
  <c r="CP218" i="3"/>
  <c r="CS218" i="3"/>
  <c r="CV218" i="3"/>
  <c r="CY218" i="3"/>
  <c r="AB220" i="3"/>
  <c r="AE220" i="3"/>
  <c r="AH220" i="3"/>
  <c r="AK220" i="3"/>
  <c r="AN220" i="3"/>
  <c r="AQ220" i="3"/>
  <c r="AT220" i="3"/>
  <c r="AW220" i="3"/>
  <c r="AZ220" i="3"/>
  <c r="BC220" i="3"/>
  <c r="BF220" i="3"/>
  <c r="BI220" i="3"/>
  <c r="BL220" i="3"/>
  <c r="BO220" i="3"/>
  <c r="BR220" i="3"/>
  <c r="BU220" i="3"/>
  <c r="BX220" i="3"/>
  <c r="CA220" i="3"/>
  <c r="CD220" i="3"/>
  <c r="CG220" i="3"/>
  <c r="CJ220" i="3"/>
  <c r="CM220" i="3"/>
  <c r="CP220" i="3"/>
  <c r="CS220" i="3"/>
  <c r="CV220" i="3"/>
  <c r="CY220" i="3"/>
  <c r="AB222" i="3"/>
  <c r="AE222" i="3"/>
  <c r="AH222" i="3"/>
  <c r="AK222" i="3"/>
  <c r="AN222" i="3"/>
  <c r="AQ222" i="3"/>
  <c r="AT222" i="3"/>
  <c r="AW222" i="3"/>
  <c r="AZ222" i="3"/>
  <c r="BC222" i="3"/>
  <c r="BF222" i="3"/>
  <c r="BI222" i="3"/>
  <c r="BL222" i="3"/>
  <c r="BO222" i="3"/>
  <c r="BR222" i="3"/>
  <c r="BU222" i="3"/>
  <c r="BX222" i="3"/>
  <c r="CA222" i="3"/>
  <c r="CD222" i="3"/>
  <c r="CG222" i="3"/>
  <c r="CJ222" i="3"/>
  <c r="CM222" i="3"/>
  <c r="CP222" i="3"/>
  <c r="CS222" i="3"/>
  <c r="CV222" i="3"/>
  <c r="CY222" i="3"/>
  <c r="AB224" i="3"/>
  <c r="AE224" i="3"/>
  <c r="AH224" i="3"/>
  <c r="AK224" i="3"/>
  <c r="AN224" i="3"/>
  <c r="AQ224" i="3"/>
  <c r="AT224" i="3"/>
  <c r="AW224" i="3"/>
  <c r="AZ224" i="3"/>
  <c r="BC224" i="3"/>
  <c r="BF224" i="3"/>
  <c r="BI224" i="3"/>
  <c r="BL224" i="3"/>
  <c r="BO224" i="3"/>
  <c r="BR224" i="3"/>
  <c r="BU224" i="3"/>
  <c r="BX224" i="3"/>
  <c r="CA224" i="3"/>
  <c r="CD224" i="3"/>
  <c r="CG224" i="3"/>
  <c r="CJ224" i="3"/>
  <c r="CM224" i="3"/>
  <c r="CP224" i="3"/>
  <c r="CS224" i="3"/>
  <c r="CV224" i="3"/>
  <c r="CY224" i="3"/>
  <c r="AB239" i="3"/>
  <c r="AE239" i="3"/>
  <c r="AH239" i="3"/>
  <c r="AK239" i="3"/>
  <c r="AN239" i="3"/>
  <c r="AQ239" i="3"/>
  <c r="AT239" i="3"/>
  <c r="AW239" i="3"/>
  <c r="AZ239" i="3"/>
  <c r="BC239" i="3"/>
  <c r="BF239" i="3"/>
  <c r="BI239" i="3"/>
  <c r="BL239" i="3"/>
  <c r="BO239" i="3"/>
  <c r="BR239" i="3"/>
  <c r="BU239" i="3"/>
  <c r="BX239" i="3"/>
  <c r="CA239" i="3"/>
  <c r="CD239" i="3"/>
  <c r="CG239" i="3"/>
  <c r="CJ239" i="3"/>
  <c r="CM239" i="3"/>
  <c r="CP239" i="3"/>
  <c r="CS239" i="3"/>
  <c r="CV239" i="3"/>
  <c r="CY239" i="3"/>
  <c r="AB248" i="3"/>
  <c r="AE248" i="3"/>
  <c r="AH248" i="3"/>
  <c r="AK248" i="3"/>
  <c r="AN248" i="3"/>
  <c r="AQ248" i="3"/>
  <c r="AT248" i="3"/>
  <c r="AW248" i="3"/>
  <c r="AZ248" i="3"/>
  <c r="BC248" i="3"/>
  <c r="BF248" i="3"/>
  <c r="BI248" i="3"/>
  <c r="BL248" i="3"/>
  <c r="BO248" i="3"/>
  <c r="BR248" i="3"/>
  <c r="BU248" i="3"/>
  <c r="BX248" i="3"/>
  <c r="CA248" i="3"/>
  <c r="CD248" i="3"/>
  <c r="CG248" i="3"/>
  <c r="CJ248" i="3"/>
  <c r="CM248" i="3"/>
  <c r="CP248" i="3"/>
  <c r="CS248" i="3"/>
  <c r="CV248" i="3"/>
  <c r="CY248" i="3"/>
  <c r="AB262" i="3"/>
  <c r="AB266" i="3"/>
  <c r="AE266" i="3"/>
  <c r="AH266" i="3"/>
  <c r="AK266" i="3"/>
  <c r="AN266" i="3"/>
  <c r="AQ266" i="3"/>
  <c r="AT266" i="3"/>
  <c r="AW266" i="3"/>
  <c r="AZ266" i="3"/>
  <c r="BC266" i="3"/>
  <c r="BF266" i="3"/>
  <c r="BI266" i="3"/>
  <c r="AB274" i="3"/>
  <c r="AE274" i="3"/>
  <c r="AH274" i="3"/>
  <c r="AK274" i="3"/>
  <c r="AN274" i="3"/>
  <c r="AQ274" i="3"/>
  <c r="AT274" i="3"/>
  <c r="AW274" i="3"/>
  <c r="AZ274" i="3"/>
  <c r="BC274" i="3"/>
  <c r="BF274" i="3"/>
  <c r="BI274" i="3"/>
  <c r="BL274" i="3"/>
  <c r="BO274" i="3"/>
  <c r="BR274" i="3"/>
  <c r="BU274" i="3"/>
  <c r="BX274" i="3"/>
  <c r="CA274" i="3"/>
  <c r="CD274" i="3"/>
  <c r="CG274" i="3"/>
  <c r="CJ274" i="3"/>
  <c r="CM274" i="3"/>
  <c r="CP274" i="3"/>
  <c r="CS274" i="3"/>
  <c r="CV274" i="3"/>
  <c r="CY274" i="3"/>
  <c r="AB302" i="3"/>
  <c r="AB310" i="3"/>
  <c r="AE310" i="3"/>
  <c r="AH310" i="3"/>
  <c r="AK310" i="3"/>
  <c r="AN310" i="3"/>
  <c r="AQ310" i="3"/>
  <c r="AT310" i="3"/>
  <c r="AW310" i="3"/>
  <c r="AZ310" i="3"/>
  <c r="BC310" i="3"/>
  <c r="BF310" i="3"/>
  <c r="BI310" i="3"/>
  <c r="BL310" i="3"/>
  <c r="BO310" i="3"/>
  <c r="BR310" i="3"/>
  <c r="BU310" i="3"/>
  <c r="BX310" i="3"/>
  <c r="CA310" i="3"/>
  <c r="CD310" i="3"/>
  <c r="CG310" i="3"/>
  <c r="CJ310" i="3"/>
  <c r="CM310" i="3"/>
  <c r="CP310" i="3"/>
  <c r="CS310" i="3"/>
  <c r="CV310" i="3"/>
  <c r="CY310" i="3"/>
  <c r="AB309" i="3"/>
  <c r="AB8" i="3"/>
  <c r="AE8" i="3"/>
  <c r="AH8" i="3"/>
  <c r="AK8" i="3"/>
  <c r="AN8" i="3"/>
  <c r="AQ8" i="3"/>
  <c r="AT8" i="3"/>
  <c r="AW8" i="3"/>
  <c r="AZ8" i="3"/>
  <c r="BC8" i="3"/>
  <c r="BF8" i="3"/>
  <c r="BI8" i="3"/>
  <c r="BL8" i="3"/>
  <c r="BO8" i="3"/>
  <c r="BR8" i="3"/>
  <c r="BU8" i="3"/>
  <c r="BX8" i="3"/>
  <c r="CA8" i="3"/>
  <c r="CD8" i="3"/>
  <c r="CG8" i="3"/>
  <c r="CJ8" i="3"/>
  <c r="CM8" i="3"/>
  <c r="CP8" i="3"/>
  <c r="CS8" i="3"/>
  <c r="CV8" i="3"/>
  <c r="CY8" i="3"/>
  <c r="AB12" i="3"/>
  <c r="AE12" i="3"/>
  <c r="AH12" i="3"/>
  <c r="AK12" i="3"/>
  <c r="AN12" i="3"/>
  <c r="AQ12" i="3"/>
  <c r="AT12" i="3"/>
  <c r="AW12" i="3"/>
  <c r="AZ12" i="3"/>
  <c r="BC12" i="3"/>
  <c r="BF12" i="3"/>
  <c r="BI12" i="3"/>
  <c r="BL12" i="3"/>
  <c r="BO12" i="3"/>
  <c r="BR12" i="3"/>
  <c r="BU12" i="3"/>
  <c r="BX12" i="3"/>
  <c r="CA12" i="3"/>
  <c r="CD12" i="3"/>
  <c r="CG12" i="3"/>
  <c r="CJ12" i="3"/>
  <c r="CM12" i="3"/>
  <c r="CP12" i="3"/>
  <c r="CS12" i="3"/>
  <c r="CV12" i="3"/>
  <c r="CY12" i="3"/>
  <c r="AB19" i="3"/>
  <c r="AE19" i="3"/>
  <c r="AH19" i="3"/>
  <c r="AK19" i="3"/>
  <c r="AN19" i="3"/>
  <c r="AQ19" i="3"/>
  <c r="AT19" i="3"/>
  <c r="AW19" i="3"/>
  <c r="AZ19" i="3"/>
  <c r="BC19" i="3"/>
  <c r="BF19" i="3"/>
  <c r="BI19" i="3"/>
  <c r="BL19" i="3"/>
  <c r="BO19" i="3"/>
  <c r="BR19" i="3"/>
  <c r="BU19" i="3"/>
  <c r="BX19" i="3"/>
  <c r="CA19" i="3"/>
  <c r="CD19" i="3"/>
  <c r="CG19" i="3"/>
  <c r="CJ19" i="3"/>
  <c r="CM19" i="3"/>
  <c r="CP19" i="3"/>
  <c r="CS19" i="3"/>
  <c r="CV19" i="3"/>
  <c r="CY19" i="3"/>
  <c r="AB22" i="3"/>
  <c r="AE22" i="3"/>
  <c r="AH22" i="3"/>
  <c r="AK22" i="3"/>
  <c r="AN22" i="3"/>
  <c r="AQ22" i="3"/>
  <c r="AT22" i="3"/>
  <c r="AW22" i="3"/>
  <c r="AZ22" i="3"/>
  <c r="BC22" i="3"/>
  <c r="BF22" i="3"/>
  <c r="BI22" i="3"/>
  <c r="BL22" i="3"/>
  <c r="BO22" i="3"/>
  <c r="BR22" i="3"/>
  <c r="BU22" i="3"/>
  <c r="BX22" i="3"/>
  <c r="CA22" i="3"/>
  <c r="CD22" i="3"/>
  <c r="CG22" i="3"/>
  <c r="CJ22" i="3"/>
  <c r="CM22" i="3"/>
  <c r="CP22" i="3"/>
  <c r="CS22" i="3"/>
  <c r="CV22" i="3"/>
  <c r="CY22" i="3"/>
  <c r="AB26" i="3"/>
  <c r="AE26" i="3"/>
  <c r="AH26" i="3"/>
  <c r="AK26" i="3"/>
  <c r="AN26" i="3"/>
  <c r="AQ26" i="3"/>
  <c r="AT26" i="3"/>
  <c r="AW26" i="3"/>
  <c r="AZ26" i="3"/>
  <c r="BC26" i="3"/>
  <c r="BF26" i="3"/>
  <c r="BI26" i="3"/>
  <c r="BL26" i="3"/>
  <c r="BO26" i="3"/>
  <c r="BR26" i="3"/>
  <c r="BU26" i="3"/>
  <c r="BX26" i="3"/>
  <c r="CA26" i="3"/>
  <c r="CD26" i="3"/>
  <c r="CG26" i="3"/>
  <c r="CJ26" i="3"/>
  <c r="CM26" i="3"/>
  <c r="CP26" i="3"/>
  <c r="CS26" i="3"/>
  <c r="CV26" i="3"/>
  <c r="CY26" i="3"/>
  <c r="AB30" i="3"/>
  <c r="AE30" i="3"/>
  <c r="AH30" i="3"/>
  <c r="AK30" i="3"/>
  <c r="AN30" i="3"/>
  <c r="AQ30" i="3"/>
  <c r="AT30" i="3"/>
  <c r="AW30" i="3"/>
  <c r="AZ30" i="3"/>
  <c r="BC30" i="3"/>
  <c r="BF30" i="3"/>
  <c r="BI30" i="3"/>
  <c r="BL30" i="3"/>
  <c r="BO30" i="3"/>
  <c r="BR30" i="3"/>
  <c r="BU30" i="3"/>
  <c r="BX30" i="3"/>
  <c r="CA30" i="3"/>
  <c r="CD30" i="3"/>
  <c r="CG30" i="3"/>
  <c r="CJ30" i="3"/>
  <c r="CM30" i="3"/>
  <c r="CP30" i="3"/>
  <c r="CS30" i="3"/>
  <c r="CV30" i="3"/>
  <c r="CY30" i="3"/>
  <c r="AB31" i="3"/>
  <c r="AE31" i="3"/>
  <c r="AH31" i="3"/>
  <c r="AK31" i="3"/>
  <c r="AN31" i="3"/>
  <c r="AQ31" i="3"/>
  <c r="AT31" i="3"/>
  <c r="AW31" i="3"/>
  <c r="AZ31" i="3"/>
  <c r="BC31" i="3"/>
  <c r="BF31" i="3"/>
  <c r="BI31" i="3"/>
  <c r="BL31" i="3"/>
  <c r="BO31" i="3"/>
  <c r="BR31" i="3"/>
  <c r="BU31" i="3"/>
  <c r="BX31" i="3"/>
  <c r="CA31" i="3"/>
  <c r="CD31" i="3"/>
  <c r="CG31" i="3"/>
  <c r="CJ31" i="3"/>
  <c r="CM31" i="3"/>
  <c r="CP31" i="3"/>
  <c r="CS31" i="3"/>
  <c r="CV31" i="3"/>
  <c r="CY31" i="3"/>
  <c r="AB32" i="3"/>
  <c r="AE32" i="3"/>
  <c r="AH32" i="3"/>
  <c r="AK32" i="3"/>
  <c r="AN32" i="3"/>
  <c r="AQ32" i="3"/>
  <c r="AT32" i="3"/>
  <c r="AW32" i="3"/>
  <c r="AZ32" i="3"/>
  <c r="BC32" i="3"/>
  <c r="BF32" i="3"/>
  <c r="BI32" i="3"/>
  <c r="BL32" i="3"/>
  <c r="BO32" i="3"/>
  <c r="BR32" i="3"/>
  <c r="BU32" i="3"/>
  <c r="BX32" i="3"/>
  <c r="CA32" i="3"/>
  <c r="CD32" i="3"/>
  <c r="CG32" i="3"/>
  <c r="CJ32" i="3"/>
  <c r="CM32" i="3"/>
  <c r="CP32" i="3"/>
  <c r="CS32" i="3"/>
  <c r="CV32" i="3"/>
  <c r="CY32" i="3"/>
  <c r="AB42" i="3"/>
  <c r="AE42" i="3"/>
  <c r="AH42" i="3"/>
  <c r="AK42" i="3"/>
  <c r="AN42" i="3"/>
  <c r="AQ42" i="3"/>
  <c r="AT42" i="3"/>
  <c r="AW42" i="3"/>
  <c r="AZ42" i="3"/>
  <c r="BC42" i="3"/>
  <c r="BF42" i="3"/>
  <c r="BI42" i="3"/>
  <c r="BL42" i="3"/>
  <c r="BO42" i="3"/>
  <c r="BR42" i="3"/>
  <c r="BU42" i="3"/>
  <c r="BX42" i="3"/>
  <c r="CA42" i="3"/>
  <c r="CD42" i="3"/>
  <c r="CG42" i="3"/>
  <c r="CJ42" i="3"/>
  <c r="CM42" i="3"/>
  <c r="CP42" i="3"/>
  <c r="CS42" i="3"/>
  <c r="CV42" i="3"/>
  <c r="CY42" i="3"/>
  <c r="AB46" i="3"/>
  <c r="AB48" i="3"/>
  <c r="AB50" i="3"/>
  <c r="AB52" i="3"/>
  <c r="AE52" i="3"/>
  <c r="AH52" i="3"/>
  <c r="AK52" i="3"/>
  <c r="AN52" i="3"/>
  <c r="AQ52" i="3"/>
  <c r="AT52" i="3"/>
  <c r="AW52" i="3"/>
  <c r="AZ52" i="3"/>
  <c r="BC52" i="3"/>
  <c r="BF52" i="3"/>
  <c r="BI52" i="3"/>
  <c r="AB64" i="3"/>
  <c r="AE64" i="3"/>
  <c r="AH64" i="3"/>
  <c r="AK64" i="3"/>
  <c r="AN64" i="3"/>
  <c r="AQ64" i="3"/>
  <c r="AT64" i="3"/>
  <c r="AW64" i="3"/>
  <c r="AZ64" i="3"/>
  <c r="BC64" i="3"/>
  <c r="BF64" i="3"/>
  <c r="BI64" i="3"/>
  <c r="BL64" i="3"/>
  <c r="BO64" i="3"/>
  <c r="BR64" i="3"/>
  <c r="BU64" i="3"/>
  <c r="BX64" i="3"/>
  <c r="CA64" i="3"/>
  <c r="CD64" i="3"/>
  <c r="CG64" i="3"/>
  <c r="CJ64" i="3"/>
  <c r="CM64" i="3"/>
  <c r="CP64" i="3"/>
  <c r="CS64" i="3"/>
  <c r="CV64" i="3"/>
  <c r="CY64" i="3"/>
  <c r="AB95" i="3"/>
  <c r="AE95" i="3"/>
  <c r="AH95" i="3"/>
  <c r="AK95" i="3"/>
  <c r="AN95" i="3"/>
  <c r="AQ95" i="3"/>
  <c r="AT95" i="3"/>
  <c r="AW95" i="3"/>
  <c r="AZ95" i="3"/>
  <c r="BC95" i="3"/>
  <c r="BF95" i="3"/>
  <c r="BI95" i="3"/>
  <c r="AB97" i="3"/>
  <c r="AE97" i="3"/>
  <c r="AH97" i="3"/>
  <c r="AK97" i="3"/>
  <c r="AN97" i="3"/>
  <c r="AQ97" i="3"/>
  <c r="AT97" i="3"/>
  <c r="AW97" i="3"/>
  <c r="AZ97" i="3"/>
  <c r="BC97" i="3"/>
  <c r="BF97" i="3"/>
  <c r="BI97" i="3"/>
  <c r="BL97" i="3"/>
  <c r="BO97" i="3"/>
  <c r="BR97" i="3"/>
  <c r="BU97" i="3"/>
  <c r="BX97" i="3"/>
  <c r="CA97" i="3"/>
  <c r="CD97" i="3"/>
  <c r="CG97" i="3"/>
  <c r="CJ97" i="3"/>
  <c r="CM97" i="3"/>
  <c r="CP97" i="3"/>
  <c r="CS97" i="3"/>
  <c r="CV97" i="3"/>
  <c r="CY97" i="3"/>
  <c r="AB131" i="3"/>
  <c r="AE131" i="3"/>
  <c r="AH131" i="3"/>
  <c r="AK131" i="3"/>
  <c r="AN131" i="3"/>
  <c r="AQ131" i="3"/>
  <c r="AT131" i="3"/>
  <c r="AW131" i="3"/>
  <c r="AZ131" i="3"/>
  <c r="BC131" i="3"/>
  <c r="BF131" i="3"/>
  <c r="BI131" i="3"/>
  <c r="BL131" i="3"/>
  <c r="BO131" i="3"/>
  <c r="BR131" i="3"/>
  <c r="BU131" i="3"/>
  <c r="BX131" i="3"/>
  <c r="CA131" i="3"/>
  <c r="CD131" i="3"/>
  <c r="CG131" i="3"/>
  <c r="CJ131" i="3"/>
  <c r="CM131" i="3"/>
  <c r="CP131" i="3"/>
  <c r="CS131" i="3"/>
  <c r="CV131" i="3"/>
  <c r="CY131" i="3"/>
  <c r="AB145" i="3"/>
  <c r="AE145" i="3"/>
  <c r="AH145" i="3"/>
  <c r="AK145" i="3"/>
  <c r="AN145" i="3"/>
  <c r="AQ145" i="3"/>
  <c r="AT145" i="3"/>
  <c r="AW145" i="3"/>
  <c r="AZ145" i="3"/>
  <c r="BC145" i="3"/>
  <c r="BF145" i="3"/>
  <c r="BI145" i="3"/>
  <c r="BL145" i="3"/>
  <c r="BO145" i="3"/>
  <c r="BR145" i="3"/>
  <c r="BU145" i="3"/>
  <c r="BX145" i="3"/>
  <c r="CA145" i="3"/>
  <c r="CD145" i="3"/>
  <c r="CG145" i="3"/>
  <c r="CJ145" i="3"/>
  <c r="CM145" i="3"/>
  <c r="CP145" i="3"/>
  <c r="CS145" i="3"/>
  <c r="CV145" i="3"/>
  <c r="CY145" i="3"/>
  <c r="AB155" i="3"/>
  <c r="AE155" i="3"/>
  <c r="AH155" i="3"/>
  <c r="AK155" i="3"/>
  <c r="AN155" i="3"/>
  <c r="AQ155" i="3"/>
  <c r="AT155" i="3"/>
  <c r="AW155" i="3"/>
  <c r="AZ155" i="3"/>
  <c r="BC155" i="3"/>
  <c r="BF155" i="3"/>
  <c r="BI155" i="3"/>
  <c r="BL155" i="3"/>
  <c r="BO155" i="3"/>
  <c r="BR155" i="3"/>
  <c r="BU155" i="3"/>
  <c r="BX155" i="3"/>
  <c r="CA155" i="3"/>
  <c r="CD155" i="3"/>
  <c r="CG155" i="3"/>
  <c r="CJ155" i="3"/>
  <c r="CM155" i="3"/>
  <c r="CP155" i="3"/>
  <c r="CS155" i="3"/>
  <c r="CV155" i="3"/>
  <c r="CY155" i="3"/>
  <c r="AB168" i="3"/>
  <c r="AE168" i="3"/>
  <c r="AH168" i="3"/>
  <c r="AK168" i="3"/>
  <c r="AN168" i="3"/>
  <c r="AQ168" i="3"/>
  <c r="AT168" i="3"/>
  <c r="AW168" i="3"/>
  <c r="AZ168" i="3"/>
  <c r="BC168" i="3"/>
  <c r="BF168" i="3"/>
  <c r="BI168" i="3"/>
  <c r="BL168" i="3"/>
  <c r="BO168" i="3"/>
  <c r="BR168" i="3"/>
  <c r="BU168" i="3"/>
  <c r="BX168" i="3"/>
  <c r="CA168" i="3"/>
  <c r="CD168" i="3"/>
  <c r="CG168" i="3"/>
  <c r="CJ168" i="3"/>
  <c r="CM168" i="3"/>
  <c r="CP168" i="3"/>
  <c r="CS168" i="3"/>
  <c r="CV168" i="3"/>
  <c r="CY168" i="3"/>
  <c r="AB175" i="3"/>
  <c r="AE175" i="3"/>
  <c r="AH175" i="3"/>
  <c r="AK175" i="3"/>
  <c r="AN175" i="3"/>
  <c r="AQ175" i="3"/>
  <c r="AT175" i="3"/>
  <c r="AW175" i="3"/>
  <c r="AZ175" i="3"/>
  <c r="BC175" i="3"/>
  <c r="BF175" i="3"/>
  <c r="BI175" i="3"/>
  <c r="BL175" i="3"/>
  <c r="BO175" i="3"/>
  <c r="BR175" i="3"/>
  <c r="BU175" i="3"/>
  <c r="BX175" i="3"/>
  <c r="CA175" i="3"/>
  <c r="CD175" i="3"/>
  <c r="CG175" i="3"/>
  <c r="CJ175" i="3"/>
  <c r="CM175" i="3"/>
  <c r="CP175" i="3"/>
  <c r="CS175" i="3"/>
  <c r="CV175" i="3"/>
  <c r="CY175" i="3"/>
  <c r="AB179" i="3"/>
  <c r="AE179" i="3"/>
  <c r="AH179" i="3"/>
  <c r="AK179" i="3"/>
  <c r="AN179" i="3"/>
  <c r="AQ179" i="3"/>
  <c r="AT179" i="3"/>
  <c r="AW179" i="3"/>
  <c r="AZ179" i="3"/>
  <c r="BC179" i="3"/>
  <c r="BF179" i="3"/>
  <c r="BI179" i="3"/>
  <c r="BL179" i="3"/>
  <c r="BO179" i="3"/>
  <c r="BR179" i="3"/>
  <c r="BU179" i="3"/>
  <c r="BX179" i="3"/>
  <c r="CA179" i="3"/>
  <c r="CD179" i="3"/>
  <c r="CG179" i="3"/>
  <c r="CJ179" i="3"/>
  <c r="CM179" i="3"/>
  <c r="CP179" i="3"/>
  <c r="CS179" i="3"/>
  <c r="CV179" i="3"/>
  <c r="CY179" i="3"/>
  <c r="AB183" i="3"/>
  <c r="AB185" i="3"/>
  <c r="AE185" i="3"/>
  <c r="AH185" i="3"/>
  <c r="AK185" i="3"/>
  <c r="AN185" i="3"/>
  <c r="AQ185" i="3"/>
  <c r="AT185" i="3"/>
  <c r="AW185" i="3"/>
  <c r="AZ185" i="3"/>
  <c r="BC185" i="3"/>
  <c r="BF185" i="3"/>
  <c r="BI185" i="3"/>
  <c r="BL185" i="3"/>
  <c r="BO185" i="3"/>
  <c r="BR185" i="3"/>
  <c r="BU185" i="3"/>
  <c r="BX185" i="3"/>
  <c r="CA185" i="3"/>
  <c r="CD185" i="3"/>
  <c r="CG185" i="3"/>
  <c r="CJ185" i="3"/>
  <c r="CM185" i="3"/>
  <c r="CP185" i="3"/>
  <c r="CS185" i="3"/>
  <c r="CV185" i="3"/>
  <c r="CY185" i="3"/>
  <c r="AB192" i="3"/>
  <c r="AE192" i="3"/>
  <c r="AH192" i="3"/>
  <c r="AK192" i="3"/>
  <c r="AN192" i="3"/>
  <c r="AQ192" i="3"/>
  <c r="AT192" i="3"/>
  <c r="AW192" i="3"/>
  <c r="AZ192" i="3"/>
  <c r="BC192" i="3"/>
  <c r="BF192" i="3"/>
  <c r="BI192" i="3"/>
  <c r="BL192" i="3"/>
  <c r="BO192" i="3"/>
  <c r="BR192" i="3"/>
  <c r="BU192" i="3"/>
  <c r="BX192" i="3"/>
  <c r="CA192" i="3"/>
  <c r="CD192" i="3"/>
  <c r="CG192" i="3"/>
  <c r="CJ192" i="3"/>
  <c r="CM192" i="3"/>
  <c r="CP192" i="3"/>
  <c r="CS192" i="3"/>
  <c r="CV192" i="3"/>
  <c r="CY192" i="3"/>
  <c r="AB198" i="3"/>
  <c r="AE198" i="3"/>
  <c r="AH198" i="3"/>
  <c r="AK198" i="3"/>
  <c r="AN198" i="3"/>
  <c r="AQ198" i="3"/>
  <c r="AT198" i="3"/>
  <c r="AW198" i="3"/>
  <c r="AZ198" i="3"/>
  <c r="BC198" i="3"/>
  <c r="BF198" i="3"/>
  <c r="BI198" i="3"/>
  <c r="BL198" i="3"/>
  <c r="BO198" i="3"/>
  <c r="BR198" i="3"/>
  <c r="BU198" i="3"/>
  <c r="BX198" i="3"/>
  <c r="CA198" i="3"/>
  <c r="CD198" i="3"/>
  <c r="CG198" i="3"/>
  <c r="CJ198" i="3"/>
  <c r="CM198" i="3"/>
  <c r="CP198" i="3"/>
  <c r="CS198" i="3"/>
  <c r="CV198" i="3"/>
  <c r="CY198" i="3"/>
  <c r="AB226" i="3"/>
  <c r="AE226" i="3"/>
  <c r="AH226" i="3"/>
  <c r="AK226" i="3"/>
  <c r="AN226" i="3"/>
  <c r="AQ226" i="3"/>
  <c r="AT226" i="3"/>
  <c r="AW226" i="3"/>
  <c r="AZ226" i="3"/>
  <c r="BC226" i="3"/>
  <c r="BF226" i="3"/>
  <c r="BI226" i="3"/>
  <c r="BL226" i="3"/>
  <c r="BO226" i="3"/>
  <c r="BR226" i="3"/>
  <c r="BU226" i="3"/>
  <c r="BX226" i="3"/>
  <c r="CA226" i="3"/>
  <c r="CD226" i="3"/>
  <c r="CG226" i="3"/>
  <c r="CJ226" i="3"/>
  <c r="CM226" i="3"/>
  <c r="CP226" i="3"/>
  <c r="CS226" i="3"/>
  <c r="CV226" i="3"/>
  <c r="CY226" i="3"/>
  <c r="AB230" i="3"/>
  <c r="AE230" i="3"/>
  <c r="AH230" i="3"/>
  <c r="AK230" i="3"/>
  <c r="AN230" i="3"/>
  <c r="AQ230" i="3"/>
  <c r="AT230" i="3"/>
  <c r="AW230" i="3"/>
  <c r="AZ230" i="3"/>
  <c r="BC230" i="3"/>
  <c r="BF230" i="3"/>
  <c r="BI230" i="3"/>
  <c r="BL230" i="3"/>
  <c r="BO230" i="3"/>
  <c r="BR230" i="3"/>
  <c r="BU230" i="3"/>
  <c r="BX230" i="3"/>
  <c r="CA230" i="3"/>
  <c r="CD230" i="3"/>
  <c r="CG230" i="3"/>
  <c r="CJ230" i="3"/>
  <c r="CM230" i="3"/>
  <c r="CP230" i="3"/>
  <c r="CS230" i="3"/>
  <c r="CV230" i="3"/>
  <c r="CY230" i="3"/>
  <c r="AB233" i="3"/>
  <c r="AB236" i="3"/>
  <c r="AE236" i="3"/>
  <c r="AH236" i="3"/>
  <c r="AK236" i="3"/>
  <c r="AN236" i="3"/>
  <c r="AQ236" i="3"/>
  <c r="AT236" i="3"/>
  <c r="AW236" i="3"/>
  <c r="AZ236" i="3"/>
  <c r="BC236" i="3"/>
  <c r="BF236" i="3"/>
  <c r="BI236" i="3"/>
  <c r="BL236" i="3"/>
  <c r="BO236" i="3"/>
  <c r="BR236" i="3"/>
  <c r="BU236" i="3"/>
  <c r="BX236" i="3"/>
  <c r="CA236" i="3"/>
  <c r="CD236" i="3"/>
  <c r="CG236" i="3"/>
  <c r="CJ236" i="3"/>
  <c r="CM236" i="3"/>
  <c r="CP236" i="3"/>
  <c r="CS236" i="3"/>
  <c r="CV236" i="3"/>
  <c r="CY236" i="3"/>
  <c r="AB244" i="3"/>
  <c r="AE244" i="3"/>
  <c r="AH244" i="3"/>
  <c r="AK244" i="3"/>
  <c r="AN244" i="3"/>
  <c r="AQ244" i="3"/>
  <c r="AT244" i="3"/>
  <c r="AW244" i="3"/>
  <c r="AZ244" i="3"/>
  <c r="BC244" i="3"/>
  <c r="BF244" i="3"/>
  <c r="BI244" i="3"/>
  <c r="BL244" i="3"/>
  <c r="BO244" i="3"/>
  <c r="BR244" i="3"/>
  <c r="BU244" i="3"/>
  <c r="BX244" i="3"/>
  <c r="CA244" i="3"/>
  <c r="CD244" i="3"/>
  <c r="CG244" i="3"/>
  <c r="CJ244" i="3"/>
  <c r="CM244" i="3"/>
  <c r="CP244" i="3"/>
  <c r="CS244" i="3"/>
  <c r="CV244" i="3"/>
  <c r="CY244" i="3"/>
  <c r="AB253" i="3"/>
  <c r="AE253" i="3"/>
  <c r="AH253" i="3"/>
  <c r="AK253" i="3"/>
  <c r="AN253" i="3"/>
  <c r="AQ253" i="3"/>
  <c r="AT253" i="3"/>
  <c r="AW253" i="3"/>
  <c r="AZ253" i="3"/>
  <c r="BC253" i="3"/>
  <c r="BF253" i="3"/>
  <c r="BI253" i="3"/>
  <c r="BL253" i="3"/>
  <c r="BO253" i="3"/>
  <c r="BR253" i="3"/>
  <c r="BU253" i="3"/>
  <c r="BX253" i="3"/>
  <c r="CA253" i="3"/>
  <c r="CD253" i="3"/>
  <c r="CG253" i="3"/>
  <c r="CJ253" i="3"/>
  <c r="CM253" i="3"/>
  <c r="CP253" i="3"/>
  <c r="CS253" i="3"/>
  <c r="CV253" i="3"/>
  <c r="CY253" i="3"/>
  <c r="AB257" i="3"/>
  <c r="AE257" i="3"/>
  <c r="AH257" i="3"/>
  <c r="AK257" i="3"/>
  <c r="AN257" i="3"/>
  <c r="AQ257" i="3"/>
  <c r="AT257" i="3"/>
  <c r="AW257" i="3"/>
  <c r="AZ257" i="3"/>
  <c r="BC257" i="3"/>
  <c r="BF257" i="3"/>
  <c r="BI257" i="3"/>
  <c r="BL257" i="3"/>
  <c r="BO257" i="3"/>
  <c r="BR257" i="3"/>
  <c r="BU257" i="3"/>
  <c r="BX257" i="3"/>
  <c r="CA257" i="3"/>
  <c r="CD257" i="3"/>
  <c r="CG257" i="3"/>
  <c r="CJ257" i="3"/>
  <c r="CM257" i="3"/>
  <c r="CP257" i="3"/>
  <c r="CS257" i="3"/>
  <c r="CV257" i="3"/>
  <c r="CY257" i="3"/>
  <c r="AB263" i="3"/>
  <c r="AE263" i="3"/>
  <c r="AH263" i="3"/>
  <c r="AK263" i="3"/>
  <c r="AN263" i="3"/>
  <c r="AQ263" i="3"/>
  <c r="AT263" i="3"/>
  <c r="AW263" i="3"/>
  <c r="AZ263" i="3"/>
  <c r="BC263" i="3"/>
  <c r="BF263" i="3"/>
  <c r="BI263" i="3"/>
  <c r="BL263" i="3"/>
  <c r="BO263" i="3"/>
  <c r="BR263" i="3"/>
  <c r="BU263" i="3"/>
  <c r="BX263" i="3"/>
  <c r="CA263" i="3"/>
  <c r="CD263" i="3"/>
  <c r="CG263" i="3"/>
  <c r="CJ263" i="3"/>
  <c r="CM263" i="3"/>
  <c r="CP263" i="3"/>
  <c r="CS263" i="3"/>
  <c r="CV263" i="3"/>
  <c r="CY263" i="3"/>
  <c r="AB267" i="3"/>
  <c r="AE267" i="3"/>
  <c r="AH267" i="3"/>
  <c r="AK267" i="3"/>
  <c r="AN267" i="3"/>
  <c r="AQ267" i="3"/>
  <c r="AT267" i="3"/>
  <c r="AW267" i="3"/>
  <c r="AZ267" i="3"/>
  <c r="BC267" i="3"/>
  <c r="BF267" i="3"/>
  <c r="BI267" i="3"/>
  <c r="AB271" i="3"/>
  <c r="AE271" i="3"/>
  <c r="AH271" i="3"/>
  <c r="AK271" i="3"/>
  <c r="AN271" i="3"/>
  <c r="AQ271" i="3"/>
  <c r="AT271" i="3"/>
  <c r="AW271" i="3"/>
  <c r="AZ271" i="3"/>
  <c r="BC271" i="3"/>
  <c r="BF271" i="3"/>
  <c r="BI271" i="3"/>
  <c r="BL271" i="3"/>
  <c r="BO271" i="3"/>
  <c r="BR271" i="3"/>
  <c r="BU271" i="3"/>
  <c r="BX271" i="3"/>
  <c r="CA271" i="3"/>
  <c r="CD271" i="3"/>
  <c r="CG271" i="3"/>
  <c r="CJ271" i="3"/>
  <c r="CM271" i="3"/>
  <c r="CP271" i="3"/>
  <c r="CS271" i="3"/>
  <c r="CV271" i="3"/>
  <c r="CY271" i="3"/>
  <c r="AB301" i="3"/>
  <c r="AB306" i="3"/>
  <c r="AE306" i="3"/>
  <c r="AH306" i="3"/>
  <c r="AK306" i="3"/>
  <c r="AN306" i="3"/>
  <c r="AQ306" i="3"/>
  <c r="AT306" i="3"/>
  <c r="AW306" i="3"/>
  <c r="AZ306" i="3"/>
  <c r="BC306" i="3"/>
  <c r="BF306" i="3"/>
  <c r="BI306" i="3"/>
  <c r="BL306" i="3"/>
  <c r="BO306" i="3"/>
  <c r="BR306" i="3"/>
  <c r="BU306" i="3"/>
  <c r="BX306" i="3"/>
  <c r="CA306" i="3"/>
  <c r="CD306" i="3"/>
  <c r="CG306" i="3"/>
  <c r="CJ306" i="3"/>
  <c r="CM306" i="3"/>
  <c r="CP306" i="3"/>
  <c r="CS306" i="3"/>
  <c r="CV306" i="3"/>
  <c r="CY306" i="3"/>
  <c r="AB314" i="3"/>
  <c r="AE314" i="3"/>
  <c r="AH314" i="3"/>
  <c r="AK314" i="3"/>
  <c r="AN314" i="3"/>
  <c r="AQ314" i="3"/>
  <c r="AT314" i="3"/>
  <c r="AW314" i="3"/>
  <c r="AZ314" i="3"/>
  <c r="BC314" i="3"/>
  <c r="BF314" i="3"/>
  <c r="BI314" i="3"/>
  <c r="BL314" i="3"/>
  <c r="BO314" i="3"/>
  <c r="BR314" i="3"/>
  <c r="BU314" i="3"/>
  <c r="BX314" i="3"/>
  <c r="CA314" i="3"/>
  <c r="CD314" i="3"/>
  <c r="CG314" i="3"/>
  <c r="CJ314" i="3"/>
  <c r="CM314" i="3"/>
  <c r="CP314" i="3"/>
  <c r="CS314" i="3"/>
  <c r="CV314" i="3"/>
  <c r="CY314" i="3"/>
  <c r="AB276" i="3"/>
  <c r="AB17" i="3"/>
  <c r="AB120" i="3"/>
  <c r="AE120" i="3"/>
  <c r="AB6" i="3"/>
  <c r="AE6" i="3"/>
  <c r="AH6" i="3"/>
  <c r="AK6" i="3"/>
  <c r="AN6" i="3"/>
  <c r="AQ6" i="3"/>
  <c r="AT6" i="3"/>
  <c r="AW6" i="3"/>
  <c r="AZ6" i="3"/>
  <c r="BC6" i="3"/>
  <c r="BF6" i="3"/>
  <c r="BI6" i="3"/>
  <c r="BL6" i="3"/>
  <c r="BO6" i="3"/>
  <c r="BR6" i="3"/>
  <c r="BU6" i="3"/>
  <c r="BX6" i="3"/>
  <c r="CA6" i="3"/>
  <c r="CD6" i="3"/>
  <c r="CG6" i="3"/>
  <c r="CJ6" i="3"/>
  <c r="CM6" i="3"/>
  <c r="CP6" i="3"/>
  <c r="CS6" i="3"/>
  <c r="CV6" i="3"/>
  <c r="CY6" i="3"/>
  <c r="AB10" i="3"/>
  <c r="AE10" i="3"/>
  <c r="AH10" i="3"/>
  <c r="AK10" i="3"/>
  <c r="AN10" i="3"/>
  <c r="AQ10" i="3"/>
  <c r="AT10" i="3"/>
  <c r="AW10" i="3"/>
  <c r="AZ10" i="3"/>
  <c r="BC10" i="3"/>
  <c r="BF10" i="3"/>
  <c r="BI10" i="3"/>
  <c r="BL10" i="3"/>
  <c r="BO10" i="3"/>
  <c r="BR10" i="3"/>
  <c r="BU10" i="3"/>
  <c r="BX10" i="3"/>
  <c r="CA10" i="3"/>
  <c r="CD10" i="3"/>
  <c r="CG10" i="3"/>
  <c r="CJ10" i="3"/>
  <c r="CM10" i="3"/>
  <c r="CP10" i="3"/>
  <c r="CS10" i="3"/>
  <c r="CV10" i="3"/>
  <c r="CY10" i="3"/>
  <c r="AB13" i="3"/>
  <c r="AE13" i="3"/>
  <c r="AH13" i="3"/>
  <c r="AK13" i="3"/>
  <c r="AN13" i="3"/>
  <c r="AQ13" i="3"/>
  <c r="AT13" i="3"/>
  <c r="AW13" i="3"/>
  <c r="AZ13" i="3"/>
  <c r="BC13" i="3"/>
  <c r="BF13" i="3"/>
  <c r="BI13" i="3"/>
  <c r="BL13" i="3"/>
  <c r="BO13" i="3"/>
  <c r="BR13" i="3"/>
  <c r="BU13" i="3"/>
  <c r="BX13" i="3"/>
  <c r="CA13" i="3"/>
  <c r="CD13" i="3"/>
  <c r="CG13" i="3"/>
  <c r="CJ13" i="3"/>
  <c r="CM13" i="3"/>
  <c r="CP13" i="3"/>
  <c r="CS13" i="3"/>
  <c r="CV13" i="3"/>
  <c r="CY13" i="3"/>
  <c r="AB14" i="3"/>
  <c r="AE14" i="3"/>
  <c r="AH14" i="3"/>
  <c r="AK14" i="3"/>
  <c r="AN14" i="3"/>
  <c r="AQ14" i="3"/>
  <c r="AT14" i="3"/>
  <c r="AW14" i="3"/>
  <c r="AZ14" i="3"/>
  <c r="BC14" i="3"/>
  <c r="BF14" i="3"/>
  <c r="BI14" i="3"/>
  <c r="BL14" i="3"/>
  <c r="BO14" i="3"/>
  <c r="BR14" i="3"/>
  <c r="BU14" i="3"/>
  <c r="BX14" i="3"/>
  <c r="CA14" i="3"/>
  <c r="CD14" i="3"/>
  <c r="CG14" i="3"/>
  <c r="CJ14" i="3"/>
  <c r="CM14" i="3"/>
  <c r="CP14" i="3"/>
  <c r="CS14" i="3"/>
  <c r="CV14" i="3"/>
  <c r="CY14" i="3"/>
  <c r="AB20" i="3"/>
  <c r="AE20" i="3"/>
  <c r="AH20" i="3"/>
  <c r="AK20" i="3"/>
  <c r="AN20" i="3"/>
  <c r="AQ20" i="3"/>
  <c r="AT20" i="3"/>
  <c r="AW20" i="3"/>
  <c r="AZ20" i="3"/>
  <c r="BC20" i="3"/>
  <c r="BF20" i="3"/>
  <c r="BI20" i="3"/>
  <c r="BL20" i="3"/>
  <c r="BO20" i="3"/>
  <c r="BR20" i="3"/>
  <c r="BU20" i="3"/>
  <c r="BX20" i="3"/>
  <c r="CA20" i="3"/>
  <c r="CD20" i="3"/>
  <c r="CG20" i="3"/>
  <c r="CJ20" i="3"/>
  <c r="CM20" i="3"/>
  <c r="CP20" i="3"/>
  <c r="CS20" i="3"/>
  <c r="CV20" i="3"/>
  <c r="CY20" i="3"/>
  <c r="AB27" i="3"/>
  <c r="AE27" i="3"/>
  <c r="AH27" i="3"/>
  <c r="AK27" i="3"/>
  <c r="AN27" i="3"/>
  <c r="AQ27" i="3"/>
  <c r="AT27" i="3"/>
  <c r="AW27" i="3"/>
  <c r="AZ27" i="3"/>
  <c r="BC27" i="3"/>
  <c r="BF27" i="3"/>
  <c r="BI27" i="3"/>
  <c r="BL27" i="3"/>
  <c r="BO27" i="3"/>
  <c r="BR27" i="3"/>
  <c r="BU27" i="3"/>
  <c r="BX27" i="3"/>
  <c r="CA27" i="3"/>
  <c r="CD27" i="3"/>
  <c r="CG27" i="3"/>
  <c r="CJ27" i="3"/>
  <c r="CM27" i="3"/>
  <c r="CP27" i="3"/>
  <c r="CS27" i="3"/>
  <c r="CV27" i="3"/>
  <c r="CY27" i="3"/>
  <c r="AB28" i="3"/>
  <c r="AE28" i="3"/>
  <c r="AH28" i="3"/>
  <c r="AK28" i="3"/>
  <c r="AN28" i="3"/>
  <c r="AQ28" i="3"/>
  <c r="AT28" i="3"/>
  <c r="AW28" i="3"/>
  <c r="AZ28" i="3"/>
  <c r="BC28" i="3"/>
  <c r="BF28" i="3"/>
  <c r="BI28" i="3"/>
  <c r="BL28" i="3"/>
  <c r="BO28" i="3"/>
  <c r="BR28" i="3"/>
  <c r="BU28" i="3"/>
  <c r="BX28" i="3"/>
  <c r="CA28" i="3"/>
  <c r="CD28" i="3"/>
  <c r="CG28" i="3"/>
  <c r="CJ28" i="3"/>
  <c r="CM28" i="3"/>
  <c r="CP28" i="3"/>
  <c r="CS28" i="3"/>
  <c r="CV28" i="3"/>
  <c r="CY28" i="3"/>
  <c r="AB33" i="3"/>
  <c r="AE33" i="3"/>
  <c r="AH33" i="3"/>
  <c r="AK33" i="3"/>
  <c r="AN33" i="3"/>
  <c r="AQ33" i="3"/>
  <c r="AT33" i="3"/>
  <c r="AW33" i="3"/>
  <c r="AZ33" i="3"/>
  <c r="BC33" i="3"/>
  <c r="BF33" i="3"/>
  <c r="BI33" i="3"/>
  <c r="BL33" i="3"/>
  <c r="BO33" i="3"/>
  <c r="BR33" i="3"/>
  <c r="BU33" i="3"/>
  <c r="BX33" i="3"/>
  <c r="CA33" i="3"/>
  <c r="CD33" i="3"/>
  <c r="CG33" i="3"/>
  <c r="CJ33" i="3"/>
  <c r="CM33" i="3"/>
  <c r="CP33" i="3"/>
  <c r="CS33" i="3"/>
  <c r="CV33" i="3"/>
  <c r="CY33" i="3"/>
  <c r="AB34" i="3"/>
  <c r="AE34" i="3"/>
  <c r="AH34" i="3"/>
  <c r="AK34" i="3"/>
  <c r="AN34" i="3"/>
  <c r="AQ34" i="3"/>
  <c r="AT34" i="3"/>
  <c r="AW34" i="3"/>
  <c r="AZ34" i="3"/>
  <c r="BC34" i="3"/>
  <c r="BF34" i="3"/>
  <c r="BI34" i="3"/>
  <c r="BL34" i="3"/>
  <c r="BO34" i="3"/>
  <c r="BR34" i="3"/>
  <c r="BU34" i="3"/>
  <c r="BX34" i="3"/>
  <c r="CA34" i="3"/>
  <c r="CD34" i="3"/>
  <c r="CG34" i="3"/>
  <c r="CJ34" i="3"/>
  <c r="CM34" i="3"/>
  <c r="CP34" i="3"/>
  <c r="CS34" i="3"/>
  <c r="CV34" i="3"/>
  <c r="CY34" i="3"/>
  <c r="AB37" i="3"/>
  <c r="AE37" i="3"/>
  <c r="AH37" i="3"/>
  <c r="AK37" i="3"/>
  <c r="AN37" i="3"/>
  <c r="AQ37" i="3"/>
  <c r="AT37" i="3"/>
  <c r="AW37" i="3"/>
  <c r="AZ37" i="3"/>
  <c r="BC37" i="3"/>
  <c r="BF37" i="3"/>
  <c r="BI37" i="3"/>
  <c r="BL37" i="3"/>
  <c r="BO37" i="3"/>
  <c r="BR37" i="3"/>
  <c r="BU37" i="3"/>
  <c r="BX37" i="3"/>
  <c r="CA37" i="3"/>
  <c r="CD37" i="3"/>
  <c r="CG37" i="3"/>
  <c r="CJ37" i="3"/>
  <c r="CM37" i="3"/>
  <c r="CP37" i="3"/>
  <c r="CS37" i="3"/>
  <c r="CV37" i="3"/>
  <c r="CY37" i="3"/>
  <c r="AB39" i="3"/>
  <c r="AB38" i="3"/>
  <c r="AB40" i="3"/>
  <c r="AE40" i="3"/>
  <c r="AH40" i="3"/>
  <c r="AK40" i="3"/>
  <c r="AN40" i="3"/>
  <c r="AQ40" i="3"/>
  <c r="AT40" i="3"/>
  <c r="AW40" i="3"/>
  <c r="AZ40" i="3"/>
  <c r="BC40" i="3"/>
  <c r="BF40" i="3"/>
  <c r="BI40" i="3"/>
  <c r="BL40" i="3"/>
  <c r="BO40" i="3"/>
  <c r="BR40" i="3"/>
  <c r="BU40" i="3"/>
  <c r="BX40" i="3"/>
  <c r="CA40" i="3"/>
  <c r="CD40" i="3"/>
  <c r="CG40" i="3"/>
  <c r="CJ40" i="3"/>
  <c r="CM40" i="3"/>
  <c r="CP40" i="3"/>
  <c r="CS40" i="3"/>
  <c r="CV40" i="3"/>
  <c r="CY40" i="3"/>
  <c r="AB43" i="3"/>
  <c r="AE43" i="3"/>
  <c r="AH43" i="3"/>
  <c r="AK43" i="3"/>
  <c r="AN43" i="3"/>
  <c r="AQ43" i="3"/>
  <c r="AT43" i="3"/>
  <c r="AW43" i="3"/>
  <c r="AZ43" i="3"/>
  <c r="BC43" i="3"/>
  <c r="BF43" i="3"/>
  <c r="BI43" i="3"/>
  <c r="BL43" i="3"/>
  <c r="BO43" i="3"/>
  <c r="BR43" i="3"/>
  <c r="BU43" i="3"/>
  <c r="BX43" i="3"/>
  <c r="CA43" i="3"/>
  <c r="CD43" i="3"/>
  <c r="CG43" i="3"/>
  <c r="CJ43" i="3"/>
  <c r="CM43" i="3"/>
  <c r="CP43" i="3"/>
  <c r="CS43" i="3"/>
  <c r="CV43" i="3"/>
  <c r="CY43" i="3"/>
  <c r="AB45" i="3"/>
  <c r="AB47" i="3"/>
  <c r="AB49" i="3"/>
  <c r="AB58" i="3"/>
  <c r="AE58" i="3"/>
  <c r="AH58" i="3"/>
  <c r="AK58" i="3"/>
  <c r="AN58" i="3"/>
  <c r="AQ58" i="3"/>
  <c r="AT58" i="3"/>
  <c r="AW58" i="3"/>
  <c r="AZ58" i="3"/>
  <c r="BC58" i="3"/>
  <c r="BF58" i="3"/>
  <c r="BI58" i="3"/>
  <c r="BL58" i="3"/>
  <c r="BO58" i="3"/>
  <c r="BR58" i="3"/>
  <c r="BU58" i="3"/>
  <c r="BX58" i="3"/>
  <c r="CA58" i="3"/>
  <c r="CD58" i="3"/>
  <c r="CG58" i="3"/>
  <c r="CJ58" i="3"/>
  <c r="CM58" i="3"/>
  <c r="CP58" i="3"/>
  <c r="CS58" i="3"/>
  <c r="CV58" i="3"/>
  <c r="CY58" i="3"/>
  <c r="AB65" i="3"/>
  <c r="AE65" i="3"/>
  <c r="AH65" i="3"/>
  <c r="AK65" i="3"/>
  <c r="AN65" i="3"/>
  <c r="AQ65" i="3"/>
  <c r="AT65" i="3"/>
  <c r="AW65" i="3"/>
  <c r="AZ65" i="3"/>
  <c r="BC65" i="3"/>
  <c r="BF65" i="3"/>
  <c r="BI65" i="3"/>
  <c r="BL65" i="3"/>
  <c r="BO65" i="3"/>
  <c r="BR65" i="3"/>
  <c r="BU65" i="3"/>
  <c r="BX65" i="3"/>
  <c r="CA65" i="3"/>
  <c r="CD65" i="3"/>
  <c r="CG65" i="3"/>
  <c r="CJ65" i="3"/>
  <c r="CM65" i="3"/>
  <c r="CP65" i="3"/>
  <c r="CS65" i="3"/>
  <c r="CV65" i="3"/>
  <c r="CY65" i="3"/>
  <c r="AB71" i="3"/>
  <c r="AE71" i="3"/>
  <c r="AH71" i="3"/>
  <c r="AK71" i="3"/>
  <c r="AN71" i="3"/>
  <c r="AQ71" i="3"/>
  <c r="AT71" i="3"/>
  <c r="AW71" i="3"/>
  <c r="AZ71" i="3"/>
  <c r="BC71" i="3"/>
  <c r="BF71" i="3"/>
  <c r="BI71" i="3"/>
  <c r="BL71" i="3"/>
  <c r="BO71" i="3"/>
  <c r="BR71" i="3"/>
  <c r="BU71" i="3"/>
  <c r="BX71" i="3"/>
  <c r="CA71" i="3"/>
  <c r="CD71" i="3"/>
  <c r="CG71" i="3"/>
  <c r="CJ71" i="3"/>
  <c r="CM71" i="3"/>
  <c r="CP71" i="3"/>
  <c r="CS71" i="3"/>
  <c r="CV71" i="3"/>
  <c r="CY71" i="3"/>
  <c r="AB74" i="3"/>
  <c r="AE74" i="3"/>
  <c r="AH74" i="3"/>
  <c r="AK74" i="3"/>
  <c r="AN74" i="3"/>
  <c r="AQ74" i="3"/>
  <c r="AT74" i="3"/>
  <c r="AW74" i="3"/>
  <c r="AZ74" i="3"/>
  <c r="BC74" i="3"/>
  <c r="BF74" i="3"/>
  <c r="BI74" i="3"/>
  <c r="BL74" i="3"/>
  <c r="BO74" i="3"/>
  <c r="BR74" i="3"/>
  <c r="BU74" i="3"/>
  <c r="BX74" i="3"/>
  <c r="CA74" i="3"/>
  <c r="CD74" i="3"/>
  <c r="CG74" i="3"/>
  <c r="CJ74" i="3"/>
  <c r="CM74" i="3"/>
  <c r="CP74" i="3"/>
  <c r="CS74" i="3"/>
  <c r="CV74" i="3"/>
  <c r="CY74" i="3"/>
  <c r="AB75" i="3"/>
  <c r="AE75" i="3"/>
  <c r="AH75" i="3"/>
  <c r="AK75" i="3"/>
  <c r="AN75" i="3"/>
  <c r="AQ75" i="3"/>
  <c r="AT75" i="3"/>
  <c r="AW75" i="3"/>
  <c r="AZ75" i="3"/>
  <c r="BC75" i="3"/>
  <c r="BF75" i="3"/>
  <c r="BI75" i="3"/>
  <c r="BL75" i="3"/>
  <c r="BO75" i="3"/>
  <c r="BR75" i="3"/>
  <c r="BU75" i="3"/>
  <c r="BX75" i="3"/>
  <c r="CA75" i="3"/>
  <c r="CD75" i="3"/>
  <c r="CG75" i="3"/>
  <c r="CJ75" i="3"/>
  <c r="CM75" i="3"/>
  <c r="CP75" i="3"/>
  <c r="CS75" i="3"/>
  <c r="CV75" i="3"/>
  <c r="CY75" i="3"/>
  <c r="AB79" i="3"/>
  <c r="AE79" i="3"/>
  <c r="AH79" i="3"/>
  <c r="AK79" i="3"/>
  <c r="AN79" i="3"/>
  <c r="AQ79" i="3"/>
  <c r="AT79" i="3"/>
  <c r="AW79" i="3"/>
  <c r="AZ79" i="3"/>
  <c r="BC79" i="3"/>
  <c r="BF79" i="3"/>
  <c r="BI79" i="3"/>
  <c r="BL79" i="3"/>
  <c r="BO79" i="3"/>
  <c r="BR79" i="3"/>
  <c r="BU79" i="3"/>
  <c r="BX79" i="3"/>
  <c r="CA79" i="3"/>
  <c r="CD79" i="3"/>
  <c r="CG79" i="3"/>
  <c r="CJ79" i="3"/>
  <c r="CM79" i="3"/>
  <c r="CP79" i="3"/>
  <c r="CS79" i="3"/>
  <c r="CV79" i="3"/>
  <c r="CY79" i="3"/>
  <c r="AB81" i="3"/>
  <c r="AE81" i="3"/>
  <c r="AH81" i="3"/>
  <c r="AK81" i="3"/>
  <c r="AN81" i="3"/>
  <c r="AQ81" i="3"/>
  <c r="AT81" i="3"/>
  <c r="AW81" i="3"/>
  <c r="AZ81" i="3"/>
  <c r="BC81" i="3"/>
  <c r="BF81" i="3"/>
  <c r="BI81" i="3"/>
  <c r="BL81" i="3"/>
  <c r="BO81" i="3"/>
  <c r="BR81" i="3"/>
  <c r="BU81" i="3"/>
  <c r="BX81" i="3"/>
  <c r="CA81" i="3"/>
  <c r="CD81" i="3"/>
  <c r="CG81" i="3"/>
  <c r="CJ81" i="3"/>
  <c r="CM81" i="3"/>
  <c r="CP81" i="3"/>
  <c r="CS81" i="3"/>
  <c r="CV81" i="3"/>
  <c r="CY81" i="3"/>
  <c r="AB85" i="3"/>
  <c r="AE85" i="3"/>
  <c r="AH85" i="3"/>
  <c r="AK85" i="3"/>
  <c r="AN85" i="3"/>
  <c r="AQ85" i="3"/>
  <c r="AT85" i="3"/>
  <c r="AW85" i="3"/>
  <c r="AZ85" i="3"/>
  <c r="BC85" i="3"/>
  <c r="BF85" i="3"/>
  <c r="BI85" i="3"/>
  <c r="BL85" i="3"/>
  <c r="BO85" i="3"/>
  <c r="BR85" i="3"/>
  <c r="BU85" i="3"/>
  <c r="BX85" i="3"/>
  <c r="CA85" i="3"/>
  <c r="CD85" i="3"/>
  <c r="CG85" i="3"/>
  <c r="CJ85" i="3"/>
  <c r="CM85" i="3"/>
  <c r="CP85" i="3"/>
  <c r="CS85" i="3"/>
  <c r="CV85" i="3"/>
  <c r="CY85" i="3"/>
  <c r="AB134" i="3"/>
  <c r="AE134" i="3"/>
  <c r="AH134" i="3"/>
  <c r="AK134" i="3"/>
  <c r="AN134" i="3"/>
  <c r="AQ134" i="3"/>
  <c r="AT134" i="3"/>
  <c r="AW134" i="3"/>
  <c r="AZ134" i="3"/>
  <c r="BC134" i="3"/>
  <c r="BF134" i="3"/>
  <c r="BI134" i="3"/>
  <c r="BL134" i="3"/>
  <c r="BO134" i="3"/>
  <c r="BR134" i="3"/>
  <c r="BU134" i="3"/>
  <c r="BX134" i="3"/>
  <c r="CA134" i="3"/>
  <c r="CD134" i="3"/>
  <c r="CG134" i="3"/>
  <c r="CJ134" i="3"/>
  <c r="CM134" i="3"/>
  <c r="CP134" i="3"/>
  <c r="CS134" i="3"/>
  <c r="CV134" i="3"/>
  <c r="CY134" i="3"/>
  <c r="AB135" i="3"/>
  <c r="AE135" i="3"/>
  <c r="AH135" i="3"/>
  <c r="AK135" i="3"/>
  <c r="AN135" i="3"/>
  <c r="AQ135" i="3"/>
  <c r="AT135" i="3"/>
  <c r="AW135" i="3"/>
  <c r="AZ135" i="3"/>
  <c r="BC135" i="3"/>
  <c r="BF135" i="3"/>
  <c r="BI135" i="3"/>
  <c r="BL135" i="3"/>
  <c r="BO135" i="3"/>
  <c r="BR135" i="3"/>
  <c r="BU135" i="3"/>
  <c r="BX135" i="3"/>
  <c r="CA135" i="3"/>
  <c r="CD135" i="3"/>
  <c r="CG135" i="3"/>
  <c r="CJ135" i="3"/>
  <c r="CM135" i="3"/>
  <c r="CP135" i="3"/>
  <c r="CS135" i="3"/>
  <c r="CV135" i="3"/>
  <c r="CY135" i="3"/>
  <c r="AB138" i="3"/>
  <c r="AE138" i="3"/>
  <c r="AH138" i="3"/>
  <c r="AK138" i="3"/>
  <c r="AN138" i="3"/>
  <c r="AQ138" i="3"/>
  <c r="AT138" i="3"/>
  <c r="AW138" i="3"/>
  <c r="AZ138" i="3"/>
  <c r="BC138" i="3"/>
  <c r="BF138" i="3"/>
  <c r="BI138" i="3"/>
  <c r="BL138" i="3"/>
  <c r="BO138" i="3"/>
  <c r="BR138" i="3"/>
  <c r="BU138" i="3"/>
  <c r="BX138" i="3"/>
  <c r="CA138" i="3"/>
  <c r="CD138" i="3"/>
  <c r="CG138" i="3"/>
  <c r="CJ138" i="3"/>
  <c r="CM138" i="3"/>
  <c r="CP138" i="3"/>
  <c r="CS138" i="3"/>
  <c r="CV138" i="3"/>
  <c r="CY138" i="3"/>
  <c r="AB142" i="3"/>
  <c r="AE142" i="3"/>
  <c r="AH142" i="3"/>
  <c r="AK142" i="3"/>
  <c r="AN142" i="3"/>
  <c r="AQ142" i="3"/>
  <c r="AT142" i="3"/>
  <c r="AW142" i="3"/>
  <c r="AZ142" i="3"/>
  <c r="BC142" i="3"/>
  <c r="BF142" i="3"/>
  <c r="BI142" i="3"/>
  <c r="BL142" i="3"/>
  <c r="BO142" i="3"/>
  <c r="BR142" i="3"/>
  <c r="BU142" i="3"/>
  <c r="BX142" i="3"/>
  <c r="CA142" i="3"/>
  <c r="CD142" i="3"/>
  <c r="CG142" i="3"/>
  <c r="CJ142" i="3"/>
  <c r="CM142" i="3"/>
  <c r="CP142" i="3"/>
  <c r="CS142" i="3"/>
  <c r="CV142" i="3"/>
  <c r="CY142" i="3"/>
  <c r="AB143" i="3"/>
  <c r="AE143" i="3"/>
  <c r="AH143" i="3"/>
  <c r="AK143" i="3"/>
  <c r="AN143" i="3"/>
  <c r="AQ143" i="3"/>
  <c r="AT143" i="3"/>
  <c r="AW143" i="3"/>
  <c r="AZ143" i="3"/>
  <c r="BC143" i="3"/>
  <c r="BF143" i="3"/>
  <c r="BI143" i="3"/>
  <c r="BL143" i="3"/>
  <c r="BO143" i="3"/>
  <c r="BR143" i="3"/>
  <c r="BU143" i="3"/>
  <c r="BX143" i="3"/>
  <c r="CA143" i="3"/>
  <c r="CD143" i="3"/>
  <c r="CG143" i="3"/>
  <c r="CJ143" i="3"/>
  <c r="CM143" i="3"/>
  <c r="CP143" i="3"/>
  <c r="CS143" i="3"/>
  <c r="CV143" i="3"/>
  <c r="CY143" i="3"/>
  <c r="AB146" i="3"/>
  <c r="AE146" i="3"/>
  <c r="AH146" i="3"/>
  <c r="AK146" i="3"/>
  <c r="AN146" i="3"/>
  <c r="AQ146" i="3"/>
  <c r="AT146" i="3"/>
  <c r="AW146" i="3"/>
  <c r="AZ146" i="3"/>
  <c r="BC146" i="3"/>
  <c r="BF146" i="3"/>
  <c r="BI146" i="3"/>
  <c r="BL146" i="3"/>
  <c r="BO146" i="3"/>
  <c r="BR146" i="3"/>
  <c r="BU146" i="3"/>
  <c r="BX146" i="3"/>
  <c r="CA146" i="3"/>
  <c r="CD146" i="3"/>
  <c r="CG146" i="3"/>
  <c r="CJ146" i="3"/>
  <c r="CM146" i="3"/>
  <c r="CP146" i="3"/>
  <c r="CS146" i="3"/>
  <c r="CV146" i="3"/>
  <c r="CY146" i="3"/>
  <c r="AB151" i="3"/>
  <c r="AE151" i="3"/>
  <c r="AH151" i="3"/>
  <c r="AK151" i="3"/>
  <c r="AN151" i="3"/>
  <c r="AQ151" i="3"/>
  <c r="AT151" i="3"/>
  <c r="AW151" i="3"/>
  <c r="AZ151" i="3"/>
  <c r="BC151" i="3"/>
  <c r="BF151" i="3"/>
  <c r="BI151" i="3"/>
  <c r="BL151" i="3"/>
  <c r="BO151" i="3"/>
  <c r="BR151" i="3"/>
  <c r="BU151" i="3"/>
  <c r="BX151" i="3"/>
  <c r="CA151" i="3"/>
  <c r="CD151" i="3"/>
  <c r="CG151" i="3"/>
  <c r="CJ151" i="3"/>
  <c r="CM151" i="3"/>
  <c r="CP151" i="3"/>
  <c r="CS151" i="3"/>
  <c r="CV151" i="3"/>
  <c r="CY151" i="3"/>
  <c r="AB164" i="3"/>
  <c r="AB166" i="3"/>
  <c r="AE166" i="3"/>
  <c r="AH166" i="3"/>
  <c r="AK166" i="3"/>
  <c r="AN166" i="3"/>
  <c r="AQ166" i="3"/>
  <c r="AT166" i="3"/>
  <c r="AW166" i="3"/>
  <c r="AZ166" i="3"/>
  <c r="BC166" i="3"/>
  <c r="BF166" i="3"/>
  <c r="BI166" i="3"/>
  <c r="BL166" i="3"/>
  <c r="BO166" i="3"/>
  <c r="BR166" i="3"/>
  <c r="BU166" i="3"/>
  <c r="BX166" i="3"/>
  <c r="CA166" i="3"/>
  <c r="CD166" i="3"/>
  <c r="CG166" i="3"/>
  <c r="CJ166" i="3"/>
  <c r="CM166" i="3"/>
  <c r="CP166" i="3"/>
  <c r="CS166" i="3"/>
  <c r="CV166" i="3"/>
  <c r="CY166" i="3"/>
  <c r="AB171" i="3"/>
  <c r="AE171" i="3"/>
  <c r="AH171" i="3"/>
  <c r="AK171" i="3"/>
  <c r="AN171" i="3"/>
  <c r="AQ171" i="3"/>
  <c r="AT171" i="3"/>
  <c r="AW171" i="3"/>
  <c r="AZ171" i="3"/>
  <c r="BC171" i="3"/>
  <c r="BF171" i="3"/>
  <c r="BI171" i="3"/>
  <c r="BL171" i="3"/>
  <c r="BO171" i="3"/>
  <c r="BR171" i="3"/>
  <c r="BU171" i="3"/>
  <c r="BX171" i="3"/>
  <c r="CA171" i="3"/>
  <c r="CD171" i="3"/>
  <c r="CG171" i="3"/>
  <c r="CJ171" i="3"/>
  <c r="CM171" i="3"/>
  <c r="CP171" i="3"/>
  <c r="CS171" i="3"/>
  <c r="CV171" i="3"/>
  <c r="CY171" i="3"/>
  <c r="AB172" i="3"/>
  <c r="AE172" i="3"/>
  <c r="AH172" i="3"/>
  <c r="AK172" i="3"/>
  <c r="AN172" i="3"/>
  <c r="AQ172" i="3"/>
  <c r="AT172" i="3"/>
  <c r="AW172" i="3"/>
  <c r="AZ172" i="3"/>
  <c r="BC172" i="3"/>
  <c r="BF172" i="3"/>
  <c r="BI172" i="3"/>
  <c r="BL172" i="3"/>
  <c r="BO172" i="3"/>
  <c r="BR172" i="3"/>
  <c r="BU172" i="3"/>
  <c r="BX172" i="3"/>
  <c r="CA172" i="3"/>
  <c r="CD172" i="3"/>
  <c r="CG172" i="3"/>
  <c r="CJ172" i="3"/>
  <c r="CM172" i="3"/>
  <c r="CP172" i="3"/>
  <c r="CS172" i="3"/>
  <c r="CV172" i="3"/>
  <c r="CY172" i="3"/>
  <c r="AB173" i="3"/>
  <c r="AE173" i="3"/>
  <c r="AH173" i="3"/>
  <c r="AK173" i="3"/>
  <c r="AN173" i="3"/>
  <c r="AQ173" i="3"/>
  <c r="AT173" i="3"/>
  <c r="AW173" i="3"/>
  <c r="AZ173" i="3"/>
  <c r="BC173" i="3"/>
  <c r="BF173" i="3"/>
  <c r="BI173" i="3"/>
  <c r="BL173" i="3"/>
  <c r="BO173" i="3"/>
  <c r="BR173" i="3"/>
  <c r="BU173" i="3"/>
  <c r="BX173" i="3"/>
  <c r="CA173" i="3"/>
  <c r="CD173" i="3"/>
  <c r="CG173" i="3"/>
  <c r="CJ173" i="3"/>
  <c r="CM173" i="3"/>
  <c r="CP173" i="3"/>
  <c r="CS173" i="3"/>
  <c r="CV173" i="3"/>
  <c r="CY173" i="3"/>
  <c r="AB176" i="3"/>
  <c r="AE176" i="3"/>
  <c r="AH176" i="3"/>
  <c r="AK176" i="3"/>
  <c r="AN176" i="3"/>
  <c r="AQ176" i="3"/>
  <c r="AT176" i="3"/>
  <c r="AW176" i="3"/>
  <c r="AZ176" i="3"/>
  <c r="BC176" i="3"/>
  <c r="BF176" i="3"/>
  <c r="BI176" i="3"/>
  <c r="BL176" i="3"/>
  <c r="BO176" i="3"/>
  <c r="BR176" i="3"/>
  <c r="BU176" i="3"/>
  <c r="BX176" i="3"/>
  <c r="CA176" i="3"/>
  <c r="CD176" i="3"/>
  <c r="CG176" i="3"/>
  <c r="CJ176" i="3"/>
  <c r="CM176" i="3"/>
  <c r="CP176" i="3"/>
  <c r="CS176" i="3"/>
  <c r="CV176" i="3"/>
  <c r="CY176" i="3"/>
  <c r="AB177" i="3"/>
  <c r="AE177" i="3"/>
  <c r="AH177" i="3"/>
  <c r="AK177" i="3"/>
  <c r="AN177" i="3"/>
  <c r="AQ177" i="3"/>
  <c r="AT177" i="3"/>
  <c r="AW177" i="3"/>
  <c r="AZ177" i="3"/>
  <c r="BC177" i="3"/>
  <c r="BF177" i="3"/>
  <c r="BI177" i="3"/>
  <c r="BL177" i="3"/>
  <c r="BO177" i="3"/>
  <c r="BR177" i="3"/>
  <c r="BU177" i="3"/>
  <c r="BX177" i="3"/>
  <c r="CA177" i="3"/>
  <c r="CD177" i="3"/>
  <c r="CG177" i="3"/>
  <c r="CJ177" i="3"/>
  <c r="CM177" i="3"/>
  <c r="CP177" i="3"/>
  <c r="CS177" i="3"/>
  <c r="CV177" i="3"/>
  <c r="CY177" i="3"/>
  <c r="AB180" i="3"/>
  <c r="AE180" i="3"/>
  <c r="AH180" i="3"/>
  <c r="AK180" i="3"/>
  <c r="AN180" i="3"/>
  <c r="AQ180" i="3"/>
  <c r="AT180" i="3"/>
  <c r="AW180" i="3"/>
  <c r="AZ180" i="3"/>
  <c r="BC180" i="3"/>
  <c r="BF180" i="3"/>
  <c r="BI180" i="3"/>
  <c r="BL180" i="3"/>
  <c r="BO180" i="3"/>
  <c r="BR180" i="3"/>
  <c r="BU180" i="3"/>
  <c r="BX180" i="3"/>
  <c r="CA180" i="3"/>
  <c r="CD180" i="3"/>
  <c r="CG180" i="3"/>
  <c r="CJ180" i="3"/>
  <c r="CM180" i="3"/>
  <c r="CP180" i="3"/>
  <c r="CS180" i="3"/>
  <c r="CV180" i="3"/>
  <c r="CY180" i="3"/>
  <c r="AB182" i="3"/>
  <c r="AB184" i="3"/>
  <c r="AE184" i="3"/>
  <c r="AH184" i="3"/>
  <c r="AK184" i="3"/>
  <c r="AN184" i="3"/>
  <c r="AQ184" i="3"/>
  <c r="AT184" i="3"/>
  <c r="AW184" i="3"/>
  <c r="AZ184" i="3"/>
  <c r="BC184" i="3"/>
  <c r="BF184" i="3"/>
  <c r="BI184" i="3"/>
  <c r="BL184" i="3"/>
  <c r="BO184" i="3"/>
  <c r="BR184" i="3"/>
  <c r="BU184" i="3"/>
  <c r="BX184" i="3"/>
  <c r="CA184" i="3"/>
  <c r="CD184" i="3"/>
  <c r="CG184" i="3"/>
  <c r="CJ184" i="3"/>
  <c r="CM184" i="3"/>
  <c r="CP184" i="3"/>
  <c r="CS184" i="3"/>
  <c r="CV184" i="3"/>
  <c r="CY184" i="3"/>
  <c r="AB186" i="3"/>
  <c r="AE186" i="3"/>
  <c r="AH186" i="3"/>
  <c r="AK186" i="3"/>
  <c r="AN186" i="3"/>
  <c r="AQ186" i="3"/>
  <c r="AT186" i="3"/>
  <c r="AW186" i="3"/>
  <c r="AZ186" i="3"/>
  <c r="BC186" i="3"/>
  <c r="BF186" i="3"/>
  <c r="BI186" i="3"/>
  <c r="BL186" i="3"/>
  <c r="BO186" i="3"/>
  <c r="BR186" i="3"/>
  <c r="BU186" i="3"/>
  <c r="BX186" i="3"/>
  <c r="CA186" i="3"/>
  <c r="CD186" i="3"/>
  <c r="CG186" i="3"/>
  <c r="CJ186" i="3"/>
  <c r="CM186" i="3"/>
  <c r="CP186" i="3"/>
  <c r="CS186" i="3"/>
  <c r="CV186" i="3"/>
  <c r="CY186" i="3"/>
  <c r="AB187" i="3"/>
  <c r="AE187" i="3"/>
  <c r="AH187" i="3"/>
  <c r="AK187" i="3"/>
  <c r="AN187" i="3"/>
  <c r="AQ187" i="3"/>
  <c r="AT187" i="3"/>
  <c r="AW187" i="3"/>
  <c r="AZ187" i="3"/>
  <c r="BC187" i="3"/>
  <c r="BF187" i="3"/>
  <c r="BI187" i="3"/>
  <c r="BL187" i="3"/>
  <c r="BO187" i="3"/>
  <c r="BR187" i="3"/>
  <c r="BU187" i="3"/>
  <c r="BX187" i="3"/>
  <c r="CA187" i="3"/>
  <c r="CD187" i="3"/>
  <c r="CG187" i="3"/>
  <c r="CJ187" i="3"/>
  <c r="CM187" i="3"/>
  <c r="CP187" i="3"/>
  <c r="CS187" i="3"/>
  <c r="CV187" i="3"/>
  <c r="CY187" i="3"/>
  <c r="AB189" i="3"/>
  <c r="AE189" i="3"/>
  <c r="AH189" i="3"/>
  <c r="AK189" i="3"/>
  <c r="AN189" i="3"/>
  <c r="AQ189" i="3"/>
  <c r="AT189" i="3"/>
  <c r="AW189" i="3"/>
  <c r="AZ189" i="3"/>
  <c r="BC189" i="3"/>
  <c r="BF189" i="3"/>
  <c r="BI189" i="3"/>
  <c r="BL189" i="3"/>
  <c r="BO189" i="3"/>
  <c r="BR189" i="3"/>
  <c r="BU189" i="3"/>
  <c r="BX189" i="3"/>
  <c r="CA189" i="3"/>
  <c r="CD189" i="3"/>
  <c r="CG189" i="3"/>
  <c r="CJ189" i="3"/>
  <c r="CM189" i="3"/>
  <c r="CP189" i="3"/>
  <c r="CS189" i="3"/>
  <c r="CV189" i="3"/>
  <c r="CY189" i="3"/>
  <c r="AB190" i="3"/>
  <c r="AE190" i="3"/>
  <c r="AH190" i="3"/>
  <c r="AK190" i="3"/>
  <c r="AN190" i="3"/>
  <c r="AQ190" i="3"/>
  <c r="AT190" i="3"/>
  <c r="AW190" i="3"/>
  <c r="AZ190" i="3"/>
  <c r="BC190" i="3"/>
  <c r="BF190" i="3"/>
  <c r="BI190" i="3"/>
  <c r="BL190" i="3"/>
  <c r="BO190" i="3"/>
  <c r="BR190" i="3"/>
  <c r="BU190" i="3"/>
  <c r="BX190" i="3"/>
  <c r="CA190" i="3"/>
  <c r="CD190" i="3"/>
  <c r="CG190" i="3"/>
  <c r="CJ190" i="3"/>
  <c r="CM190" i="3"/>
  <c r="CP190" i="3"/>
  <c r="CS190" i="3"/>
  <c r="CV190" i="3"/>
  <c r="CY190" i="3"/>
  <c r="AB193" i="3"/>
  <c r="AE193" i="3"/>
  <c r="AH193" i="3"/>
  <c r="AK193" i="3"/>
  <c r="AN193" i="3"/>
  <c r="AQ193" i="3"/>
  <c r="AT193" i="3"/>
  <c r="AW193" i="3"/>
  <c r="AZ193" i="3"/>
  <c r="BC193" i="3"/>
  <c r="BF193" i="3"/>
  <c r="BI193" i="3"/>
  <c r="BL193" i="3"/>
  <c r="BO193" i="3"/>
  <c r="BR193" i="3"/>
  <c r="BU193" i="3"/>
  <c r="BX193" i="3"/>
  <c r="CA193" i="3"/>
  <c r="CD193" i="3"/>
  <c r="CG193" i="3"/>
  <c r="CJ193" i="3"/>
  <c r="CM193" i="3"/>
  <c r="CP193" i="3"/>
  <c r="CS193" i="3"/>
  <c r="CV193" i="3"/>
  <c r="CY193" i="3"/>
  <c r="AB194" i="3"/>
  <c r="AE194" i="3"/>
  <c r="AH194" i="3"/>
  <c r="AK194" i="3"/>
  <c r="AN194" i="3"/>
  <c r="AQ194" i="3"/>
  <c r="AT194" i="3"/>
  <c r="AW194" i="3"/>
  <c r="AZ194" i="3"/>
  <c r="BC194" i="3"/>
  <c r="BF194" i="3"/>
  <c r="BI194" i="3"/>
  <c r="BL194" i="3"/>
  <c r="BO194" i="3"/>
  <c r="BR194" i="3"/>
  <c r="BU194" i="3"/>
  <c r="BX194" i="3"/>
  <c r="CA194" i="3"/>
  <c r="CD194" i="3"/>
  <c r="CG194" i="3"/>
  <c r="CJ194" i="3"/>
  <c r="CM194" i="3"/>
  <c r="CP194" i="3"/>
  <c r="CS194" i="3"/>
  <c r="CV194" i="3"/>
  <c r="CY194" i="3"/>
  <c r="AB199" i="3"/>
  <c r="AE199" i="3"/>
  <c r="AH199" i="3"/>
  <c r="AK199" i="3"/>
  <c r="AN199" i="3"/>
  <c r="AQ199" i="3"/>
  <c r="AT199" i="3"/>
  <c r="AW199" i="3"/>
  <c r="AZ199" i="3"/>
  <c r="BC199" i="3"/>
  <c r="BF199" i="3"/>
  <c r="BI199" i="3"/>
  <c r="BL199" i="3"/>
  <c r="BO199" i="3"/>
  <c r="BR199" i="3"/>
  <c r="BU199" i="3"/>
  <c r="BX199" i="3"/>
  <c r="CA199" i="3"/>
  <c r="CD199" i="3"/>
  <c r="CG199" i="3"/>
  <c r="CJ199" i="3"/>
  <c r="CM199" i="3"/>
  <c r="CP199" i="3"/>
  <c r="CS199" i="3"/>
  <c r="CV199" i="3"/>
  <c r="CY199" i="3"/>
  <c r="AB203" i="3"/>
  <c r="AE203" i="3"/>
  <c r="AH203" i="3"/>
  <c r="AK203" i="3"/>
  <c r="AN203" i="3"/>
  <c r="AQ203" i="3"/>
  <c r="AT203" i="3"/>
  <c r="AW203" i="3"/>
  <c r="AZ203" i="3"/>
  <c r="BC203" i="3"/>
  <c r="BF203" i="3"/>
  <c r="BI203" i="3"/>
  <c r="BL203" i="3"/>
  <c r="BO203" i="3"/>
  <c r="BR203" i="3"/>
  <c r="BU203" i="3"/>
  <c r="BX203" i="3"/>
  <c r="CA203" i="3"/>
  <c r="CD203" i="3"/>
  <c r="CG203" i="3"/>
  <c r="CJ203" i="3"/>
  <c r="CM203" i="3"/>
  <c r="CP203" i="3"/>
  <c r="CS203" i="3"/>
  <c r="CV203" i="3"/>
  <c r="CY203" i="3"/>
  <c r="AB204" i="3"/>
  <c r="AE204" i="3"/>
  <c r="AH204" i="3"/>
  <c r="AK204" i="3"/>
  <c r="AN204" i="3"/>
  <c r="AQ204" i="3"/>
  <c r="AT204" i="3"/>
  <c r="AW204" i="3"/>
  <c r="AZ204" i="3"/>
  <c r="BC204" i="3"/>
  <c r="BF204" i="3"/>
  <c r="BI204" i="3"/>
  <c r="BL204" i="3"/>
  <c r="BO204" i="3"/>
  <c r="BR204" i="3"/>
  <c r="BU204" i="3"/>
  <c r="BX204" i="3"/>
  <c r="CA204" i="3"/>
  <c r="CD204" i="3"/>
  <c r="CG204" i="3"/>
  <c r="CJ204" i="3"/>
  <c r="CM204" i="3"/>
  <c r="CP204" i="3"/>
  <c r="CS204" i="3"/>
  <c r="CV204" i="3"/>
  <c r="CY204" i="3"/>
  <c r="AB241" i="3"/>
  <c r="AE241" i="3"/>
  <c r="AH241" i="3"/>
  <c r="AK241" i="3"/>
  <c r="AN241" i="3"/>
  <c r="AQ241" i="3"/>
  <c r="AT241" i="3"/>
  <c r="AW241" i="3"/>
  <c r="AZ241" i="3"/>
  <c r="BC241" i="3"/>
  <c r="BF241" i="3"/>
  <c r="BI241" i="3"/>
  <c r="BL241" i="3"/>
  <c r="BO241" i="3"/>
  <c r="BR241" i="3"/>
  <c r="BU241" i="3"/>
  <c r="BX241" i="3"/>
  <c r="CA241" i="3"/>
  <c r="CD241" i="3"/>
  <c r="CG241" i="3"/>
  <c r="CJ241" i="3"/>
  <c r="CM241" i="3"/>
  <c r="CP241" i="3"/>
  <c r="CS241" i="3"/>
  <c r="CV241" i="3"/>
  <c r="CY241" i="3"/>
  <c r="AB242" i="3"/>
  <c r="AE242" i="3"/>
  <c r="AH242" i="3"/>
  <c r="AK242" i="3"/>
  <c r="AN242" i="3"/>
  <c r="AQ242" i="3"/>
  <c r="AT242" i="3"/>
  <c r="AW242" i="3"/>
  <c r="AZ242" i="3"/>
  <c r="BC242" i="3"/>
  <c r="BF242" i="3"/>
  <c r="BI242" i="3"/>
  <c r="BL242" i="3"/>
  <c r="BO242" i="3"/>
  <c r="BR242" i="3"/>
  <c r="BU242" i="3"/>
  <c r="BX242" i="3"/>
  <c r="CA242" i="3"/>
  <c r="CD242" i="3"/>
  <c r="CG242" i="3"/>
  <c r="CJ242" i="3"/>
  <c r="CM242" i="3"/>
  <c r="CP242" i="3"/>
  <c r="CS242" i="3"/>
  <c r="CV242" i="3"/>
  <c r="CY242" i="3"/>
  <c r="AB245" i="3"/>
  <c r="AE245" i="3"/>
  <c r="AH245" i="3"/>
  <c r="AK245" i="3"/>
  <c r="AN245" i="3"/>
  <c r="AQ245" i="3"/>
  <c r="AT245" i="3"/>
  <c r="AW245" i="3"/>
  <c r="AZ245" i="3"/>
  <c r="BC245" i="3"/>
  <c r="BF245" i="3"/>
  <c r="BI245" i="3"/>
  <c r="BL245" i="3"/>
  <c r="BO245" i="3"/>
  <c r="BR245" i="3"/>
  <c r="BU245" i="3"/>
  <c r="BX245" i="3"/>
  <c r="CA245" i="3"/>
  <c r="CD245" i="3"/>
  <c r="CG245" i="3"/>
  <c r="CJ245" i="3"/>
  <c r="CM245" i="3"/>
  <c r="CP245" i="3"/>
  <c r="CS245" i="3"/>
  <c r="CV245" i="3"/>
  <c r="CY245" i="3"/>
  <c r="AB246" i="3"/>
  <c r="AE246" i="3"/>
  <c r="AH246" i="3"/>
  <c r="AK246" i="3"/>
  <c r="AN246" i="3"/>
  <c r="AQ246" i="3"/>
  <c r="AT246" i="3"/>
  <c r="AW246" i="3"/>
  <c r="AZ246" i="3"/>
  <c r="BC246" i="3"/>
  <c r="BF246" i="3"/>
  <c r="BI246" i="3"/>
  <c r="BL246" i="3"/>
  <c r="BO246" i="3"/>
  <c r="BR246" i="3"/>
  <c r="BU246" i="3"/>
  <c r="BX246" i="3"/>
  <c r="CA246" i="3"/>
  <c r="CD246" i="3"/>
  <c r="CG246" i="3"/>
  <c r="CJ246" i="3"/>
  <c r="CM246" i="3"/>
  <c r="CP246" i="3"/>
  <c r="CS246" i="3"/>
  <c r="CV246" i="3"/>
  <c r="CY246" i="3"/>
  <c r="AB250" i="3"/>
  <c r="AE250" i="3"/>
  <c r="AH250" i="3"/>
  <c r="AK250" i="3"/>
  <c r="AN250" i="3"/>
  <c r="AQ250" i="3"/>
  <c r="AT250" i="3"/>
  <c r="AW250" i="3"/>
  <c r="AZ250" i="3"/>
  <c r="BC250" i="3"/>
  <c r="BF250" i="3"/>
  <c r="BI250" i="3"/>
  <c r="BL250" i="3"/>
  <c r="BO250" i="3"/>
  <c r="BR250" i="3"/>
  <c r="BU250" i="3"/>
  <c r="BX250" i="3"/>
  <c r="CA250" i="3"/>
  <c r="CD250" i="3"/>
  <c r="CG250" i="3"/>
  <c r="CJ250" i="3"/>
  <c r="CM250" i="3"/>
  <c r="CP250" i="3"/>
  <c r="CS250" i="3"/>
  <c r="CV250" i="3"/>
  <c r="CY250" i="3"/>
  <c r="AB251" i="3"/>
  <c r="AE251" i="3"/>
  <c r="AH251" i="3"/>
  <c r="AK251" i="3"/>
  <c r="AN251" i="3"/>
  <c r="AQ251" i="3"/>
  <c r="AT251" i="3"/>
  <c r="AW251" i="3"/>
  <c r="AZ251" i="3"/>
  <c r="BC251" i="3"/>
  <c r="BF251" i="3"/>
  <c r="BI251" i="3"/>
  <c r="BL251" i="3"/>
  <c r="BO251" i="3"/>
  <c r="BR251" i="3"/>
  <c r="BU251" i="3"/>
  <c r="BX251" i="3"/>
  <c r="CA251" i="3"/>
  <c r="CD251" i="3"/>
  <c r="CG251" i="3"/>
  <c r="CJ251" i="3"/>
  <c r="CM251" i="3"/>
  <c r="CP251" i="3"/>
  <c r="CS251" i="3"/>
  <c r="CV251" i="3"/>
  <c r="CY251" i="3"/>
  <c r="AB254" i="3"/>
  <c r="AE254" i="3"/>
  <c r="AH254" i="3"/>
  <c r="AK254" i="3"/>
  <c r="AN254" i="3"/>
  <c r="AQ254" i="3"/>
  <c r="AT254" i="3"/>
  <c r="AW254" i="3"/>
  <c r="AZ254" i="3"/>
  <c r="BC254" i="3"/>
  <c r="BF254" i="3"/>
  <c r="BI254" i="3"/>
  <c r="BL254" i="3"/>
  <c r="BO254" i="3"/>
  <c r="BR254" i="3"/>
  <c r="BU254" i="3"/>
  <c r="BX254" i="3"/>
  <c r="CA254" i="3"/>
  <c r="CD254" i="3"/>
  <c r="CG254" i="3"/>
  <c r="CJ254" i="3"/>
  <c r="CM254" i="3"/>
  <c r="CP254" i="3"/>
  <c r="CS254" i="3"/>
  <c r="CV254" i="3"/>
  <c r="CY254" i="3"/>
  <c r="AB255" i="3"/>
  <c r="AE255" i="3"/>
  <c r="AH255" i="3"/>
  <c r="AK255" i="3"/>
  <c r="AN255" i="3"/>
  <c r="AQ255" i="3"/>
  <c r="AT255" i="3"/>
  <c r="AW255" i="3"/>
  <c r="AZ255" i="3"/>
  <c r="BC255" i="3"/>
  <c r="BF255" i="3"/>
  <c r="BI255" i="3"/>
  <c r="BL255" i="3"/>
  <c r="BO255" i="3"/>
  <c r="BR255" i="3"/>
  <c r="BU255" i="3"/>
  <c r="BX255" i="3"/>
  <c r="CA255" i="3"/>
  <c r="CD255" i="3"/>
  <c r="CG255" i="3"/>
  <c r="CJ255" i="3"/>
  <c r="CM255" i="3"/>
  <c r="CP255" i="3"/>
  <c r="CS255" i="3"/>
  <c r="CV255" i="3"/>
  <c r="CY255" i="3"/>
  <c r="AB258" i="3"/>
  <c r="AE258" i="3"/>
  <c r="AH258" i="3"/>
  <c r="AK258" i="3"/>
  <c r="AN258" i="3"/>
  <c r="AQ258" i="3"/>
  <c r="AT258" i="3"/>
  <c r="AW258" i="3"/>
  <c r="AZ258" i="3"/>
  <c r="BC258" i="3"/>
  <c r="BF258" i="3"/>
  <c r="BI258" i="3"/>
  <c r="BL258" i="3"/>
  <c r="BO258" i="3"/>
  <c r="BR258" i="3"/>
  <c r="BU258" i="3"/>
  <c r="BX258" i="3"/>
  <c r="CA258" i="3"/>
  <c r="CD258" i="3"/>
  <c r="CG258" i="3"/>
  <c r="CJ258" i="3"/>
  <c r="CM258" i="3"/>
  <c r="CP258" i="3"/>
  <c r="CS258" i="3"/>
  <c r="CV258" i="3"/>
  <c r="CY258" i="3"/>
  <c r="AB259" i="3"/>
  <c r="AE259" i="3"/>
  <c r="AH259" i="3"/>
  <c r="AK259" i="3"/>
  <c r="AN259" i="3"/>
  <c r="AQ259" i="3"/>
  <c r="AT259" i="3"/>
  <c r="AW259" i="3"/>
  <c r="AZ259" i="3"/>
  <c r="BC259" i="3"/>
  <c r="BF259" i="3"/>
  <c r="BI259" i="3"/>
  <c r="BL259" i="3"/>
  <c r="BO259" i="3"/>
  <c r="BR259" i="3"/>
  <c r="BU259" i="3"/>
  <c r="BX259" i="3"/>
  <c r="CA259" i="3"/>
  <c r="CD259" i="3"/>
  <c r="CG259" i="3"/>
  <c r="CJ259" i="3"/>
  <c r="CM259" i="3"/>
  <c r="CP259" i="3"/>
  <c r="CS259" i="3"/>
  <c r="CV259" i="3"/>
  <c r="CY259" i="3"/>
  <c r="AB264" i="3"/>
  <c r="AE264" i="3"/>
  <c r="AH264" i="3"/>
  <c r="AK264" i="3"/>
  <c r="AN264" i="3"/>
  <c r="AQ264" i="3"/>
  <c r="AT264" i="3"/>
  <c r="AW264" i="3"/>
  <c r="AZ264" i="3"/>
  <c r="BC264" i="3"/>
  <c r="BF264" i="3"/>
  <c r="BI264" i="3"/>
  <c r="BL264" i="3"/>
  <c r="BO264" i="3"/>
  <c r="BR264" i="3"/>
  <c r="BU264" i="3"/>
  <c r="BX264" i="3"/>
  <c r="CA264" i="3"/>
  <c r="CD264" i="3"/>
  <c r="CG264" i="3"/>
  <c r="CJ264" i="3"/>
  <c r="CM264" i="3"/>
  <c r="CP264" i="3"/>
  <c r="CS264" i="3"/>
  <c r="CV264" i="3"/>
  <c r="CY264" i="3"/>
  <c r="AB265" i="3"/>
  <c r="AE265" i="3"/>
  <c r="AH265" i="3"/>
  <c r="AK265" i="3"/>
  <c r="AN265" i="3"/>
  <c r="AQ265" i="3"/>
  <c r="AT265" i="3"/>
  <c r="AW265" i="3"/>
  <c r="AZ265" i="3"/>
  <c r="BC265" i="3"/>
  <c r="BF265" i="3"/>
  <c r="BI265" i="3"/>
  <c r="BL265" i="3"/>
  <c r="BO265" i="3"/>
  <c r="BR265" i="3"/>
  <c r="BU265" i="3"/>
  <c r="BX265" i="3"/>
  <c r="CA265" i="3"/>
  <c r="CD265" i="3"/>
  <c r="CG265" i="3"/>
  <c r="CJ265" i="3"/>
  <c r="CM265" i="3"/>
  <c r="CP265" i="3"/>
  <c r="CS265" i="3"/>
  <c r="CV265" i="3"/>
  <c r="CY265" i="3"/>
  <c r="AB268" i="3"/>
  <c r="AE268" i="3"/>
  <c r="AH268" i="3"/>
  <c r="AK268" i="3"/>
  <c r="AN268" i="3"/>
  <c r="AQ268" i="3"/>
  <c r="AT268" i="3"/>
  <c r="AW268" i="3"/>
  <c r="AZ268" i="3"/>
  <c r="BC268" i="3"/>
  <c r="BF268" i="3"/>
  <c r="BI268" i="3"/>
  <c r="BL268" i="3"/>
  <c r="BO268" i="3"/>
  <c r="BR268" i="3"/>
  <c r="BU268" i="3"/>
  <c r="BX268" i="3"/>
  <c r="CA268" i="3"/>
  <c r="CD268" i="3"/>
  <c r="CG268" i="3"/>
  <c r="CJ268" i="3"/>
  <c r="CM268" i="3"/>
  <c r="CP268" i="3"/>
  <c r="CS268" i="3"/>
  <c r="CV268" i="3"/>
  <c r="CY268" i="3"/>
  <c r="AB272" i="3"/>
  <c r="AE272" i="3"/>
  <c r="AH272" i="3"/>
  <c r="AK272" i="3"/>
  <c r="AN272" i="3"/>
  <c r="AQ272" i="3"/>
  <c r="AT272" i="3"/>
  <c r="AW272" i="3"/>
  <c r="AZ272" i="3"/>
  <c r="BC272" i="3"/>
  <c r="BF272" i="3"/>
  <c r="BI272" i="3"/>
  <c r="BL272" i="3"/>
  <c r="BO272" i="3"/>
  <c r="BR272" i="3"/>
  <c r="BU272" i="3"/>
  <c r="BX272" i="3"/>
  <c r="CA272" i="3"/>
  <c r="CD272" i="3"/>
  <c r="CG272" i="3"/>
  <c r="CJ272" i="3"/>
  <c r="CM272" i="3"/>
  <c r="CP272" i="3"/>
  <c r="CS272" i="3"/>
  <c r="CV272" i="3"/>
  <c r="CY272" i="3"/>
  <c r="AB273" i="3"/>
  <c r="AE273" i="3"/>
  <c r="AH273" i="3"/>
  <c r="AK273" i="3"/>
  <c r="AN273" i="3"/>
  <c r="AQ273" i="3"/>
  <c r="AT273" i="3"/>
  <c r="AW273" i="3"/>
  <c r="AZ273" i="3"/>
  <c r="BC273" i="3"/>
  <c r="BF273" i="3"/>
  <c r="BI273" i="3"/>
  <c r="BL273" i="3"/>
  <c r="BO273" i="3"/>
  <c r="BR273" i="3"/>
  <c r="BU273" i="3"/>
  <c r="BX273" i="3"/>
  <c r="CA273" i="3"/>
  <c r="CD273" i="3"/>
  <c r="CG273" i="3"/>
  <c r="CJ273" i="3"/>
  <c r="CM273" i="3"/>
  <c r="CP273" i="3"/>
  <c r="CS273" i="3"/>
  <c r="CV273" i="3"/>
  <c r="CY273" i="3"/>
  <c r="AB282" i="3"/>
  <c r="AE282" i="3"/>
  <c r="AH282" i="3"/>
  <c r="AK282" i="3"/>
  <c r="AN282" i="3"/>
  <c r="AQ282" i="3"/>
  <c r="AT282" i="3"/>
  <c r="AW282" i="3"/>
  <c r="AZ282" i="3"/>
  <c r="BC282" i="3"/>
  <c r="BF282" i="3"/>
  <c r="BI282" i="3"/>
  <c r="BL282" i="3"/>
  <c r="BO282" i="3"/>
  <c r="BR282" i="3"/>
  <c r="BU282" i="3"/>
  <c r="BX282" i="3"/>
  <c r="CA282" i="3"/>
  <c r="CD282" i="3"/>
  <c r="CG282" i="3"/>
  <c r="CJ282" i="3"/>
  <c r="CM282" i="3"/>
  <c r="CP282" i="3"/>
  <c r="CS282" i="3"/>
  <c r="CV282" i="3"/>
  <c r="CY282" i="3"/>
  <c r="AB284" i="3"/>
  <c r="AE284" i="3"/>
  <c r="AH284" i="3"/>
  <c r="AK284" i="3"/>
  <c r="AN284" i="3"/>
  <c r="AQ284" i="3"/>
  <c r="AT284" i="3"/>
  <c r="AW284" i="3"/>
  <c r="AZ284" i="3"/>
  <c r="BC284" i="3"/>
  <c r="BF284" i="3"/>
  <c r="BI284" i="3"/>
  <c r="BL284" i="3"/>
  <c r="BO284" i="3"/>
  <c r="BR284" i="3"/>
  <c r="BU284" i="3"/>
  <c r="BX284" i="3"/>
  <c r="CA284" i="3"/>
  <c r="CD284" i="3"/>
  <c r="CG284" i="3"/>
  <c r="CJ284" i="3"/>
  <c r="CM284" i="3"/>
  <c r="CP284" i="3"/>
  <c r="CS284" i="3"/>
  <c r="CV284" i="3"/>
  <c r="CY284" i="3"/>
  <c r="AB286" i="3"/>
  <c r="AE286" i="3"/>
  <c r="AH286" i="3"/>
  <c r="AK286" i="3"/>
  <c r="AN286" i="3"/>
  <c r="AQ286" i="3"/>
  <c r="AT286" i="3"/>
  <c r="AW286" i="3"/>
  <c r="AZ286" i="3"/>
  <c r="BC286" i="3"/>
  <c r="BF286" i="3"/>
  <c r="BI286" i="3"/>
  <c r="AB293" i="3"/>
  <c r="AE293" i="3"/>
  <c r="AH293" i="3"/>
  <c r="AK293" i="3"/>
  <c r="AN293" i="3"/>
  <c r="AQ293" i="3"/>
  <c r="AT293" i="3"/>
  <c r="AW293" i="3"/>
  <c r="AZ293" i="3"/>
  <c r="BC293" i="3"/>
  <c r="BF293" i="3"/>
  <c r="BI293" i="3"/>
  <c r="BL293" i="3"/>
  <c r="BO293" i="3"/>
  <c r="BR293" i="3"/>
  <c r="BU293" i="3"/>
  <c r="BX293" i="3"/>
  <c r="CA293" i="3"/>
  <c r="CD293" i="3"/>
  <c r="CG293" i="3"/>
  <c r="CJ293" i="3"/>
  <c r="CM293" i="3"/>
  <c r="CP293" i="3"/>
  <c r="CS293" i="3"/>
  <c r="CV293" i="3"/>
  <c r="CY293" i="3"/>
  <c r="AB295" i="3"/>
  <c r="AE295" i="3"/>
  <c r="AH295" i="3"/>
  <c r="AK295" i="3"/>
  <c r="AN295" i="3"/>
  <c r="AQ295" i="3"/>
  <c r="AT295" i="3"/>
  <c r="AW295" i="3"/>
  <c r="AZ295" i="3"/>
  <c r="BC295" i="3"/>
  <c r="BF295" i="3"/>
  <c r="BI295" i="3"/>
  <c r="BL295" i="3"/>
  <c r="BO295" i="3"/>
  <c r="BR295" i="3"/>
  <c r="BU295" i="3"/>
  <c r="BX295" i="3"/>
  <c r="CA295" i="3"/>
  <c r="CD295" i="3"/>
  <c r="CG295" i="3"/>
  <c r="CJ295" i="3"/>
  <c r="CM295" i="3"/>
  <c r="CP295" i="3"/>
  <c r="CS295" i="3"/>
  <c r="CV295" i="3"/>
  <c r="CY295" i="3"/>
  <c r="AB297" i="3"/>
  <c r="AE297" i="3"/>
  <c r="AH297" i="3"/>
  <c r="AK297" i="3"/>
  <c r="AN297" i="3"/>
  <c r="AQ297" i="3"/>
  <c r="AT297" i="3"/>
  <c r="AW297" i="3"/>
  <c r="AZ297" i="3"/>
  <c r="BC297" i="3"/>
  <c r="BF297" i="3"/>
  <c r="BI297" i="3"/>
  <c r="BL297" i="3"/>
  <c r="BO297" i="3"/>
  <c r="BR297" i="3"/>
  <c r="BU297" i="3"/>
  <c r="BX297" i="3"/>
  <c r="CA297" i="3"/>
  <c r="CD297" i="3"/>
  <c r="CG297" i="3"/>
  <c r="CJ297" i="3"/>
  <c r="CM297" i="3"/>
  <c r="CP297" i="3"/>
  <c r="CS297" i="3"/>
  <c r="CV297" i="3"/>
  <c r="CY297" i="3"/>
  <c r="AB298" i="3"/>
  <c r="AE298" i="3"/>
  <c r="AH298" i="3"/>
  <c r="AK298" i="3"/>
  <c r="AN298" i="3"/>
  <c r="AQ298" i="3"/>
  <c r="AT298" i="3"/>
  <c r="AW298" i="3"/>
  <c r="AZ298" i="3"/>
  <c r="BC298" i="3"/>
  <c r="BF298" i="3"/>
  <c r="BI298" i="3"/>
  <c r="BL298" i="3"/>
  <c r="BO298" i="3"/>
  <c r="BR298" i="3"/>
  <c r="BU298" i="3"/>
  <c r="BX298" i="3"/>
  <c r="CA298" i="3"/>
  <c r="CD298" i="3"/>
  <c r="CG298" i="3"/>
  <c r="CJ298" i="3"/>
  <c r="CM298" i="3"/>
  <c r="CP298" i="3"/>
  <c r="CS298" i="3"/>
  <c r="CV298" i="3"/>
  <c r="CY298" i="3"/>
  <c r="AB303" i="3"/>
  <c r="AE303" i="3"/>
  <c r="AH303" i="3"/>
  <c r="AK303" i="3"/>
  <c r="AN303" i="3"/>
  <c r="AQ303" i="3"/>
  <c r="AT303" i="3"/>
  <c r="AW303" i="3"/>
  <c r="AZ303" i="3"/>
  <c r="BC303" i="3"/>
  <c r="BF303" i="3"/>
  <c r="BI303" i="3"/>
  <c r="BL303" i="3"/>
  <c r="BO303" i="3"/>
  <c r="BR303" i="3"/>
  <c r="BU303" i="3"/>
  <c r="BX303" i="3"/>
  <c r="CA303" i="3"/>
  <c r="CD303" i="3"/>
  <c r="CG303" i="3"/>
  <c r="CJ303" i="3"/>
  <c r="CM303" i="3"/>
  <c r="CP303" i="3"/>
  <c r="CS303" i="3"/>
  <c r="CV303" i="3"/>
  <c r="CY303" i="3"/>
  <c r="AB304" i="3"/>
  <c r="AE304" i="3"/>
  <c r="AH304" i="3"/>
  <c r="AK304" i="3"/>
  <c r="AN304" i="3"/>
  <c r="AQ304" i="3"/>
  <c r="AT304" i="3"/>
  <c r="AW304" i="3"/>
  <c r="AZ304" i="3"/>
  <c r="BC304" i="3"/>
  <c r="BF304" i="3"/>
  <c r="BI304" i="3"/>
  <c r="BL304" i="3"/>
  <c r="BO304" i="3"/>
  <c r="BR304" i="3"/>
  <c r="BU304" i="3"/>
  <c r="BX304" i="3"/>
  <c r="CA304" i="3"/>
  <c r="CD304" i="3"/>
  <c r="CG304" i="3"/>
  <c r="CJ304" i="3"/>
  <c r="CM304" i="3"/>
  <c r="CP304" i="3"/>
  <c r="CS304" i="3"/>
  <c r="CV304" i="3"/>
  <c r="CY304" i="3"/>
  <c r="AB311" i="3"/>
  <c r="AE311" i="3"/>
  <c r="AH311" i="3"/>
  <c r="AK311" i="3"/>
  <c r="AN311" i="3"/>
  <c r="AQ311" i="3"/>
  <c r="AT311" i="3"/>
  <c r="AW311" i="3"/>
  <c r="AZ311" i="3"/>
  <c r="BC311" i="3"/>
  <c r="BF311" i="3"/>
  <c r="BI311" i="3"/>
  <c r="BL311" i="3"/>
  <c r="BO311" i="3"/>
  <c r="BR311" i="3"/>
  <c r="BU311" i="3"/>
  <c r="BX311" i="3"/>
  <c r="CA311" i="3"/>
  <c r="CD311" i="3"/>
  <c r="CG311" i="3"/>
  <c r="CJ311" i="3"/>
  <c r="CM311" i="3"/>
  <c r="CP311" i="3"/>
  <c r="CS311" i="3"/>
  <c r="CV311" i="3"/>
  <c r="CY311" i="3"/>
  <c r="AB312" i="3"/>
  <c r="AE312" i="3"/>
  <c r="AH312" i="3"/>
  <c r="AK312" i="3"/>
  <c r="AN312" i="3"/>
  <c r="AQ312" i="3"/>
  <c r="AT312" i="3"/>
  <c r="AW312" i="3"/>
  <c r="AZ312" i="3"/>
  <c r="BC312" i="3"/>
  <c r="BF312" i="3"/>
  <c r="BI312" i="3"/>
  <c r="BL312" i="3"/>
  <c r="BO312" i="3"/>
  <c r="BR312" i="3"/>
  <c r="BU312" i="3"/>
  <c r="BX312" i="3"/>
  <c r="CA312" i="3"/>
  <c r="CD312" i="3"/>
  <c r="CG312" i="3"/>
  <c r="CJ312" i="3"/>
  <c r="CM312" i="3"/>
  <c r="CP312" i="3"/>
  <c r="CS312" i="3"/>
  <c r="CV312" i="3"/>
  <c r="CY312" i="3"/>
  <c r="AB318" i="3"/>
  <c r="AE318" i="3"/>
  <c r="AH318" i="3"/>
  <c r="AK318" i="3"/>
  <c r="AN318" i="3"/>
  <c r="AQ318" i="3"/>
  <c r="AT318" i="3"/>
  <c r="AW318" i="3"/>
  <c r="AZ318" i="3"/>
  <c r="BC318" i="3"/>
  <c r="BF318" i="3"/>
  <c r="BI318" i="3"/>
  <c r="BL318" i="3"/>
  <c r="BO318" i="3"/>
  <c r="BR318" i="3"/>
  <c r="BU318" i="3"/>
  <c r="BX318" i="3"/>
  <c r="CA318" i="3"/>
  <c r="CD318" i="3"/>
  <c r="CG318" i="3"/>
  <c r="CJ318" i="3"/>
  <c r="CM318" i="3"/>
  <c r="CP318" i="3"/>
  <c r="CS318" i="3"/>
  <c r="CV318" i="3"/>
  <c r="CY318" i="3"/>
  <c r="AB275" i="3"/>
  <c r="AB16" i="3"/>
  <c r="AB162" i="3"/>
  <c r="AB91" i="3"/>
  <c r="AE91" i="3"/>
  <c r="AH91" i="3"/>
  <c r="AK91" i="3"/>
  <c r="AN91" i="3"/>
  <c r="AQ91" i="3"/>
  <c r="AT91" i="3"/>
  <c r="AB94" i="3"/>
  <c r="AE94" i="3"/>
  <c r="AH94" i="3"/>
  <c r="AK94" i="3"/>
  <c r="AN94" i="3"/>
  <c r="AQ94" i="3"/>
  <c r="AT94" i="3"/>
  <c r="AW94" i="3"/>
  <c r="AZ94" i="3"/>
  <c r="BC94" i="3"/>
  <c r="BF94" i="3"/>
  <c r="BI94" i="3"/>
  <c r="BL94" i="3"/>
  <c r="BO94" i="3"/>
  <c r="BR94" i="3"/>
  <c r="BU94" i="3"/>
  <c r="BX94" i="3"/>
  <c r="CA94" i="3"/>
  <c r="CD94" i="3"/>
  <c r="CG94" i="3"/>
  <c r="CJ94" i="3"/>
  <c r="CM94" i="3"/>
  <c r="CP94" i="3"/>
  <c r="CS94" i="3"/>
  <c r="CV94" i="3"/>
  <c r="CY94" i="3"/>
  <c r="AB104" i="3"/>
  <c r="AE104" i="3"/>
  <c r="AH104" i="3"/>
  <c r="AK104" i="3"/>
  <c r="AN104" i="3"/>
  <c r="AQ104" i="3"/>
  <c r="AT104" i="3"/>
  <c r="AW104" i="3"/>
  <c r="AZ104" i="3"/>
  <c r="BC104" i="3"/>
  <c r="BF104" i="3"/>
  <c r="BI104" i="3"/>
  <c r="BL104" i="3"/>
  <c r="BO104" i="3"/>
  <c r="BR104" i="3"/>
  <c r="BU104" i="3"/>
  <c r="BX104" i="3"/>
  <c r="CA104" i="3"/>
  <c r="CD104" i="3"/>
  <c r="CG104" i="3"/>
  <c r="CJ104" i="3"/>
  <c r="CM104" i="3"/>
  <c r="CP104" i="3"/>
  <c r="CS104" i="3"/>
  <c r="CV104" i="3"/>
  <c r="CY104" i="3"/>
  <c r="AB105" i="3"/>
  <c r="AE105" i="3"/>
  <c r="AH105" i="3"/>
  <c r="AK105" i="3"/>
  <c r="AN105" i="3"/>
  <c r="AQ105" i="3"/>
  <c r="AT105" i="3"/>
  <c r="AW105" i="3"/>
  <c r="AZ105" i="3"/>
  <c r="BC105" i="3"/>
  <c r="BF105" i="3"/>
  <c r="BI105" i="3"/>
  <c r="BL105" i="3"/>
  <c r="BO105" i="3"/>
  <c r="BR105" i="3"/>
  <c r="BU105" i="3"/>
  <c r="BX105" i="3"/>
  <c r="CA105" i="3"/>
  <c r="CD105" i="3"/>
  <c r="CG105" i="3"/>
  <c r="CJ105" i="3"/>
  <c r="CM105" i="3"/>
  <c r="CP105" i="3"/>
  <c r="CS105" i="3"/>
  <c r="CV105" i="3"/>
  <c r="CY105" i="3"/>
  <c r="AB107" i="3"/>
  <c r="AE107" i="3"/>
  <c r="AH107" i="3"/>
  <c r="AK107" i="3"/>
  <c r="AN107" i="3"/>
  <c r="AQ107" i="3"/>
  <c r="AT107" i="3"/>
  <c r="AW107" i="3"/>
  <c r="AZ107" i="3"/>
  <c r="BC107" i="3"/>
  <c r="BF107" i="3"/>
  <c r="BI107" i="3"/>
  <c r="BL107" i="3"/>
  <c r="BO107" i="3"/>
  <c r="BR107" i="3"/>
  <c r="BU107" i="3"/>
  <c r="BX107" i="3"/>
  <c r="CA107" i="3"/>
  <c r="CD107" i="3"/>
  <c r="CG107" i="3"/>
  <c r="CJ107" i="3"/>
  <c r="CM107" i="3"/>
  <c r="CP107" i="3"/>
  <c r="CS107" i="3"/>
  <c r="CV107" i="3"/>
  <c r="CY107" i="3"/>
  <c r="AB109" i="3"/>
  <c r="AE109" i="3"/>
  <c r="AH109" i="3"/>
  <c r="AK109" i="3"/>
  <c r="AN109" i="3"/>
  <c r="AQ109" i="3"/>
  <c r="AT109" i="3"/>
  <c r="AW109" i="3"/>
  <c r="AZ109" i="3"/>
  <c r="BC109" i="3"/>
  <c r="BF109" i="3"/>
  <c r="BI109" i="3"/>
  <c r="BL109" i="3"/>
  <c r="BO109" i="3"/>
  <c r="BR109" i="3"/>
  <c r="BU109" i="3"/>
  <c r="BX109" i="3"/>
  <c r="CA109" i="3"/>
  <c r="CD109" i="3"/>
  <c r="CG109" i="3"/>
  <c r="CJ109" i="3"/>
  <c r="CM109" i="3"/>
  <c r="CP109" i="3"/>
  <c r="CS109" i="3"/>
  <c r="CV109" i="3"/>
  <c r="CY109" i="3"/>
  <c r="AB111" i="3"/>
  <c r="AE111" i="3"/>
  <c r="AH111" i="3"/>
  <c r="AK111" i="3"/>
  <c r="AN111" i="3"/>
  <c r="AQ111" i="3"/>
  <c r="AT111" i="3"/>
  <c r="AW111" i="3"/>
  <c r="AZ111" i="3"/>
  <c r="BC111" i="3"/>
  <c r="BF111" i="3"/>
  <c r="BI111" i="3"/>
  <c r="BL111" i="3"/>
  <c r="BO111" i="3"/>
  <c r="BR111" i="3"/>
  <c r="BU111" i="3"/>
  <c r="BX111" i="3"/>
  <c r="CA111" i="3"/>
  <c r="CD111" i="3"/>
  <c r="CG111" i="3"/>
  <c r="CJ111" i="3"/>
  <c r="CM111" i="3"/>
  <c r="CP111" i="3"/>
  <c r="CS111" i="3"/>
  <c r="CV111" i="3"/>
  <c r="CY111" i="3"/>
  <c r="AB115" i="3"/>
  <c r="AE115" i="3"/>
  <c r="AH115" i="3"/>
  <c r="AK115" i="3"/>
  <c r="AN115" i="3"/>
  <c r="AQ115" i="3"/>
  <c r="AT115" i="3"/>
  <c r="AW115" i="3"/>
  <c r="AZ115" i="3"/>
  <c r="BC115" i="3"/>
  <c r="BF115" i="3"/>
  <c r="BI115" i="3"/>
  <c r="BL115" i="3"/>
  <c r="BO115" i="3"/>
  <c r="BR115" i="3"/>
  <c r="BU115" i="3"/>
  <c r="BX115" i="3"/>
  <c r="CA115" i="3"/>
  <c r="CD115" i="3"/>
  <c r="CG115" i="3"/>
  <c r="CJ115" i="3"/>
  <c r="CM115" i="3"/>
  <c r="CP115" i="3"/>
  <c r="CS115" i="3"/>
  <c r="CV115" i="3"/>
  <c r="CY115" i="3"/>
  <c r="AB117" i="3"/>
  <c r="AE117" i="3"/>
  <c r="AH117" i="3"/>
  <c r="AK117" i="3"/>
  <c r="AN117" i="3"/>
  <c r="AQ117" i="3"/>
  <c r="AT117" i="3"/>
  <c r="AW117" i="3"/>
  <c r="AZ117" i="3"/>
  <c r="BC117" i="3"/>
  <c r="BF117" i="3"/>
  <c r="BI117" i="3"/>
  <c r="BL117" i="3"/>
  <c r="BO117" i="3"/>
  <c r="BR117" i="3"/>
  <c r="BU117" i="3"/>
  <c r="BX117" i="3"/>
  <c r="CA117" i="3"/>
  <c r="CD117" i="3"/>
  <c r="CG117" i="3"/>
  <c r="CJ117" i="3"/>
  <c r="CM117" i="3"/>
  <c r="CP117" i="3"/>
  <c r="CS117" i="3"/>
  <c r="CV117" i="3"/>
  <c r="CY117" i="3"/>
  <c r="AB121" i="3"/>
  <c r="AE121" i="3"/>
  <c r="AH121" i="3"/>
  <c r="AK121" i="3"/>
  <c r="AN121" i="3"/>
  <c r="AQ121" i="3"/>
  <c r="AT121" i="3"/>
  <c r="AW121" i="3"/>
  <c r="AZ121" i="3"/>
  <c r="BC121" i="3"/>
  <c r="BF121" i="3"/>
  <c r="BI121" i="3"/>
  <c r="BL121" i="3"/>
  <c r="BO121" i="3"/>
  <c r="BR121" i="3"/>
  <c r="BU121" i="3"/>
  <c r="BX121" i="3"/>
  <c r="CA121" i="3"/>
  <c r="CD121" i="3"/>
  <c r="CG121" i="3"/>
  <c r="CJ121" i="3"/>
  <c r="CM121" i="3"/>
  <c r="CP121" i="3"/>
  <c r="CS121" i="3"/>
  <c r="CV121" i="3"/>
  <c r="CY121" i="3"/>
  <c r="AB123" i="3"/>
  <c r="AE123" i="3"/>
  <c r="AH123" i="3"/>
  <c r="AK123" i="3"/>
  <c r="AN123" i="3"/>
  <c r="AQ123" i="3"/>
  <c r="AT123" i="3"/>
  <c r="AW123" i="3"/>
  <c r="AZ123" i="3"/>
  <c r="BC123" i="3"/>
  <c r="BF123" i="3"/>
  <c r="BI123" i="3"/>
  <c r="BL123" i="3"/>
  <c r="BO123" i="3"/>
  <c r="BR123" i="3"/>
  <c r="BU123" i="3"/>
  <c r="BX123" i="3"/>
  <c r="CA123" i="3"/>
  <c r="CD123" i="3"/>
  <c r="CG123" i="3"/>
  <c r="CJ123" i="3"/>
  <c r="CM123" i="3"/>
  <c r="CP123" i="3"/>
  <c r="CS123" i="3"/>
  <c r="CV123" i="3"/>
  <c r="CY123" i="3"/>
  <c r="AB127" i="3"/>
  <c r="AE127" i="3"/>
  <c r="AH127" i="3"/>
  <c r="AK127" i="3"/>
  <c r="AN127" i="3"/>
  <c r="AQ127" i="3"/>
  <c r="AT127" i="3"/>
  <c r="AW127" i="3"/>
  <c r="AZ127" i="3"/>
  <c r="BC127" i="3"/>
  <c r="BF127" i="3"/>
  <c r="BI127" i="3"/>
  <c r="BL127" i="3"/>
  <c r="BO127" i="3"/>
  <c r="BR127" i="3"/>
  <c r="BU127" i="3"/>
  <c r="BX127" i="3"/>
  <c r="CA127" i="3"/>
  <c r="CD127" i="3"/>
  <c r="CG127" i="3"/>
  <c r="CJ127" i="3"/>
  <c r="CM127" i="3"/>
  <c r="CP127" i="3"/>
  <c r="CS127" i="3"/>
  <c r="CV127" i="3"/>
  <c r="CY127" i="3"/>
  <c r="AB211" i="3"/>
  <c r="AE211" i="3"/>
  <c r="AH211" i="3"/>
  <c r="AK211" i="3"/>
  <c r="AN211" i="3"/>
  <c r="AQ211" i="3"/>
  <c r="AT211" i="3"/>
  <c r="AW211" i="3"/>
  <c r="AZ211" i="3"/>
  <c r="BC211" i="3"/>
  <c r="BF211" i="3"/>
  <c r="BI211" i="3"/>
  <c r="BL211" i="3"/>
  <c r="BO211" i="3"/>
  <c r="BR211" i="3"/>
  <c r="BU211" i="3"/>
  <c r="BX211" i="3"/>
  <c r="CA211" i="3"/>
  <c r="CD211" i="3"/>
  <c r="CG211" i="3"/>
  <c r="CJ211" i="3"/>
  <c r="CM211" i="3"/>
  <c r="CP211" i="3"/>
  <c r="CS211" i="3"/>
  <c r="CV211" i="3"/>
  <c r="CY211" i="3"/>
  <c r="AB213" i="3"/>
  <c r="AE213" i="3"/>
  <c r="AH213" i="3"/>
  <c r="AK213" i="3"/>
  <c r="AN213" i="3"/>
  <c r="AQ213" i="3"/>
  <c r="AT213" i="3"/>
  <c r="AW213" i="3"/>
  <c r="AZ213" i="3"/>
  <c r="BC213" i="3"/>
  <c r="BF213" i="3"/>
  <c r="BI213" i="3"/>
  <c r="BL213" i="3"/>
  <c r="BO213" i="3"/>
  <c r="BR213" i="3"/>
  <c r="BU213" i="3"/>
  <c r="BX213" i="3"/>
  <c r="CA213" i="3"/>
  <c r="CD213" i="3"/>
  <c r="CG213" i="3"/>
  <c r="CJ213" i="3"/>
  <c r="CM213" i="3"/>
  <c r="CP213" i="3"/>
  <c r="CS213" i="3"/>
  <c r="CV213" i="3"/>
  <c r="CY213" i="3"/>
  <c r="AB217" i="3"/>
  <c r="AE217" i="3"/>
  <c r="AH217" i="3"/>
  <c r="AK217" i="3"/>
  <c r="AN217" i="3"/>
  <c r="AQ217" i="3"/>
  <c r="AT217" i="3"/>
  <c r="AW217" i="3"/>
  <c r="AZ217" i="3"/>
  <c r="BC217" i="3"/>
  <c r="BF217" i="3"/>
  <c r="BI217" i="3"/>
  <c r="BL217" i="3"/>
  <c r="BO217" i="3"/>
  <c r="BR217" i="3"/>
  <c r="BU217" i="3"/>
  <c r="BX217" i="3"/>
  <c r="CA217" i="3"/>
  <c r="CD217" i="3"/>
  <c r="CG217" i="3"/>
  <c r="CJ217" i="3"/>
  <c r="CM217" i="3"/>
  <c r="CP217" i="3"/>
  <c r="CS217" i="3"/>
  <c r="CV217" i="3"/>
  <c r="CY217" i="3"/>
  <c r="AB219" i="3"/>
  <c r="AE219" i="3"/>
  <c r="AH219" i="3"/>
  <c r="AK219" i="3"/>
  <c r="AN219" i="3"/>
  <c r="AQ219" i="3"/>
  <c r="AT219" i="3"/>
  <c r="AW219" i="3"/>
  <c r="AZ219" i="3"/>
  <c r="BC219" i="3"/>
  <c r="BF219" i="3"/>
  <c r="BI219" i="3"/>
  <c r="BL219" i="3"/>
  <c r="BO219" i="3"/>
  <c r="BR219" i="3"/>
  <c r="BU219" i="3"/>
  <c r="BX219" i="3"/>
  <c r="CA219" i="3"/>
  <c r="CD219" i="3"/>
  <c r="CG219" i="3"/>
  <c r="CJ219" i="3"/>
  <c r="CM219" i="3"/>
  <c r="CP219" i="3"/>
  <c r="CS219" i="3"/>
  <c r="CV219" i="3"/>
  <c r="CY219" i="3"/>
  <c r="AB221" i="3"/>
  <c r="AE221" i="3"/>
  <c r="AH221" i="3"/>
  <c r="AK221" i="3"/>
  <c r="AN221" i="3"/>
  <c r="AQ221" i="3"/>
  <c r="AT221" i="3"/>
  <c r="AW221" i="3"/>
  <c r="AZ221" i="3"/>
  <c r="BC221" i="3"/>
  <c r="BF221" i="3"/>
  <c r="BI221" i="3"/>
  <c r="BL221" i="3"/>
  <c r="BO221" i="3"/>
  <c r="BR221" i="3"/>
  <c r="BU221" i="3"/>
  <c r="BX221" i="3"/>
  <c r="CA221" i="3"/>
  <c r="CD221" i="3"/>
  <c r="CG221" i="3"/>
  <c r="CJ221" i="3"/>
  <c r="CM221" i="3"/>
  <c r="CP221" i="3"/>
  <c r="CS221" i="3"/>
  <c r="CV221" i="3"/>
  <c r="CY221" i="3"/>
  <c r="AB231" i="3"/>
  <c r="AB206" i="3"/>
  <c r="AE206" i="3"/>
  <c r="AH206" i="3"/>
  <c r="AK206" i="3"/>
  <c r="AN206" i="3"/>
  <c r="AQ206" i="3"/>
  <c r="AT206" i="3"/>
  <c r="AW206" i="3"/>
  <c r="AZ206" i="3"/>
  <c r="BC206" i="3"/>
  <c r="BF206" i="3"/>
  <c r="BI206" i="3"/>
  <c r="BL206" i="3"/>
  <c r="BO206" i="3"/>
  <c r="BR206" i="3"/>
  <c r="BU206" i="3"/>
  <c r="BX206" i="3"/>
  <c r="CA206" i="3"/>
  <c r="CD206" i="3"/>
  <c r="CG206" i="3"/>
  <c r="CJ206" i="3"/>
  <c r="CM206" i="3"/>
  <c r="CP206" i="3"/>
  <c r="CS206" i="3"/>
  <c r="CV206" i="3"/>
  <c r="CY206" i="3"/>
  <c r="AB207" i="3"/>
  <c r="AE207" i="3"/>
  <c r="AH207" i="3"/>
  <c r="AK207" i="3"/>
  <c r="AN207" i="3"/>
  <c r="AQ207" i="3"/>
  <c r="AT207" i="3"/>
  <c r="AW207" i="3"/>
  <c r="AZ207" i="3"/>
  <c r="BC207" i="3"/>
  <c r="BF207" i="3"/>
  <c r="BI207" i="3"/>
  <c r="BL207" i="3"/>
  <c r="BO207" i="3"/>
  <c r="BR207" i="3"/>
  <c r="BU207" i="3"/>
  <c r="BX207" i="3"/>
  <c r="CA207" i="3"/>
  <c r="CD207" i="3"/>
  <c r="CG207" i="3"/>
  <c r="CJ207" i="3"/>
  <c r="CM207" i="3"/>
  <c r="CP207" i="3"/>
  <c r="CS207" i="3"/>
  <c r="CV207" i="3"/>
  <c r="CY207" i="3"/>
  <c r="AB225" i="3"/>
  <c r="AE225" i="3"/>
  <c r="AH225" i="3"/>
  <c r="AK225" i="3"/>
  <c r="AN225" i="3"/>
  <c r="AQ225" i="3"/>
  <c r="AT225" i="3"/>
  <c r="AW225" i="3"/>
  <c r="AZ225" i="3"/>
  <c r="BC225" i="3"/>
  <c r="BF225" i="3"/>
  <c r="BI225" i="3"/>
  <c r="BL225" i="3"/>
  <c r="BO225" i="3"/>
  <c r="BR225" i="3"/>
  <c r="BU225" i="3"/>
  <c r="BX225" i="3"/>
  <c r="CA225" i="3"/>
  <c r="CD225" i="3"/>
  <c r="CG225" i="3"/>
  <c r="CJ225" i="3"/>
  <c r="CM225" i="3"/>
  <c r="CP225" i="3"/>
  <c r="CS225" i="3"/>
  <c r="CV225" i="3"/>
  <c r="CY225" i="3"/>
  <c r="AB228" i="3"/>
  <c r="AE228" i="3"/>
  <c r="AH228" i="3"/>
  <c r="AK228" i="3"/>
  <c r="AN228" i="3"/>
  <c r="AQ228" i="3"/>
  <c r="AT228" i="3"/>
  <c r="AW228" i="3"/>
  <c r="AZ228" i="3"/>
  <c r="BC228" i="3"/>
  <c r="BF228" i="3"/>
  <c r="BI228" i="3"/>
  <c r="AB281" i="3"/>
  <c r="AE281" i="3"/>
  <c r="AH281" i="3"/>
  <c r="AK281" i="3"/>
  <c r="AN281" i="3"/>
  <c r="AQ281" i="3"/>
  <c r="AT281" i="3"/>
  <c r="AW281" i="3"/>
  <c r="AZ281" i="3"/>
  <c r="BC281" i="3"/>
  <c r="BF281" i="3"/>
  <c r="BI281" i="3"/>
  <c r="BL281" i="3"/>
  <c r="BO281" i="3"/>
  <c r="BR281" i="3"/>
  <c r="BU281" i="3"/>
  <c r="BX281" i="3"/>
  <c r="CA281" i="3"/>
  <c r="CD281" i="3"/>
  <c r="CG281" i="3"/>
  <c r="CJ281" i="3"/>
  <c r="CM281" i="3"/>
  <c r="CP281" i="3"/>
  <c r="CS281" i="3"/>
  <c r="CV281" i="3"/>
  <c r="CY281" i="3"/>
  <c r="AB289" i="3"/>
  <c r="AB287" i="3"/>
  <c r="AB292" i="3"/>
  <c r="AE292" i="3"/>
  <c r="AH292" i="3"/>
  <c r="AK292" i="3"/>
  <c r="AN292" i="3"/>
  <c r="AQ292" i="3"/>
  <c r="AT292" i="3"/>
  <c r="AW292" i="3"/>
  <c r="AZ292" i="3"/>
  <c r="BC292" i="3"/>
  <c r="BF292" i="3"/>
  <c r="BI292" i="3"/>
  <c r="BL292" i="3"/>
  <c r="BO292" i="3"/>
  <c r="BR292" i="3"/>
  <c r="BU292" i="3"/>
  <c r="BX292" i="3"/>
  <c r="CA292" i="3"/>
  <c r="CD292" i="3"/>
  <c r="CG292" i="3"/>
  <c r="CJ292" i="3"/>
  <c r="CM292" i="3"/>
  <c r="CP292" i="3"/>
  <c r="CS292" i="3"/>
  <c r="CV292" i="3"/>
  <c r="CY292" i="3"/>
  <c r="AB319" i="3"/>
  <c r="AE319" i="3"/>
  <c r="AH319" i="3"/>
  <c r="AK319" i="3"/>
  <c r="AN319" i="3"/>
  <c r="AQ319" i="3"/>
  <c r="AT319" i="3"/>
  <c r="AW319" i="3"/>
  <c r="AZ319" i="3"/>
  <c r="BC319" i="3"/>
  <c r="BF319" i="3"/>
  <c r="BI319" i="3"/>
  <c r="BL319" i="3"/>
  <c r="BO319" i="3"/>
  <c r="BR319" i="3"/>
  <c r="BU319" i="3"/>
  <c r="BX319" i="3"/>
  <c r="CA319" i="3"/>
  <c r="CD319" i="3"/>
  <c r="CG319" i="3"/>
  <c r="CJ319" i="3"/>
  <c r="CM319" i="3"/>
  <c r="CP319" i="3"/>
  <c r="CS319" i="3"/>
  <c r="CV319" i="3"/>
  <c r="CY319" i="3"/>
  <c r="AB321" i="3"/>
  <c r="AE321" i="3"/>
  <c r="AH321" i="3"/>
  <c r="AK321" i="3"/>
  <c r="AN321" i="3"/>
  <c r="AQ321" i="3"/>
  <c r="AT321" i="3"/>
  <c r="AW321" i="3"/>
  <c r="AZ321" i="3"/>
  <c r="BC321" i="3"/>
  <c r="BF321" i="3"/>
  <c r="BI321" i="3"/>
  <c r="BL321" i="3"/>
  <c r="BO321" i="3"/>
  <c r="BR321" i="3"/>
  <c r="BU321" i="3"/>
  <c r="BX321" i="3"/>
  <c r="CA321" i="3"/>
  <c r="CD321" i="3"/>
  <c r="CG321" i="3"/>
  <c r="CJ321" i="3"/>
  <c r="CM321" i="3"/>
  <c r="CP321" i="3"/>
  <c r="CS321" i="3"/>
  <c r="CV321" i="3"/>
  <c r="CY321" i="3"/>
  <c r="AB324" i="3"/>
  <c r="AE324" i="3"/>
  <c r="AH324" i="3"/>
  <c r="AK324" i="3"/>
  <c r="AN324" i="3"/>
  <c r="AQ324" i="3"/>
  <c r="AT324" i="3"/>
  <c r="AW324" i="3"/>
  <c r="AZ324" i="3"/>
  <c r="BC324" i="3"/>
  <c r="BF324" i="3"/>
  <c r="BI324" i="3"/>
  <c r="BL324" i="3"/>
  <c r="BO324" i="3"/>
  <c r="BR324" i="3"/>
  <c r="BU324" i="3"/>
  <c r="BX324" i="3"/>
  <c r="CA324" i="3"/>
  <c r="CD324" i="3"/>
  <c r="CG324" i="3"/>
  <c r="CJ324" i="3"/>
  <c r="CM324" i="3"/>
  <c r="CP324" i="3"/>
  <c r="CS324" i="3"/>
  <c r="CV324" i="3"/>
  <c r="CY324" i="3"/>
  <c r="U112" i="4"/>
  <c r="V112" i="4"/>
  <c r="Q112" i="4"/>
  <c r="N112" i="4"/>
  <c r="S112" i="4"/>
  <c r="S322" i="4"/>
  <c r="U322" i="4"/>
  <c r="Q322" i="4"/>
  <c r="X322" i="4"/>
  <c r="Y322" i="4"/>
  <c r="M322" i="4"/>
  <c r="T322" i="4"/>
  <c r="V283" i="4"/>
  <c r="Q283" i="4"/>
  <c r="X283" i="4"/>
  <c r="Y283" i="4"/>
  <c r="T283" i="4"/>
  <c r="P283" i="4"/>
  <c r="R283" i="4"/>
  <c r="M283" i="4"/>
  <c r="O283" i="4"/>
  <c r="S283" i="4"/>
  <c r="X226" i="4"/>
  <c r="Y226" i="4"/>
  <c r="O226" i="4"/>
  <c r="R226" i="4"/>
  <c r="Y137" i="2"/>
  <c r="P136" i="4"/>
  <c r="R136" i="4"/>
  <c r="O136" i="4"/>
  <c r="N136" i="4"/>
  <c r="Q136" i="4"/>
  <c r="W136" i="4"/>
  <c r="T136" i="4"/>
  <c r="X136" i="4"/>
  <c r="Y136" i="4"/>
  <c r="U136" i="4"/>
  <c r="S136" i="4"/>
  <c r="V136" i="4"/>
  <c r="M136" i="4"/>
  <c r="N66" i="4"/>
  <c r="W66" i="4"/>
  <c r="M66" i="4"/>
  <c r="S66" i="4"/>
  <c r="X66" i="4"/>
  <c r="Y66" i="4"/>
  <c r="O66" i="4"/>
  <c r="R66" i="4"/>
  <c r="Y67" i="2"/>
  <c r="U66" i="4"/>
  <c r="P66" i="4"/>
  <c r="M156" i="4"/>
  <c r="M316" i="4"/>
  <c r="U316" i="4"/>
  <c r="O316" i="4"/>
  <c r="V206" i="4"/>
  <c r="Y207" i="2"/>
  <c r="N206" i="4"/>
  <c r="Q206" i="4"/>
  <c r="S53" i="4"/>
  <c r="N53" i="4"/>
  <c r="U53" i="4"/>
  <c r="V53" i="4"/>
  <c r="O53" i="4"/>
  <c r="M53" i="4"/>
  <c r="R100" i="4"/>
  <c r="Q100" i="4"/>
  <c r="X100" i="4"/>
  <c r="Y100" i="4"/>
  <c r="W100" i="4"/>
  <c r="S100" i="4"/>
  <c r="P100" i="4"/>
  <c r="M100" i="4"/>
  <c r="O100" i="4"/>
  <c r="N100" i="4"/>
  <c r="Q236" i="4"/>
  <c r="Y237" i="2"/>
  <c r="R149" i="4"/>
  <c r="P149" i="4"/>
  <c r="M149" i="4"/>
  <c r="X149" i="4"/>
  <c r="Y149" i="4"/>
  <c r="S149" i="4"/>
  <c r="U247" i="4"/>
  <c r="U208" i="4"/>
  <c r="X113" i="4"/>
  <c r="Y113" i="4"/>
  <c r="S138" i="4"/>
  <c r="M138" i="4"/>
  <c r="X138" i="4"/>
  <c r="Y138" i="4"/>
  <c r="M131" i="4"/>
  <c r="M28" i="4"/>
  <c r="R294" i="4"/>
  <c r="R67" i="4"/>
  <c r="T256" i="4"/>
  <c r="S67" i="4"/>
  <c r="V8" i="4"/>
  <c r="P294" i="4"/>
  <c r="R162" i="4"/>
  <c r="S199" i="4"/>
  <c r="U256" i="4"/>
  <c r="N294" i="4"/>
  <c r="Q239" i="4"/>
  <c r="X239" i="4"/>
  <c r="Y239" i="4"/>
  <c r="W199" i="4"/>
  <c r="X162" i="4"/>
  <c r="Y162" i="4"/>
  <c r="V162" i="4"/>
  <c r="M55" i="4"/>
  <c r="W55" i="4"/>
  <c r="V4" i="4"/>
  <c r="U52" i="4"/>
  <c r="P52" i="4"/>
  <c r="Q52" i="4"/>
  <c r="S277" i="4"/>
  <c r="U14" i="4"/>
  <c r="T14" i="4"/>
  <c r="Q151" i="4"/>
  <c r="R151" i="4"/>
  <c r="W151" i="4"/>
  <c r="M151" i="4"/>
  <c r="W83" i="4"/>
  <c r="O83" i="4"/>
  <c r="Y308" i="2"/>
  <c r="R159" i="4"/>
  <c r="V159" i="4"/>
  <c r="Q159" i="4"/>
  <c r="U159" i="4"/>
  <c r="W159" i="4"/>
  <c r="X159" i="4"/>
  <c r="Y159" i="4"/>
  <c r="O159" i="4"/>
  <c r="N159" i="4"/>
  <c r="M159" i="4"/>
  <c r="P159" i="4"/>
  <c r="U280" i="4"/>
  <c r="R280" i="4"/>
  <c r="W280" i="4"/>
  <c r="W62" i="4"/>
  <c r="M62" i="4"/>
  <c r="U62" i="4"/>
  <c r="V62" i="4"/>
  <c r="T62" i="4"/>
  <c r="N56" i="4"/>
  <c r="W56" i="4"/>
  <c r="S233" i="4"/>
  <c r="Q233" i="4"/>
  <c r="V233" i="4"/>
  <c r="T233" i="4"/>
  <c r="N233" i="4"/>
  <c r="W233" i="4"/>
  <c r="M233" i="4"/>
  <c r="X233" i="4"/>
  <c r="Y233" i="4"/>
  <c r="Y234" i="2"/>
  <c r="W247" i="4"/>
  <c r="X247" i="4"/>
  <c r="Y247" i="4"/>
  <c r="O247" i="4"/>
  <c r="O58" i="4"/>
  <c r="N58" i="4"/>
  <c r="X58" i="4"/>
  <c r="Y58" i="4"/>
  <c r="M58" i="4"/>
  <c r="V58" i="4"/>
  <c r="T58" i="4"/>
  <c r="Y59" i="2"/>
  <c r="Q58" i="4"/>
  <c r="P58" i="4"/>
  <c r="S239" i="4"/>
  <c r="O162" i="4"/>
  <c r="V239" i="4"/>
  <c r="R256" i="4"/>
  <c r="M239" i="4"/>
  <c r="N162" i="4"/>
  <c r="T162" i="4"/>
  <c r="R55" i="4"/>
  <c r="V52" i="4"/>
  <c r="T52" i="4"/>
  <c r="W52" i="4"/>
  <c r="M52" i="4"/>
  <c r="U277" i="4"/>
  <c r="Y15" i="2"/>
  <c r="U58" i="4"/>
  <c r="N151" i="4"/>
  <c r="T151" i="4"/>
  <c r="P83" i="4"/>
  <c r="R247" i="4"/>
  <c r="Q247" i="4"/>
  <c r="X71" i="4"/>
  <c r="Y71" i="4"/>
  <c r="T71" i="4"/>
  <c r="P71" i="4"/>
  <c r="S71" i="4"/>
  <c r="R71" i="4"/>
  <c r="N71" i="4"/>
  <c r="U71" i="4"/>
  <c r="O71" i="4"/>
  <c r="W71" i="4"/>
  <c r="S247" i="4"/>
  <c r="Y240" i="2"/>
  <c r="Y163" i="2"/>
  <c r="X55" i="4"/>
  <c r="Y55" i="4"/>
  <c r="O233" i="4"/>
  <c r="T247" i="4"/>
  <c r="Q138" i="4"/>
  <c r="S28" i="4"/>
  <c r="S55" i="4"/>
  <c r="Q256" i="4"/>
  <c r="U239" i="4"/>
  <c r="O239" i="4"/>
  <c r="T239" i="4"/>
  <c r="M162" i="4"/>
  <c r="S162" i="4"/>
  <c r="N55" i="4"/>
  <c r="O55" i="4"/>
  <c r="S52" i="4"/>
  <c r="Y53" i="2"/>
  <c r="U233" i="4"/>
  <c r="W58" i="4"/>
  <c r="O151" i="4"/>
  <c r="V71" i="4"/>
  <c r="N247" i="4"/>
  <c r="Y248" i="2"/>
  <c r="O179" i="4"/>
  <c r="V179" i="4"/>
  <c r="S179" i="4"/>
  <c r="R179" i="4"/>
  <c r="X179" i="4"/>
  <c r="Y179" i="4"/>
  <c r="Q179" i="4"/>
  <c r="Y180" i="2"/>
  <c r="X65" i="4"/>
  <c r="Y65" i="4"/>
  <c r="M65" i="4"/>
  <c r="Q65" i="4"/>
  <c r="U83" i="4"/>
  <c r="S83" i="4"/>
  <c r="Q83" i="4"/>
  <c r="M83" i="4"/>
  <c r="R83" i="4"/>
  <c r="Y84" i="2"/>
  <c r="V83" i="4"/>
  <c r="N83" i="4"/>
  <c r="S14" i="4"/>
  <c r="V14" i="4"/>
  <c r="R14" i="4"/>
  <c r="X14" i="4"/>
  <c r="Y14" i="4"/>
  <c r="W14" i="4"/>
  <c r="N14" i="4"/>
  <c r="O14" i="4"/>
  <c r="M14" i="4"/>
  <c r="X151" i="4"/>
  <c r="Y151" i="4"/>
  <c r="U151" i="4"/>
  <c r="Y152" i="2"/>
  <c r="T277" i="4"/>
  <c r="W277" i="4"/>
  <c r="M277" i="4"/>
  <c r="V277" i="4"/>
  <c r="X277" i="4"/>
  <c r="Y277" i="4"/>
  <c r="O277" i="4"/>
  <c r="N277" i="4"/>
  <c r="P277" i="4"/>
  <c r="R277" i="4"/>
  <c r="U67" i="4"/>
  <c r="N67" i="4"/>
  <c r="O67" i="4"/>
  <c r="V67" i="4"/>
  <c r="Q67" i="4"/>
  <c r="P67" i="4"/>
  <c r="T67" i="4"/>
  <c r="S8" i="4"/>
  <c r="R8" i="4"/>
  <c r="U8" i="4"/>
  <c r="U294" i="4"/>
  <c r="T294" i="4"/>
  <c r="X118" i="4"/>
  <c r="Y118" i="4"/>
  <c r="R118" i="4"/>
  <c r="T118" i="4"/>
  <c r="U118" i="4"/>
  <c r="P118" i="4"/>
  <c r="V118" i="4"/>
  <c r="N118" i="4"/>
  <c r="S118" i="4"/>
  <c r="M118" i="4"/>
  <c r="Y119" i="2"/>
  <c r="O118" i="4"/>
  <c r="Q118" i="4"/>
  <c r="W118" i="4"/>
  <c r="Y126" i="2"/>
  <c r="P125" i="4"/>
  <c r="Q125" i="4"/>
  <c r="W125" i="4"/>
  <c r="N125" i="4"/>
  <c r="V125" i="4"/>
  <c r="O125" i="4"/>
  <c r="T125" i="4"/>
  <c r="R125" i="4"/>
  <c r="X125" i="4"/>
  <c r="Y125" i="4"/>
  <c r="S125" i="4"/>
  <c r="V146" i="4"/>
  <c r="W146" i="4"/>
  <c r="S146" i="4"/>
  <c r="T146" i="4"/>
  <c r="S60" i="4"/>
  <c r="V60" i="4"/>
  <c r="T285" i="4"/>
  <c r="P285" i="4"/>
  <c r="Q285" i="4"/>
  <c r="W285" i="4"/>
  <c r="O285" i="4"/>
  <c r="M285" i="4"/>
  <c r="U285" i="4"/>
  <c r="R317" i="4"/>
  <c r="Q317" i="4"/>
  <c r="X317" i="4"/>
  <c r="Y317" i="4"/>
  <c r="S317" i="4"/>
  <c r="N317" i="4"/>
  <c r="Y318" i="2"/>
  <c r="V317" i="4"/>
  <c r="W317" i="4"/>
  <c r="O317" i="4"/>
  <c r="U109" i="4"/>
  <c r="S109" i="4"/>
  <c r="M109" i="4"/>
  <c r="W109" i="4"/>
  <c r="R109" i="4"/>
  <c r="V109" i="4"/>
  <c r="X109" i="4"/>
  <c r="Y109" i="4"/>
  <c r="T109" i="4"/>
  <c r="V23" i="4"/>
  <c r="S23" i="4"/>
  <c r="Q23" i="4"/>
  <c r="R23" i="4"/>
  <c r="T23" i="4"/>
  <c r="O23" i="4"/>
  <c r="W23" i="4"/>
  <c r="U23" i="4"/>
  <c r="V290" i="4"/>
  <c r="X290" i="4"/>
  <c r="Y290" i="4"/>
  <c r="P290" i="4"/>
  <c r="U290" i="4"/>
  <c r="S290" i="4"/>
  <c r="N315" i="4"/>
  <c r="V315" i="4"/>
  <c r="P315" i="4"/>
  <c r="X315" i="4"/>
  <c r="Y315" i="4"/>
  <c r="S315" i="4"/>
  <c r="U315" i="4"/>
  <c r="AE308" i="3"/>
  <c r="AH308" i="3"/>
  <c r="AK308" i="3"/>
  <c r="AN308" i="3"/>
  <c r="AQ308" i="3"/>
  <c r="U86" i="4"/>
  <c r="S131" i="4"/>
  <c r="Q164" i="4"/>
  <c r="Y165" i="2"/>
  <c r="U164" i="4"/>
  <c r="M164" i="4"/>
  <c r="X164" i="4"/>
  <c r="Y164" i="4"/>
  <c r="O164" i="4"/>
  <c r="N164" i="4"/>
  <c r="T164" i="4"/>
  <c r="P164" i="4"/>
  <c r="S164" i="4"/>
  <c r="V164" i="4"/>
  <c r="R164" i="4"/>
  <c r="W164" i="4"/>
  <c r="O198" i="4"/>
  <c r="Q198" i="4"/>
  <c r="X198" i="4"/>
  <c r="Y198" i="4"/>
  <c r="Y199" i="2"/>
  <c r="P198" i="4"/>
  <c r="V198" i="4"/>
  <c r="S198" i="4"/>
  <c r="U198" i="4"/>
  <c r="M198" i="4"/>
  <c r="R198" i="4"/>
  <c r="W198" i="4"/>
  <c r="T198" i="4"/>
  <c r="N198" i="4"/>
  <c r="Y77" i="2"/>
  <c r="M76" i="4"/>
  <c r="O76" i="4"/>
  <c r="T76" i="4"/>
  <c r="Q76" i="4"/>
  <c r="V76" i="4"/>
  <c r="S323" i="4"/>
  <c r="M323" i="4"/>
  <c r="W323" i="4"/>
  <c r="X323" i="4"/>
  <c r="Y323" i="4"/>
  <c r="U323" i="4"/>
  <c r="N4" i="4"/>
  <c r="R4" i="4"/>
  <c r="U4" i="4"/>
  <c r="N234" i="4"/>
  <c r="S234" i="4"/>
  <c r="O234" i="4"/>
  <c r="U234" i="4"/>
  <c r="X234" i="4"/>
  <c r="Y234" i="4"/>
  <c r="X76" i="4"/>
  <c r="Y76" i="4"/>
  <c r="R76" i="4"/>
  <c r="R323" i="4"/>
  <c r="P323" i="4"/>
  <c r="O131" i="4"/>
  <c r="R234" i="4"/>
  <c r="P87" i="4"/>
  <c r="O4" i="4"/>
  <c r="S4" i="4"/>
  <c r="V234" i="4"/>
  <c r="W4" i="4"/>
  <c r="Q4" i="4"/>
  <c r="S256" i="4"/>
  <c r="V256" i="4"/>
  <c r="N256" i="4"/>
  <c r="Y257" i="2"/>
  <c r="U55" i="4"/>
  <c r="P55" i="4"/>
  <c r="O320" i="4"/>
  <c r="W320" i="4"/>
  <c r="Q320" i="4"/>
  <c r="N320" i="4"/>
  <c r="Y321" i="2"/>
  <c r="P320" i="4"/>
  <c r="V320" i="4"/>
  <c r="M320" i="4"/>
  <c r="S320" i="4"/>
  <c r="X320" i="4"/>
  <c r="Y320" i="4"/>
  <c r="R320" i="4"/>
  <c r="T320" i="4"/>
  <c r="U320" i="4"/>
  <c r="V131" i="4"/>
  <c r="N131" i="4"/>
  <c r="T131" i="4"/>
  <c r="W131" i="4"/>
  <c r="P131" i="4"/>
  <c r="N72" i="4"/>
  <c r="Y73" i="2"/>
  <c r="V72" i="4"/>
  <c r="O72" i="4"/>
  <c r="M72" i="4"/>
  <c r="W72" i="4"/>
  <c r="S72" i="4"/>
  <c r="U72" i="4"/>
  <c r="P72" i="4"/>
  <c r="X72" i="4"/>
  <c r="Y72" i="4"/>
  <c r="Q72" i="4"/>
  <c r="R72" i="4"/>
  <c r="T72" i="4"/>
  <c r="T86" i="4"/>
  <c r="W86" i="4"/>
  <c r="P86" i="4"/>
  <c r="V86" i="4"/>
  <c r="Y87" i="2"/>
  <c r="R86" i="4"/>
  <c r="O86" i="4"/>
  <c r="X86" i="4"/>
  <c r="Y86" i="4"/>
  <c r="M86" i="4"/>
  <c r="N86" i="4"/>
  <c r="Q86" i="4"/>
  <c r="O323" i="4"/>
  <c r="N323" i="4"/>
  <c r="Q131" i="4"/>
  <c r="P4" i="4"/>
  <c r="V279" i="4"/>
  <c r="N279" i="4"/>
  <c r="R279" i="4"/>
  <c r="T279" i="4"/>
  <c r="X279" i="4"/>
  <c r="Y279" i="4"/>
  <c r="Q279" i="4"/>
  <c r="W279" i="4"/>
  <c r="S279" i="4"/>
  <c r="U279" i="4"/>
  <c r="Y280" i="2"/>
  <c r="O279" i="4"/>
  <c r="P279" i="4"/>
  <c r="M279" i="4"/>
  <c r="V87" i="4"/>
  <c r="U87" i="4"/>
  <c r="T87" i="4"/>
  <c r="N87" i="4"/>
  <c r="R87" i="4"/>
  <c r="W87" i="4"/>
  <c r="M87" i="4"/>
  <c r="X87" i="4"/>
  <c r="Y87" i="4"/>
  <c r="R59" i="4"/>
  <c r="V59" i="4"/>
  <c r="X59" i="4"/>
  <c r="Y59" i="4"/>
  <c r="Y60" i="2"/>
  <c r="M59" i="4"/>
  <c r="T59" i="4"/>
  <c r="N59" i="4"/>
  <c r="O59" i="4"/>
  <c r="P59" i="4"/>
  <c r="W76" i="4"/>
  <c r="Y324" i="2"/>
  <c r="Q323" i="4"/>
  <c r="X131" i="4"/>
  <c r="Y131" i="4"/>
  <c r="R131" i="4"/>
  <c r="Y88" i="2"/>
  <c r="P234" i="4"/>
  <c r="Q234" i="4"/>
  <c r="S87" i="4"/>
  <c r="Y235" i="2"/>
  <c r="Y5" i="2"/>
  <c r="Q208" i="4"/>
  <c r="W208" i="4"/>
  <c r="O208" i="4"/>
  <c r="X208" i="4"/>
  <c r="Y208" i="4"/>
  <c r="V208" i="4"/>
  <c r="M208" i="4"/>
  <c r="T208" i="4"/>
  <c r="R208" i="4"/>
  <c r="V28" i="4"/>
  <c r="Q28" i="4"/>
  <c r="W28" i="4"/>
  <c r="U28" i="4"/>
  <c r="O28" i="4"/>
  <c r="X28" i="4"/>
  <c r="Y28" i="4"/>
  <c r="R28" i="4"/>
  <c r="Y29" i="2"/>
  <c r="N138" i="4"/>
  <c r="P138" i="4"/>
  <c r="Y139" i="2"/>
  <c r="V138" i="4"/>
  <c r="Q113" i="4"/>
  <c r="V113" i="4"/>
  <c r="R113" i="4"/>
  <c r="S113" i="4"/>
  <c r="M113" i="4"/>
  <c r="U113" i="4"/>
  <c r="Y114" i="2"/>
  <c r="T113" i="4"/>
  <c r="P113" i="4"/>
  <c r="W113" i="4"/>
  <c r="M155" i="4"/>
  <c r="S155" i="4"/>
  <c r="R155" i="4"/>
  <c r="U155" i="4"/>
  <c r="X155" i="4"/>
  <c r="Y155" i="4"/>
  <c r="V155" i="4"/>
  <c r="P155" i="4"/>
  <c r="O155" i="4"/>
  <c r="Q155" i="4"/>
  <c r="N155" i="4"/>
  <c r="T155" i="4"/>
  <c r="W155" i="4"/>
  <c r="Y156" i="2"/>
  <c r="Q269" i="4"/>
  <c r="P269" i="4"/>
  <c r="S269" i="4"/>
  <c r="R269" i="4"/>
  <c r="W269" i="4"/>
  <c r="T269" i="4"/>
  <c r="V269" i="4"/>
  <c r="N269" i="4"/>
  <c r="Y270" i="2"/>
  <c r="X269" i="4"/>
  <c r="Y269" i="4"/>
  <c r="O269" i="4"/>
  <c r="U269" i="4"/>
  <c r="M269" i="4"/>
  <c r="BL52" i="3"/>
  <c r="BO52" i="3"/>
  <c r="BR52" i="3"/>
  <c r="BU52" i="3"/>
  <c r="BX52" i="3"/>
  <c r="CA52" i="3"/>
  <c r="CD52" i="3"/>
  <c r="CG52" i="3"/>
  <c r="CJ52" i="3"/>
  <c r="CM52" i="3"/>
  <c r="CP52" i="3"/>
  <c r="CS52" i="3"/>
  <c r="CV52" i="3"/>
  <c r="CY52" i="3"/>
  <c r="BL228" i="3"/>
  <c r="BO228" i="3"/>
  <c r="BR228" i="3"/>
  <c r="BU228" i="3"/>
  <c r="BX228" i="3"/>
  <c r="CA228" i="3"/>
  <c r="CD228" i="3"/>
  <c r="CG228" i="3"/>
  <c r="CJ228" i="3"/>
  <c r="CM228" i="3"/>
  <c r="CP228" i="3"/>
  <c r="CS228" i="3"/>
  <c r="CV228" i="3"/>
  <c r="CY228" i="3"/>
  <c r="BL286" i="3"/>
  <c r="BO286" i="3"/>
  <c r="BR286" i="3"/>
  <c r="BU286" i="3"/>
  <c r="BX286" i="3"/>
  <c r="CA286" i="3"/>
  <c r="CD286" i="3"/>
  <c r="CG286" i="3"/>
  <c r="CJ286" i="3"/>
  <c r="CM286" i="3"/>
  <c r="CP286" i="3"/>
  <c r="CS286" i="3"/>
  <c r="CV286" i="3"/>
  <c r="CY286" i="3"/>
  <c r="BL95" i="3"/>
  <c r="BO95" i="3"/>
  <c r="BR95" i="3"/>
  <c r="BU95" i="3"/>
  <c r="BX95" i="3"/>
  <c r="CA95" i="3"/>
  <c r="CD95" i="3"/>
  <c r="CG95" i="3"/>
  <c r="CJ95" i="3"/>
  <c r="CM95" i="3"/>
  <c r="CP95" i="3"/>
  <c r="CS95" i="3"/>
  <c r="CV95" i="3"/>
  <c r="CY95" i="3"/>
  <c r="BL119" i="3"/>
  <c r="BO119" i="3"/>
  <c r="BR119" i="3"/>
  <c r="BU119" i="3"/>
  <c r="BX119" i="3"/>
  <c r="CA119" i="3"/>
  <c r="CD119" i="3"/>
  <c r="CG119" i="3"/>
  <c r="CJ119" i="3"/>
  <c r="CM119" i="3"/>
  <c r="CP119" i="3"/>
  <c r="CS119" i="3"/>
  <c r="CV119" i="3"/>
  <c r="CY119" i="3"/>
  <c r="BL267" i="3"/>
  <c r="BO267" i="3"/>
  <c r="BR267" i="3"/>
  <c r="BU267" i="3"/>
  <c r="BX267" i="3"/>
  <c r="CA267" i="3"/>
  <c r="CD267" i="3"/>
  <c r="CG267" i="3"/>
  <c r="CJ267" i="3"/>
  <c r="CM267" i="3"/>
  <c r="CP267" i="3"/>
  <c r="CS267" i="3"/>
  <c r="CV267" i="3"/>
  <c r="CY267" i="3"/>
  <c r="BL266" i="3"/>
  <c r="BO266" i="3"/>
  <c r="BR266" i="3"/>
  <c r="BU266" i="3"/>
  <c r="BX266" i="3"/>
  <c r="CA266" i="3"/>
  <c r="CD266" i="3"/>
  <c r="CG266" i="3"/>
  <c r="CJ266" i="3"/>
  <c r="CM266" i="3"/>
  <c r="CP266" i="3"/>
  <c r="CS266" i="3"/>
  <c r="CV266" i="3"/>
  <c r="CY266" i="3"/>
  <c r="AE164" i="3"/>
  <c r="AH164" i="3"/>
  <c r="AK164" i="3"/>
  <c r="AN164" i="3"/>
  <c r="AQ164" i="3"/>
  <c r="AT164" i="3"/>
  <c r="BF209" i="3"/>
  <c r="BI209" i="3"/>
  <c r="BL209" i="3"/>
  <c r="AE275" i="3"/>
  <c r="AH275" i="3"/>
  <c r="AK275" i="3"/>
  <c r="AN275" i="3"/>
  <c r="AQ275" i="3"/>
  <c r="AT275" i="3"/>
  <c r="AW275" i="3"/>
  <c r="AZ275" i="3"/>
  <c r="BC275" i="3"/>
  <c r="BF275" i="3"/>
  <c r="BI275" i="3"/>
  <c r="BL275" i="3"/>
  <c r="BO275" i="3"/>
  <c r="BR275" i="3"/>
  <c r="BU275" i="3"/>
  <c r="BX275" i="3"/>
  <c r="CA275" i="3"/>
  <c r="CD275" i="3"/>
  <c r="CG275" i="3"/>
  <c r="CJ275" i="3"/>
  <c r="CM275" i="3"/>
  <c r="CP275" i="3"/>
  <c r="CS275" i="3"/>
  <c r="CV275" i="3"/>
  <c r="CY275" i="3"/>
  <c r="AE301" i="3"/>
  <c r="AH301" i="3"/>
  <c r="AK301" i="3"/>
  <c r="AN301" i="3"/>
  <c r="AQ301" i="3"/>
  <c r="AT301" i="3"/>
  <c r="AE132" i="3"/>
  <c r="AH132" i="3"/>
  <c r="AK132" i="3"/>
  <c r="AN132" i="3"/>
  <c r="AQ132" i="3"/>
  <c r="AT132" i="3"/>
  <c r="AW132" i="3"/>
  <c r="AZ132" i="3"/>
  <c r="BC132" i="3"/>
  <c r="BF132" i="3"/>
  <c r="BI132" i="3"/>
  <c r="AE16" i="3"/>
  <c r="AH16" i="3"/>
  <c r="AK16" i="3"/>
  <c r="AN16" i="3"/>
  <c r="AQ16" i="3"/>
  <c r="AT16" i="3"/>
  <c r="AW16" i="3"/>
  <c r="AZ16" i="3"/>
  <c r="BC16" i="3"/>
  <c r="BF16" i="3"/>
  <c r="BI16" i="3"/>
  <c r="BL16" i="3"/>
  <c r="BO16" i="3"/>
  <c r="BR16" i="3"/>
  <c r="BU16" i="3"/>
  <c r="BX16" i="3"/>
  <c r="CA16" i="3"/>
  <c r="CD16" i="3"/>
  <c r="CG16" i="3"/>
  <c r="CJ16" i="3"/>
  <c r="CM16" i="3"/>
  <c r="CP16" i="3"/>
  <c r="CS16" i="3"/>
  <c r="CV16" i="3"/>
  <c r="CY16" i="3"/>
  <c r="P128" i="4"/>
  <c r="R128" i="4"/>
  <c r="N128" i="4"/>
  <c r="X128" i="4"/>
  <c r="Y128" i="4"/>
  <c r="Q128" i="4"/>
  <c r="W128" i="4"/>
  <c r="S128" i="4"/>
  <c r="Y129" i="2"/>
  <c r="V128" i="4"/>
  <c r="O128" i="4"/>
  <c r="M128" i="4"/>
  <c r="U128" i="4"/>
  <c r="T128" i="4"/>
  <c r="U22" i="4"/>
  <c r="O22" i="4"/>
  <c r="W22" i="4"/>
  <c r="M22" i="4"/>
  <c r="N22" i="4"/>
  <c r="T22" i="4"/>
  <c r="S22" i="4"/>
  <c r="R22" i="4"/>
  <c r="X22" i="4"/>
  <c r="Y22" i="4"/>
  <c r="Y23" i="2"/>
  <c r="P22" i="4"/>
  <c r="Q22" i="4"/>
  <c r="V22" i="4"/>
  <c r="P88" i="4"/>
  <c r="X88" i="4"/>
  <c r="Y88" i="4"/>
  <c r="Q88" i="4"/>
  <c r="R88" i="4"/>
  <c r="N88" i="4"/>
  <c r="U88" i="4"/>
  <c r="S88" i="4"/>
  <c r="Y89" i="2"/>
  <c r="T88" i="4"/>
  <c r="M88" i="4"/>
  <c r="O88" i="4"/>
  <c r="W88" i="4"/>
  <c r="V88" i="4"/>
  <c r="O158" i="4"/>
  <c r="X158" i="4"/>
  <c r="Y158" i="4"/>
  <c r="W158" i="4"/>
  <c r="M158" i="4"/>
  <c r="S158" i="4"/>
  <c r="N158" i="4"/>
  <c r="T158" i="4"/>
  <c r="U158" i="4"/>
  <c r="Q158" i="4"/>
  <c r="R158" i="4"/>
  <c r="P158" i="4"/>
  <c r="V158" i="4"/>
  <c r="Y159" i="2"/>
  <c r="N35" i="4"/>
  <c r="X35" i="4"/>
  <c r="Y35" i="4"/>
  <c r="W35" i="4"/>
  <c r="Q35" i="4"/>
  <c r="Y36" i="2"/>
  <c r="V35" i="4"/>
  <c r="O35" i="4"/>
  <c r="T35" i="4"/>
  <c r="U35" i="4"/>
  <c r="S35" i="4"/>
  <c r="M35" i="4"/>
  <c r="P35" i="4"/>
  <c r="R35" i="4"/>
  <c r="N124" i="4"/>
  <c r="Y125" i="2"/>
  <c r="Q124" i="4"/>
  <c r="W124" i="4"/>
  <c r="S124" i="4"/>
  <c r="O124" i="4"/>
  <c r="P124" i="4"/>
  <c r="T124" i="4"/>
  <c r="V124" i="4"/>
  <c r="R124" i="4"/>
  <c r="U124" i="4"/>
  <c r="X124" i="4"/>
  <c r="Y124" i="4"/>
  <c r="M124" i="4"/>
  <c r="X20" i="4"/>
  <c r="Y20" i="4"/>
  <c r="T20" i="4"/>
  <c r="O20" i="4"/>
  <c r="P20" i="4"/>
  <c r="Q20" i="4"/>
  <c r="M20" i="4"/>
  <c r="Y21" i="2"/>
  <c r="N20" i="4"/>
  <c r="U20" i="4"/>
  <c r="R20" i="4"/>
  <c r="V20" i="4"/>
  <c r="L327" i="2"/>
  <c r="S20" i="4"/>
  <c r="W20" i="4"/>
  <c r="W82" i="4"/>
  <c r="O82" i="4"/>
  <c r="S82" i="4"/>
  <c r="R82" i="4"/>
  <c r="T82" i="4"/>
  <c r="P82" i="4"/>
  <c r="Y83" i="2"/>
  <c r="M82" i="4"/>
  <c r="U82" i="4"/>
  <c r="X82" i="4"/>
  <c r="Y82" i="4"/>
  <c r="N82" i="4"/>
  <c r="V82" i="4"/>
  <c r="Q82" i="4"/>
  <c r="S200" i="4"/>
  <c r="Q200" i="4"/>
  <c r="V200" i="4"/>
  <c r="X200" i="4"/>
  <c r="Y200" i="4"/>
  <c r="T200" i="4"/>
  <c r="M200" i="4"/>
  <c r="U200" i="4"/>
  <c r="P200" i="4"/>
  <c r="R200" i="4"/>
  <c r="W200" i="4"/>
  <c r="O200" i="4"/>
  <c r="Y201" i="2"/>
  <c r="N200" i="4"/>
  <c r="S69" i="4"/>
  <c r="M69" i="4"/>
  <c r="R69" i="4"/>
  <c r="Y70" i="2"/>
  <c r="P69" i="4"/>
  <c r="X69" i="4"/>
  <c r="Y69" i="4"/>
  <c r="N69" i="4"/>
  <c r="V69" i="4"/>
  <c r="Q69" i="4"/>
  <c r="W69" i="4"/>
  <c r="T69" i="4"/>
  <c r="O69" i="4"/>
  <c r="U69" i="4"/>
  <c r="BL136" i="3"/>
  <c r="BO136" i="3"/>
  <c r="BR136" i="3"/>
  <c r="BU136" i="3"/>
  <c r="BX136" i="3"/>
  <c r="CA136" i="3"/>
  <c r="CD136" i="3"/>
  <c r="CG136" i="3"/>
  <c r="CJ136" i="3"/>
  <c r="CM136" i="3"/>
  <c r="CP136" i="3"/>
  <c r="CS136" i="3"/>
  <c r="CV136" i="3"/>
  <c r="CY136" i="3"/>
  <c r="AE231" i="3"/>
  <c r="AH231" i="3"/>
  <c r="AK231" i="3"/>
  <c r="AN231" i="3"/>
  <c r="AQ231" i="3"/>
  <c r="AT231" i="3"/>
  <c r="AW231" i="3"/>
  <c r="AZ231" i="3"/>
  <c r="BC231" i="3"/>
  <c r="BF231" i="3"/>
  <c r="BI231" i="3"/>
  <c r="AE45" i="3"/>
  <c r="AH45" i="3"/>
  <c r="AK45" i="3"/>
  <c r="AN45" i="3"/>
  <c r="AQ45" i="3"/>
  <c r="AT45" i="3"/>
  <c r="AW45" i="3"/>
  <c r="AZ45" i="3"/>
  <c r="BC45" i="3"/>
  <c r="BF45" i="3"/>
  <c r="BI45" i="3"/>
  <c r="AE261" i="3"/>
  <c r="AH261" i="3"/>
  <c r="AK261" i="3"/>
  <c r="AN261" i="3"/>
  <c r="AQ261" i="3"/>
  <c r="AT261" i="3"/>
  <c r="AW261" i="3"/>
  <c r="AZ261" i="3"/>
  <c r="BC261" i="3"/>
  <c r="BF261" i="3"/>
  <c r="BI261" i="3"/>
  <c r="BL261" i="3"/>
  <c r="BO261" i="3"/>
  <c r="BR261" i="3"/>
  <c r="BU261" i="3"/>
  <c r="BX261" i="3"/>
  <c r="CA261" i="3"/>
  <c r="CD261" i="3"/>
  <c r="CG261" i="3"/>
  <c r="CJ261" i="3"/>
  <c r="CM261" i="3"/>
  <c r="CP261" i="3"/>
  <c r="CS261" i="3"/>
  <c r="CV261" i="3"/>
  <c r="CY261" i="3"/>
  <c r="AE196" i="3"/>
  <c r="AH196" i="3"/>
  <c r="AK196" i="3"/>
  <c r="AN196" i="3"/>
  <c r="AQ196" i="3"/>
  <c r="AT196" i="3"/>
  <c r="AW196" i="3"/>
  <c r="AZ196" i="3"/>
  <c r="BC196" i="3"/>
  <c r="BF196" i="3"/>
  <c r="BI196" i="3"/>
  <c r="AE101" i="3"/>
  <c r="AH101" i="3"/>
  <c r="AK101" i="3"/>
  <c r="AN101" i="3"/>
  <c r="AQ101" i="3"/>
  <c r="AT101" i="3"/>
  <c r="AW101" i="3"/>
  <c r="AZ101" i="3"/>
  <c r="BC101" i="3"/>
  <c r="BF101" i="3"/>
  <c r="BI101" i="3"/>
  <c r="AW90" i="3"/>
  <c r="AZ90" i="3"/>
  <c r="BC90" i="3"/>
  <c r="BF90" i="3"/>
  <c r="BI90" i="3"/>
  <c r="AE49" i="3"/>
  <c r="AH49" i="3"/>
  <c r="AK49" i="3"/>
  <c r="AN49" i="3"/>
  <c r="AQ49" i="3"/>
  <c r="AT49" i="3"/>
  <c r="AW49" i="3"/>
  <c r="AZ49" i="3"/>
  <c r="BC49" i="3"/>
  <c r="BF49" i="3"/>
  <c r="BI49" i="3"/>
  <c r="AE153" i="3"/>
  <c r="AH153" i="3"/>
  <c r="AK153" i="3"/>
  <c r="AN153" i="3"/>
  <c r="AQ153" i="3"/>
  <c r="AT153" i="3"/>
  <c r="AW153" i="3"/>
  <c r="AZ153" i="3"/>
  <c r="BC153" i="3"/>
  <c r="BF153" i="3"/>
  <c r="BI153" i="3"/>
  <c r="AE47" i="3"/>
  <c r="AH47" i="3"/>
  <c r="AK47" i="3"/>
  <c r="AN47" i="3"/>
  <c r="AQ47" i="3"/>
  <c r="AT47" i="3"/>
  <c r="AW47" i="3"/>
  <c r="AZ47" i="3"/>
  <c r="BC47" i="3"/>
  <c r="BF47" i="3"/>
  <c r="BI47" i="3"/>
  <c r="BL47" i="3"/>
  <c r="AE38" i="3"/>
  <c r="AH38" i="3"/>
  <c r="AK38" i="3"/>
  <c r="AN38" i="3"/>
  <c r="AQ38" i="3"/>
  <c r="AT38" i="3"/>
  <c r="AW38" i="3"/>
  <c r="AZ38" i="3"/>
  <c r="BC38" i="3"/>
  <c r="BF38" i="3"/>
  <c r="BI38" i="3"/>
  <c r="AE182" i="3"/>
  <c r="AH182" i="3"/>
  <c r="AK182" i="3"/>
  <c r="AN182" i="3"/>
  <c r="AQ182" i="3"/>
  <c r="AT182" i="3"/>
  <c r="AW182" i="3"/>
  <c r="AZ182" i="3"/>
  <c r="BC182" i="3"/>
  <c r="BF182" i="3"/>
  <c r="BI182" i="3"/>
  <c r="AE161" i="3"/>
  <c r="AH161" i="3"/>
  <c r="AK161" i="3"/>
  <c r="AN161" i="3"/>
  <c r="AQ161" i="3"/>
  <c r="AT161" i="3"/>
  <c r="AW161" i="3"/>
  <c r="AZ161" i="3"/>
  <c r="BC161" i="3"/>
  <c r="BF161" i="3"/>
  <c r="BI161" i="3"/>
  <c r="AE233" i="3"/>
  <c r="AH233" i="3"/>
  <c r="AK233" i="3"/>
  <c r="AN233" i="3"/>
  <c r="AQ233" i="3"/>
  <c r="AT233" i="3"/>
  <c r="AW233" i="3"/>
  <c r="AZ233" i="3"/>
  <c r="BC233" i="3"/>
  <c r="BF233" i="3"/>
  <c r="BI233" i="3"/>
  <c r="AE287" i="3"/>
  <c r="AH287" i="3"/>
  <c r="AK287" i="3"/>
  <c r="AN287" i="3"/>
  <c r="AQ287" i="3"/>
  <c r="AT287" i="3"/>
  <c r="AW287" i="3"/>
  <c r="AZ287" i="3"/>
  <c r="BC287" i="3"/>
  <c r="BF287" i="3"/>
  <c r="BI287" i="3"/>
  <c r="BL287" i="3"/>
  <c r="BO287" i="3"/>
  <c r="BR287" i="3"/>
  <c r="BU287" i="3"/>
  <c r="BX287" i="3"/>
  <c r="CA287" i="3"/>
  <c r="CD287" i="3"/>
  <c r="CG287" i="3"/>
  <c r="CJ287" i="3"/>
  <c r="CM287" i="3"/>
  <c r="CP287" i="3"/>
  <c r="CS287" i="3"/>
  <c r="CV287" i="3"/>
  <c r="CY287" i="3"/>
  <c r="Y327" i="2"/>
  <c r="AT308" i="3"/>
  <c r="AW308" i="3"/>
  <c r="AZ308" i="3"/>
  <c r="BC308" i="3"/>
  <c r="BF308" i="3"/>
  <c r="BI308" i="3"/>
  <c r="BL308" i="3"/>
  <c r="BO308" i="3"/>
  <c r="BR308" i="3"/>
  <c r="BU308" i="3"/>
  <c r="BX308" i="3"/>
  <c r="CA308" i="3"/>
  <c r="CD308" i="3"/>
  <c r="CG308" i="3"/>
  <c r="CJ308" i="3"/>
  <c r="CM308" i="3"/>
  <c r="CP308" i="3"/>
  <c r="CS308" i="3"/>
  <c r="CV308" i="3"/>
  <c r="CY308" i="3"/>
  <c r="BL233" i="3"/>
  <c r="BO233" i="3"/>
  <c r="BR233" i="3"/>
  <c r="BU233" i="3"/>
  <c r="BX233" i="3"/>
  <c r="CA233" i="3"/>
  <c r="CD233" i="3"/>
  <c r="CG233" i="3"/>
  <c r="CJ233" i="3"/>
  <c r="CM233" i="3"/>
  <c r="CP233" i="3"/>
  <c r="CS233" i="3"/>
  <c r="CV233" i="3"/>
  <c r="CY233" i="3"/>
  <c r="BL38" i="3"/>
  <c r="BO38" i="3"/>
  <c r="BR38" i="3"/>
  <c r="BU38" i="3"/>
  <c r="BX38" i="3"/>
  <c r="CA38" i="3"/>
  <c r="CD38" i="3"/>
  <c r="CG38" i="3"/>
  <c r="CJ38" i="3"/>
  <c r="CM38" i="3"/>
  <c r="CP38" i="3"/>
  <c r="CS38" i="3"/>
  <c r="CV38" i="3"/>
  <c r="CY38" i="3"/>
  <c r="BL182" i="3"/>
  <c r="BO182" i="3"/>
  <c r="BR182" i="3"/>
  <c r="BU182" i="3"/>
  <c r="BX182" i="3"/>
  <c r="CA182" i="3"/>
  <c r="CD182" i="3"/>
  <c r="CG182" i="3"/>
  <c r="CJ182" i="3"/>
  <c r="CM182" i="3"/>
  <c r="CP182" i="3"/>
  <c r="CS182" i="3"/>
  <c r="CV182" i="3"/>
  <c r="CY182" i="3"/>
  <c r="BL153" i="3"/>
  <c r="BO153" i="3"/>
  <c r="BR153" i="3"/>
  <c r="BU153" i="3"/>
  <c r="BX153" i="3"/>
  <c r="CA153" i="3"/>
  <c r="CD153" i="3"/>
  <c r="CG153" i="3"/>
  <c r="CJ153" i="3"/>
  <c r="CM153" i="3"/>
  <c r="CP153" i="3"/>
  <c r="CS153" i="3"/>
  <c r="CV153" i="3"/>
  <c r="CY153" i="3"/>
  <c r="BL90" i="3"/>
  <c r="BO90" i="3"/>
  <c r="BR90" i="3"/>
  <c r="BU90" i="3"/>
  <c r="BX90" i="3"/>
  <c r="CA90" i="3"/>
  <c r="CD90" i="3"/>
  <c r="CG90" i="3"/>
  <c r="CJ90" i="3"/>
  <c r="CM90" i="3"/>
  <c r="CP90" i="3"/>
  <c r="CS90" i="3"/>
  <c r="CV90" i="3"/>
  <c r="CY90" i="3"/>
  <c r="BL196" i="3"/>
  <c r="BO196" i="3"/>
  <c r="BR196" i="3"/>
  <c r="BU196" i="3"/>
  <c r="BX196" i="3"/>
  <c r="CA196" i="3"/>
  <c r="CD196" i="3"/>
  <c r="CG196" i="3"/>
  <c r="CJ196" i="3"/>
  <c r="CM196" i="3"/>
  <c r="CP196" i="3"/>
  <c r="CS196" i="3"/>
  <c r="CV196" i="3"/>
  <c r="CY196" i="3"/>
  <c r="BL45" i="3"/>
  <c r="BO45" i="3"/>
  <c r="BR45" i="3"/>
  <c r="BU45" i="3"/>
  <c r="BX45" i="3"/>
  <c r="CA45" i="3"/>
  <c r="CD45" i="3"/>
  <c r="CG45" i="3"/>
  <c r="CJ45" i="3"/>
  <c r="CM45" i="3"/>
  <c r="CP45" i="3"/>
  <c r="CS45" i="3"/>
  <c r="CV45" i="3"/>
  <c r="CY45" i="3"/>
  <c r="BL132" i="3"/>
  <c r="BO132" i="3"/>
  <c r="BR132" i="3"/>
  <c r="BU132" i="3"/>
  <c r="BX132" i="3"/>
  <c r="CA132" i="3"/>
  <c r="CD132" i="3"/>
  <c r="CG132" i="3"/>
  <c r="CJ132" i="3"/>
  <c r="CM132" i="3"/>
  <c r="CP132" i="3"/>
  <c r="CS132" i="3"/>
  <c r="CV132" i="3"/>
  <c r="CY132" i="3"/>
  <c r="BL161" i="3"/>
  <c r="BO161" i="3"/>
  <c r="BR161" i="3"/>
  <c r="BU161" i="3"/>
  <c r="BX161" i="3"/>
  <c r="CA161" i="3"/>
  <c r="CD161" i="3"/>
  <c r="CG161" i="3"/>
  <c r="CJ161" i="3"/>
  <c r="CM161" i="3"/>
  <c r="CP161" i="3"/>
  <c r="CS161" i="3"/>
  <c r="CV161" i="3"/>
  <c r="CY161" i="3"/>
  <c r="BL49" i="3"/>
  <c r="BO49" i="3"/>
  <c r="BR49" i="3"/>
  <c r="BU49" i="3"/>
  <c r="BX49" i="3"/>
  <c r="CA49" i="3"/>
  <c r="CD49" i="3"/>
  <c r="CG49" i="3"/>
  <c r="CJ49" i="3"/>
  <c r="CM49" i="3"/>
  <c r="CP49" i="3"/>
  <c r="CS49" i="3"/>
  <c r="CV49" i="3"/>
  <c r="CY49" i="3"/>
  <c r="BL101" i="3"/>
  <c r="BO101" i="3"/>
  <c r="BR101" i="3"/>
  <c r="BU101" i="3"/>
  <c r="BX101" i="3"/>
  <c r="CA101" i="3"/>
  <c r="CD101" i="3"/>
  <c r="CG101" i="3"/>
  <c r="CJ101" i="3"/>
  <c r="CM101" i="3"/>
  <c r="CP101" i="3"/>
  <c r="CS101" i="3"/>
  <c r="CV101" i="3"/>
  <c r="CY101" i="3"/>
  <c r="BL231" i="3"/>
  <c r="BO231" i="3"/>
  <c r="BR231" i="3"/>
  <c r="BU231" i="3"/>
  <c r="BX231" i="3"/>
  <c r="CA231" i="3"/>
  <c r="CD231" i="3"/>
  <c r="CG231" i="3"/>
  <c r="CJ231" i="3"/>
  <c r="CM231" i="3"/>
  <c r="CP231" i="3"/>
  <c r="CS231" i="3"/>
  <c r="CV231" i="3"/>
  <c r="CY231" i="3"/>
  <c r="AW301" i="3"/>
  <c r="AZ301" i="3"/>
  <c r="AW164" i="3"/>
  <c r="AZ164" i="3"/>
  <c r="BC164" i="3"/>
  <c r="BF164" i="3"/>
  <c r="BI164" i="3"/>
  <c r="BL164" i="3"/>
  <c r="BO164" i="3"/>
  <c r="BR164" i="3"/>
  <c r="BU164" i="3"/>
  <c r="BX164" i="3"/>
  <c r="CA164" i="3"/>
  <c r="CD164" i="3"/>
  <c r="CG164" i="3"/>
  <c r="CJ164" i="3"/>
  <c r="CM164" i="3"/>
  <c r="CP164" i="3"/>
  <c r="CS164" i="3"/>
  <c r="CV164" i="3"/>
  <c r="CY164" i="3"/>
  <c r="BO209" i="3"/>
  <c r="BR209" i="3"/>
  <c r="BU209" i="3"/>
  <c r="BX209" i="3"/>
  <c r="CA209" i="3"/>
  <c r="CD209" i="3"/>
  <c r="CG209" i="3"/>
  <c r="CJ209" i="3"/>
  <c r="CM209" i="3"/>
  <c r="CP209" i="3"/>
  <c r="CS209" i="3"/>
  <c r="CV209" i="3"/>
  <c r="CY209" i="3"/>
  <c r="T326" i="4"/>
  <c r="W326" i="4"/>
  <c r="R326" i="4"/>
  <c r="M326" i="4"/>
  <c r="Q326" i="4"/>
  <c r="S326" i="4"/>
  <c r="Y326" i="4"/>
  <c r="V326" i="4"/>
  <c r="U326" i="4"/>
  <c r="N326" i="4"/>
  <c r="P326" i="4"/>
  <c r="O326" i="4"/>
  <c r="X326" i="4"/>
  <c r="BO47" i="3"/>
  <c r="BR47" i="3"/>
  <c r="BU47" i="3"/>
  <c r="BX47" i="3"/>
  <c r="CA47" i="3"/>
  <c r="CD47" i="3"/>
  <c r="CG47" i="3"/>
  <c r="CJ47" i="3"/>
  <c r="CM47" i="3"/>
  <c r="CP47" i="3"/>
  <c r="CS47" i="3"/>
  <c r="CV47" i="3"/>
  <c r="CY47" i="3"/>
  <c r="BC301" i="3"/>
  <c r="BF301" i="3"/>
  <c r="BI301" i="3"/>
  <c r="BL301" i="3"/>
  <c r="BO301" i="3"/>
  <c r="BR301" i="3"/>
  <c r="BU301" i="3"/>
  <c r="BX301" i="3"/>
  <c r="CA301" i="3"/>
  <c r="CD301" i="3"/>
  <c r="CG301" i="3"/>
  <c r="CJ301" i="3"/>
  <c r="CM301" i="3"/>
  <c r="CP301" i="3"/>
  <c r="CS300" i="3"/>
</calcChain>
</file>

<file path=xl/comments1.xml><?xml version="1.0" encoding="utf-8"?>
<comments xmlns="http://schemas.openxmlformats.org/spreadsheetml/2006/main">
  <authors>
    <author>Лапшин С.Н.</author>
  </authors>
  <commentList>
    <comment ref="B6" author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цветом выделены злостные должники из членов правления</t>
        </r>
      </text>
    </commen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если два и более участка, то выпадает один первый</t>
        </r>
      </text>
    </comment>
  </commentList>
</comments>
</file>

<file path=xl/comments2.xml><?xml version="1.0" encoding="utf-8"?>
<comments xmlns="http://schemas.openxmlformats.org/spreadsheetml/2006/main">
  <authors>
    <author>Лапшин С.Н.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если два и более участка, то выпадает один из участков</t>
        </r>
      </text>
    </comment>
    <comment ref="C22" author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если два и более участка, то выпадает один из участков</t>
        </r>
      </text>
    </comment>
    <comment ref="C39" author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если два и более участка, то выпадает один из участков</t>
        </r>
      </text>
    </comment>
  </commentList>
</comments>
</file>

<file path=xl/comments3.xml><?xml version="1.0" encoding="utf-8"?>
<comments xmlns="http://schemas.openxmlformats.org/spreadsheetml/2006/main">
  <authors>
    <author>Лапшин С.Н.</author>
    <author>Svetlana</author>
    <author>Лапшин Сергей Николаевич</author>
  </authors>
  <commentList>
    <comment ref="K78" author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были сделаны перерасчеты со слов председателя и собственника</t>
        </r>
      </text>
    </comment>
    <comment ref="L98" author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у Светланы стоял долг в 12 тыс. Лена платина налом 12 тыс. рублей
</t>
        </r>
      </text>
    </comment>
    <comment ref="D130" authorId="1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D187" authorId="1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D247" authorId="2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был продан с долгами 
</t>
        </r>
      </text>
    </comment>
    <comment ref="D312" authorId="1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Шелухина купила участок  01.07.2013 и платежи с 01.08.2013
</t>
        </r>
      </text>
    </comment>
  </commentList>
</comments>
</file>

<file path=xl/comments4.xml><?xml version="1.0" encoding="utf-8"?>
<comments xmlns="http://schemas.openxmlformats.org/spreadsheetml/2006/main">
  <authors>
    <author>Лапшин Сергей Николаевич</author>
    <author>Admin</author>
    <author>Лапшин С.Н.</author>
    <author>Svetlana</author>
    <author>Владимир</author>
  </authors>
  <commentList>
    <comment ref="U4" authorId="0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нал отдавали Марину</t>
        </r>
      </text>
    </comment>
    <comment ref="V4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P8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пернос переплаты по э/э по заявлению</t>
        </r>
      </text>
    </comment>
    <comment ref="R15" authorId="2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800 покупка материалов для пропускного режима</t>
        </r>
      </text>
    </comment>
    <comment ref="C28" authorId="0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убрать из ээ на чл 10 тыс. </t>
        </r>
      </text>
    </comment>
    <comment ref="V4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переннос взносов на ремонт дорог</t>
        </r>
      </text>
    </comment>
    <comment ref="R53" authorId="1">
      <text>
        <r>
          <rPr>
            <sz val="8"/>
            <color indexed="81"/>
            <rFont val="Tahoma"/>
            <family val="2"/>
            <charset val="204"/>
          </rPr>
          <t xml:space="preserve">Ирина: на основании документа от собственника 
</t>
        </r>
      </text>
    </comment>
    <comment ref="BN9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за э/э по заявлени.</t>
        </r>
      </text>
    </comment>
    <comment ref="D130" authorId="3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AS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AV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AY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B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E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H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E142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за э/эн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R16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оплаты наличными приходник</t>
        </r>
      </text>
    </comment>
    <comment ref="F182" authorId="4">
      <text>
        <r>
          <rPr>
            <b/>
            <sz val="9"/>
            <color indexed="81"/>
            <rFont val="Tahoma"/>
            <family val="2"/>
            <charset val="204"/>
          </rPr>
          <t xml:space="preserve">Ирина. Дата вступления30.09.11. Чл.вз. С 01.10.2011
</t>
        </r>
      </text>
    </comment>
    <comment ref="BN18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по электричеству</t>
        </r>
      </text>
    </comment>
    <comment ref="D188" authorId="3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P188" authorId="4">
      <text>
        <r>
          <rPr>
            <b/>
            <sz val="9"/>
            <color indexed="81"/>
            <rFont val="Tahoma"/>
            <family val="2"/>
            <charset val="204"/>
          </rPr>
          <t>Ирина: плюс 10 000. Перенесла в счет долга Сурковой Т.</t>
        </r>
      </text>
    </comment>
    <comment ref="S193" authorId="0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Отдали Марину на руки - отчета не было</t>
        </r>
      </text>
    </comment>
    <comment ref="AS214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BE238" authorId="1">
      <text>
        <r>
          <rPr>
            <b/>
            <sz val="8"/>
            <color indexed="81"/>
            <rFont val="Tahoma"/>
            <family val="2"/>
            <charset val="204"/>
          </rPr>
          <t>Ирина: 931,37 -перенос переплаты за э/эн</t>
        </r>
      </text>
    </comment>
    <comment ref="BH238" authorId="1">
      <text>
        <r>
          <rPr>
            <b/>
            <sz val="8"/>
            <color indexed="81"/>
            <rFont val="Tahoma"/>
            <family val="2"/>
            <charset val="204"/>
          </rPr>
          <t>Ирина: 931,37 -перенос переплаты за э/эн</t>
        </r>
      </text>
    </comment>
    <comment ref="BN252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перелаты за э/э по заявлению</t>
        </r>
      </text>
    </comment>
    <comment ref="P271" authorId="4">
      <text>
        <r>
          <rPr>
            <b/>
            <sz val="9"/>
            <color indexed="81"/>
            <rFont val="Tahoma"/>
            <family val="2"/>
            <charset val="204"/>
          </rPr>
          <t>Ирина: оплата  долга от Милоянина А.</t>
        </r>
      </text>
    </comment>
    <comment ref="AS274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AV274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AY274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AM276" authorId="4">
      <text>
        <r>
          <rPr>
            <b/>
            <sz val="9"/>
            <color indexed="81"/>
            <rFont val="Tahoma"/>
            <family val="2"/>
            <charset val="204"/>
          </rPr>
          <t>ирина: перенос переплаты за э/э. По заявленю.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P294" authorId="4">
      <text>
        <r>
          <rPr>
            <b/>
            <sz val="9"/>
            <color indexed="81"/>
            <rFont val="Tahoma"/>
            <family val="2"/>
            <charset val="204"/>
          </rPr>
          <t>Ирина: перенесена переплата за э/з по заявлению от 03.06.2017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H30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за электричество 712,45 </t>
        </r>
      </text>
    </comment>
    <comment ref="D311" authorId="3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Шелухина купила участок  01.07.2013 и платежи с 01.08.2013
</t>
        </r>
      </text>
    </comment>
  </commentList>
</comments>
</file>

<file path=xl/comments5.xml><?xml version="1.0" encoding="utf-8"?>
<comments xmlns="http://schemas.openxmlformats.org/spreadsheetml/2006/main">
  <authors>
    <author>Svetlana</author>
  </authors>
  <commentList>
    <comment ref="D129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D186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D311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Шелухина купила участок  01.07.2013 и платежи с 01.08.2013
</t>
        </r>
      </text>
    </comment>
  </commentList>
</comments>
</file>

<file path=xl/comments6.xml><?xml version="1.0" encoding="utf-8"?>
<comments xmlns="http://schemas.openxmlformats.org/spreadsheetml/2006/main">
  <authors>
    <author>Svetlana</author>
  </authors>
  <commentList>
    <comment ref="D130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D187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D312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Шелухина купила участок  01.07.2013 и платежи с 01.08.2013
</t>
        </r>
      </text>
    </comment>
  </commentList>
</comments>
</file>

<file path=xl/comments7.xml><?xml version="1.0" encoding="utf-8"?>
<comments xmlns="http://schemas.openxmlformats.org/spreadsheetml/2006/main">
  <authors>
    <author>Svetlana</author>
  </authors>
  <commentList>
    <comment ref="D126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D184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D240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Шелухина купила участок  01.07.2013 и платежи с 01.08.2013
</t>
        </r>
      </text>
    </comment>
  </commentList>
</comments>
</file>

<file path=xl/sharedStrings.xml><?xml version="1.0" encoding="utf-8"?>
<sst xmlns="http://schemas.openxmlformats.org/spreadsheetml/2006/main" count="4509" uniqueCount="880">
  <si>
    <t>Номер участка</t>
  </si>
  <si>
    <t>Ф.И.О.</t>
  </si>
  <si>
    <t>Абу Махади Мохаммед Ибрагим</t>
  </si>
  <si>
    <t>Абушаев Роман Шамильевич</t>
  </si>
  <si>
    <t>Аксенов Дмитрий Викторович</t>
  </si>
  <si>
    <t>Александров Владимир Александрович</t>
  </si>
  <si>
    <t>306-307</t>
  </si>
  <si>
    <t>Алексеев Андрей Олегович</t>
  </si>
  <si>
    <t xml:space="preserve">Амплеева Мария Александровна </t>
  </si>
  <si>
    <t>Андреева Любовь Ивановна(у Севастьянова)</t>
  </si>
  <si>
    <t>Анисимова (Корнеева) Татьяна Николаевна</t>
  </si>
  <si>
    <t>Анисимова Елена Анатольевна</t>
  </si>
  <si>
    <t>Антипова Жанна Михайловна</t>
  </si>
  <si>
    <t>Анциферов Алексей Сергеевич</t>
  </si>
  <si>
    <t>Артемьев Сергей Иванович</t>
  </si>
  <si>
    <t>Асташкин Павел Александрович(продал???)</t>
  </si>
  <si>
    <t>Афанасьева Злата Сергеевна</t>
  </si>
  <si>
    <t>Афян Сасун Аркадиевич</t>
  </si>
  <si>
    <t>Ахромеев Андрей Владимирович</t>
  </si>
  <si>
    <t>Бадирьян Тамара Викторовна</t>
  </si>
  <si>
    <t>Байбикова Рузалия Равилевна / Байбикова Руфия Равилевна</t>
  </si>
  <si>
    <t>Лещёва Ольга Владимировна</t>
  </si>
  <si>
    <t>Безбородова Людмила Михайловна</t>
  </si>
  <si>
    <t>Безменова Татьяна Игоревна</t>
  </si>
  <si>
    <t>Бекмансурова Динара Василевна</t>
  </si>
  <si>
    <t xml:space="preserve">Белов Семён Иванович          </t>
  </si>
  <si>
    <t>Белоглазова Людмила Ивановна</t>
  </si>
  <si>
    <t>Бельская Светлана Александровна (Владимир)</t>
  </si>
  <si>
    <t>Бельский Владимир Владимирович (Светлана)</t>
  </si>
  <si>
    <t>Беляков Виктор Михайлович</t>
  </si>
  <si>
    <t>Бенгя Владимир Михайлович (Диана)</t>
  </si>
  <si>
    <t>Беспаленко Зинаида Александровна</t>
  </si>
  <si>
    <t>Бирюков Александр Сергеевич</t>
  </si>
  <si>
    <t>Блинков Анатолий Сергеевич</t>
  </si>
  <si>
    <t>Бондарев Станислав Дмитриевич</t>
  </si>
  <si>
    <t>Бондаренко Владимир Иванович</t>
  </si>
  <si>
    <t>Бондарь Василий Дмитриевич</t>
  </si>
  <si>
    <t>Борисов Олег Александрович</t>
  </si>
  <si>
    <t>Бранцова Татьяна Валерьевна</t>
  </si>
  <si>
    <t>Брылёв Андрей Вячеславович</t>
  </si>
  <si>
    <t>Бугрова Вероника Артуровна</t>
  </si>
  <si>
    <t>Будаев Андрей Анатольевич</t>
  </si>
  <si>
    <t>Буланова Лилия Михайловна</t>
  </si>
  <si>
    <t>Бурдух Юрие</t>
  </si>
  <si>
    <t>Быданцева Нина Юрьевна</t>
  </si>
  <si>
    <t>Валеев Артур Рашидович</t>
  </si>
  <si>
    <t>Васильев Николай Владимирович</t>
  </si>
  <si>
    <t>Васильева Ольга Александровна</t>
  </si>
  <si>
    <t>Васильцова Елена Владимировна</t>
  </si>
  <si>
    <t>Вершинина Елена Анатольевна</t>
  </si>
  <si>
    <t>Виноградова Наталья Дмитриевна (Николай)</t>
  </si>
  <si>
    <t>Виртилецкий Денис Вячеславович</t>
  </si>
  <si>
    <t>Водянова Ольга Александровна</t>
  </si>
  <si>
    <t>Волгушев Дмитрий Геннадиевич</t>
  </si>
  <si>
    <t>Володина Инна Александровна</t>
  </si>
  <si>
    <t>Вольский Андрей Юрьевич</t>
  </si>
  <si>
    <t>Высоких Антон Маркович</t>
  </si>
  <si>
    <t>Гайкова (Дьякова) Мария Викторовна</t>
  </si>
  <si>
    <t>Ганин Александр Борисович</t>
  </si>
  <si>
    <t>Горбунов Владимир Александрович</t>
  </si>
  <si>
    <t>Горбунов Максим Николаевич</t>
  </si>
  <si>
    <t>Гордейчик Игорь Борисович</t>
  </si>
  <si>
    <t>Горянов Михаил Андреевич</t>
  </si>
  <si>
    <t>Горячев Дмитрий Николаевич</t>
  </si>
  <si>
    <t>Губарева Татьяна Григорьевна</t>
  </si>
  <si>
    <t>71-72</t>
  </si>
  <si>
    <t>Гусева Светлана Григорьевна</t>
  </si>
  <si>
    <t>Давыдова Анна Сергеевна</t>
  </si>
  <si>
    <t xml:space="preserve">Данильянц Юрий Константинович   </t>
  </si>
  <si>
    <t>Даточный Алексей Валерьевич</t>
  </si>
  <si>
    <t>Двойрина Юлия Владимировна</t>
  </si>
  <si>
    <t>Денисов Дмитрий Алексеевич</t>
  </si>
  <si>
    <t>Денисов Сергей Александрович</t>
  </si>
  <si>
    <t>Десюкова Марина Александровна</t>
  </si>
  <si>
    <t>Дидушко Денис Васильевич (Василий)</t>
  </si>
  <si>
    <t>Дорошенко Владимир Алексеевич</t>
  </si>
  <si>
    <t>Дубов Александр Сергеевич</t>
  </si>
  <si>
    <t>Евглевская Ольга Борисовна</t>
  </si>
  <si>
    <t>Евсеев Александр Сергеевич</t>
  </si>
  <si>
    <t xml:space="preserve">Елисеев Сергей Вячеславович          </t>
  </si>
  <si>
    <t>Епанчинцева Людмила Филипповна</t>
  </si>
  <si>
    <t>Еременко Виктор Александрович (Валентина)</t>
  </si>
  <si>
    <t>Ермакова Татьяна Викторовна</t>
  </si>
  <si>
    <t>Ермолаева Виктория Александровна</t>
  </si>
  <si>
    <t>Ермошина Татьяна Евгеньевна (Владимир)</t>
  </si>
  <si>
    <t>243-244</t>
  </si>
  <si>
    <t>Ершова Виктория Львовна</t>
  </si>
  <si>
    <t>Жарикова Светлана Юрьевна</t>
  </si>
  <si>
    <t>Жигунов Юрий Александрович</t>
  </si>
  <si>
    <t>Жирная Татьяна Сергеевна</t>
  </si>
  <si>
    <t>Жохова Елена Сергеевна</t>
  </si>
  <si>
    <t>Заборская Светлана Анатольевна (Андрей)</t>
  </si>
  <si>
    <t>Закревская Марина Владимировна</t>
  </si>
  <si>
    <t>Заручинский Вячеслав Владимирович</t>
  </si>
  <si>
    <t>Захаренкова Светлана Евгеньевна</t>
  </si>
  <si>
    <t>Захаров Михаил Сергеевич</t>
  </si>
  <si>
    <t>Захарова Людмила Захаровна</t>
  </si>
  <si>
    <t>Зиннатов Рафаэль Шакурович</t>
  </si>
  <si>
    <t>Иваненко Петр Олегович</t>
  </si>
  <si>
    <t>Иванов Владимир Николаевич</t>
  </si>
  <si>
    <t>Иванов Денис Сильвестрович</t>
  </si>
  <si>
    <t>Иванова Светлана Сергеевна</t>
  </si>
  <si>
    <t>Иванова Татьяна Викторовна</t>
  </si>
  <si>
    <t>Измайлов Михаил Михайлович</t>
  </si>
  <si>
    <t>Казарин Сергей Викторович</t>
  </si>
  <si>
    <t>Казымов Горхмаз Гамид/Лавренчук Александр Владиславович</t>
  </si>
  <si>
    <t>Каляникова Наталья Сергеевна</t>
  </si>
  <si>
    <t>Канышкина Юлия Юрьевна</t>
  </si>
  <si>
    <t>Карпекина Лилия Рафаэльевна</t>
  </si>
  <si>
    <t>Карпова Елена Витальевна</t>
  </si>
  <si>
    <t>Катушкин Роман Юрьевич</t>
  </si>
  <si>
    <t>Катушкин Роман Юрьевич//Валеев Артур Рашидович</t>
  </si>
  <si>
    <t>Кашичкин Александр Борисович</t>
  </si>
  <si>
    <t>Киеня Валентина Александровна (Анатолий)</t>
  </si>
  <si>
    <t>Кикоть Наталья Петровна (Андрей)</t>
  </si>
  <si>
    <t>Кириенко Раиса Федоровна</t>
  </si>
  <si>
    <t>Кириллов Вадим Александрович</t>
  </si>
  <si>
    <t>Кириллов Дмитрий Александрович</t>
  </si>
  <si>
    <t>Коваленко Ирина Леонидовна</t>
  </si>
  <si>
    <t>Кожемякин Сергей Владимирович</t>
  </si>
  <si>
    <t>Козловский Алексей Гаврилович</t>
  </si>
  <si>
    <t>Колесников Никита Олегович(у Кряжковой Виктория Сергеевна</t>
  </si>
  <si>
    <t>Колесов Вадим Владимирович</t>
  </si>
  <si>
    <t>Колташ Анна Владимировна</t>
  </si>
  <si>
    <t>Колыгина Нина Николаевна</t>
  </si>
  <si>
    <t>Колышкина Александра Сергеевна</t>
  </si>
  <si>
    <t>Кондратьева Юлия Викторовна</t>
  </si>
  <si>
    <t>Кондратюк Наталья Петровна 1/2,  Соболев Олег Юрьевич 1/2</t>
  </si>
  <si>
    <t>Кондрашов Роман Вячеславович</t>
  </si>
  <si>
    <t>Кондрашов Сергей Вячеславович//Балыкин Александр Иванович</t>
  </si>
  <si>
    <t>Коновальцев Олег Серафимович</t>
  </si>
  <si>
    <t>Кононенко Алла Николаевна (Александр)</t>
  </si>
  <si>
    <t>Короткевич Наталья Владимировна</t>
  </si>
  <si>
    <t>Корчинская Ирина Анатольевна</t>
  </si>
  <si>
    <t>Косенков Степан Фед-ч(Галактионова)</t>
  </si>
  <si>
    <t>Косенкова Елизавета Евгеньевна</t>
  </si>
  <si>
    <t>Красникова Раиса Михайловна</t>
  </si>
  <si>
    <t>Кривой Владимир Аркадьевич</t>
  </si>
  <si>
    <t>Крупник Андрей Валерьевич</t>
  </si>
  <si>
    <t>Кудревцев Евгений Александрович</t>
  </si>
  <si>
    <t>Кудрявцева Наталья Викторовна</t>
  </si>
  <si>
    <t>Куликов Александр Владимирович</t>
  </si>
  <si>
    <t xml:space="preserve">Куликова Наталья Александровна </t>
  </si>
  <si>
    <t xml:space="preserve">Кулиш Сергей Александрович       </t>
  </si>
  <si>
    <t>Кушваха Виджай Шанкар</t>
  </si>
  <si>
    <t>Лайпанов Рустам Сеитбиевич</t>
  </si>
  <si>
    <t>Лапшин Сергей Николаевич</t>
  </si>
  <si>
    <t>Ларионова Наталья Владимировна</t>
  </si>
  <si>
    <t>Лебедев Андрей Анатольевич</t>
  </si>
  <si>
    <t>Лебедева Елена Александровна</t>
  </si>
  <si>
    <t>Левина Елена Александровна (Дмитрий)</t>
  </si>
  <si>
    <t>Леськов Олег Петрович</t>
  </si>
  <si>
    <t>Ли Наталья Сергеевна</t>
  </si>
  <si>
    <t>Ловыгина Татьяна Александровна</t>
  </si>
  <si>
    <t>Лопухинова Надежда Михайловна</t>
  </si>
  <si>
    <t>Лошкарев Виктор Ильич</t>
  </si>
  <si>
    <t>Лунёв Денис Александрович</t>
  </si>
  <si>
    <t>Лунева Ольга Петровна</t>
  </si>
  <si>
    <t>Малов Алексей Викторович</t>
  </si>
  <si>
    <t>Маргиева Марина Евгеньевна</t>
  </si>
  <si>
    <t>Маркина Людмила Николаевна, Марина</t>
  </si>
  <si>
    <t>Марков Максим Юрьевич</t>
  </si>
  <si>
    <t>Маркова Тамара Ивановна</t>
  </si>
  <si>
    <t>Марковнина Светлана Викторовна</t>
  </si>
  <si>
    <t>Маслов Александр Александрович</t>
  </si>
  <si>
    <t>Маслов Андрей Геннадьевич (1/2)                 Щербакова Надежда Михайловна (1/2)</t>
  </si>
  <si>
    <t>Маслова Валентина Петровна</t>
  </si>
  <si>
    <t>Матвеев Денис Львович</t>
  </si>
  <si>
    <t>Мельников Михаил Вячеславович / Диденко</t>
  </si>
  <si>
    <t>Месхидзе Оксана Валерьевна</t>
  </si>
  <si>
    <t>Милишенко Надежда Ивановна</t>
  </si>
  <si>
    <t>Милоянин Алексей Леонидович</t>
  </si>
  <si>
    <t>Мирошниченко Андрей Иванович Захарова Елена Александровна</t>
  </si>
  <si>
    <t>Мирошниченко Екатерина Олеговна</t>
  </si>
  <si>
    <t>Модин Игорь Николаевич</t>
  </si>
  <si>
    <t>Моисеев Андрей Валентинович</t>
  </si>
  <si>
    <t>Молчанова Ирина Владимировна</t>
  </si>
  <si>
    <t>Мудрак Владимир Григорьевич (Марина)</t>
  </si>
  <si>
    <t>Мурадова Альбина Сергеевна</t>
  </si>
  <si>
    <t>Науменко Дмитрий Александрович</t>
  </si>
  <si>
    <t>Недосенко Татьяна Сергеевна (Олег)</t>
  </si>
  <si>
    <t>Нелюбов Сергей Владимирович</t>
  </si>
  <si>
    <t>Нефедов Михаил Владимирович</t>
  </si>
  <si>
    <t>Никифоров Андрей Леонидович</t>
  </si>
  <si>
    <t>Новиков Виктор Викторович</t>
  </si>
  <si>
    <t>Новикова Наталья Петровна</t>
  </si>
  <si>
    <t>Новикова Светлана Владимировна (Анатолий)</t>
  </si>
  <si>
    <t xml:space="preserve">Нормуротов Анваржон Абдирайимович    </t>
  </si>
  <si>
    <t xml:space="preserve">Носикова Александра Васильевна </t>
  </si>
  <si>
    <t>Носикова Мария Леонидовна</t>
  </si>
  <si>
    <t xml:space="preserve">Олег (Гусев Николай Михайлович — был) </t>
  </si>
  <si>
    <t xml:space="preserve">Олейников Дмитрий Александрович </t>
  </si>
  <si>
    <t>Олейникова Евгения Александровна</t>
  </si>
  <si>
    <t>Осадчев Константин Владимирович</t>
  </si>
  <si>
    <t>Острикова Наталья Львовна</t>
  </si>
  <si>
    <t>Пархачева Эльвира Валентиновна (Алксандр)</t>
  </si>
  <si>
    <t>Пахарева Ольга Александровна (Дмитрий)</t>
  </si>
  <si>
    <t>Петрик Наталья Вячеславовна(ПродалаУстинова Ирина)</t>
  </si>
  <si>
    <t>Петров Борис Викторович</t>
  </si>
  <si>
    <t>Петрова Елена Николаевна</t>
  </si>
  <si>
    <t>Петункин Игорь Минович</t>
  </si>
  <si>
    <t>Пикалёва Алла Григорьевна (Юрий)</t>
  </si>
  <si>
    <t>Поликарпова Наталья Дмитриевна</t>
  </si>
  <si>
    <t>Полякова Марина Александровна</t>
  </si>
  <si>
    <t>Пономарева Олеся Сергеевна</t>
  </si>
  <si>
    <t>Попова Нина Ивановна</t>
  </si>
  <si>
    <t>Постернак Татьяна Николаевна</t>
  </si>
  <si>
    <t>Просянов Александр Александрович</t>
  </si>
  <si>
    <t xml:space="preserve">Прохоров Владимир Михайлович        </t>
  </si>
  <si>
    <t xml:space="preserve">Пузанова Екатерина Вячеславовна        </t>
  </si>
  <si>
    <t>265-266</t>
  </si>
  <si>
    <t>Ратников Алексей Сергеевич</t>
  </si>
  <si>
    <t>210-211</t>
  </si>
  <si>
    <t>Решетов Владимир Генадьевич</t>
  </si>
  <si>
    <t>246-247</t>
  </si>
  <si>
    <t>Решетов Владимир Геннадьевич</t>
  </si>
  <si>
    <t>Родичева Наталья Николаевна - Завилевская Е.И. ???</t>
  </si>
  <si>
    <t>Рожкова Глафира Андреевна</t>
  </si>
  <si>
    <t>Розова Татьяна Викторовна</t>
  </si>
  <si>
    <t>Рощина Ирина Михайловна</t>
  </si>
  <si>
    <t xml:space="preserve">Рудая Наталья Викторовна           </t>
  </si>
  <si>
    <t>Рыбалкин Андрей Сергеевич</t>
  </si>
  <si>
    <t>Рыжов Андрей Николаевич</t>
  </si>
  <si>
    <t>Савина Нина Ивановна</t>
  </si>
  <si>
    <t>Садовников Алексей Владимирович(Рошка Александр Николаевич)</t>
  </si>
  <si>
    <t>Сазонов Сергей Александрович - Диденко Оксана Владимировна</t>
  </si>
  <si>
    <t>Салопаева Татьяна Сергеевна</t>
  </si>
  <si>
    <t>Самоволькина Ирина Владимировна</t>
  </si>
  <si>
    <t>Саргсян Оганнес Ншанович</t>
  </si>
  <si>
    <t>Сафронова Наталья Михайловна (у Дедков Илья Егорьевич купила)</t>
  </si>
  <si>
    <t>Сбитнева Юлия Сергеевна</t>
  </si>
  <si>
    <t>Севастьянов Михаил Григорьевич</t>
  </si>
  <si>
    <t>Севрюгина Ольга Викторовна</t>
  </si>
  <si>
    <t xml:space="preserve">Семенова Рима Прановна    </t>
  </si>
  <si>
    <t>Сёмин Александр Иванович</t>
  </si>
  <si>
    <t>Сергиенко Николай Михайлович</t>
  </si>
  <si>
    <t>Серебряков Игорь Васильевич</t>
  </si>
  <si>
    <t>Серкин Сергей Львовович</t>
  </si>
  <si>
    <t>133-134</t>
  </si>
  <si>
    <t>Сидельникова Ольга Петровна</t>
  </si>
  <si>
    <t>Сидоров Александр Юрьевич</t>
  </si>
  <si>
    <t>Сиротин Дмитрий Борисович (Приставалова)</t>
  </si>
  <si>
    <t>Сломов Константин Витальевич</t>
  </si>
  <si>
    <t>Смирнов Максим Анатольевич, Светлана</t>
  </si>
  <si>
    <t>Соколова Ирина Анатольевна</t>
  </si>
  <si>
    <t>Солодкий Дмитрий Павлович</t>
  </si>
  <si>
    <t>Спивак Сергей Николаевич</t>
  </si>
  <si>
    <t>Спиридонов Андрей Владимирович</t>
  </si>
  <si>
    <t>Старостин Виктор Вячеславович</t>
  </si>
  <si>
    <t>Степанов Валерий Владимирович</t>
  </si>
  <si>
    <t>Степанова Марина Николаевна (Артем)</t>
  </si>
  <si>
    <t>Стрелков Андрей Вячеславович</t>
  </si>
  <si>
    <t>51-52</t>
  </si>
  <si>
    <t xml:space="preserve">Стрелков Андрей Вячеславович  </t>
  </si>
  <si>
    <t>Стрелков Николай Валентинович</t>
  </si>
  <si>
    <t>Ступнев Евгений  Романович</t>
  </si>
  <si>
    <t>Суворов Сергей Анатольевич</t>
  </si>
  <si>
    <t>Суркова Татьяна Александровна</t>
  </si>
  <si>
    <t>Сысоев Евгений Анатольевич</t>
  </si>
  <si>
    <t>Сысоев Семен Евгеньевич</t>
  </si>
  <si>
    <t>Тадлов Виталий Петрович</t>
  </si>
  <si>
    <t>Тарасенко Анатолий Семенович</t>
  </si>
  <si>
    <t>Темникова Елена Станиславовна</t>
  </si>
  <si>
    <t>73-74</t>
  </si>
  <si>
    <t>Тимофеева Лариса Викторовна</t>
  </si>
  <si>
    <t>Тимофеева Татьяна Александровна (Денис)</t>
  </si>
  <si>
    <t>Толкова Елена Анатольевна (Олег)</t>
  </si>
  <si>
    <t>Трубченко Петр Александрович</t>
  </si>
  <si>
    <t>Трыкин Евгений Викторович</t>
  </si>
  <si>
    <t>Тюленев Вячеслав Рудольфович</t>
  </si>
  <si>
    <t>Устинов Федор Валентинович(Петрик)</t>
  </si>
  <si>
    <t>Федорова Наталья Владимировна</t>
  </si>
  <si>
    <t>Федорова Юлия Владимировна</t>
  </si>
  <si>
    <t>Финогин Сергей Александрович</t>
  </si>
  <si>
    <t>142-143</t>
  </si>
  <si>
    <t>Фисенко Вадим Петрович</t>
  </si>
  <si>
    <t>Фисенко Дмитрий Петрович</t>
  </si>
  <si>
    <t>Фомин Андрей Анатольевич</t>
  </si>
  <si>
    <t>Фомин Игорь Анатольевич</t>
  </si>
  <si>
    <t>Фомичев Александр Петрович</t>
  </si>
  <si>
    <t>Хайлов Алексей Анатольевич</t>
  </si>
  <si>
    <t>Хан Виталий Борисович</t>
  </si>
  <si>
    <t>Харинкина Танзиля Гарафутдиновна</t>
  </si>
  <si>
    <t>Хаустова Люция Егоровна</t>
  </si>
  <si>
    <t>Хачатрян Алла Самвеловна</t>
  </si>
  <si>
    <t>Хрупало Николай Алексеевич</t>
  </si>
  <si>
    <t>Хрупало Николай Алексеевич (118+120)</t>
  </si>
  <si>
    <t>Черешнева Виктория Викторовна</t>
  </si>
  <si>
    <t xml:space="preserve">Чернявская Оксана Юрьевна        </t>
  </si>
  <si>
    <t>Чигрины Анна Анатольевна и Геннадий Иванович</t>
  </si>
  <si>
    <t>Чикачёв Сергей Иванович</t>
  </si>
  <si>
    <t>Шабунина Светлана Николаевна</t>
  </si>
  <si>
    <t>Шалинов Андрей Вадимович</t>
  </si>
  <si>
    <t>Шалинов Андрей Вадимович + уч. 97</t>
  </si>
  <si>
    <t>Шелухина Мария Сергеевна</t>
  </si>
  <si>
    <t>Самородов</t>
  </si>
  <si>
    <t>Шептухина Александра Борисовна</t>
  </si>
  <si>
    <t>Широков Евгений Александрович</t>
  </si>
  <si>
    <t>Шорахматов Мухаммадхуджа Замшоевич</t>
  </si>
  <si>
    <t>Шурдук Лариса Анатольевна (Игорь)</t>
  </si>
  <si>
    <t>Шустов Василий Александрович</t>
  </si>
  <si>
    <t>Щербаков Павел Евгеньевич</t>
  </si>
  <si>
    <t xml:space="preserve">Щербакова Татьяна Дмитриевна      </t>
  </si>
  <si>
    <t>Элефтерова Евгения Викторовна (Михаил)</t>
  </si>
  <si>
    <t>Якиманский Александр Александрович</t>
  </si>
  <si>
    <t>Якушина Любовь Викторовна</t>
  </si>
  <si>
    <t>Янковская Елена Александровна</t>
  </si>
  <si>
    <t>Янковская Яна Валерьевна</t>
  </si>
  <si>
    <t>Яструб Валерий Викторович</t>
  </si>
  <si>
    <t>Яшин Евгений Иванович</t>
  </si>
  <si>
    <t xml:space="preserve">НП СЗУ "Высокое" </t>
  </si>
  <si>
    <t>Отчет по членским взносам за 2015-2016 гг</t>
  </si>
  <si>
    <t>Кадастр. номер участка</t>
  </si>
  <si>
    <t>Расчеты по членским взносам</t>
  </si>
  <si>
    <t>Дата вступления в НП СЗУ "Высокое"</t>
  </si>
  <si>
    <t xml:space="preserve">1-ый расчетный месяц </t>
  </si>
  <si>
    <t>Кол-во месяцев</t>
  </si>
  <si>
    <t>Сумма членских взносов, которые должны быть уплачены на 01.01.2016 г (исходя из кол-ва месяцев)</t>
  </si>
  <si>
    <t xml:space="preserve">Сумма оплаченных членских взносов на 01.11.2015 </t>
  </si>
  <si>
    <t>Оплата членских взносов за декабрь 2015</t>
  </si>
  <si>
    <t>Остаток задолженности по членским взносам на 01.01.2016</t>
  </si>
  <si>
    <t>50:03:0070280:947</t>
  </si>
  <si>
    <t>50:03:0070280:905</t>
  </si>
  <si>
    <t>50:03:0070280:730</t>
  </si>
  <si>
    <t>50:03:0070280:850</t>
  </si>
  <si>
    <t>50:03:0070280:997</t>
  </si>
  <si>
    <t>50:03:0070280:894</t>
  </si>
  <si>
    <t>50:03:0070280:731</t>
  </si>
  <si>
    <t>50:03:0070280:814</t>
  </si>
  <si>
    <t>50:03:0070280:973</t>
  </si>
  <si>
    <t>50:03:0070280:707</t>
  </si>
  <si>
    <t>50:03:0070280:701</t>
  </si>
  <si>
    <t>50:03:0070280:758</t>
  </si>
  <si>
    <t>50:03:0070280:761</t>
  </si>
  <si>
    <t>50:03:0070280:1021</t>
  </si>
  <si>
    <t>50:03:0070280:999</t>
  </si>
  <si>
    <t>50:03:0070280:888</t>
  </si>
  <si>
    <t>50:03:0070280:785</t>
  </si>
  <si>
    <t>50:03:0070280:802</t>
  </si>
  <si>
    <t>50:03:0070280:812</t>
  </si>
  <si>
    <t>50:03:0070280:897</t>
  </si>
  <si>
    <t>50:03:0070280:1002</t>
  </si>
  <si>
    <t>50:03:0070280:776</t>
  </si>
  <si>
    <t>50:03:0070280:983</t>
  </si>
  <si>
    <t>50:03:0070280:945</t>
  </si>
  <si>
    <t>50:03:0070280:966</t>
  </si>
  <si>
    <t>50:03:0070280:940</t>
  </si>
  <si>
    <t>50:03:0070280:704</t>
  </si>
  <si>
    <t>50:03:0070280:1024</t>
  </si>
  <si>
    <t>50:03:0070280:960</t>
  </si>
  <si>
    <t>50:03:0070280:951</t>
  </si>
  <si>
    <t>50:03:0070280:789</t>
  </si>
  <si>
    <t>50:03:0070280:1773</t>
  </si>
  <si>
    <t>50:03:0070280:835</t>
  </si>
  <si>
    <t>50:03:0070280:831</t>
  </si>
  <si>
    <t>50:03:0070280:986</t>
  </si>
  <si>
    <t>50:03:0070280:818</t>
  </si>
  <si>
    <t>50:03:0070280:797</t>
  </si>
  <si>
    <t>50:03:0070280:921</t>
  </si>
  <si>
    <t>50:03:0070280:919</t>
  </si>
  <si>
    <t>50:03:0070280:1009</t>
  </si>
  <si>
    <t>50:03:0070280:1010</t>
  </si>
  <si>
    <t>50:03:0070280:825</t>
  </si>
  <si>
    <t>50:03:0070280:1423</t>
  </si>
  <si>
    <t>50:03:0070280:798</t>
  </si>
  <si>
    <t>50:03:0070280:866</t>
  </si>
  <si>
    <t>50:03:0070280:972</t>
  </si>
  <si>
    <t>50:03:0070280:854</t>
  </si>
  <si>
    <t>50:03:0070280:987</t>
  </si>
  <si>
    <t>50:03:0070280:898</t>
  </si>
  <si>
    <t>50:03:0070280:907</t>
  </si>
  <si>
    <t>50:03:0070280:813</t>
  </si>
  <si>
    <t>50:03:0070280:961</t>
  </si>
  <si>
    <t>50:03:0070280:1019</t>
  </si>
  <si>
    <t>50:03:0070280:932</t>
  </si>
  <si>
    <t>50:03:0070280:1000</t>
  </si>
  <si>
    <t>50:03:0070280:781</t>
  </si>
  <si>
    <t>50:03:0070280:935</t>
  </si>
  <si>
    <t>50:03:0070280:860</t>
  </si>
  <si>
    <t>50:03:0070280:909</t>
  </si>
  <si>
    <t>50:03:0070280:780</t>
  </si>
  <si>
    <t>50:03:0070280:957</t>
  </si>
  <si>
    <t>50:03:0070280:1017</t>
  </si>
  <si>
    <t>50:03:0070280:753</t>
  </si>
  <si>
    <t>50:03:0070280:875</t>
  </si>
  <si>
    <t>50:03:0070280:900</t>
  </si>
  <si>
    <t>50:03:0070280:782</t>
  </si>
  <si>
    <t>50:03:0070280:746</t>
  </si>
  <si>
    <t>50:03:0070280:969</t>
  </si>
  <si>
    <t>50:03:0070280:807</t>
  </si>
  <si>
    <t>50:03:0070280:1007</t>
  </si>
  <si>
    <t>50:03:0070280:822</t>
  </si>
  <si>
    <t>50:03:0070280:985</t>
  </si>
  <si>
    <t>50:03:0070280:975</t>
  </si>
  <si>
    <t>50:03:0070280:925</t>
  </si>
  <si>
    <t>50:03:0070280:760</t>
  </si>
  <si>
    <t>50:03:0070280:783</t>
  </si>
  <si>
    <t>50:03:0070280:726</t>
  </si>
  <si>
    <t>50:03:0070280:902</t>
  </si>
  <si>
    <t>50:03:0070280:968</t>
  </si>
  <si>
    <t>50:03:0070280:1428</t>
  </si>
  <si>
    <t>50:03:0070280:736</t>
  </si>
  <si>
    <t>50:03:0070280:896</t>
  </si>
  <si>
    <t>50:03:0070280:788</t>
  </si>
  <si>
    <t>50:03:0070280:693</t>
  </si>
  <si>
    <t>50:03:0070280:841</t>
  </si>
  <si>
    <t>50:03:0070280:981</t>
  </si>
  <si>
    <t>50:03:0070280:937</t>
  </si>
  <si>
    <t>50:03:0070280:906</t>
  </si>
  <si>
    <t>50:03:0070280:790</t>
  </si>
  <si>
    <t>50:03:0070280:908</t>
  </si>
  <si>
    <t>50:03:0070280:703</t>
  </si>
  <si>
    <t>50:03:0070280:934</t>
  </si>
  <si>
    <t>50:03:0070280:697</t>
  </si>
  <si>
    <t>50:03:0070280:1026</t>
  </si>
  <si>
    <t>50:03:0070280:928</t>
  </si>
  <si>
    <t>50:03:0070280:709</t>
  </si>
  <si>
    <t>50:03:0070280:840</t>
  </si>
  <si>
    <t>50:03:0070280:778</t>
  </si>
  <si>
    <t>50:03:0070280:911</t>
  </si>
  <si>
    <t>50:03:0070280:1001</t>
  </si>
  <si>
    <t>50:03:0070280:912</t>
  </si>
  <si>
    <t>50:03:0070280:811</t>
  </si>
  <si>
    <t>50:03:0070280:742</t>
  </si>
  <si>
    <t>50:03:0070280:756</t>
  </si>
  <si>
    <t>50:03:0070280:817</t>
  </si>
  <si>
    <t>50:03:0070280:832</t>
  </si>
  <si>
    <t>50:03:0070280:1422</t>
  </si>
  <si>
    <t>50:03:0070280:895</t>
  </si>
  <si>
    <t>50:03:0070280:751</t>
  </si>
  <si>
    <t>50:03:0070280:863</t>
  </si>
  <si>
    <t>50:03:0070280:692</t>
  </si>
  <si>
    <t>50:03:0070280:958</t>
  </si>
  <si>
    <t>50:03:0070280:859</t>
  </si>
  <si>
    <t>50:03:0070280:718</t>
  </si>
  <si>
    <t>50:03:0070280:716</t>
  </si>
  <si>
    <t>50:03:0070280:725</t>
  </si>
  <si>
    <t>50:03:0070280:764</t>
  </si>
  <si>
    <t>50:03:0070280:1011</t>
  </si>
  <si>
    <t>50:03:0070280:882</t>
  </si>
  <si>
    <t xml:space="preserve"> 23.08.2011</t>
  </si>
  <si>
    <t>50:03:0070280:804</t>
  </si>
  <si>
    <t>50:03:0070280:711</t>
  </si>
  <si>
    <t>50:03:0070280:1008</t>
  </si>
  <si>
    <t>50:03:0070280:810</t>
  </si>
  <si>
    <t>50:03:0070280:808</t>
  </si>
  <si>
    <t>50:03:0070280:984</t>
  </si>
  <si>
    <t>50:03:0070280:869</t>
  </si>
  <si>
    <t>50:03:0070280:892</t>
  </si>
  <si>
    <t>50:03:0070280:851</t>
  </si>
  <si>
    <t>50:03:0070280:887</t>
  </si>
  <si>
    <t>50:03:0070280:772</t>
  </si>
  <si>
    <t>50:03:0070280:952</t>
  </si>
  <si>
    <t>50:03:0070280:933</t>
  </si>
  <si>
    <t>50:03:0070280:829</t>
  </si>
  <si>
    <t>50:03:0070280:724</t>
  </si>
  <si>
    <t>50:03:0070280:927</t>
  </si>
  <si>
    <t>50:03:0070280:886</t>
  </si>
  <si>
    <t>50:03:0070280:936</t>
  </si>
  <si>
    <t>50:03:0070280:838</t>
  </si>
  <si>
    <t>50:03:0070280:837</t>
  </si>
  <si>
    <t>50:03:0070280:963</t>
  </si>
  <si>
    <t>50:03:0070280:959</t>
  </si>
  <si>
    <t>50:03:0070280:791</t>
  </si>
  <si>
    <t>50:03:0070280:834</t>
  </si>
  <si>
    <t>50:03:0070280:700</t>
  </si>
  <si>
    <t>50:03:0070280:926</t>
  </si>
  <si>
    <t>50:03:0070280:943</t>
  </si>
  <si>
    <t>50:03:0070280:941</t>
  </si>
  <si>
    <t>50:03:0070280:942</t>
  </si>
  <si>
    <t>50:03:0070280:1465</t>
  </si>
  <si>
    <t>50:03:0070280:773</t>
  </si>
  <si>
    <t>50:03:0070280:891</t>
  </si>
  <si>
    <t>50:03:0070280:1020</t>
  </si>
  <si>
    <t>50:03:0070280:775</t>
  </si>
  <si>
    <t>50:03:0070280:769</t>
  </si>
  <si>
    <t>50:03:0070280:904</t>
  </si>
  <si>
    <t>50:03:0070280:702</t>
  </si>
  <si>
    <t>50:03:0070280:714</t>
  </si>
  <si>
    <t>50:03:0070280:865</t>
  </si>
  <si>
    <t>50:03:0070280:717</t>
  </si>
  <si>
    <t>50:03:0070280:706</t>
  </si>
  <si>
    <t>50:03:0070280:978</t>
  </si>
  <si>
    <t>50:03:0070280:800</t>
  </si>
  <si>
    <t>50:03:0070280:1651</t>
  </si>
  <si>
    <t>50:03:0070280:996</t>
  </si>
  <si>
    <t>50:03:0070280:733</t>
  </si>
  <si>
    <t>50:03:0070280:842</t>
  </si>
  <si>
    <t>50:03:0070280:914</t>
  </si>
  <si>
    <t>50:03:0070280:913</t>
  </si>
  <si>
    <t>50:03:0070280:843</t>
  </si>
  <si>
    <t>50:03:0070280:792</t>
  </si>
  <si>
    <t>50:03:0070280:836</t>
  </si>
  <si>
    <t>50:03:0070280:1022</t>
  </si>
  <si>
    <t>50:03:0070280:774</t>
  </si>
  <si>
    <t>50:03:0070280:767</t>
  </si>
  <si>
    <t>50:03:0070280:766</t>
  </si>
  <si>
    <t>50:03:0070280:994</t>
  </si>
  <si>
    <t>50:03:0070280:879</t>
  </si>
  <si>
    <t>50:03:0070280:901</t>
  </si>
  <si>
    <t>50:03:0070280:819</t>
  </si>
  <si>
    <t>50:03:0070280:867</t>
  </si>
  <si>
    <t>50:03:0070280:1006</t>
  </si>
  <si>
    <t>50:03:0070280:990</t>
  </si>
  <si>
    <t>50:03:0070280:849</t>
  </si>
  <si>
    <t>50:03:0070280:995</t>
  </si>
  <si>
    <t>50:03:0070280:826</t>
  </si>
  <si>
    <t>50:03:0070280:855</t>
  </si>
  <si>
    <t>50:03:0070280:803</t>
  </si>
  <si>
    <t>50:03:0070280:708</t>
  </si>
  <si>
    <t>50:03:0070280:880</t>
  </si>
  <si>
    <t>50:03:0070280:871</t>
  </si>
  <si>
    <t>50:03:0070280:955</t>
  </si>
  <si>
    <t>50:03:0070280:858</t>
  </si>
  <si>
    <t>50:03:0070280:903</t>
  </si>
  <si>
    <t>50:03:0070280:768</t>
  </si>
  <si>
    <t>50:03:0070280:915</t>
  </si>
  <si>
    <t>50:03:0070280:920</t>
  </si>
  <si>
    <t>50:03:0070280:1012</t>
  </si>
  <si>
    <t>50:03:0070280:762</t>
  </si>
  <si>
    <t>50:03:0070280:924</t>
  </si>
  <si>
    <t>50:03:0070280:944</t>
  </si>
  <si>
    <t>50:03:0070280:821</t>
  </si>
  <si>
    <t>50:03:0070280:763</t>
  </si>
  <si>
    <t>50:03:0070280:922</t>
  </si>
  <si>
    <t>50:03:0070280:741</t>
  </si>
  <si>
    <t>50:03:0070280:738</t>
  </si>
  <si>
    <t>50:03:0070280:1464</t>
  </si>
  <si>
    <t>50:03:0070280:885</t>
  </si>
  <si>
    <t>50:03:0070280:1031</t>
  </si>
  <si>
    <t>50:03:0070280:749</t>
  </si>
  <si>
    <t>50:03:0070280:750</t>
  </si>
  <si>
    <t>50:03:0070280:754</t>
  </si>
  <si>
    <t>50:03:0070280:830</t>
  </si>
  <si>
    <t>50:03:0070280:893</t>
  </si>
  <si>
    <t>50:03:0070280:721</t>
  </si>
  <si>
    <t>50:03:0070280:732</t>
  </si>
  <si>
    <t>50:03:0070280:722</t>
  </si>
  <si>
    <t>50:03:0070280:723</t>
  </si>
  <si>
    <t>50:03:0070280:1003</t>
  </si>
  <si>
    <t>50:03:0070280:976</t>
  </si>
  <si>
    <t>50:03:0070280:881</t>
  </si>
  <si>
    <t>50:03:0070280:779</t>
  </si>
  <si>
    <t>50:03:0070280:777</t>
  </si>
  <si>
    <t>50:03:0070280:839</t>
  </si>
  <si>
    <t>50:03:0070280:793</t>
  </si>
  <si>
    <t>50:03:0070280:923</t>
  </si>
  <si>
    <t>50:03:0070280:715</t>
  </si>
  <si>
    <t>50:03:0070280:743</t>
  </si>
  <si>
    <t>50:03:0070280:979</t>
  </si>
  <si>
    <t>50:03:0070280:848</t>
  </si>
  <si>
    <t>50:03:0070280:816</t>
  </si>
  <si>
    <t>50:03:0070280:989</t>
  </si>
  <si>
    <t>50:03:0070280:870</t>
  </si>
  <si>
    <t>50:03:0070280:727</t>
  </si>
  <si>
    <t>50:03:0070280:771</t>
  </si>
  <si>
    <t>50:03:0070280:974</t>
  </si>
  <si>
    <t>50:03:0070280:917</t>
  </si>
  <si>
    <t>50:03:0070280:916</t>
  </si>
  <si>
    <t>50:03:0070280:745</t>
  </si>
  <si>
    <t>50:03:0070280:1004</t>
  </si>
  <si>
    <t>50:03:0070280:824</t>
  </si>
  <si>
    <t>50:03:0070280:965</t>
  </si>
  <si>
    <t>50:03:0070280:970</t>
  </si>
  <si>
    <t>50:03:0070280:719</t>
  </si>
  <si>
    <t>50:03:0070280:765</t>
  </si>
  <si>
    <t>50:03:0070280:1018</t>
  </si>
  <si>
    <t>50:03:0070280:962</t>
  </si>
  <si>
    <t>50:03:0070280:971</t>
  </si>
  <si>
    <t>50:03:0070280:748</t>
  </si>
  <si>
    <t>50:03:0070280:770</t>
  </si>
  <si>
    <t>50:03:0070280:740</t>
  </si>
  <si>
    <t>50:03:0070280:739</t>
  </si>
  <si>
    <t>50:03:0070280:988</t>
  </si>
  <si>
    <t>50:03:0070280:884</t>
  </si>
  <si>
    <t>50:03:0070280:828</t>
  </si>
  <si>
    <t>50:03:0070280:735</t>
  </si>
  <si>
    <t>50:03:0070280:890</t>
  </si>
  <si>
    <t>50:03:0070280:796</t>
  </si>
  <si>
    <t>50:03:0070280:956</t>
  </si>
  <si>
    <t>50:03:0070280:857</t>
  </si>
  <si>
    <t>50:03:0070280:856</t>
  </si>
  <si>
    <t>50:03:0070280:1413</t>
  </si>
  <si>
    <t>50:03:0070280:930</t>
  </si>
  <si>
    <t>50:03:0070280:931</t>
  </si>
  <si>
    <t>50:03:0070280:786</t>
  </si>
  <si>
    <t>50:03:0070280:787</t>
  </si>
  <si>
    <t>50:03:0070280:820</t>
  </si>
  <si>
    <t>50:03:0070280:712</t>
  </si>
  <si>
    <t>50:03:0070280:823</t>
  </si>
  <si>
    <t>50:03:0070280:744</t>
  </si>
  <si>
    <t>50:03:0070280:878</t>
  </si>
  <si>
    <t>50:03:0070280:734</t>
  </si>
  <si>
    <t>50:03:0070280:1427</t>
  </si>
  <si>
    <t>50:03:0070280:918</t>
  </si>
  <si>
    <t>50:03:0070280:710</t>
  </si>
  <si>
    <t>50:03:0070280:747</t>
  </si>
  <si>
    <t>50:03:0070280:889</t>
  </si>
  <si>
    <t>50:03:0070280:868</t>
  </si>
  <si>
    <t>50:03:0070280:827</t>
  </si>
  <si>
    <t>50:03:0070280:864</t>
  </si>
  <si>
    <t>50:03:0070280:752</t>
  </si>
  <si>
    <t>50:03:0070280:1013</t>
  </si>
  <si>
    <t>50:03:0070280:759</t>
  </si>
  <si>
    <t>50:03:0070280:861</t>
  </si>
  <si>
    <t>50:03:0070280:815</t>
  </si>
  <si>
    <t>50:03:0070280:799</t>
  </si>
  <si>
    <t>50:03:0070280:757</t>
  </si>
  <si>
    <t>50:03:0070280:899</t>
  </si>
  <si>
    <t>50:03:0070280:698</t>
  </si>
  <si>
    <t>50:03:0070280:794</t>
  </si>
  <si>
    <t>50:03:0070280:705</t>
  </si>
  <si>
    <t>50:03:0070280:964</t>
  </si>
  <si>
    <t>50:03:0070280:1016</t>
  </si>
  <si>
    <t>50:03:0070280:696</t>
  </si>
  <si>
    <t>50:03:0070280:910</t>
  </si>
  <si>
    <t>Остаток задолженности по членским взносам на 01.01.2017</t>
  </si>
  <si>
    <t>ID</t>
  </si>
  <si>
    <t>Названия строк</t>
  </si>
  <si>
    <t>Общий итог</t>
  </si>
  <si>
    <t>Количество по полю Номер участка</t>
  </si>
  <si>
    <t>сцепка</t>
  </si>
  <si>
    <t>Сцепка</t>
  </si>
  <si>
    <t>&gt;1</t>
  </si>
  <si>
    <t>количество участков</t>
  </si>
  <si>
    <t>номер</t>
  </si>
  <si>
    <t>Сумма по полю 01.01.2016</t>
  </si>
  <si>
    <t>Сумма по полю 01.02.2016</t>
  </si>
  <si>
    <t>Сумма по полю 01.03.2016</t>
  </si>
  <si>
    <t>Сумма по полю 01.04.2016</t>
  </si>
  <si>
    <t>Сумма по полю 01.05.2016</t>
  </si>
  <si>
    <t>Сумма по полю 01.06.2016</t>
  </si>
  <si>
    <t>Сумма по полю 01.07.2016</t>
  </si>
  <si>
    <t>Сумма по полю 01.08.2016</t>
  </si>
  <si>
    <t>Сумма по полю 01.09.2016</t>
  </si>
  <si>
    <t>Сумма по полю 01.10.2016</t>
  </si>
  <si>
    <t>Сумма по полю 01.11.2016</t>
  </si>
  <si>
    <t>Сумма по полю 01.12.2016</t>
  </si>
  <si>
    <t>(Все)</t>
  </si>
  <si>
    <t>номер участка</t>
  </si>
  <si>
    <t>куратор</t>
  </si>
  <si>
    <t>Сидельников Михаил Васильевич</t>
  </si>
  <si>
    <t>Темникова Елена Станиславна</t>
  </si>
  <si>
    <t>Недосенко Олег Анатольевич</t>
  </si>
  <si>
    <t>Ермошин Владимир Владимирович</t>
  </si>
  <si>
    <t>Марин Андрей Вячеславович</t>
  </si>
  <si>
    <t>г. Высоковск</t>
  </si>
  <si>
    <t>(926)726-6624</t>
  </si>
  <si>
    <t>г. Москва</t>
  </si>
  <si>
    <t>(925)051-6761 (967)079-1427</t>
  </si>
  <si>
    <t>д. Шипулино</t>
  </si>
  <si>
    <t>(915)434-3911 (916) 159-44-96</t>
  </si>
  <si>
    <t>(926)226-9654 (903)238-8436</t>
  </si>
  <si>
    <t>(916) 605-8064</t>
  </si>
  <si>
    <t>(926) 736-3311 (920) 814-1810</t>
  </si>
  <si>
    <t>г. Зеленоград</t>
  </si>
  <si>
    <t xml:space="preserve">(916)827-7559 </t>
  </si>
  <si>
    <t>(925) 223-62-48</t>
  </si>
  <si>
    <t>(915) 119-5355</t>
  </si>
  <si>
    <t>г. Солнечногорск</t>
  </si>
  <si>
    <t>г. Клин</t>
  </si>
  <si>
    <t>(351) 721-26-45, (495) 542-49-09, (925) 011-75-16</t>
  </si>
  <si>
    <t>(926)258-1065</t>
  </si>
  <si>
    <t>(964) 514 1642</t>
  </si>
  <si>
    <t>(916)493-5464</t>
  </si>
  <si>
    <t>(903)236-8802    (903)116-4767</t>
  </si>
  <si>
    <t>(905)526-3658  (925)116-5373</t>
  </si>
  <si>
    <t>(963)772-1491</t>
  </si>
  <si>
    <t>(905)583-5178</t>
  </si>
  <si>
    <t>(926)353-2073 (499)141-8433</t>
  </si>
  <si>
    <t>(985)929-1070</t>
  </si>
  <si>
    <t>(915)082-1357</t>
  </si>
  <si>
    <t>нет долгов, оплачено вперед</t>
  </si>
  <si>
    <t>от 1 до 5 тыс. руб</t>
  </si>
  <si>
    <t>от 5 тыс. руб. до 10 тыс. руб.</t>
  </si>
  <si>
    <t>свыше 10 тыс. руб.</t>
  </si>
  <si>
    <t>телефонный номер</t>
  </si>
  <si>
    <t>член правления</t>
  </si>
  <si>
    <t>(916) 114-5316 (916)870-9325 (967)299-8498</t>
  </si>
  <si>
    <t>план</t>
  </si>
  <si>
    <t>#Н/Д</t>
  </si>
  <si>
    <t>Количество по полю 01.01.2016</t>
  </si>
  <si>
    <t>Количество по полю 01.02.2016</t>
  </si>
  <si>
    <t>Количество по полю 01.03.2016</t>
  </si>
  <si>
    <t>Количество по полю 01.04.2016</t>
  </si>
  <si>
    <t>Количество по полю 01.05.2016</t>
  </si>
  <si>
    <t>Количество по полю 01.06.2016</t>
  </si>
  <si>
    <t>Количество по полю план</t>
  </si>
  <si>
    <t>ВОЛГЕЩЕВ ДМИТРИЙЦ ГЕННАДЬЕВИЧ</t>
  </si>
  <si>
    <t>ИВАНОВ СЕРГЕЙ АЛЕКСАНДРОВИЧ</t>
  </si>
  <si>
    <t>ЛЕСКОВСКИЙ АНАТОЛИЙ ВИТАЛЬЕВИЧ</t>
  </si>
  <si>
    <t/>
  </si>
  <si>
    <t>камышкина юлия юрьевна</t>
  </si>
  <si>
    <t>306-307-210-211</t>
  </si>
  <si>
    <t>Орловская область</t>
  </si>
  <si>
    <t>Член правления</t>
  </si>
  <si>
    <t>Город</t>
  </si>
  <si>
    <t>Долги по членам правления</t>
  </si>
  <si>
    <t>г.Москва</t>
  </si>
  <si>
    <t>Норильск</t>
  </si>
  <si>
    <t>прделагаю из этого списка выдрать</t>
  </si>
  <si>
    <t xml:space="preserve">Это злостные неплательщики - те по кому есть города 100% вступали в партнерство </t>
  </si>
  <si>
    <t>290___</t>
  </si>
  <si>
    <t>29_</t>
  </si>
  <si>
    <t>(пусто)</t>
  </si>
  <si>
    <t>116+118+120</t>
  </si>
  <si>
    <t>97+93</t>
  </si>
  <si>
    <t>Петрик Наталья Вячеславовна</t>
  </si>
  <si>
    <t>290_</t>
  </si>
  <si>
    <t>оплата членских взносов за январь 2016</t>
  </si>
  <si>
    <t>оплата членских взносов зафевраль 2016</t>
  </si>
  <si>
    <t>оплата членских взносов за март 2016</t>
  </si>
  <si>
    <t>оплата членских взносов за апрель 2016</t>
  </si>
  <si>
    <t>оплата членских взносов за май 2016</t>
  </si>
  <si>
    <t>оплата членских взносов за июнь 2016</t>
  </si>
  <si>
    <t>оплата членских взносов за июль2016</t>
  </si>
  <si>
    <t>оплата членских взносов за август 2016</t>
  </si>
  <si>
    <t>оплата членских взносов за сентябрь 2016</t>
  </si>
  <si>
    <t>оплата членских взносов за октябрь 2016</t>
  </si>
  <si>
    <t>оплата членских взносов за ноябрь 2016</t>
  </si>
  <si>
    <t>оплата членских взносов за декабрь 2016</t>
  </si>
  <si>
    <t>ИТОГО оплачено членских взносов за 2016 г.</t>
  </si>
  <si>
    <t>Количество месяцев 2016</t>
  </si>
  <si>
    <t>Сумма начисленных членских взносов в 2016 г.</t>
  </si>
  <si>
    <t>Задолженность  на 01.01.2017</t>
  </si>
  <si>
    <t>Начислено членскх взносов за январь 2017</t>
  </si>
  <si>
    <t xml:space="preserve">Оплата членских взносов в январе 2017 </t>
  </si>
  <si>
    <t>Задолженность по членским взносам на 01.02.2017</t>
  </si>
  <si>
    <t>Начислено членких взносов за февраль 2017</t>
  </si>
  <si>
    <t xml:space="preserve">Оплата членских взносов в февраль 2017 </t>
  </si>
  <si>
    <t>Задолженность по членским взносам на 01.03.2017</t>
  </si>
  <si>
    <t xml:space="preserve"> </t>
  </si>
  <si>
    <t>Начислено членких взносов за март 2017</t>
  </si>
  <si>
    <t xml:space="preserve">Оплата членских взносов в марте 2017 </t>
  </si>
  <si>
    <t>Задолженность по членским взносам на 01.04.2017</t>
  </si>
  <si>
    <t>Начислено членких взносов за апрель 2017</t>
  </si>
  <si>
    <t xml:space="preserve">Оплата членских взносов в апреле 2017 </t>
  </si>
  <si>
    <t>Задолженность по членским взносам на 01.05.2017</t>
  </si>
  <si>
    <t>Начислено членких взносов за  май 2017</t>
  </si>
  <si>
    <t xml:space="preserve">Оплата членских взносов в мае 2017 </t>
  </si>
  <si>
    <t>Задолженность по членским взносам на 01.06.2017</t>
  </si>
  <si>
    <t>Начислено членких взносов за  июнь 2017</t>
  </si>
  <si>
    <t xml:space="preserve">Оплата членских взносов в июне 2017 </t>
  </si>
  <si>
    <t>Задолженность по членским взносам на 01.07.2017</t>
  </si>
  <si>
    <t>Начислено членких взносов за  июль 2017</t>
  </si>
  <si>
    <t xml:space="preserve">Оплата членских взносов в июле 2017 </t>
  </si>
  <si>
    <t>Задолженность по членским взносам на 01.08.2017</t>
  </si>
  <si>
    <t>Начислено членких взносов за  август 2017</t>
  </si>
  <si>
    <t xml:space="preserve">Оплата членских взносов в августе 2017 </t>
  </si>
  <si>
    <t>Задолженность по членским взносам на 01.09.2017</t>
  </si>
  <si>
    <t>1/2Катушкин Роман Юрьевич//1/2Валеев Артур Рашидович</t>
  </si>
  <si>
    <t>Начислено членких взносов за  сентябрь2017</t>
  </si>
  <si>
    <t xml:space="preserve">Оплата членских взносов в сентбяре2017 </t>
  </si>
  <si>
    <t>Задолженность по членским взносам на 01.10.2017</t>
  </si>
  <si>
    <t>Начислено членких взносов за  окт 2017</t>
  </si>
  <si>
    <t>Задолженность по членским взносам на 01.11.2017</t>
  </si>
  <si>
    <t xml:space="preserve">Оплата членских взносов в октябре 2017 </t>
  </si>
  <si>
    <t>Маркина Людмила Николаевна</t>
  </si>
  <si>
    <t>Степанова Марина Николаевна</t>
  </si>
  <si>
    <t>Киеня Валентина Александровна</t>
  </si>
  <si>
    <t>Кононенко Алла Николаевна</t>
  </si>
  <si>
    <t>Бельская Светлана Александровна</t>
  </si>
  <si>
    <t>Бельский Владимир Владимирович</t>
  </si>
  <si>
    <t>Заборская Светлана Анатольевна</t>
  </si>
  <si>
    <t>Элефтерова Евгения Викторовна</t>
  </si>
  <si>
    <t>Чернявская Оксана Юрьевна</t>
  </si>
  <si>
    <t>Бенгя Владимир Михайлович</t>
  </si>
  <si>
    <t>Серкин Сергей Львович</t>
  </si>
  <si>
    <t>Чигрина Анна Анатольевна</t>
  </si>
  <si>
    <t>Новикова Светлана Владимировна</t>
  </si>
  <si>
    <t>Финогин Сергей Александрович(нов.соб. Рыбалкин Андрей Сергеевич)</t>
  </si>
  <si>
    <t>Кондрашов Сергей Вячеславович(новый собственник Балыкин Александр Иванович)</t>
  </si>
  <si>
    <t>Шустов Василий Александрович (новый собственник Игнатьев Алексей Валерьевич)</t>
  </si>
  <si>
    <t>Гусев Николай Михайлович (новый собственник Хайрулин Олег Олегович)</t>
  </si>
  <si>
    <t>Тимофеева Татьяна Александровна (новый собствнник Архипова Алена Сергеевна)</t>
  </si>
  <si>
    <t>Начислено членких взносов за  ноя2017</t>
  </si>
  <si>
    <t xml:space="preserve">Оплата членских взносов в нояб 2017 </t>
  </si>
  <si>
    <t>Задолженность по членским взносам на 01.12.2017</t>
  </si>
  <si>
    <t>Амплеева Мария Алексеевна</t>
  </si>
  <si>
    <t>Кикоть Наталья Петровна</t>
  </si>
  <si>
    <t>Олейников Дмитрий Александрович</t>
  </si>
  <si>
    <t>Дидушко Денис Васильевич</t>
  </si>
  <si>
    <t>Мудрак Владимир Григорьевич</t>
  </si>
  <si>
    <t>Волгушев Дмитрий Геннадьевич</t>
  </si>
  <si>
    <t>Виноградова Наталья Дмитриевна</t>
  </si>
  <si>
    <t>Левина Елена Александровна</t>
  </si>
  <si>
    <t>Пахарева Ольга Александровна</t>
  </si>
  <si>
    <t>Кряжкова Виктория Сергеевна (новый собственник Колесников Никита Олегович)</t>
  </si>
  <si>
    <t>Пикалёва Алла Григорьевна</t>
  </si>
  <si>
    <t>Елисеев Сергей Вячеславович</t>
  </si>
  <si>
    <t>Кудрявцева Наталья Викторовна (новый собственник Клян Денис Владимирович)</t>
  </si>
  <si>
    <t>Косенков Степан Федорович (новый собственник Галактионова Ирина Анатольевна)</t>
  </si>
  <si>
    <t>Пархачева Эльвира Валентиновна</t>
  </si>
  <si>
    <t>Иванов Денис Сильвестрович (новый собственник Скворцов Игорь Владимирович)</t>
  </si>
  <si>
    <t>Рудая Наталья Викторовна</t>
  </si>
  <si>
    <t>Данильянц Юрий Константинович</t>
  </si>
  <si>
    <t>Щербакова Татьяна Дмитриевна</t>
  </si>
  <si>
    <t>Ермошина Татьяна Евгеньевна</t>
  </si>
  <si>
    <t>Смирнов Максим Анатольевич</t>
  </si>
  <si>
    <t>Пузанова Екатерина Вячеславовна</t>
  </si>
  <si>
    <t>Толкова Елена Анатольевна</t>
  </si>
  <si>
    <t>Еременко Виктор Александрович</t>
  </si>
  <si>
    <t>Кудрявцев Евгений Александрович</t>
  </si>
  <si>
    <t>Белов Семён Иванович</t>
  </si>
  <si>
    <t>Нормуротов Анваржон Абдирайимович</t>
  </si>
  <si>
    <t>Недосенко Татьяна Сергеевна</t>
  </si>
  <si>
    <t>Гайкова Мария Викторовна</t>
  </si>
  <si>
    <t>Бекмансурова Динара Васильевна</t>
  </si>
  <si>
    <t>Федорова Юлия Владимировна (новый собственник Олейников Дмитрий Александрович)</t>
  </si>
  <si>
    <t>Петрик Наталья Вячеславовна (новый собственник Устинов Федор Валентинович)</t>
  </si>
  <si>
    <t>Кириллов Дмитрий Александрович (новый собственник Емельянова Екатерина Николаевна)</t>
  </si>
  <si>
    <t>Сломов Константин Витальевич (новый собственник  Желтов Евгений Александрович)</t>
  </si>
  <si>
    <t>Присталова Ольга Валерьевна (новый собственник Сиротин Дмитрий Борисович)</t>
  </si>
  <si>
    <t>Шурдук Лариса Анатольевна</t>
  </si>
  <si>
    <t>Беспаленко Зинаида Александровна (новый собственник Киреева Галина Михайловна)</t>
  </si>
  <si>
    <t>Казымов Горхмаз Гамид 1/2 и Лавренчук Александр Владиславович 1/2</t>
  </si>
  <si>
    <t>Щербаков Павел Евгеньевич (новый собственник Волосова Ольга Викторовна)</t>
  </si>
  <si>
    <t>Бадирьян Тамара Викторовна (новый собственник Морженкова Алла Николаевна)</t>
  </si>
  <si>
    <t>Просянов Александр Александрович (новый собственник Гаврилова Мария Сергеевна)</t>
  </si>
  <si>
    <t>Родичева Наталья Николаевна (новый собственник Завилевский Сергей Геннадьевич)</t>
  </si>
  <si>
    <t>Мельников Михаил Вячеславович (новый собственник Суслова Анастасия Сергеевна)</t>
  </si>
  <si>
    <t>Кулиш Сергей Александрович</t>
  </si>
  <si>
    <t>Анисимова Татьяна Николаевна</t>
  </si>
  <si>
    <t>Крупник Андрей Валерьевич (новый собственник Тимошенков Роман Николаевич)</t>
  </si>
  <si>
    <t>Севрюгина Ольга Викторовна (новый собственник Плесковский Анатолий Михайлович)</t>
  </si>
  <si>
    <t>Даточный Алексей Валерьевич (новый собственник Ганин Александр Борисович)</t>
  </si>
  <si>
    <t>Садовников Алексей Владимирович (новый собственник Рошка Александр Николаевич)</t>
  </si>
  <si>
    <t>Начислено членких взносов за декабрь 2017</t>
  </si>
  <si>
    <t xml:space="preserve">Оплата членских взносов в декабре 2017 </t>
  </si>
  <si>
    <t>Задолженность по членским взносам на 01.01.2018</t>
  </si>
  <si>
    <t>Дедков Илья Егорьевич (новый собственник Сафронова Наталья Михайловна)</t>
  </si>
  <si>
    <t>Байбикова Руфия 1/2 и Рузалия Равилевны ½</t>
  </si>
  <si>
    <t>Лошкарев Виктор Ильич (новый собственник Лебедева Жанна Олеговна)</t>
  </si>
  <si>
    <t>Начислено членких взносов за январь 2018</t>
  </si>
  <si>
    <t>Оплата членских взносов в январе 2018</t>
  </si>
  <si>
    <t>Задолженность по членским взносам на 01.02.2018</t>
  </si>
  <si>
    <t>Начислено членких взносов за февраль 2018</t>
  </si>
  <si>
    <t>Оплата членских взносов в феврале 2018</t>
  </si>
  <si>
    <t>Задолженность по членским взносам на 01.03.2018</t>
  </si>
  <si>
    <t>Носикова Мария Леонидовна (новый собственник Носикова Александра Васильевна)</t>
  </si>
  <si>
    <t xml:space="preserve"> Суркова Татьяна Александровна (новый собственник Милоянин Алексей Леонидович)</t>
  </si>
  <si>
    <t xml:space="preserve">Лошкарев Виктор Ильич </t>
  </si>
  <si>
    <t>Асташкин Павел Александрович (новый собственник Румянцев Алексей Евгеньевич</t>
  </si>
  <si>
    <t>Начислено членких взносов за март 2018</t>
  </si>
  <si>
    <t>Оплата членских взносов в март  2018</t>
  </si>
  <si>
    <t>Задолженность по членским взносам на 01.04.2018</t>
  </si>
  <si>
    <t>Захаренкова Светлана Евгеньевна (новый собственник Соловьев Андрей Николаевич)</t>
  </si>
  <si>
    <t>Начислено членких взносов за  апрель 2018</t>
  </si>
  <si>
    <t>Оплата членских взносов в апреле  2018</t>
  </si>
  <si>
    <t>Задолженность по членским взносам на 01.05.2018</t>
  </si>
  <si>
    <t>Ступнев Евгений Романович</t>
  </si>
  <si>
    <t>Захарова Елена Александровна (новый собственник Мирошниченко Андрей Иванович)</t>
  </si>
  <si>
    <t>Начислено членких взносов за  май 2018</t>
  </si>
  <si>
    <t>Оплата членских взносов в май  2018</t>
  </si>
  <si>
    <t>Задолженность по членским взносам на 01.06.2018</t>
  </si>
  <si>
    <t>Начислено членких взносов за июнь 2018</t>
  </si>
  <si>
    <t>Оплата членских взносов в июнь  2018</t>
  </si>
  <si>
    <t>Задолженность по членским взносам на 01.07.2018</t>
  </si>
  <si>
    <t>Начислено членких взносов за июль 2018</t>
  </si>
  <si>
    <t>Оплата членских взносов в июль  2018</t>
  </si>
  <si>
    <t>Задолженность по членским взносам на 01.08.2018</t>
  </si>
  <si>
    <t>Начислено членких взносов за август 2018</t>
  </si>
  <si>
    <t>Оплата членских взносов в август  2018</t>
  </si>
  <si>
    <t>Задолженность по членским взносам на 01.09.2018</t>
  </si>
  <si>
    <t>Начислено членких взносов за сентябрь 2018</t>
  </si>
  <si>
    <t>Оплата членских взносов в сентябре  2018</t>
  </si>
  <si>
    <t>Задолженность по членским взносам на 01.10.2018</t>
  </si>
  <si>
    <t>Начислено членких взносов за октябрь 2018</t>
  </si>
  <si>
    <t>Оплата членских взносов в октябре  2018</t>
  </si>
  <si>
    <t>Задолженность по членским взносам на 01.11.2018</t>
  </si>
  <si>
    <t>Оплата членских взносов в ноябре  2018</t>
  </si>
  <si>
    <t>Задолженность по членским взносам на 01.12.2018</t>
  </si>
  <si>
    <t>Начислено членких взносов за ноябрь 2018</t>
  </si>
  <si>
    <t>Лебедева Жанна Олеговна</t>
  </si>
  <si>
    <t>Начислено членких взносов за декабрь 2018</t>
  </si>
  <si>
    <t>Оплата членских взносов в декабрь  2018</t>
  </si>
  <si>
    <t>Задолженность по членским взносам на 01.01.2019</t>
  </si>
  <si>
    <t>Начислено членких взносов заянварь 2019</t>
  </si>
  <si>
    <t>Задолженность по членским взносам на 01.02.2019</t>
  </si>
  <si>
    <t>Оплата членских взносов в январе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</si>
</sst>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2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/>
      <bottom style="thin">
        <color theme="4" tint="0.7999816888943144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2" fillId="0" borderId="0"/>
    <xf numFmtId="0" fontId="13" fillId="0" borderId="0"/>
    <xf numFmtId="0" fontId="16" fillId="0" borderId="0"/>
    <xf numFmtId="43" fontId="10" fillId="0" borderId="0" applyFont="0" applyFill="0" applyBorder="0" applyAlignment="0" applyProtection="0"/>
    <xf numFmtId="0" fontId="19" fillId="0" borderId="0"/>
    <xf numFmtId="0" fontId="20" fillId="0" borderId="0"/>
  </cellStyleXfs>
  <cellXfs count="233">
    <xf numFmtId="0" fontId="0" fillId="0" borderId="0" xfId="0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0" borderId="2" xfId="1" applyFont="1" applyFill="1" applyBorder="1" applyAlignment="1">
      <alignment vertical="center"/>
    </xf>
    <xf numFmtId="0" fontId="1" fillId="2" borderId="2" xfId="0" applyFont="1" applyFill="1" applyBorder="1" applyAlignment="1"/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/>
    <xf numFmtId="0" fontId="5" fillId="0" borderId="0" xfId="0" applyFont="1"/>
    <xf numFmtId="4" fontId="5" fillId="0" borderId="0" xfId="0" applyNumberFormat="1" applyFont="1" applyAlignment="1">
      <alignment horizontal="right"/>
    </xf>
    <xf numFmtId="4" fontId="1" fillId="0" borderId="2" xfId="0" applyNumberFormat="1" applyFont="1" applyFill="1" applyBorder="1" applyAlignment="1">
      <alignment horizontal="center" vertical="center" wrapText="1"/>
    </xf>
    <xf numFmtId="4" fontId="6" fillId="6" borderId="2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4" fontId="6" fillId="6" borderId="2" xfId="0" applyNumberFormat="1" applyFont="1" applyFill="1" applyBorder="1" applyAlignment="1">
      <alignment horizontal="right" vertical="center" wrapText="1"/>
    </xf>
    <xf numFmtId="14" fontId="1" fillId="4" borderId="2" xfId="0" applyNumberFormat="1" applyFont="1" applyFill="1" applyBorder="1" applyAlignment="1">
      <alignment horizontal="center" vertical="center" wrapText="1"/>
    </xf>
    <xf numFmtId="4" fontId="1" fillId="4" borderId="2" xfId="0" applyNumberFormat="1" applyFont="1" applyFill="1" applyBorder="1" applyAlignment="1">
      <alignment horizontal="right" vertical="center" wrapText="1"/>
    </xf>
    <xf numFmtId="4" fontId="6" fillId="4" borderId="2" xfId="0" applyNumberFormat="1" applyFont="1" applyFill="1" applyBorder="1" applyAlignment="1">
      <alignment horizontal="right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14" fontId="1" fillId="5" borderId="2" xfId="0" applyNumberFormat="1" applyFont="1" applyFill="1" applyBorder="1" applyAlignment="1">
      <alignment horizontal="center" vertical="center" wrapText="1"/>
    </xf>
    <xf numFmtId="0" fontId="7" fillId="0" borderId="0" xfId="0" applyFont="1"/>
    <xf numFmtId="14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14" fontId="6" fillId="6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right" vertical="center" wrapText="1"/>
    </xf>
    <xf numFmtId="3" fontId="6" fillId="6" borderId="2" xfId="0" applyNumberFormat="1" applyFont="1" applyFill="1" applyBorder="1" applyAlignment="1">
      <alignment horizontal="right" vertical="center" wrapText="1"/>
    </xf>
    <xf numFmtId="3" fontId="9" fillId="0" borderId="2" xfId="0" applyNumberFormat="1" applyFont="1" applyFill="1" applyBorder="1" applyAlignment="1">
      <alignment horizontal="right" vertical="center" wrapText="1"/>
    </xf>
    <xf numFmtId="3" fontId="6" fillId="4" borderId="2" xfId="0" applyNumberFormat="1" applyFont="1" applyFill="1" applyBorder="1" applyAlignment="1">
      <alignment horizontal="right" vertical="center" wrapText="1"/>
    </xf>
    <xf numFmtId="3" fontId="6" fillId="0" borderId="2" xfId="0" applyNumberFormat="1" applyFont="1" applyFill="1" applyBorder="1" applyAlignment="1">
      <alignment horizontal="right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vertical="center" wrapText="1"/>
    </xf>
    <xf numFmtId="14" fontId="1" fillId="7" borderId="2" xfId="0" applyNumberFormat="1" applyFont="1" applyFill="1" applyBorder="1" applyAlignment="1">
      <alignment horizontal="center" vertical="center" wrapText="1"/>
    </xf>
    <xf numFmtId="4" fontId="1" fillId="7" borderId="2" xfId="0" applyNumberFormat="1" applyFont="1" applyFill="1" applyBorder="1" applyAlignment="1">
      <alignment horizontal="right" vertical="center" wrapText="1"/>
    </xf>
    <xf numFmtId="3" fontId="6" fillId="7" borderId="2" xfId="0" applyNumberFormat="1" applyFont="1" applyFill="1" applyBorder="1" applyAlignment="1">
      <alignment horizontal="right" vertical="center" wrapText="1"/>
    </xf>
    <xf numFmtId="3" fontId="9" fillId="7" borderId="2" xfId="0" applyNumberFormat="1" applyFont="1" applyFill="1" applyBorder="1" applyAlignment="1">
      <alignment horizontal="right" vertical="center" wrapText="1"/>
    </xf>
    <xf numFmtId="0" fontId="0" fillId="7" borderId="0" xfId="0" applyFill="1"/>
    <xf numFmtId="0" fontId="0" fillId="0" borderId="0" xfId="0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1" fillId="0" borderId="2" xfId="0" applyFont="1" applyFill="1" applyBorder="1" applyAlignment="1">
      <alignment horizontal="left" vertical="center" wrapText="1"/>
    </xf>
    <xf numFmtId="0" fontId="0" fillId="0" borderId="0" xfId="0" applyNumberFormat="1" applyAlignment="1">
      <alignment horizontal="left"/>
    </xf>
    <xf numFmtId="0" fontId="1" fillId="0" borderId="2" xfId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 wrapText="1"/>
    </xf>
    <xf numFmtId="0" fontId="11" fillId="8" borderId="8" xfId="0" applyFont="1" applyFill="1" applyBorder="1"/>
    <xf numFmtId="0" fontId="8" fillId="0" borderId="9" xfId="0" applyFont="1" applyFill="1" applyBorder="1" applyAlignment="1">
      <alignment horizontal="center" vertical="center" wrapText="1"/>
    </xf>
    <xf numFmtId="0" fontId="0" fillId="2" borderId="0" xfId="0" applyFill="1"/>
    <xf numFmtId="0" fontId="0" fillId="3" borderId="0" xfId="0" applyFill="1"/>
    <xf numFmtId="0" fontId="0" fillId="9" borderId="0" xfId="0" applyFill="1"/>
    <xf numFmtId="0" fontId="1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1" fillId="0" borderId="8" xfId="0" applyFont="1" applyBorder="1"/>
    <xf numFmtId="0" fontId="11" fillId="0" borderId="0" xfId="0" applyFont="1" applyBorder="1"/>
    <xf numFmtId="0" fontId="0" fillId="0" borderId="0" xfId="0" applyNumberFormat="1"/>
    <xf numFmtId="3" fontId="0" fillId="0" borderId="0" xfId="0" applyNumberFormat="1"/>
    <xf numFmtId="0" fontId="11" fillId="0" borderId="7" xfId="0" applyFont="1" applyBorder="1"/>
    <xf numFmtId="0" fontId="11" fillId="8" borderId="0" xfId="0" applyFont="1" applyFill="1" applyBorder="1"/>
    <xf numFmtId="0" fontId="0" fillId="0" borderId="7" xfId="0" applyBorder="1"/>
    <xf numFmtId="3" fontId="11" fillId="8" borderId="0" xfId="0" applyNumberFormat="1" applyFont="1" applyFill="1" applyBorder="1"/>
    <xf numFmtId="3" fontId="0" fillId="0" borderId="7" xfId="0" applyNumberFormat="1" applyBorder="1"/>
    <xf numFmtId="0" fontId="0" fillId="0" borderId="0" xfId="0" applyBorder="1"/>
    <xf numFmtId="3" fontId="0" fillId="0" borderId="0" xfId="0" applyNumberFormat="1" applyBorder="1"/>
    <xf numFmtId="0" fontId="12" fillId="0" borderId="0" xfId="0" applyFont="1" applyAlignment="1"/>
    <xf numFmtId="0" fontId="0" fillId="0" borderId="0" xfId="0" applyFont="1" applyAlignment="1"/>
    <xf numFmtId="0" fontId="14" fillId="0" borderId="0" xfId="0" applyFont="1"/>
    <xf numFmtId="4" fontId="1" fillId="10" borderId="2" xfId="0" applyNumberFormat="1" applyFont="1" applyFill="1" applyBorder="1" applyAlignment="1">
      <alignment horizontal="right" vertical="center" wrapText="1"/>
    </xf>
    <xf numFmtId="0" fontId="0" fillId="10" borderId="0" xfId="0" applyFill="1"/>
    <xf numFmtId="0" fontId="17" fillId="0" borderId="7" xfId="3" applyFont="1" applyBorder="1" applyAlignment="1">
      <alignment vertical="center"/>
    </xf>
    <xf numFmtId="0" fontId="17" fillId="8" borderId="7" xfId="3" applyFont="1" applyFill="1" applyBorder="1" applyAlignment="1">
      <alignment horizontal="left" vertical="center" wrapText="1"/>
    </xf>
    <xf numFmtId="0" fontId="17" fillId="0" borderId="7" xfId="3" applyFont="1" applyBorder="1" applyAlignment="1">
      <alignment horizontal="left" vertical="center" wrapText="1"/>
    </xf>
    <xf numFmtId="0" fontId="16" fillId="0" borderId="0" xfId="3" applyFont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10" xfId="0" applyFont="1" applyBorder="1"/>
    <xf numFmtId="0" fontId="11" fillId="0" borderId="8" xfId="0" applyFont="1" applyFill="1" applyBorder="1"/>
    <xf numFmtId="0" fontId="0" fillId="0" borderId="0" xfId="0" applyFill="1" applyAlignment="1">
      <alignment horizontal="center"/>
    </xf>
    <xf numFmtId="0" fontId="0" fillId="0" borderId="0" xfId="0" applyFill="1"/>
    <xf numFmtId="0" fontId="15" fillId="0" borderId="11" xfId="0" applyFont="1" applyFill="1" applyBorder="1" applyAlignment="1">
      <alignment horizontal="center"/>
    </xf>
    <xf numFmtId="0" fontId="11" fillId="0" borderId="0" xfId="0" applyFont="1" applyFill="1" applyBorder="1"/>
    <xf numFmtId="3" fontId="0" fillId="0" borderId="0" xfId="0" applyNumberFormat="1" applyFill="1"/>
    <xf numFmtId="0" fontId="1" fillId="0" borderId="2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8" fillId="0" borderId="0" xfId="0" applyFont="1"/>
    <xf numFmtId="0" fontId="1" fillId="0" borderId="2" xfId="0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right"/>
    </xf>
    <xf numFmtId="4" fontId="6" fillId="6" borderId="12" xfId="0" applyNumberFormat="1" applyFont="1" applyFill="1" applyBorder="1" applyAlignment="1">
      <alignment horizontal="center" vertical="center" wrapText="1"/>
    </xf>
    <xf numFmtId="4" fontId="6" fillId="6" borderId="12" xfId="0" applyNumberFormat="1" applyFont="1" applyFill="1" applyBorder="1" applyAlignment="1">
      <alignment horizontal="right" vertical="center" wrapText="1"/>
    </xf>
    <xf numFmtId="43" fontId="6" fillId="0" borderId="12" xfId="4" applyFont="1" applyFill="1" applyBorder="1" applyAlignment="1">
      <alignment horizontal="right" vertical="center" wrapText="1"/>
    </xf>
    <xf numFmtId="43" fontId="21" fillId="0" borderId="12" xfId="4" applyFont="1" applyBorder="1" applyAlignment="1">
      <alignment horizontal="right"/>
    </xf>
    <xf numFmtId="4" fontId="6" fillId="0" borderId="12" xfId="0" applyNumberFormat="1" applyFont="1" applyFill="1" applyBorder="1" applyAlignment="1">
      <alignment horizontal="right" vertical="center" wrapText="1"/>
    </xf>
    <xf numFmtId="0" fontId="21" fillId="6" borderId="12" xfId="0" applyFont="1" applyFill="1" applyBorder="1" applyAlignment="1">
      <alignment horizontal="center" vertical="center" wrapText="1"/>
    </xf>
    <xf numFmtId="0" fontId="21" fillId="6" borderId="12" xfId="0" applyFont="1" applyFill="1" applyBorder="1" applyAlignment="1">
      <alignment horizontal="center" wrapText="1"/>
    </xf>
    <xf numFmtId="4" fontId="21" fillId="0" borderId="12" xfId="0" applyNumberFormat="1" applyFont="1" applyBorder="1"/>
    <xf numFmtId="0" fontId="0" fillId="4" borderId="0" xfId="0" applyFill="1" applyAlignment="1">
      <alignment horizontal="center"/>
    </xf>
    <xf numFmtId="4" fontId="6" fillId="4" borderId="12" xfId="0" applyNumberFormat="1" applyFont="1" applyFill="1" applyBorder="1" applyAlignment="1">
      <alignment horizontal="right" vertical="center" wrapText="1"/>
    </xf>
    <xf numFmtId="43" fontId="21" fillId="4" borderId="12" xfId="4" applyFont="1" applyFill="1" applyBorder="1" applyAlignment="1">
      <alignment horizontal="right"/>
    </xf>
    <xf numFmtId="4" fontId="21" fillId="4" borderId="12" xfId="0" applyNumberFormat="1" applyFont="1" applyFill="1" applyBorder="1"/>
    <xf numFmtId="43" fontId="6" fillId="4" borderId="12" xfId="4" applyFont="1" applyFill="1" applyBorder="1" applyAlignment="1">
      <alignment horizontal="right" vertical="center" wrapText="1"/>
    </xf>
    <xf numFmtId="0" fontId="1" fillId="4" borderId="2" xfId="1" applyFont="1" applyFill="1" applyBorder="1" applyAlignment="1">
      <alignment vertical="center"/>
    </xf>
    <xf numFmtId="4" fontId="9" fillId="4" borderId="2" xfId="0" applyNumberFormat="1" applyFont="1" applyFill="1" applyBorder="1" applyAlignment="1">
      <alignment horizontal="right" vertical="center" wrapText="1"/>
    </xf>
    <xf numFmtId="43" fontId="21" fillId="0" borderId="12" xfId="4" applyFont="1" applyBorder="1" applyAlignment="1"/>
    <xf numFmtId="43" fontId="6" fillId="0" borderId="12" xfId="4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43" fontId="21" fillId="0" borderId="12" xfId="4" applyFont="1" applyFill="1" applyBorder="1" applyAlignment="1">
      <alignment horizontal="right"/>
    </xf>
    <xf numFmtId="4" fontId="21" fillId="0" borderId="12" xfId="0" applyNumberFormat="1" applyFont="1" applyFill="1" applyBorder="1"/>
    <xf numFmtId="43" fontId="21" fillId="0" borderId="12" xfId="4" applyFont="1" applyFill="1" applyBorder="1" applyAlignment="1"/>
    <xf numFmtId="4" fontId="6" fillId="11" borderId="12" xfId="0" applyNumberFormat="1" applyFont="1" applyFill="1" applyBorder="1" applyAlignment="1">
      <alignment horizontal="center" vertical="center" wrapText="1"/>
    </xf>
    <xf numFmtId="0" fontId="21" fillId="11" borderId="1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21" fillId="4" borderId="12" xfId="0" applyNumberFormat="1" applyFont="1" applyFill="1" applyBorder="1" applyAlignment="1"/>
    <xf numFmtId="0" fontId="7" fillId="0" borderId="0" xfId="0" applyFont="1" applyFill="1"/>
    <xf numFmtId="0" fontId="1" fillId="0" borderId="2" xfId="0" applyFont="1" applyFill="1" applyBorder="1" applyAlignment="1">
      <alignment horizontal="center" vertical="center" wrapText="1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0" fontId="22" fillId="0" borderId="12" xfId="0" applyFont="1" applyFill="1" applyBorder="1"/>
    <xf numFmtId="4" fontId="6" fillId="0" borderId="12" xfId="0" applyNumberFormat="1" applyFont="1" applyFill="1" applyBorder="1" applyAlignment="1">
      <alignment vertical="center" wrapText="1"/>
    </xf>
    <xf numFmtId="4" fontId="21" fillId="0" borderId="12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2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center" vertical="center" wrapText="1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5" borderId="12" xfId="0" applyNumberFormat="1" applyFont="1" applyFill="1" applyBorder="1"/>
    <xf numFmtId="4" fontId="6" fillId="4" borderId="12" xfId="0" applyNumberFormat="1" applyFont="1" applyFill="1" applyBorder="1"/>
    <xf numFmtId="4" fontId="21" fillId="5" borderId="12" xfId="0" applyNumberFormat="1" applyFont="1" applyFill="1" applyBorder="1" applyAlignment="1"/>
    <xf numFmtId="4" fontId="0" fillId="0" borderId="0" xfId="0" applyNumberFormat="1"/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right" vertical="center" wrapText="1"/>
    </xf>
    <xf numFmtId="4" fontId="9" fillId="0" borderId="12" xfId="0" applyNumberFormat="1" applyFont="1" applyFill="1" applyBorder="1" applyAlignment="1">
      <alignment horizontal="right" vertical="center" wrapText="1"/>
    </xf>
    <xf numFmtId="0" fontId="0" fillId="5" borderId="0" xfId="0" applyFill="1" applyAlignment="1">
      <alignment horizontal="center"/>
    </xf>
    <xf numFmtId="0" fontId="0" fillId="5" borderId="0" xfId="0" applyFill="1"/>
    <xf numFmtId="0" fontId="1" fillId="5" borderId="2" xfId="0" applyFont="1" applyFill="1" applyBorder="1" applyAlignment="1">
      <alignment horizontal="center" vertical="center" wrapText="1"/>
    </xf>
    <xf numFmtId="4" fontId="1" fillId="5" borderId="2" xfId="0" applyNumberFormat="1" applyFont="1" applyFill="1" applyBorder="1" applyAlignment="1">
      <alignment horizontal="right" vertical="center" wrapText="1"/>
    </xf>
    <xf numFmtId="4" fontId="6" fillId="5" borderId="2" xfId="0" applyNumberFormat="1" applyFont="1" applyFill="1" applyBorder="1" applyAlignment="1">
      <alignment horizontal="right" vertical="center" wrapText="1"/>
    </xf>
    <xf numFmtId="4" fontId="9" fillId="5" borderId="2" xfId="0" applyNumberFormat="1" applyFont="1" applyFill="1" applyBorder="1" applyAlignment="1">
      <alignment horizontal="right" vertical="center" wrapText="1"/>
    </xf>
    <xf numFmtId="4" fontId="6" fillId="5" borderId="12" xfId="0" applyNumberFormat="1" applyFont="1" applyFill="1" applyBorder="1" applyAlignment="1">
      <alignment horizontal="right" vertical="center" wrapText="1"/>
    </xf>
    <xf numFmtId="43" fontId="21" fillId="5" borderId="12" xfId="4" applyFont="1" applyFill="1" applyBorder="1" applyAlignment="1">
      <alignment horizontal="right"/>
    </xf>
    <xf numFmtId="4" fontId="21" fillId="5" borderId="12" xfId="0" applyNumberFormat="1" applyFont="1" applyFill="1" applyBorder="1" applyAlignment="1">
      <alignment vertical="center"/>
    </xf>
    <xf numFmtId="4" fontId="21" fillId="5" borderId="3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/>
    </xf>
    <xf numFmtId="4" fontId="21" fillId="4" borderId="13" xfId="0" applyNumberFormat="1" applyFont="1" applyFill="1" applyBorder="1" applyAlignment="1">
      <alignment horizontal="center" vertical="center"/>
    </xf>
    <xf numFmtId="4" fontId="21" fillId="4" borderId="3" xfId="0" applyNumberFormat="1" applyFont="1" applyFill="1" applyBorder="1" applyAlignment="1">
      <alignment horizontal="center" vertical="center"/>
    </xf>
    <xf numFmtId="4" fontId="21" fillId="4" borderId="13" xfId="0" applyNumberFormat="1" applyFont="1" applyFill="1" applyBorder="1" applyAlignment="1">
      <alignment horizontal="center"/>
    </xf>
    <xf numFmtId="4" fontId="21" fillId="4" borderId="3" xfId="0" applyNumberFormat="1" applyFont="1" applyFill="1" applyBorder="1" applyAlignment="1">
      <alignment horizontal="center"/>
    </xf>
    <xf numFmtId="4" fontId="21" fillId="4" borderId="13" xfId="0" applyNumberFormat="1" applyFont="1" applyFill="1" applyBorder="1" applyAlignment="1">
      <alignment vertical="center"/>
    </xf>
    <xf numFmtId="4" fontId="21" fillId="4" borderId="9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9" xfId="0" applyNumberFormat="1" applyFont="1" applyFill="1" applyBorder="1" applyAlignment="1">
      <alignment horizontal="center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3" fontId="21" fillId="4" borderId="13" xfId="4" applyFont="1" applyFill="1" applyBorder="1" applyAlignment="1">
      <alignment horizontal="center"/>
    </xf>
    <xf numFmtId="43" fontId="21" fillId="4" borderId="3" xfId="4" applyFont="1" applyFill="1" applyBorder="1" applyAlignment="1">
      <alignment horizontal="center"/>
    </xf>
    <xf numFmtId="4" fontId="6" fillId="4" borderId="13" xfId="0" applyNumberFormat="1" applyFont="1" applyFill="1" applyBorder="1" applyAlignment="1">
      <alignment horizontal="center" vertical="center" wrapText="1"/>
    </xf>
    <xf numFmtId="4" fontId="6" fillId="4" borderId="3" xfId="0" applyNumberFormat="1" applyFont="1" applyFill="1" applyBorder="1" applyAlignment="1">
      <alignment horizontal="center" vertical="center" wrapText="1"/>
    </xf>
    <xf numFmtId="4" fontId="21" fillId="4" borderId="13" xfId="0" applyNumberFormat="1" applyFont="1" applyFill="1" applyBorder="1" applyAlignment="1">
      <alignment horizontal="right"/>
    </xf>
    <xf numFmtId="4" fontId="21" fillId="4" borderId="3" xfId="0" applyNumberFormat="1" applyFont="1" applyFill="1" applyBorder="1" applyAlignment="1">
      <alignment horizontal="right"/>
    </xf>
    <xf numFmtId="4" fontId="6" fillId="4" borderId="9" xfId="0" applyNumberFormat="1" applyFont="1" applyFill="1" applyBorder="1" applyAlignment="1">
      <alignment horizontal="center" vertical="center" wrapText="1"/>
    </xf>
    <xf numFmtId="43" fontId="21" fillId="4" borderId="9" xfId="4" applyFont="1" applyFill="1" applyBorder="1" applyAlignment="1">
      <alignment horizontal="center"/>
    </xf>
    <xf numFmtId="4" fontId="21" fillId="4" borderId="9" xfId="0" applyNumberFormat="1" applyFont="1" applyFill="1" applyBorder="1" applyAlignment="1">
      <alignment horizontal="center" vertical="center"/>
    </xf>
    <xf numFmtId="4" fontId="21" fillId="4" borderId="13" xfId="0" applyNumberFormat="1" applyFont="1" applyFill="1" applyBorder="1" applyAlignment="1">
      <alignment horizontal="right" vertical="center"/>
    </xf>
    <xf numFmtId="4" fontId="21" fillId="4" borderId="3" xfId="0" applyNumberFormat="1" applyFont="1" applyFill="1" applyBorder="1" applyAlignment="1">
      <alignment horizontal="right" vertical="center"/>
    </xf>
    <xf numFmtId="4" fontId="21" fillId="4" borderId="9" xfId="0" applyNumberFormat="1" applyFont="1" applyFill="1" applyBorder="1" applyAlignment="1">
      <alignment horizontal="right" vertical="center"/>
    </xf>
    <xf numFmtId="4" fontId="5" fillId="0" borderId="4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</cellXfs>
  <cellStyles count="7">
    <cellStyle name="Обычный" xfId="0" builtinId="0"/>
    <cellStyle name="Обычный 2" xfId="2"/>
    <cellStyle name="Обычный 3" xfId="3"/>
    <cellStyle name="Обычный 4" xfId="5"/>
    <cellStyle name="Обычный 5" xfId="6"/>
    <cellStyle name="Обычный_Моя" xfId="1"/>
    <cellStyle name="Финансовый" xfId="4" builtinId="3"/>
  </cellStyles>
  <dxfs count="133"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3" formatCode="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3" formatCode="#,##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numFmt numFmtId="3" formatCode="#,##0"/>
    </dxf>
    <dxf>
      <numFmt numFmtId="3" formatCode="#,##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pivotCacheDefinition" Target="pivotCache/pivotCacheDefinition1.xml"/><Relationship Id="rId10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Лапшин Сергей Николаевич" refreshedDate="42717.826425462961" createdVersion="4" refreshedVersion="6" minRefreshableVersion="3" recordCount="321">
  <cacheSource type="worksheet">
    <worksheetSource ref="B1:D322" sheet="справочник"/>
  </cacheSource>
  <cacheFields count="3">
    <cacheField name="сцепка" numFmtId="0">
      <sharedItems containsBlank="1"/>
    </cacheField>
    <cacheField name="Номер участка" numFmtId="0">
      <sharedItems containsBlank="1" containsMixedTypes="1" containsNumber="1" containsInteger="1" minValue="1" maxValue="324"/>
    </cacheField>
    <cacheField name="Ф.И.О." numFmtId="0">
      <sharedItems containsBlank="1" count="300">
        <s v="Абу Махади Мохаммед Ибрагим"/>
        <s v="Абушаев Роман Шамильевич"/>
        <s v="Аксенов Дмитрий Викторович"/>
        <s v="Александров Владимир Александрович"/>
        <s v="Алексеев Андрей Олегович"/>
        <s v="Амплеева Мария Александровна "/>
        <s v="Андреева Любовь Ивановна(у Севастьянова)"/>
        <s v="Анисимова (Корнеева) Татьяна Николаевна"/>
        <s v="Анисимова Елена Анатольевна"/>
        <s v="Антипова Жанна Михайловна"/>
        <s v="Анциферов Алексей Сергеевич"/>
        <s v="Артемьев Сергей Иванович"/>
        <s v="Асташкин Павел Александрович(продал???)"/>
        <s v="Афанасьева Злата Сергеевна"/>
        <s v="Афян Сасун Аркадиевич"/>
        <s v="Ахромеев Андрей Владимирович"/>
        <s v="Бадирьян Тамара Викторовна"/>
        <s v="Байбикова Рузалия Равилевна / Байбикова Руфия Равилевна"/>
        <s v="Безбородова Людмила Михайловна"/>
        <s v="Безменова Татьяна Игоревна"/>
        <s v="Бекмансурова Динара Василевна"/>
        <s v="Белов Семён Иванович          "/>
        <s v="Белоглазова Людмила Ивановна"/>
        <s v="Бельская Светлана Александровна (Владимир)"/>
        <s v="Бельский Владимир Владимирович (Светлана)"/>
        <s v="Беляков Виктор Михайлович"/>
        <s v="Бенгя Владимир Михайлович (Диана)"/>
        <s v="Беспаленко Зинаида Александровна"/>
        <s v="Бирюков Александр Сергеевич"/>
        <s v="Блинков Анатолий Сергеевич"/>
        <s v="Бондарев Станислав Дмитриевич"/>
        <s v="Бондаренко Владимир Иванович"/>
        <s v="Бондарь Василий Дмитриевич"/>
        <s v="Борисов Олег Александрович"/>
        <s v="Бранцова Татьяна Валерьевна"/>
        <s v="Брылёв Андрей Вячеславович"/>
        <s v="Бугрова Вероника Артуровна"/>
        <s v="Будаев Андрей Анатольевич"/>
        <s v="Буланова Лилия Михайловна"/>
        <s v="Бурдух Юрие"/>
        <s v="Быданцева Нина Юрьевна"/>
        <s v="Валеев Артур Рашидович"/>
        <s v="Васильев Николай Владимирович"/>
        <s v="Васильева Ольга Александровна"/>
        <s v="Васильцова Елена Владимировна"/>
        <s v="Вершинина Елена Анатольевна"/>
        <s v="Виноградова Наталья Дмитриевна (Николай)"/>
        <s v="Виртилецкий Денис Вячеславович"/>
        <s v="Водянова Ольга Александровна"/>
        <s v="Волгушев Дмитрий Геннадиевич"/>
        <s v="Володина Инна Александровна"/>
        <s v="Вольский Андрей Юрьевич"/>
        <s v="Высоких Антон Маркович"/>
        <s v="Гайкова (Дьякова) Мария Викторовна"/>
        <s v="Ганин Александр Борисович"/>
        <s v="Горбунов Владимир Александрович"/>
        <s v="Горбунов Максим Николаевич"/>
        <s v="Гордейчик Игорь Борисович"/>
        <s v="Горянов Михаил Андреевич"/>
        <s v="Горячев Дмитрий Николаевич"/>
        <s v="Губарева Татьяна Григорьевна"/>
        <s v="Гусева Светлана Григорьевна"/>
        <s v="Давыдова Анна Сергеевна"/>
        <s v="Данильянц Юрий Константинович   "/>
        <s v="Даточный Алексей Валерьевич"/>
        <s v="Двойрина Юлия Владимировна"/>
        <s v="Денисов Дмитрий Алексеевич"/>
        <s v="Денисов Сергей Александрович"/>
        <s v="Десюкова Марина Александровна"/>
        <s v="Дидушко Денис Васильевич (Василий)"/>
        <s v="Дорошенко Владимир Алексеевич"/>
        <s v="Дубов Александр Сергеевич"/>
        <s v="Евглевская Ольга Борисовна"/>
        <s v="Евсеев Александр Сергеевич"/>
        <s v="Елисеев Сергей Вячеславович          "/>
        <s v="Епанчинцева Людмила Филипповна"/>
        <s v="Еременко Виктор Александрович (Валентина)"/>
        <s v="Ермакова Татьяна Викторовна"/>
        <s v="Ермолаева Виктория Александровна"/>
        <s v="Ермошина Татьяна Евгеньевна (Владимир)"/>
        <s v="Ершова Виктория Львовна"/>
        <s v="Жарикова Светлана Юрьевна"/>
        <s v="Жигунов Юрий Александрович"/>
        <s v="Жирная Татьяна Сергеевна"/>
        <s v="Жохова Елена Сергеевна"/>
        <s v="Заборская Светлана Анатольевна (Андрей)"/>
        <s v="Закревская Марина Владимировна"/>
        <s v="Заручинский Вячеслав Владимирович"/>
        <s v="Захаренкова Светлана Евгеньевна"/>
        <s v="Захаров Михаил Сергеевич"/>
        <s v="Захарова Людмила Захаровна"/>
        <s v="Зиннатов Рафаэль Шакурович"/>
        <s v="Иваненко Петр Олегович"/>
        <s v="Иванов Владимир Николаевич"/>
        <s v="Иванов Денис Сильвестрович"/>
        <s v="Иванова Светлана Сергеевна"/>
        <s v="Иванова Татьяна Викторовна"/>
        <s v="Измайлов Михаил Михайлович"/>
        <s v="Казарин Сергей Викторович"/>
        <s v="Казымов Горхмаз Гамид/Лавренчук Александр Владиславович"/>
        <s v="Каляникова Наталья Сергеевна"/>
        <s v="Канышкина Юлия Юрьевна"/>
        <s v="Карпекина Лилия Рафаэльевна"/>
        <s v="Карпова Елена Витальевна"/>
        <s v="Катушкин Роман Юрьевич"/>
        <s v="Катушкин Роман Юрьевич//Валеев Артур Рашидович"/>
        <s v="Кашичкин Александр Борисович"/>
        <s v="Киеня Валентина Александровна (Анатолий)"/>
        <s v="Кикоть Наталья Петровна (Андрей)"/>
        <s v="Кириенко Раиса Федоровна"/>
        <s v="Кириллов Вадим Александрович"/>
        <s v="Кириллов Дмитрий Александрович"/>
        <s v="Коваленко Ирина Леонидовна"/>
        <s v="Кожемякин Сергей Владимирович"/>
        <s v="Козловский Алексей Гаврилович"/>
        <s v="Колесников Никита Олегович(у Кряжковой Виктория Сергеевна"/>
        <s v="Колесов Вадим Владимирович"/>
        <s v="Колташ Анна Владимировна"/>
        <s v="Колыгина Нина Николаевна"/>
        <s v="Колышкина Александра Сергеевна"/>
        <s v="Кондратьева Юлия Викторовна"/>
        <s v="Кондратюк Наталья Петровна 1/2,  Соболев Олег Юрьевич 1/2"/>
        <s v="Кондрашов Роман Вячеславович"/>
        <s v="Кондрашов Сергей Вячеславович//Балыкин Александр Иванович"/>
        <s v="Коновальцев Олег Серафимович"/>
        <s v="Кононенко Алла Николаевна (Александр)"/>
        <s v="Короткевич Наталья Владимировна"/>
        <s v="Корчинская Ирина Анатольевна"/>
        <s v="Косенков Степан Фед-ч(Галактионова)"/>
        <s v="Косенкова Елизавета Евгеньевна"/>
        <s v="Красникова Раиса Михайловна"/>
        <s v="Кривой Владимир Аркадьевич"/>
        <s v="Крупник Андрей Валерьевич"/>
        <s v="Кудревцев Евгений Александрович"/>
        <s v="Кудрявцева Наталья Викторовна"/>
        <s v="Куликов Александр Владимирович"/>
        <s v="Куликова Наталья Александровна "/>
        <s v="Кулиш Сергей Александрович       "/>
        <s v="Кушваха Виджай Шанкар"/>
        <s v="Лайпанов Рустам Сеитбиевич"/>
        <s v="Лапшин Сергей Николаевич"/>
        <s v="Ларионова Наталья Владимировна"/>
        <s v="Лебедев Андрей Анатольевич"/>
        <s v="Лебедева Елена Александровна"/>
        <s v="Левина Елена Александровна (Дмитрий)"/>
        <s v="Леськов Олег Петрович"/>
        <s v="Лещёва Ольга Владимировна"/>
        <s v="Ли Наталья Сергеевна"/>
        <s v="Ловыгина Татьяна Александровна"/>
        <s v="Лопухинова Надежда Михайловна"/>
        <s v="Лошкарев Виктор Ильич"/>
        <s v="Лунёв Денис Александрович"/>
        <s v="Лунева Ольга Петровна"/>
        <s v="Малов Алексей Викторович"/>
        <s v="Маргиева Марина Евгеньевна"/>
        <s v="Маркина Людмила Николаевна, Марина"/>
        <s v="Марков Максим Юрьевич"/>
        <s v="Маркова Тамара Ивановна"/>
        <s v="Марковнина Светлана Викторовна"/>
        <s v="Маслов Александр Александрович"/>
        <s v="Маслов Андрей Геннадьевич (1/2)                 Щербакова Надежда Михайловна (1/2)"/>
        <s v="Маслова Валентина Петровна"/>
        <s v="Матвеев Денис Львович"/>
        <s v="Мельников Михаил Вячеславович / Диденко"/>
        <s v="Месхидзе Оксана Валерьевна"/>
        <s v="Милишенко Надежда Ивановна"/>
        <s v="Милоянин Алексей Леонидович"/>
        <s v="Мирошниченко Андрей Иванович Захарова Елена Александровна"/>
        <s v="Мирошниченко Екатерина Олеговна"/>
        <s v="Модин Игорь Николаевич"/>
        <s v="Моисеев Андрей Валентинович"/>
        <s v="Молчанова Ирина Владимировна"/>
        <s v="Мудрак Владимир Григорьевич (Марина)"/>
        <s v="Мурадова Альбина Сергеевна"/>
        <s v="Науменко Дмитрий Александрович"/>
        <s v="Недосенко Татьяна Сергеевна (Олег)"/>
        <s v="Нелюбов Сергей Владимирович"/>
        <s v="Нефедов Михаил Владимирович"/>
        <s v="Никифоров Андрей Леонидович"/>
        <s v="Новиков Виктор Викторович"/>
        <s v="Новикова Наталья Петровна"/>
        <s v="Новикова Светлана Владимировна (Анатолий)"/>
        <s v="Нормуротов Анваржон Абдирайимович    "/>
        <s v="Носикова Александра Васильевна "/>
        <s v="Носикова Мария Леонидовна"/>
        <s v="Олег (Гусев Николай Михайлович — был) "/>
        <s v="Олейников Дмитрий Александрович "/>
        <s v="Олейникова Евгения Александровна"/>
        <s v="Осадчев Константин Владимирович"/>
        <s v="Острикова Наталья Львовна"/>
        <s v="Пархачева Эльвира Валентиновна (Алксандр)"/>
        <s v="Пахарева Ольга Александровна (Дмитрий)"/>
        <s v="Петрик Наталья Вячеславовна"/>
        <s v="Петров Борис Викторович"/>
        <s v="Петрова Елена Николаевна"/>
        <s v="Петункин Игорь Минович"/>
        <s v="Пикалёва Алла Григорьевна (Юрий)"/>
        <s v="Поликарпова Наталья Дмитриевна"/>
        <s v="Полякова Марина Александровна"/>
        <s v="Пономарева Олеся Сергеевна"/>
        <s v="Попова Нина Ивановна"/>
        <s v="Постернак Татьяна Николаевна"/>
        <s v="Просянов Александр Александрович"/>
        <s v="Прохоров Владимир Михайлович        "/>
        <s v="Пузанова Екатерина Вячеславовна        "/>
        <s v="Ратников Алексей Сергеевич"/>
        <s v="Решетов Владимир Генадьевич"/>
        <s v="Родичева Наталья Николаевна - Завилевская Е.И. ???"/>
        <s v="Рожкова Глафира Андреевна"/>
        <s v="Розова Татьяна Викторовна"/>
        <s v="Рощина Ирина Михайловна"/>
        <s v="Рудая Наталья Викторовна           "/>
        <s v="Рыбалкин Андрей Сергеевич"/>
        <s v="Рыжов Андрей Николаевич"/>
        <s v="Савина Нина Ивановна"/>
        <s v="Садовников Алексей Владимирович(Рошка Александр Николаевич)"/>
        <s v="Сазонов Сергей Александрович - Диденко Оксана Владимировна"/>
        <s v="Салопаева Татьяна Сергеевна"/>
        <s v="Самоволькина Ирина Владимировна"/>
        <s v="Самородов"/>
        <s v="Саргсян Оганнес Ншанович"/>
        <s v="Сафронова Наталья Михайловна (у Дедков Илья Егорьевич купила)"/>
        <s v="Сбитнева Юлия Сергеевна"/>
        <s v="Севастьянов Михаил Григорьевич"/>
        <s v="Севрюгина Ольга Викторовна"/>
        <s v="Семенова Рима Прановна    "/>
        <s v="Сёмин Александр Иванович"/>
        <s v="Сергиенко Николай Михайлович"/>
        <s v="Серебряков Игорь Васильевич"/>
        <s v="Серкин Сергей Львовович"/>
        <s v="Сидельникова Ольга Петровна"/>
        <s v="Сидоров Александр Юрьевич"/>
        <s v="Сиротин Дмитрий Борисович (Приставалова)"/>
        <s v="Сломов Константин Витальевич"/>
        <s v="Смирнов Максим Анатольевич, Светлана"/>
        <s v="Соколова Ирина Анатольевна"/>
        <s v="Солодкий Дмитрий Павлович"/>
        <s v="Спивак Сергей Николаевич"/>
        <s v="Спиридонов Андрей Владимирович"/>
        <s v="Старостин Виктор Вячеславович"/>
        <s v="Степанов Валерий Владимирович"/>
        <s v="Степанова Марина Николаевна (Артем)"/>
        <s v="Стрелков Андрей Вячеславович"/>
        <s v="Стрелков Андрей Вячеславович  "/>
        <s v="Стрелков Николай Валентинович"/>
        <s v="Ступнев Евгений  Романович"/>
        <s v="Суворов Сергей Анатольевич"/>
        <s v="Суркова Татьяна Александровна"/>
        <s v="Сысоев Евгений Анатольевич"/>
        <s v="Сысоев Семен Евгеньевич"/>
        <s v="Тадлов Виталий Петрович"/>
        <s v="Тарасенко Анатолий Семенович"/>
        <s v="Темникова Елена Станиславовна"/>
        <s v="Тимофеева Лариса Викторовна"/>
        <s v="Тимофеева Татьяна Александровна (Денис)"/>
        <s v="Толкова Елена Анатольевна (Олег)"/>
        <s v="Трубченко Петр Александрович"/>
        <s v="Трыкин Евгений Викторович"/>
        <s v="Тюленев Вячеслав Рудольфович"/>
        <m/>
        <s v="Федорова Наталья Владимировна"/>
        <s v="Федорова Юлия Владимировна"/>
        <s v="Финогин Сергей Александрович"/>
        <s v="Фисенко Вадим Петрович"/>
        <s v="Фисенко Дмитрий Петрович"/>
        <s v="Фомин Андрей Анатольевич"/>
        <s v="Фомин Игорь Анатольевич"/>
        <s v="Фомичев Александр Петрович"/>
        <s v="Хайлов Алексей Анатольевич"/>
        <s v="Хан Виталий Борисович"/>
        <s v="Харинкина Танзиля Гарафутдиновна"/>
        <s v="Хаустова Люция Егоровна"/>
        <s v="Хачатрян Алла Самвеловна"/>
        <s v="Хрупало Николай Алексеевич"/>
        <s v="Черешнева Виктория Викторовна"/>
        <s v="Чернявская Оксана Юрьевна        "/>
        <s v="Чигрины Анна Анатольевна и Геннадий Иванович"/>
        <s v="Чикачёв Сергей Иванович"/>
        <s v="Шабунина Светлана Николаевна"/>
        <s v="Шалинов Андрей Вадимович"/>
        <s v="Шелухина Мария Сергеевна"/>
        <s v="Шептухина Александра Борисовна"/>
        <s v="Широков Евгений Александрович"/>
        <s v="Шорахматов Мухаммадхуджа Замшоевич"/>
        <s v="Шурдук Лариса Анатольевна (Игорь)"/>
        <s v="Шустов Василий Александрович"/>
        <s v="Щербаков Павел Евгеньевич"/>
        <s v="Щербакова Татьяна Дмитриевна      "/>
        <s v="Элефтерова Евгения Викторовна (Михаил)"/>
        <s v="Якиманский Александр Александрович"/>
        <s v="Якушина Любовь Викторовна"/>
        <s v="Янковская Елена Александровна"/>
        <s v="Янковская Яна Валерьевна"/>
        <s v="Яструб Валерий Викторович"/>
        <s v="Яшин Евгений Иванович"/>
        <s v="Петрик Наталья Вячеславовна(ПродалаУстинова Ирина)" u="1"/>
        <s v="Хрупало Николай Алексеевич (118+120)" u="1"/>
        <s v="Решетов Владимир Геннадьевич" u="1"/>
        <s v="Устинов Федор Валентинович(Петрик)" u="1"/>
        <s v="Шалинов Андрей Вадимович + уч. 97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Лапшин Сергей Николаевич" refreshedDate="42717.826425925923" createdVersion="4" refreshedVersion="6" minRefreshableVersion="3" recordCount="322">
  <cacheSource type="worksheet">
    <worksheetSource ref="C1:K323" sheet="Лист6"/>
  </cacheSource>
  <cacheFields count="9">
    <cacheField name="ID" numFmtId="0">
      <sharedItems containsMixedTypes="1" containsNumber="1" containsInteger="1" minValue="1" maxValue="320" count="295">
        <n v="79"/>
        <n v="35"/>
        <n v="260"/>
        <n v="203"/>
        <n v="316"/>
        <n v="232"/>
        <n v="277"/>
        <n v="221"/>
        <n v="259"/>
        <n v="109"/>
        <n v="130"/>
        <n v="7"/>
        <n v="193"/>
        <n v="178"/>
        <n v="119"/>
        <n v="293"/>
        <n v="191"/>
        <n v="249"/>
        <n v="72"/>
        <n v="125"/>
        <n v="229"/>
        <n v="296"/>
        <n v="281"/>
        <n v="198"/>
        <n v="52"/>
        <n v="51"/>
        <n v="136"/>
        <n v="11"/>
        <n v="114"/>
        <n v="151"/>
        <n v="142"/>
        <n v="245"/>
        <n v="188"/>
        <n v="219"/>
        <n v="223"/>
        <n v="137"/>
        <n v="105"/>
        <n v="98"/>
        <n v="274"/>
        <n v="175"/>
        <n v="303"/>
        <n v="90"/>
        <n v="206"/>
        <n v="101"/>
        <n v="86"/>
        <n v="43"/>
        <n v="25"/>
        <n v="138"/>
        <n v="228"/>
        <n v="37"/>
        <n v="126"/>
        <n v="58"/>
        <n v="117"/>
        <n v="61"/>
        <n v="294"/>
        <n v="286"/>
        <n v="64"/>
        <n v="94"/>
        <n v="39"/>
        <n v="276"/>
        <n v="148"/>
        <n v="308"/>
        <n v="318"/>
        <n v="236"/>
        <n v="226"/>
        <n v="285"/>
        <n v="24"/>
        <n v="50"/>
        <n v="122"/>
        <n v="301"/>
        <n v="18"/>
        <n v="155"/>
        <n v="44"/>
        <n v="132"/>
        <n v="159"/>
        <n v="181"/>
        <n v="284"/>
        <n v="264"/>
        <n v="32"/>
        <n v="49"/>
        <n v="234"/>
        <n v="254"/>
        <n v="230"/>
        <n v="4"/>
        <n v="213"/>
        <n v="127"/>
        <n v="66"/>
        <n v="36"/>
        <n v="38"/>
        <n v="12"/>
        <n v="63"/>
        <n v="16"/>
        <n v="121"/>
        <n v="156"/>
        <n v="5"/>
        <n v="214"/>
        <n v="279"/>
        <n v="197"/>
        <n v="295"/>
        <n v="196"/>
        <n v="124"/>
        <n v="250"/>
        <n v="153"/>
        <n v="106"/>
        <n v="222"/>
        <n v="208"/>
        <n v="207"/>
        <n v="231"/>
        <n v="76"/>
        <n v="82"/>
        <n v="8"/>
        <n v="149"/>
        <n v="30"/>
        <n v="269"/>
        <n v="271"/>
        <n v="265"/>
        <n v="173"/>
        <n v="305"/>
        <n v="69"/>
        <n v="1"/>
        <n v="302"/>
        <n v="123"/>
        <n v="163"/>
        <n v="110"/>
        <n v="112"/>
        <n v="190"/>
        <n v="83"/>
        <n v="133"/>
        <n v="202"/>
        <n v="192"/>
        <n v="289"/>
        <n v="143"/>
        <n v="62"/>
        <n v="225"/>
        <n v="266"/>
        <n v="157"/>
        <n v="194"/>
        <n v="65"/>
        <n v="216"/>
        <n v="56"/>
        <n v="150"/>
        <n v="243"/>
        <n v="220"/>
        <n v="3"/>
        <n v="158"/>
        <n v="139"/>
        <n v="261"/>
        <n v="288"/>
        <n v="166"/>
        <n v="118"/>
        <n v="199"/>
        <n v="164"/>
        <n v="34"/>
        <n v="13"/>
        <n v="273"/>
        <n v="87"/>
        <n v="154"/>
        <n v="270"/>
        <n v="9"/>
        <n v="129"/>
        <n v="42"/>
        <n v="96"/>
        <n v="292"/>
        <n v="209"/>
        <n v="257"/>
        <n v="212"/>
        <n v="320"/>
        <n v="186"/>
        <n v="187"/>
        <n v="211"/>
        <n v="242"/>
        <n v="218"/>
        <n v="120"/>
        <n v="287"/>
        <n v="170"/>
        <n v="290"/>
        <n v="81"/>
        <n v="31"/>
        <n v="104"/>
        <n v="85"/>
        <n v="300"/>
        <n v="47"/>
        <n v="282"/>
        <n v="204"/>
        <n v="291"/>
        <n v="89"/>
        <n v="26"/>
        <n v="71"/>
        <n v="6"/>
        <n v="80"/>
        <n v="201"/>
        <n v="147"/>
        <n v="29"/>
        <n v="33"/>
        <n v="169"/>
        <n v="185"/>
        <n v="176"/>
        <n v="307"/>
        <n v="177"/>
        <n v="160"/>
        <n v="53"/>
        <n v="102"/>
        <n v="174"/>
        <n v="165"/>
        <n v="251"/>
        <n v="315"/>
        <n v="312"/>
        <n v="314"/>
        <e v="#N/A"/>
        <n v="144"/>
        <n v="74"/>
        <n v="68"/>
        <n v="224"/>
        <n v="134"/>
        <n v="267"/>
        <n v="258"/>
        <n v="299"/>
        <n v="210"/>
        <n v="239"/>
        <n v="238"/>
        <n v="297"/>
        <n v="128"/>
        <n v="67"/>
        <n v="278"/>
        <n v="280"/>
        <n v="215"/>
        <n v="241"/>
        <n v="161"/>
        <n v="272"/>
        <n v="19"/>
        <n v="310"/>
        <n v="205"/>
        <n v="107"/>
        <n v="48"/>
        <n v="237"/>
        <n v="263"/>
        <n v="100"/>
        <n v="131"/>
        <n v="183"/>
        <n v="21"/>
        <n v="298"/>
        <n v="91"/>
        <n v="54"/>
        <n v="317"/>
        <n v="268"/>
        <n v="172"/>
        <n v="116"/>
        <n v="57"/>
        <n v="46"/>
        <n v="73"/>
        <n v="162"/>
        <n v="252"/>
        <n v="45"/>
        <n v="319"/>
        <n v="93"/>
        <n v="255"/>
        <n v="167"/>
        <n v="99"/>
        <n v="146"/>
        <n v="28"/>
        <n v="27"/>
        <n v="135"/>
        <n v="59"/>
        <n v="60"/>
        <n v="248"/>
        <n v="247"/>
        <n v="103"/>
        <n v="275"/>
        <n v="22"/>
        <n v="20"/>
        <n v="233"/>
        <n v="256"/>
        <n v="113"/>
        <n v="180"/>
        <n v="2"/>
        <n v="23"/>
        <n v="168"/>
        <n v="84"/>
        <n v="88"/>
        <n v="78"/>
        <n v="77"/>
        <n v="306"/>
        <n v="182"/>
        <n v="95"/>
        <n v="108"/>
        <n v="41"/>
        <n v="152"/>
        <n v="227"/>
        <n v="15"/>
        <n v="240"/>
        <n v="10"/>
        <n v="55"/>
        <n v="309"/>
        <n v="17"/>
        <n v="40"/>
      </sharedItems>
    </cacheField>
    <cacheField name="номер участка" numFmtId="0">
      <sharedItems containsBlank="1" containsMixedTypes="1" containsNumber="1" containsInteger="1" minValue="1" maxValue="324" count="318">
        <n v="84"/>
        <n v="35"/>
        <n v="273"/>
        <n v="213"/>
        <s v="306-307"/>
        <n v="241"/>
        <n v="290"/>
        <n v="230"/>
        <n v="272"/>
        <n v="114"/>
        <n v="137"/>
        <n v="7"/>
        <n v="14"/>
        <n v="201"/>
        <n v="186"/>
        <n v="124"/>
        <n v="308"/>
        <n v="199"/>
        <n v="260"/>
        <n v="78"/>
        <n v="130"/>
        <n v="238"/>
        <n v="311"/>
        <n v="293"/>
        <n v="206"/>
        <n v="54"/>
        <n v="53"/>
        <n v="144"/>
        <n v="11"/>
        <n v="119"/>
        <n v="159"/>
        <n v="150"/>
        <n v="256"/>
        <n v="196"/>
        <n v="197"/>
        <n v="228"/>
        <n v="232"/>
        <n v="145"/>
        <n v="110"/>
        <n v="103"/>
        <n v="287"/>
        <n v="295"/>
        <n v="183"/>
        <n v="187"/>
        <n v="318"/>
        <n v="319"/>
        <n v="95"/>
        <n v="216"/>
        <n v="106"/>
        <n v="91"/>
        <n v="43"/>
        <n v="25"/>
        <n v="146"/>
        <n v="237"/>
        <n v="37"/>
        <n v="131"/>
        <n v="60"/>
        <n v="122"/>
        <n v="63"/>
        <n v="309"/>
        <n v="298"/>
        <n v="66"/>
        <n v="99"/>
        <n v="39"/>
        <n v="289"/>
        <n v="156"/>
        <n v="323"/>
        <s v="71-72"/>
        <n v="245"/>
        <n v="235"/>
        <n v="297"/>
        <n v="24"/>
        <n v="50"/>
        <n v="127"/>
        <n v="316"/>
        <n v="18"/>
        <n v="163"/>
        <n v="44"/>
        <n v="139"/>
        <n v="167"/>
        <n v="189"/>
        <n v="296"/>
        <n v="277"/>
        <n v="32"/>
        <n v="49"/>
        <n v="243"/>
        <n v="244"/>
        <s v="243-244"/>
        <n v="267"/>
        <n v="239"/>
        <n v="257"/>
        <n v="4"/>
        <n v="222"/>
        <n v="132"/>
        <n v="68"/>
        <n v="36"/>
        <n v="255"/>
        <n v="38"/>
        <n v="12"/>
        <n v="65"/>
        <n v="16"/>
        <n v="126"/>
        <n v="164"/>
        <n v="5"/>
        <n v="223"/>
        <n v="291"/>
        <n v="205"/>
        <n v="310"/>
        <n v="204"/>
        <n v="129"/>
        <n v="261"/>
        <n v="161"/>
        <n v="111"/>
        <n v="231"/>
        <n v="218"/>
        <n v="217"/>
        <n v="240"/>
        <n v="82"/>
        <n v="87"/>
        <n v="8"/>
        <n v="157"/>
        <n v="30"/>
        <n v="282"/>
        <n v="284"/>
        <n v="278"/>
        <n v="181"/>
        <n v="320"/>
        <n v="75"/>
        <n v="76"/>
        <n v="1"/>
        <n v="317"/>
        <n v="128"/>
        <n v="171"/>
        <n v="115"/>
        <n v="117"/>
        <n v="198"/>
        <n v="88"/>
        <n v="140"/>
        <n v="212"/>
        <n v="200"/>
        <n v="301"/>
        <n v="151"/>
        <n v="64"/>
        <n v="234"/>
        <n v="279"/>
        <n v="165"/>
        <n v="202"/>
        <n v="67"/>
        <n v="225"/>
        <n v="226"/>
        <n v="58"/>
        <n v="158"/>
        <n v="254"/>
        <n v="229"/>
        <n v="3"/>
        <n v="166"/>
        <n v="149"/>
        <n v="147"/>
        <n v="148"/>
        <n v="274"/>
        <n v="275"/>
        <n v="300"/>
        <n v="174"/>
        <n v="123"/>
        <n v="207"/>
        <n v="208"/>
        <n v="172"/>
        <n v="34"/>
        <n v="13"/>
        <n v="286"/>
        <n v="92"/>
        <n v="162"/>
        <n v="283"/>
        <n v="9"/>
        <n v="136"/>
        <n v="42"/>
        <n v="101"/>
        <n v="102"/>
        <n v="305"/>
        <n v="219"/>
        <n v="270"/>
        <n v="221"/>
        <m/>
        <n v="194"/>
        <n v="195"/>
        <n v="220"/>
        <n v="253"/>
        <n v="227"/>
        <n v="125"/>
        <n v="299"/>
        <n v="178"/>
        <n v="179"/>
        <n v="303"/>
        <n v="86"/>
        <n v="31"/>
        <n v="109"/>
        <n v="90"/>
        <n v="315"/>
        <n v="47"/>
        <n v="294"/>
        <n v="214"/>
        <n v="304"/>
        <n v="94"/>
        <n v="26"/>
        <n v="77"/>
        <n v="6"/>
        <n v="85"/>
        <n v="209"/>
        <n v="155"/>
        <n v="29"/>
        <n v="33"/>
        <n v="177"/>
        <n v="193"/>
        <n v="184"/>
        <n v="322"/>
        <n v="185"/>
        <n v="168"/>
        <n v="55"/>
        <n v="107"/>
        <n v="182"/>
        <n v="173"/>
        <n v="262"/>
        <s v="265-266"/>
        <s v="210-211"/>
        <s v="246-247"/>
        <n v="203"/>
        <n v="152"/>
        <n v="153"/>
        <n v="80"/>
        <n v="81"/>
        <n v="70"/>
        <n v="233"/>
        <n v="141"/>
        <n v="280"/>
        <n v="271"/>
        <n v="314"/>
        <n v="250"/>
        <n v="249"/>
        <n v="312"/>
        <n v="135"/>
        <n v="69"/>
        <n v="292"/>
        <n v="224"/>
        <n v="252"/>
        <n v="169"/>
        <n v="285"/>
        <n v="19"/>
        <s v="133-134"/>
        <n v="215"/>
        <n v="112"/>
        <n v="48"/>
        <n v="248"/>
        <n v="276"/>
        <n v="105"/>
        <n v="138"/>
        <n v="191"/>
        <n v="192"/>
        <n v="21"/>
        <n v="313"/>
        <n v="96"/>
        <n v="56"/>
        <s v="51-52"/>
        <n v="281"/>
        <n v="180"/>
        <n v="121"/>
        <n v="59"/>
        <n v="46"/>
        <n v="79"/>
        <n v="170"/>
        <n v="263"/>
        <n v="264"/>
        <n v="45"/>
        <s v="73-74"/>
        <n v="98"/>
        <n v="268"/>
        <n v="175"/>
        <n v="104"/>
        <n v="154"/>
        <n v="28"/>
        <n v="27"/>
        <n v="142"/>
        <n v="143"/>
        <s v="142-143"/>
        <n v="61"/>
        <n v="62"/>
        <n v="259"/>
        <n v="258"/>
        <n v="108"/>
        <n v="288"/>
        <n v="22"/>
        <n v="20"/>
        <n v="242"/>
        <n v="269"/>
        <n v="118"/>
        <n v="120"/>
        <n v="116"/>
        <n v="188"/>
        <n v="2"/>
        <n v="23"/>
        <n v="176"/>
        <n v="89"/>
        <n v="97"/>
        <n v="93"/>
        <n v="83"/>
        <n v="321"/>
        <n v="190"/>
        <n v="100"/>
        <n v="113"/>
        <n v="41"/>
        <n v="160"/>
        <n v="236"/>
        <n v="15"/>
        <n v="251"/>
        <n v="10"/>
        <n v="57"/>
        <n v="324"/>
        <n v="17"/>
        <n v="40"/>
      </sharedItems>
    </cacheField>
    <cacheField name="план" numFmtId="0">
      <sharedItems containsString="0" containsBlank="1" containsNumber="1" containsInteger="1" minValue="800" maxValue="800"/>
    </cacheField>
    <cacheField name="01.01.2016" numFmtId="4">
      <sharedItems containsString="0" containsBlank="1" containsNumber="1" minValue="600" maxValue="31000"/>
    </cacheField>
    <cacheField name="01.02.2016" numFmtId="4">
      <sharedItems containsString="0" containsBlank="1" containsNumber="1" containsInteger="1" minValue="600" maxValue="12000"/>
    </cacheField>
    <cacheField name="01.03.2016" numFmtId="4">
      <sharedItems containsString="0" containsBlank="1" containsNumber="1" containsInteger="1" minValue="800" maxValue="12000"/>
    </cacheField>
    <cacheField name="01.04.2016" numFmtId="4">
      <sharedItems containsString="0" containsBlank="1" containsNumber="1" containsInteger="1" minValue="800" maxValue="14400"/>
    </cacheField>
    <cacheField name="01.05.2016" numFmtId="4">
      <sharedItems containsString="0" containsBlank="1" containsNumber="1" containsInteger="1" minValue="800" maxValue="25000"/>
    </cacheField>
    <cacheField name="01.06.2016" numFmtId="4">
      <sharedItems containsString="0" containsBlank="1" containsNumber="1" containsInteger="1" minValue="800" maxValue="268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1">
  <r>
    <s v="84Абу Махади Мохаммед Ибрагим"/>
    <n v="84"/>
    <x v="0"/>
  </r>
  <r>
    <s v="35Абушаев Роман Шамильевич"/>
    <n v="35"/>
    <x v="1"/>
  </r>
  <r>
    <s v="273Аксенов Дмитрий Викторович"/>
    <n v="273"/>
    <x v="2"/>
  </r>
  <r>
    <s v="213Александров Владимир Александрович"/>
    <n v="213"/>
    <x v="3"/>
  </r>
  <r>
    <s v="306-307Алексеев Андрей Олегович"/>
    <s v="306-307"/>
    <x v="4"/>
  </r>
  <r>
    <s v="241Амплеева Мария Александровна "/>
    <n v="241"/>
    <x v="5"/>
  </r>
  <r>
    <s v="290Андреева Любовь Ивановна(у Севастьянова)"/>
    <n v="290"/>
    <x v="6"/>
  </r>
  <r>
    <s v="230Анисимова (Корнеева) Татьяна Николаевна"/>
    <n v="230"/>
    <x v="7"/>
  </r>
  <r>
    <s v="272Анисимова Елена Анатольевна"/>
    <n v="272"/>
    <x v="8"/>
  </r>
  <r>
    <s v="114Антипова Жанна Михайловна"/>
    <n v="114"/>
    <x v="9"/>
  </r>
  <r>
    <s v="137Анциферов Алексей Сергеевич"/>
    <n v="137"/>
    <x v="10"/>
  </r>
  <r>
    <s v="14Артемьев Сергей Иванович"/>
    <n v="14"/>
    <x v="11"/>
  </r>
  <r>
    <s v="7Артемьев Сергей Иванович"/>
    <n v="7"/>
    <x v="11"/>
  </r>
  <r>
    <s v="201Асташкин Павел Александрович(продал???)"/>
    <n v="201"/>
    <x v="12"/>
  </r>
  <r>
    <s v="186Афанасьева Злата Сергеевна"/>
    <n v="186"/>
    <x v="13"/>
  </r>
  <r>
    <s v="124Афян Сасун Аркадиевич"/>
    <n v="124"/>
    <x v="14"/>
  </r>
  <r>
    <s v="308Ахромеев Андрей Владимирович"/>
    <n v="308"/>
    <x v="15"/>
  </r>
  <r>
    <s v="199Бадирьян Тамара Викторовна"/>
    <n v="199"/>
    <x v="16"/>
  </r>
  <r>
    <s v="260Байбикова Рузалия Равилевна / Байбикова Руфия Равилевна"/>
    <n v="260"/>
    <x v="17"/>
  </r>
  <r>
    <s v="130Безбородова Людмила Михайловна"/>
    <n v="130"/>
    <x v="18"/>
  </r>
  <r>
    <s v="238Безменова Татьяна Игоревна"/>
    <n v="238"/>
    <x v="19"/>
  </r>
  <r>
    <s v="311Бекмансурова Динара Василевна"/>
    <n v="311"/>
    <x v="20"/>
  </r>
  <r>
    <s v="293Белов Семён Иванович          "/>
    <n v="293"/>
    <x v="21"/>
  </r>
  <r>
    <s v="206Белоглазова Людмила Ивановна"/>
    <n v="206"/>
    <x v="22"/>
  </r>
  <r>
    <s v="54Бельская Светлана Александровна (Владимир)"/>
    <n v="54"/>
    <x v="23"/>
  </r>
  <r>
    <s v="53Бельский Владимир Владимирович (Светлана)"/>
    <n v="53"/>
    <x v="24"/>
  </r>
  <r>
    <s v="144Беляков Виктор Михайлович"/>
    <n v="144"/>
    <x v="25"/>
  </r>
  <r>
    <s v="11Бенгя Владимир Михайлович (Диана)"/>
    <n v="11"/>
    <x v="26"/>
  </r>
  <r>
    <s v="119Беспаленко Зинаида Александровна"/>
    <n v="119"/>
    <x v="27"/>
  </r>
  <r>
    <s v="159Бирюков Александр Сергеевич"/>
    <n v="159"/>
    <x v="28"/>
  </r>
  <r>
    <s v="150Блинков Анатолий Сергеевич"/>
    <n v="150"/>
    <x v="29"/>
  </r>
  <r>
    <s v="256Бондарев Станислав Дмитриевич"/>
    <n v="256"/>
    <x v="30"/>
  </r>
  <r>
    <s v="197Бондаренко Владимир Иванович"/>
    <n v="197"/>
    <x v="31"/>
  </r>
  <r>
    <s v="196Бондаренко Владимир Иванович"/>
    <n v="196"/>
    <x v="31"/>
  </r>
  <r>
    <s v="228Бондарь Василий Дмитриевич"/>
    <n v="228"/>
    <x v="32"/>
  </r>
  <r>
    <s v="232Борисов Олег Александрович"/>
    <n v="232"/>
    <x v="33"/>
  </r>
  <r>
    <s v="145Бранцова Татьяна Валерьевна"/>
    <n v="145"/>
    <x v="34"/>
  </r>
  <r>
    <s v="110Брылёв Андрей Вячеславович"/>
    <n v="110"/>
    <x v="35"/>
  </r>
  <r>
    <s v="103Бугрова Вероника Артуровна"/>
    <n v="103"/>
    <x v="36"/>
  </r>
  <r>
    <s v="295Будаев Андрей Анатольевич"/>
    <n v="295"/>
    <x v="37"/>
  </r>
  <r>
    <s v="287Будаев Андрей Анатольевич"/>
    <n v="287"/>
    <x v="37"/>
  </r>
  <r>
    <s v="187Буланова Лилия Михайловна"/>
    <n v="187"/>
    <x v="38"/>
  </r>
  <r>
    <s v="183Буланова Лилия Михайловна"/>
    <n v="183"/>
    <x v="38"/>
  </r>
  <r>
    <s v="319Бурдух Юрие"/>
    <n v="319"/>
    <x v="39"/>
  </r>
  <r>
    <s v="318Бурдух Юрие"/>
    <n v="318"/>
    <x v="39"/>
  </r>
  <r>
    <s v="95Быданцева Нина Юрьевна"/>
    <n v="95"/>
    <x v="40"/>
  </r>
  <r>
    <s v="216Валеев Артур Рашидович"/>
    <n v="216"/>
    <x v="41"/>
  </r>
  <r>
    <s v="106Васильев Николай Владимирович"/>
    <n v="106"/>
    <x v="42"/>
  </r>
  <r>
    <s v="91Васильева Ольга Александровна"/>
    <n v="91"/>
    <x v="43"/>
  </r>
  <r>
    <s v="43Васильцова Елена Владимировна"/>
    <n v="43"/>
    <x v="44"/>
  </r>
  <r>
    <s v="25Вершинина Елена Анатольевна"/>
    <n v="25"/>
    <x v="45"/>
  </r>
  <r>
    <s v="146Виноградова Наталья Дмитриевна (Николай)"/>
    <n v="146"/>
    <x v="46"/>
  </r>
  <r>
    <s v="237Виртилецкий Денис Вячеславович"/>
    <n v="237"/>
    <x v="47"/>
  </r>
  <r>
    <s v="37Водянова Ольга Александровна"/>
    <n v="37"/>
    <x v="48"/>
  </r>
  <r>
    <s v="131Волгушев Дмитрий Геннадиевич"/>
    <n v="131"/>
    <x v="49"/>
  </r>
  <r>
    <s v="60Володина Инна Александровна"/>
    <n v="60"/>
    <x v="50"/>
  </r>
  <r>
    <s v="122Вольский Андрей Юрьевич"/>
    <n v="122"/>
    <x v="51"/>
  </r>
  <r>
    <s v="63Высоких Антон Маркович"/>
    <n v="63"/>
    <x v="52"/>
  </r>
  <r>
    <s v="309Гайкова (Дьякова) Мария Викторовна"/>
    <n v="309"/>
    <x v="53"/>
  </r>
  <r>
    <s v="298Ганин Александр Борисович"/>
    <n v="298"/>
    <x v="54"/>
  </r>
  <r>
    <s v="66Горбунов Владимир Александрович"/>
    <n v="66"/>
    <x v="55"/>
  </r>
  <r>
    <s v="99Горбунов Максим Николаевич"/>
    <n v="99"/>
    <x v="56"/>
  </r>
  <r>
    <s v="39Гордейчик Игорь Борисович"/>
    <n v="39"/>
    <x v="57"/>
  </r>
  <r>
    <s v="289Горянов Михаил Андреевич"/>
    <n v="289"/>
    <x v="58"/>
  </r>
  <r>
    <s v="156Горячев Дмитрий Николаевич"/>
    <n v="156"/>
    <x v="59"/>
  </r>
  <r>
    <s v="323Губарева Татьяна Григорьевна"/>
    <n v="323"/>
    <x v="60"/>
  </r>
  <r>
    <s v="71-72Гусева Светлана Григорьевна"/>
    <s v="71-72"/>
    <x v="61"/>
  </r>
  <r>
    <s v="245Давыдова Анна Сергеевна"/>
    <n v="245"/>
    <x v="62"/>
  </r>
  <r>
    <s v="235Данильянц Юрий Константинович   "/>
    <n v="235"/>
    <x v="63"/>
  </r>
  <r>
    <s v="297Даточный Алексей Валерьевич"/>
    <n v="297"/>
    <x v="64"/>
  </r>
  <r>
    <s v="24Двойрина Юлия Владимировна"/>
    <n v="24"/>
    <x v="65"/>
  </r>
  <r>
    <s v="50Денисов Дмитрий Алексеевич"/>
    <n v="50"/>
    <x v="66"/>
  </r>
  <r>
    <s v="127Денисов Сергей Александрович"/>
    <n v="127"/>
    <x v="67"/>
  </r>
  <r>
    <s v="316Десюкова Марина Александровна"/>
    <n v="316"/>
    <x v="68"/>
  </r>
  <r>
    <s v="18Дидушко Денис Васильевич (Василий)"/>
    <n v="18"/>
    <x v="69"/>
  </r>
  <r>
    <s v="163Дорошенко Владимир Алексеевич"/>
    <n v="163"/>
    <x v="70"/>
  </r>
  <r>
    <s v="44Дубов Александр Сергеевич"/>
    <n v="44"/>
    <x v="71"/>
  </r>
  <r>
    <s v="139Евглевская Ольга Борисовна"/>
    <n v="139"/>
    <x v="72"/>
  </r>
  <r>
    <s v="167Евсеев Александр Сергеевич"/>
    <n v="167"/>
    <x v="73"/>
  </r>
  <r>
    <s v="189Елисеев Сергей Вячеславович          "/>
    <n v="189"/>
    <x v="74"/>
  </r>
  <r>
    <s v="296Епанчинцева Людмила Филипповна"/>
    <n v="296"/>
    <x v="75"/>
  </r>
  <r>
    <s v="277Еременко Виктор Александрович (Валентина)"/>
    <n v="277"/>
    <x v="76"/>
  </r>
  <r>
    <s v="32Ермакова Татьяна Викторовна"/>
    <n v="32"/>
    <x v="77"/>
  </r>
  <r>
    <s v="49Ермолаева Виктория Александровна"/>
    <n v="49"/>
    <x v="78"/>
  </r>
  <r>
    <s v="243-244Ермошина Татьяна Евгеньевна (Владимир)"/>
    <s v="243-244"/>
    <x v="79"/>
  </r>
  <r>
    <s v="244Ермошина Татьяна Евгеньевна (Владимир)"/>
    <n v="244"/>
    <x v="79"/>
  </r>
  <r>
    <s v="243Ермошина Татьяна Евгеньевна (Владимир)"/>
    <n v="243"/>
    <x v="79"/>
  </r>
  <r>
    <s v="267Ершова Виктория Львовна"/>
    <n v="267"/>
    <x v="80"/>
  </r>
  <r>
    <s v="257Жарикова Светлана Юрьевна"/>
    <n v="257"/>
    <x v="81"/>
  </r>
  <r>
    <s v="239Жарикова Светлана Юрьевна"/>
    <n v="239"/>
    <x v="81"/>
  </r>
  <r>
    <s v="4Жигунов Юрий Александрович"/>
    <n v="4"/>
    <x v="82"/>
  </r>
  <r>
    <s v="222Жирная Татьяна Сергеевна"/>
    <n v="222"/>
    <x v="83"/>
  </r>
  <r>
    <s v="132Жохова Елена Сергеевна"/>
    <n v="132"/>
    <x v="84"/>
  </r>
  <r>
    <s v="68Заборская Светлана Анатольевна (Андрей)"/>
    <n v="68"/>
    <x v="85"/>
  </r>
  <r>
    <s v="36Закревская Марина Владимировна"/>
    <n v="36"/>
    <x v="86"/>
  </r>
  <r>
    <s v="255Заручинский Вячеслав Владимирович"/>
    <n v="255"/>
    <x v="87"/>
  </r>
  <r>
    <s v="38Заручинский Вячеслав Владимирович"/>
    <n v="38"/>
    <x v="87"/>
  </r>
  <r>
    <s v="12Захаренкова Светлана Евгеньевна"/>
    <n v="12"/>
    <x v="88"/>
  </r>
  <r>
    <s v="65Захаров Михаил Сергеевич"/>
    <n v="65"/>
    <x v="89"/>
  </r>
  <r>
    <s v="16Захарова Людмила Захаровна"/>
    <n v="16"/>
    <x v="90"/>
  </r>
  <r>
    <s v="126Зиннатов Рафаэль Шакурович"/>
    <n v="126"/>
    <x v="91"/>
  </r>
  <r>
    <s v="164Иваненко Петр Олегович"/>
    <n v="164"/>
    <x v="92"/>
  </r>
  <r>
    <s v="5Иванов Владимир Николаевич"/>
    <n v="5"/>
    <x v="93"/>
  </r>
  <r>
    <s v="223Иванов Денис Сильвестрович"/>
    <n v="223"/>
    <x v="94"/>
  </r>
  <r>
    <s v="291Иванова Светлана Сергеевна"/>
    <n v="291"/>
    <x v="95"/>
  </r>
  <r>
    <s v="205Иванова Татьяна Викторовна"/>
    <n v="205"/>
    <x v="96"/>
  </r>
  <r>
    <s v="310Измайлов Михаил Михайлович"/>
    <n v="310"/>
    <x v="97"/>
  </r>
  <r>
    <s v="204Казарин Сергей Викторович"/>
    <n v="204"/>
    <x v="98"/>
  </r>
  <r>
    <s v="129Казымов Горхмаз Гамид/Лавренчук Александр Владиславович"/>
    <n v="129"/>
    <x v="99"/>
  </r>
  <r>
    <s v="261Каляникова Наталья Сергеевна"/>
    <n v="261"/>
    <x v="100"/>
  </r>
  <r>
    <s v="161Канышкина Юлия Юрьевна"/>
    <n v="161"/>
    <x v="101"/>
  </r>
  <r>
    <s v="111Карпекина Лилия Рафаэльевна"/>
    <n v="111"/>
    <x v="102"/>
  </r>
  <r>
    <s v="231Карпова Елена Витальевна"/>
    <n v="231"/>
    <x v="103"/>
  </r>
  <r>
    <s v="218Катушкин Роман Юрьевич"/>
    <n v="218"/>
    <x v="104"/>
  </r>
  <r>
    <s v="217Катушкин Роман Юрьевич//Валеев Артур Рашидович"/>
    <n v="217"/>
    <x v="105"/>
  </r>
  <r>
    <s v="240Кашичкин Александр Борисович"/>
    <n v="240"/>
    <x v="106"/>
  </r>
  <r>
    <s v="82Киеня Валентина Александровна (Анатолий)"/>
    <n v="82"/>
    <x v="107"/>
  </r>
  <r>
    <s v="87Кикоть Наталья Петровна (Андрей)"/>
    <n v="87"/>
    <x v="108"/>
  </r>
  <r>
    <s v="8Кириенко Раиса Федоровна"/>
    <n v="8"/>
    <x v="109"/>
  </r>
  <r>
    <s v="157Кириллов Вадим Александрович"/>
    <n v="157"/>
    <x v="110"/>
  </r>
  <r>
    <s v="30Кириллов Дмитрий Александрович"/>
    <n v="30"/>
    <x v="111"/>
  </r>
  <r>
    <s v="282Коваленко Ирина Леонидовна"/>
    <n v="282"/>
    <x v="112"/>
  </r>
  <r>
    <s v="284Кожемякин Сергей Владимирович"/>
    <n v="284"/>
    <x v="113"/>
  </r>
  <r>
    <s v="278Козловский Алексей Гаврилович"/>
    <n v="278"/>
    <x v="114"/>
  </r>
  <r>
    <s v="181Колесников Никита Олегович(у Кряжковой Виктория Сергеевна"/>
    <n v="181"/>
    <x v="115"/>
  </r>
  <r>
    <s v="320Колесов Вадим Владимирович"/>
    <n v="320"/>
    <x v="116"/>
  </r>
  <r>
    <s v="76Колташ Анна Владимировна"/>
    <n v="76"/>
    <x v="117"/>
  </r>
  <r>
    <s v="75Колташ Анна Владимировна"/>
    <n v="75"/>
    <x v="117"/>
  </r>
  <r>
    <s v="1Колыгина Нина Николаевна"/>
    <n v="1"/>
    <x v="118"/>
  </r>
  <r>
    <s v="317Колышкина Александра Сергеевна"/>
    <n v="317"/>
    <x v="119"/>
  </r>
  <r>
    <s v="128Кондратьева Юлия Викторовна"/>
    <n v="128"/>
    <x v="120"/>
  </r>
  <r>
    <s v="171Кондратюк Наталья Петровна 1/2,  Соболев Олег Юрьевич 1/2"/>
    <n v="171"/>
    <x v="121"/>
  </r>
  <r>
    <s v="115Кондрашов Роман Вячеславович"/>
    <n v="115"/>
    <x v="122"/>
  </r>
  <r>
    <s v="117Кондрашов Сергей Вячеславович//Балыкин Александр Иванович"/>
    <n v="117"/>
    <x v="123"/>
  </r>
  <r>
    <s v="198Коновальцев Олег Серафимович"/>
    <n v="198"/>
    <x v="124"/>
  </r>
  <r>
    <s v="88Кононенко Алла Николаевна (Александр)"/>
    <n v="88"/>
    <x v="125"/>
  </r>
  <r>
    <s v="140Короткевич Наталья Владимировна"/>
    <n v="140"/>
    <x v="126"/>
  </r>
  <r>
    <s v="212Корчинская Ирина Анатольевна"/>
    <n v="212"/>
    <x v="127"/>
  </r>
  <r>
    <s v="200Косенков Степан Фед-ч(Галактионова)"/>
    <n v="200"/>
    <x v="128"/>
  </r>
  <r>
    <s v="301Косенкова Елизавета Евгеньевна"/>
    <n v="301"/>
    <x v="129"/>
  </r>
  <r>
    <s v="151Красникова Раиса Михайловна"/>
    <n v="151"/>
    <x v="130"/>
  </r>
  <r>
    <s v="64Кривой Владимир Аркадьевич"/>
    <n v="64"/>
    <x v="131"/>
  </r>
  <r>
    <s v="234Крупник Андрей Валерьевич"/>
    <n v="234"/>
    <x v="132"/>
  </r>
  <r>
    <s v="279Кудревцев Евгений Александрович"/>
    <n v="279"/>
    <x v="133"/>
  </r>
  <r>
    <s v="165Кудрявцева Наталья Викторовна"/>
    <n v="165"/>
    <x v="134"/>
  </r>
  <r>
    <s v="202Куликов Александр Владимирович"/>
    <n v="202"/>
    <x v="135"/>
  </r>
  <r>
    <s v="67Куликова Наталья Александровна "/>
    <n v="67"/>
    <x v="136"/>
  </r>
  <r>
    <s v="226Кулиш Сергей Александрович       "/>
    <n v="226"/>
    <x v="137"/>
  </r>
  <r>
    <s v="225Кулиш Сергей Александрович       "/>
    <n v="225"/>
    <x v="137"/>
  </r>
  <r>
    <s v="58Кушваха Виджай Шанкар"/>
    <n v="58"/>
    <x v="138"/>
  </r>
  <r>
    <s v="158Лайпанов Рустам Сеитбиевич"/>
    <n v="158"/>
    <x v="139"/>
  </r>
  <r>
    <s v="254Лапшин Сергей Николаевич"/>
    <n v="254"/>
    <x v="140"/>
  </r>
  <r>
    <s v="229Ларионова Наталья Владимировна"/>
    <n v="229"/>
    <x v="141"/>
  </r>
  <r>
    <s v="3Лебедев Андрей Анатольевич"/>
    <n v="3"/>
    <x v="142"/>
  </r>
  <r>
    <s v="166Лебедева Елена Александровна"/>
    <n v="166"/>
    <x v="143"/>
  </r>
  <r>
    <s v="149Левина Елена Александровна (Дмитрий)"/>
    <n v="149"/>
    <x v="144"/>
  </r>
  <r>
    <s v="148Левина Елена Александровна (Дмитрий)"/>
    <n v="148"/>
    <x v="144"/>
  </r>
  <r>
    <s v="147Левина Елена Александровна (Дмитрий)"/>
    <n v="147"/>
    <x v="144"/>
  </r>
  <r>
    <s v="275Леськов Олег Петрович"/>
    <n v="275"/>
    <x v="145"/>
  </r>
  <r>
    <s v="274Леськов Олег Петрович"/>
    <n v="274"/>
    <x v="145"/>
  </r>
  <r>
    <s v="78Лещёва Ольга Владимировна"/>
    <n v="78"/>
    <x v="146"/>
  </r>
  <r>
    <s v="300Ли Наталья Сергеевна"/>
    <n v="300"/>
    <x v="147"/>
  </r>
  <r>
    <s v="174Ловыгина Татьяна Александровна"/>
    <n v="174"/>
    <x v="148"/>
  </r>
  <r>
    <s v="123Лопухинова Надежда Михайловна"/>
    <n v="123"/>
    <x v="149"/>
  </r>
  <r>
    <s v="208Лошкарев Виктор Ильич"/>
    <n v="208"/>
    <x v="150"/>
  </r>
  <r>
    <s v="207Лошкарев Виктор Ильич"/>
    <n v="207"/>
    <x v="150"/>
  </r>
  <r>
    <s v="172Лунёв Денис Александрович"/>
    <n v="172"/>
    <x v="151"/>
  </r>
  <r>
    <s v="34Лунева Ольга Петровна"/>
    <n v="34"/>
    <x v="152"/>
  </r>
  <r>
    <s v="13Малов Алексей Викторович"/>
    <n v="13"/>
    <x v="153"/>
  </r>
  <r>
    <s v="286Маргиева Марина Евгеньевна"/>
    <n v="286"/>
    <x v="154"/>
  </r>
  <r>
    <s v="92Маркина Людмила Николаевна, Марина"/>
    <n v="92"/>
    <x v="155"/>
  </r>
  <r>
    <s v="162Марков Максим Юрьевич"/>
    <n v="162"/>
    <x v="156"/>
  </r>
  <r>
    <s v="283Маркова Тамара Ивановна"/>
    <n v="283"/>
    <x v="157"/>
  </r>
  <r>
    <s v="9Марковнина Светлана Викторовна"/>
    <n v="9"/>
    <x v="158"/>
  </r>
  <r>
    <s v="136Маслов Александр Александрович"/>
    <n v="136"/>
    <x v="159"/>
  </r>
  <r>
    <s v="42Маслов Андрей Геннадьевич (1/2)                 Щербакова Надежда Михайловна (1/2)"/>
    <n v="42"/>
    <x v="160"/>
  </r>
  <r>
    <s v="102Маслова Валентина Петровна"/>
    <n v="102"/>
    <x v="161"/>
  </r>
  <r>
    <s v="101Маслова Валентина Петровна"/>
    <n v="101"/>
    <x v="161"/>
  </r>
  <r>
    <s v="305Матвеев Денис Львович"/>
    <n v="305"/>
    <x v="162"/>
  </r>
  <r>
    <s v="219Мельников Михаил Вячеславович / Диденко"/>
    <n v="219"/>
    <x v="163"/>
  </r>
  <r>
    <s v="270Месхидзе Оксана Валерьевна"/>
    <n v="270"/>
    <x v="164"/>
  </r>
  <r>
    <s v="221Милишенко Надежда Ивановна"/>
    <n v="221"/>
    <x v="165"/>
  </r>
  <r>
    <s v="Милоянин Алексей Леонидович"/>
    <m/>
    <x v="166"/>
  </r>
  <r>
    <s v="194Мирошниченко Андрей Иванович Захарова Елена Александровна"/>
    <n v="194"/>
    <x v="167"/>
  </r>
  <r>
    <s v="195Мирошниченко Екатерина Олеговна"/>
    <n v="195"/>
    <x v="168"/>
  </r>
  <r>
    <s v="220Модин Игорь Николаевич"/>
    <n v="220"/>
    <x v="169"/>
  </r>
  <r>
    <s v="253Моисеев Андрей Валентинович"/>
    <n v="253"/>
    <x v="170"/>
  </r>
  <r>
    <s v="227Молчанова Ирина Владимировна"/>
    <n v="227"/>
    <x v="171"/>
  </r>
  <r>
    <s v="125Мудрак Владимир Григорьевич (Марина)"/>
    <n v="125"/>
    <x v="172"/>
  </r>
  <r>
    <s v="299Мурадова Альбина Сергеевна"/>
    <n v="299"/>
    <x v="173"/>
  </r>
  <r>
    <s v="179Науменко Дмитрий Александрович"/>
    <n v="179"/>
    <x v="174"/>
  </r>
  <r>
    <s v="178Науменко Дмитрий Александрович"/>
    <n v="178"/>
    <x v="174"/>
  </r>
  <r>
    <s v="303Недосенко Татьяна Сергеевна (Олег)"/>
    <n v="303"/>
    <x v="175"/>
  </r>
  <r>
    <s v="86Нелюбов Сергей Владимирович"/>
    <n v="86"/>
    <x v="176"/>
  </r>
  <r>
    <s v="31Нефедов Михаил Владимирович"/>
    <n v="31"/>
    <x v="177"/>
  </r>
  <r>
    <s v="109Никифоров Андрей Леонидович"/>
    <n v="109"/>
    <x v="178"/>
  </r>
  <r>
    <s v="90Новиков Виктор Викторович"/>
    <n v="90"/>
    <x v="179"/>
  </r>
  <r>
    <s v="315Новикова Наталья Петровна"/>
    <n v="315"/>
    <x v="180"/>
  </r>
  <r>
    <s v="47Новикова Светлана Владимировна (Анатолий)"/>
    <n v="47"/>
    <x v="181"/>
  </r>
  <r>
    <s v="294Нормуротов Анваржон Абдирайимович    "/>
    <n v="294"/>
    <x v="182"/>
  </r>
  <r>
    <s v="214Носикова Александра Васильевна "/>
    <n v="214"/>
    <x v="183"/>
  </r>
  <r>
    <s v="304Носикова Мария Леонидовна"/>
    <n v="304"/>
    <x v="184"/>
  </r>
  <r>
    <s v="94Олег (Гусев Николай Михайлович — был) "/>
    <n v="94"/>
    <x v="185"/>
  </r>
  <r>
    <s v="26Олейников Дмитрий Александрович "/>
    <n v="26"/>
    <x v="186"/>
  </r>
  <r>
    <s v="77Олейникова Евгения Александровна"/>
    <n v="77"/>
    <x v="187"/>
  </r>
  <r>
    <s v="6Осадчев Константин Владимирович"/>
    <n v="6"/>
    <x v="188"/>
  </r>
  <r>
    <s v="85Острикова Наталья Львовна"/>
    <n v="85"/>
    <x v="189"/>
  </r>
  <r>
    <s v="209Пархачева Эльвира Валентиновна (Алксандр)"/>
    <n v="209"/>
    <x v="190"/>
  </r>
  <r>
    <s v="155Пахарева Ольга Александровна (Дмитрий)"/>
    <n v="155"/>
    <x v="191"/>
  </r>
  <r>
    <s v="29Петрик Наталья Вячеславовна"/>
    <n v="29"/>
    <x v="192"/>
  </r>
  <r>
    <s v="33Петров Борис Викторович"/>
    <n v="33"/>
    <x v="193"/>
  </r>
  <r>
    <s v="177Петрова Елена Николаевна"/>
    <n v="177"/>
    <x v="194"/>
  </r>
  <r>
    <s v="193Петункин Игорь Минович"/>
    <n v="193"/>
    <x v="195"/>
  </r>
  <r>
    <s v="184Пикалёва Алла Григорьевна (Юрий)"/>
    <n v="184"/>
    <x v="196"/>
  </r>
  <r>
    <s v="322Поликарпова Наталья Дмитриевна"/>
    <n v="322"/>
    <x v="197"/>
  </r>
  <r>
    <s v="185Полякова Марина Александровна"/>
    <n v="185"/>
    <x v="198"/>
  </r>
  <r>
    <s v="168Пономарева Олеся Сергеевна"/>
    <n v="168"/>
    <x v="199"/>
  </r>
  <r>
    <s v="55Попова Нина Ивановна"/>
    <n v="55"/>
    <x v="200"/>
  </r>
  <r>
    <s v="107Постернак Татьяна Николаевна"/>
    <n v="107"/>
    <x v="201"/>
  </r>
  <r>
    <s v="182Просянов Александр Александрович"/>
    <n v="182"/>
    <x v="202"/>
  </r>
  <r>
    <s v="173Прохоров Владимир Михайлович        "/>
    <n v="173"/>
    <x v="203"/>
  </r>
  <r>
    <s v="262Пузанова Екатерина Вячеславовна        "/>
    <n v="262"/>
    <x v="204"/>
  </r>
  <r>
    <s v="265-266Ратников Алексей Сергеевич"/>
    <s v="265-266"/>
    <x v="205"/>
  </r>
  <r>
    <s v="306-307-210-211Решетов Владимир Генадьевич"/>
    <s v="306-307-210-211"/>
    <x v="206"/>
  </r>
  <r>
    <s v="203Родичева Наталья Николаевна - Завилевская Е.И. ???"/>
    <n v="203"/>
    <x v="207"/>
  </r>
  <r>
    <s v="153Рожкова Глафира Андреевна"/>
    <n v="153"/>
    <x v="208"/>
  </r>
  <r>
    <s v="152Рожкова Глафира Андреевна"/>
    <n v="152"/>
    <x v="208"/>
  </r>
  <r>
    <s v="81Розова Татьяна Викторовна"/>
    <n v="81"/>
    <x v="209"/>
  </r>
  <r>
    <s v="80Розова Татьяна Викторовна"/>
    <n v="80"/>
    <x v="209"/>
  </r>
  <r>
    <s v="70Рощина Ирина Михайловна"/>
    <n v="70"/>
    <x v="210"/>
  </r>
  <r>
    <s v="233Рудая Наталья Викторовна           "/>
    <n v="233"/>
    <x v="211"/>
  </r>
  <r>
    <s v="141Рыбалкин Андрей Сергеевич"/>
    <n v="141"/>
    <x v="212"/>
  </r>
  <r>
    <s v="280Рыжов Андрей Николаевич"/>
    <n v="280"/>
    <x v="213"/>
  </r>
  <r>
    <s v="271Савина Нина Ивановна"/>
    <n v="271"/>
    <x v="214"/>
  </r>
  <r>
    <s v="314Садовников Алексей Владимирович(Рошка Александр Николаевич)"/>
    <n v="314"/>
    <x v="215"/>
  </r>
  <r>
    <s v="219Сазонов Сергей Александрович - Диденко Оксана Владимировна"/>
    <n v="219"/>
    <x v="216"/>
  </r>
  <r>
    <s v="250Салопаева Татьяна Сергеевна"/>
    <n v="250"/>
    <x v="217"/>
  </r>
  <r>
    <s v="249Самоволькина Ирина Владимировна"/>
    <n v="249"/>
    <x v="218"/>
  </r>
  <r>
    <s v="83Самородов"/>
    <n v="83"/>
    <x v="219"/>
  </r>
  <r>
    <s v="312Саргсян Оганнес Ншанович"/>
    <n v="312"/>
    <x v="220"/>
  </r>
  <r>
    <s v="135Сафронова Наталья Михайловна (у Дедков Илья Егорьевич купила)"/>
    <n v="135"/>
    <x v="221"/>
  </r>
  <r>
    <s v="69Сбитнева Юлия Сергеевна"/>
    <n v="69"/>
    <x v="222"/>
  </r>
  <r>
    <s v="290Севастьянов Михаил Григорьевич"/>
    <n v="290"/>
    <x v="223"/>
  </r>
  <r>
    <s v="292Севрюгина Ольга Викторовна"/>
    <n v="292"/>
    <x v="224"/>
  </r>
  <r>
    <s v="224Семенова Рима Прановна    "/>
    <n v="224"/>
    <x v="225"/>
  </r>
  <r>
    <s v="252Сёмин Александр Иванович"/>
    <n v="252"/>
    <x v="226"/>
  </r>
  <r>
    <s v="169Сергиенко Николай Михайлович"/>
    <n v="169"/>
    <x v="227"/>
  </r>
  <r>
    <s v="285Серебряков Игорь Васильевич"/>
    <n v="285"/>
    <x v="228"/>
  </r>
  <r>
    <s v="19Серкин Сергей Львовович"/>
    <n v="19"/>
    <x v="229"/>
  </r>
  <r>
    <s v="133-134Сидельникова Ольга Петровна"/>
    <s v="133-134"/>
    <x v="230"/>
  </r>
  <r>
    <s v="215Сидоров Александр Юрьевич"/>
    <n v="215"/>
    <x v="231"/>
  </r>
  <r>
    <s v="112Сиротин Дмитрий Борисович (Приставалова)"/>
    <n v="112"/>
    <x v="232"/>
  </r>
  <r>
    <s v="48Сломов Константин Витальевич"/>
    <n v="48"/>
    <x v="233"/>
  </r>
  <r>
    <s v="248Смирнов Максим Анатольевич, Светлана"/>
    <n v="248"/>
    <x v="234"/>
  </r>
  <r>
    <s v="276Соколова Ирина Анатольевна"/>
    <n v="276"/>
    <x v="235"/>
  </r>
  <r>
    <s v="105Солодкий Дмитрий Павлович"/>
    <n v="105"/>
    <x v="236"/>
  </r>
  <r>
    <s v="138Спивак Сергей Николаевич"/>
    <n v="138"/>
    <x v="237"/>
  </r>
  <r>
    <s v="192Спиридонов Андрей Владимирович"/>
    <n v="192"/>
    <x v="238"/>
  </r>
  <r>
    <s v="191Спиридонов Андрей Владимирович"/>
    <n v="191"/>
    <x v="238"/>
  </r>
  <r>
    <s v="21Старостин Виктор Вячеславович"/>
    <n v="21"/>
    <x v="239"/>
  </r>
  <r>
    <s v="313Степанов Валерий Владимирович"/>
    <n v="313"/>
    <x v="240"/>
  </r>
  <r>
    <s v="96Степанова Марина Николаевна (Артем)"/>
    <n v="96"/>
    <x v="241"/>
  </r>
  <r>
    <s v="56Стрелков Андрей Вячеславович"/>
    <n v="56"/>
    <x v="242"/>
  </r>
  <r>
    <s v="51-52Стрелков Андрей Вячеславович  "/>
    <s v="51-52"/>
    <x v="243"/>
  </r>
  <r>
    <s v="281Стрелков Николай Валентинович"/>
    <n v="281"/>
    <x v="244"/>
  </r>
  <r>
    <s v="180Ступнев Евгений  Романович"/>
    <n v="180"/>
    <x v="245"/>
  </r>
  <r>
    <s v="121Суворов Сергей Анатольевич"/>
    <n v="121"/>
    <x v="246"/>
  </r>
  <r>
    <s v="59Суркова Татьяна Александровна"/>
    <n v="59"/>
    <x v="247"/>
  </r>
  <r>
    <s v="46Сысоев Евгений Анатольевич"/>
    <n v="46"/>
    <x v="248"/>
  </r>
  <r>
    <s v="79Сысоев Семен Евгеньевич"/>
    <n v="79"/>
    <x v="249"/>
  </r>
  <r>
    <s v="170Тадлов Виталий Петрович"/>
    <n v="170"/>
    <x v="250"/>
  </r>
  <r>
    <s v="264Тарасенко Анатолий Семенович"/>
    <n v="264"/>
    <x v="251"/>
  </r>
  <r>
    <s v="263Тарасенко Анатолий Семенович"/>
    <n v="263"/>
    <x v="251"/>
  </r>
  <r>
    <s v="45Темникова Елена Станиславовна"/>
    <n v="45"/>
    <x v="252"/>
  </r>
  <r>
    <s v="73-74Тимофеева Лариса Викторовна"/>
    <s v="73-74"/>
    <x v="253"/>
  </r>
  <r>
    <s v="98Тимофеева Татьяна Александровна (Денис)"/>
    <n v="98"/>
    <x v="254"/>
  </r>
  <r>
    <s v="268Толкова Елена Анатольевна (Олег)"/>
    <n v="268"/>
    <x v="255"/>
  </r>
  <r>
    <s v="175Трубченко Петр Александрович"/>
    <n v="175"/>
    <x v="256"/>
  </r>
  <r>
    <s v="104Трыкин Евгений Викторович"/>
    <n v="104"/>
    <x v="257"/>
  </r>
  <r>
    <s v="154Тюленев Вячеслав Рудольфович"/>
    <n v="154"/>
    <x v="258"/>
  </r>
  <r>
    <m/>
    <m/>
    <x v="259"/>
  </r>
  <r>
    <s v="28Федорова Наталья Владимировна"/>
    <n v="28"/>
    <x v="260"/>
  </r>
  <r>
    <s v="27Федорова Юлия Владимировна"/>
    <n v="27"/>
    <x v="261"/>
  </r>
  <r>
    <s v="142-143Финогин Сергей Александрович"/>
    <s v="142-143"/>
    <x v="262"/>
  </r>
  <r>
    <s v="143Финогин Сергей Александрович"/>
    <n v="143"/>
    <x v="262"/>
  </r>
  <r>
    <s v="142Финогин Сергей Александрович"/>
    <n v="142"/>
    <x v="262"/>
  </r>
  <r>
    <s v="61Фисенко Вадим Петрович"/>
    <n v="61"/>
    <x v="263"/>
  </r>
  <r>
    <s v="62Фисенко Дмитрий Петрович"/>
    <n v="62"/>
    <x v="264"/>
  </r>
  <r>
    <s v="259Фомин Андрей Анатольевич"/>
    <n v="259"/>
    <x v="265"/>
  </r>
  <r>
    <s v="258Фомин Игорь Анатольевич"/>
    <n v="258"/>
    <x v="266"/>
  </r>
  <r>
    <s v="108Фомичев Александр Петрович"/>
    <n v="108"/>
    <x v="267"/>
  </r>
  <r>
    <s v="288Хайлов Алексей Анатольевич"/>
    <n v="288"/>
    <x v="268"/>
  </r>
  <r>
    <s v="22Хан Виталий Борисович"/>
    <n v="22"/>
    <x v="269"/>
  </r>
  <r>
    <s v="20Харинкина Танзиля Гарафутдиновна"/>
    <n v="20"/>
    <x v="270"/>
  </r>
  <r>
    <s v="242Хаустова Люция Егоровна"/>
    <n v="242"/>
    <x v="271"/>
  </r>
  <r>
    <s v="269Хачатрян Алла Самвеловна"/>
    <n v="269"/>
    <x v="272"/>
  </r>
  <r>
    <s v="116+118+120Хрупало Николай Алексеевич"/>
    <s v="116+118+120"/>
    <x v="273"/>
  </r>
  <r>
    <s v="116+118+120Хрупало Николай Алексеевич"/>
    <s v="116+118+120"/>
    <x v="273"/>
  </r>
  <r>
    <s v="116+118+120Хрупало Николай Алексеевич"/>
    <s v="116+118+120"/>
    <x v="273"/>
  </r>
  <r>
    <s v="188Черешнева Виктория Викторовна"/>
    <n v="188"/>
    <x v="274"/>
  </r>
  <r>
    <s v="2Чернявская Оксана Юрьевна        "/>
    <n v="2"/>
    <x v="275"/>
  </r>
  <r>
    <s v="23Чигрины Анна Анатольевна и Геннадий Иванович"/>
    <n v="23"/>
    <x v="276"/>
  </r>
  <r>
    <s v="176Чикачёв Сергей Иванович"/>
    <n v="176"/>
    <x v="277"/>
  </r>
  <r>
    <s v="89Шабунина Светлана Николаевна"/>
    <n v="89"/>
    <x v="278"/>
  </r>
  <r>
    <s v="97+93Шалинов Андрей Вадимович"/>
    <s v="97+93"/>
    <x v="279"/>
  </r>
  <r>
    <s v="97+93Шалинов Андрей Вадимович"/>
    <s v="97+93"/>
    <x v="279"/>
  </r>
  <r>
    <s v="83Шелухина Мария Сергеевна"/>
    <n v="83"/>
    <x v="280"/>
  </r>
  <r>
    <s v="321Шептухина Александра Борисовна"/>
    <n v="321"/>
    <x v="281"/>
  </r>
  <r>
    <s v="190Широков Евгений Александрович"/>
    <n v="190"/>
    <x v="282"/>
  </r>
  <r>
    <s v="100Шорахматов Мухаммадхуджа Замшоевич"/>
    <n v="100"/>
    <x v="283"/>
  </r>
  <r>
    <s v="113Шурдук Лариса Анатольевна (Игорь)"/>
    <n v="113"/>
    <x v="284"/>
  </r>
  <r>
    <s v="41Шустов Василий Александрович"/>
    <n v="41"/>
    <x v="285"/>
  </r>
  <r>
    <s v="160Щербаков Павел Евгеньевич"/>
    <n v="160"/>
    <x v="286"/>
  </r>
  <r>
    <s v="236Щербакова Татьяна Дмитриевна      "/>
    <n v="236"/>
    <x v="287"/>
  </r>
  <r>
    <s v="15Элефтерова Евгения Викторовна (Михаил)"/>
    <n v="15"/>
    <x v="288"/>
  </r>
  <r>
    <s v="251Якиманский Александр Александрович"/>
    <n v="251"/>
    <x v="289"/>
  </r>
  <r>
    <s v="10Якушина Любовь Викторовна"/>
    <n v="10"/>
    <x v="290"/>
  </r>
  <r>
    <s v="57Янковская Елена Александровна"/>
    <n v="57"/>
    <x v="291"/>
  </r>
  <r>
    <s v="324Янковская Яна Валерьевна"/>
    <n v="324"/>
    <x v="292"/>
  </r>
  <r>
    <s v="17Яструб Валерий Викторович"/>
    <n v="17"/>
    <x v="293"/>
  </r>
  <r>
    <s v="40Яшин Евгений Иванович"/>
    <n v="40"/>
    <x v="29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22">
  <r>
    <x v="0"/>
    <x v="0"/>
    <n v="800"/>
    <m/>
    <n v="4000"/>
    <m/>
    <n v="2400"/>
    <m/>
    <m/>
  </r>
  <r>
    <x v="1"/>
    <x v="1"/>
    <n v="800"/>
    <m/>
    <m/>
    <m/>
    <m/>
    <m/>
    <m/>
  </r>
  <r>
    <x v="2"/>
    <x v="2"/>
    <n v="800"/>
    <m/>
    <n v="2000"/>
    <m/>
    <m/>
    <n v="1000"/>
    <n v="2000"/>
  </r>
  <r>
    <x v="3"/>
    <x v="3"/>
    <n v="800"/>
    <n v="2600"/>
    <m/>
    <m/>
    <m/>
    <n v="4200"/>
    <m/>
  </r>
  <r>
    <x v="4"/>
    <x v="4"/>
    <n v="800"/>
    <n v="800"/>
    <m/>
    <m/>
    <m/>
    <m/>
    <m/>
  </r>
  <r>
    <x v="5"/>
    <x v="5"/>
    <n v="800"/>
    <m/>
    <m/>
    <m/>
    <m/>
    <m/>
    <m/>
  </r>
  <r>
    <x v="6"/>
    <x v="6"/>
    <n v="800"/>
    <m/>
    <m/>
    <m/>
    <m/>
    <m/>
    <m/>
  </r>
  <r>
    <x v="7"/>
    <x v="7"/>
    <n v="800"/>
    <n v="12000"/>
    <m/>
    <m/>
    <m/>
    <m/>
    <m/>
  </r>
  <r>
    <x v="8"/>
    <x v="8"/>
    <n v="800"/>
    <m/>
    <m/>
    <m/>
    <m/>
    <m/>
    <m/>
  </r>
  <r>
    <x v="9"/>
    <x v="9"/>
    <n v="800"/>
    <m/>
    <n v="1000"/>
    <n v="1000"/>
    <m/>
    <m/>
    <m/>
  </r>
  <r>
    <x v="10"/>
    <x v="10"/>
    <n v="800"/>
    <m/>
    <n v="800"/>
    <m/>
    <m/>
    <m/>
    <n v="2400"/>
  </r>
  <r>
    <x v="11"/>
    <x v="11"/>
    <n v="800"/>
    <m/>
    <m/>
    <m/>
    <m/>
    <m/>
    <m/>
  </r>
  <r>
    <x v="11"/>
    <x v="12"/>
    <m/>
    <m/>
    <m/>
    <m/>
    <m/>
    <m/>
    <m/>
  </r>
  <r>
    <x v="12"/>
    <x v="13"/>
    <n v="800"/>
    <m/>
    <m/>
    <m/>
    <m/>
    <m/>
    <m/>
  </r>
  <r>
    <x v="13"/>
    <x v="14"/>
    <n v="800"/>
    <m/>
    <m/>
    <m/>
    <m/>
    <m/>
    <m/>
  </r>
  <r>
    <x v="14"/>
    <x v="15"/>
    <n v="800"/>
    <m/>
    <m/>
    <n v="3000"/>
    <m/>
    <m/>
    <m/>
  </r>
  <r>
    <x v="15"/>
    <x v="16"/>
    <n v="800"/>
    <m/>
    <m/>
    <m/>
    <m/>
    <m/>
    <m/>
  </r>
  <r>
    <x v="16"/>
    <x v="17"/>
    <n v="800"/>
    <m/>
    <m/>
    <m/>
    <m/>
    <m/>
    <m/>
  </r>
  <r>
    <x v="17"/>
    <x v="18"/>
    <n v="800"/>
    <m/>
    <m/>
    <m/>
    <m/>
    <m/>
    <m/>
  </r>
  <r>
    <x v="18"/>
    <x v="19"/>
    <n v="800"/>
    <m/>
    <m/>
    <m/>
    <m/>
    <m/>
    <m/>
  </r>
  <r>
    <x v="19"/>
    <x v="20"/>
    <n v="800"/>
    <m/>
    <m/>
    <m/>
    <m/>
    <m/>
    <n v="3000"/>
  </r>
  <r>
    <x v="20"/>
    <x v="21"/>
    <n v="800"/>
    <m/>
    <m/>
    <m/>
    <m/>
    <m/>
    <m/>
  </r>
  <r>
    <x v="21"/>
    <x v="22"/>
    <n v="800"/>
    <m/>
    <m/>
    <m/>
    <m/>
    <m/>
    <m/>
  </r>
  <r>
    <x v="22"/>
    <x v="23"/>
    <n v="800"/>
    <m/>
    <m/>
    <m/>
    <m/>
    <m/>
    <m/>
  </r>
  <r>
    <x v="23"/>
    <x v="24"/>
    <n v="800"/>
    <m/>
    <m/>
    <n v="3200"/>
    <m/>
    <n v="800"/>
    <m/>
  </r>
  <r>
    <x v="24"/>
    <x v="25"/>
    <n v="800"/>
    <n v="3000"/>
    <n v="2000"/>
    <n v="800"/>
    <m/>
    <n v="1600"/>
    <m/>
  </r>
  <r>
    <x v="25"/>
    <x v="26"/>
    <n v="800"/>
    <n v="3000"/>
    <n v="2000"/>
    <n v="800"/>
    <m/>
    <n v="1600"/>
    <m/>
  </r>
  <r>
    <x v="26"/>
    <x v="27"/>
    <n v="800"/>
    <m/>
    <m/>
    <m/>
    <m/>
    <m/>
    <m/>
  </r>
  <r>
    <x v="27"/>
    <x v="28"/>
    <n v="800"/>
    <m/>
    <m/>
    <m/>
    <m/>
    <m/>
    <m/>
  </r>
  <r>
    <x v="28"/>
    <x v="29"/>
    <n v="800"/>
    <m/>
    <m/>
    <m/>
    <m/>
    <m/>
    <m/>
  </r>
  <r>
    <x v="29"/>
    <x v="30"/>
    <n v="800"/>
    <m/>
    <m/>
    <m/>
    <m/>
    <m/>
    <m/>
  </r>
  <r>
    <x v="30"/>
    <x v="31"/>
    <n v="800"/>
    <m/>
    <m/>
    <m/>
    <m/>
    <m/>
    <m/>
  </r>
  <r>
    <x v="31"/>
    <x v="32"/>
    <n v="800"/>
    <m/>
    <m/>
    <m/>
    <m/>
    <m/>
    <n v="9000"/>
  </r>
  <r>
    <x v="32"/>
    <x v="33"/>
    <n v="800"/>
    <m/>
    <m/>
    <m/>
    <m/>
    <m/>
    <m/>
  </r>
  <r>
    <x v="32"/>
    <x v="34"/>
    <m/>
    <m/>
    <m/>
    <m/>
    <m/>
    <m/>
    <m/>
  </r>
  <r>
    <x v="33"/>
    <x v="35"/>
    <n v="800"/>
    <m/>
    <m/>
    <n v="3000"/>
    <m/>
    <m/>
    <n v="3000"/>
  </r>
  <r>
    <x v="34"/>
    <x v="36"/>
    <n v="800"/>
    <m/>
    <m/>
    <m/>
    <m/>
    <m/>
    <m/>
  </r>
  <r>
    <x v="35"/>
    <x v="37"/>
    <n v="800"/>
    <m/>
    <n v="1600"/>
    <m/>
    <m/>
    <m/>
    <n v="800"/>
  </r>
  <r>
    <x v="36"/>
    <x v="38"/>
    <n v="800"/>
    <n v="3000"/>
    <m/>
    <m/>
    <m/>
    <m/>
    <n v="800"/>
  </r>
  <r>
    <x v="37"/>
    <x v="39"/>
    <n v="800"/>
    <m/>
    <m/>
    <m/>
    <m/>
    <m/>
    <m/>
  </r>
  <r>
    <x v="38"/>
    <x v="40"/>
    <n v="800"/>
    <m/>
    <m/>
    <n v="1600"/>
    <m/>
    <m/>
    <n v="26800"/>
  </r>
  <r>
    <x v="38"/>
    <x v="41"/>
    <m/>
    <m/>
    <m/>
    <m/>
    <m/>
    <m/>
    <m/>
  </r>
  <r>
    <x v="39"/>
    <x v="42"/>
    <n v="800"/>
    <m/>
    <m/>
    <m/>
    <m/>
    <n v="21600"/>
    <m/>
  </r>
  <r>
    <x v="39"/>
    <x v="43"/>
    <m/>
    <m/>
    <m/>
    <m/>
    <m/>
    <m/>
    <m/>
  </r>
  <r>
    <x v="40"/>
    <x v="44"/>
    <n v="800"/>
    <m/>
    <m/>
    <m/>
    <m/>
    <m/>
    <m/>
  </r>
  <r>
    <x v="40"/>
    <x v="45"/>
    <m/>
    <m/>
    <m/>
    <m/>
    <m/>
    <m/>
    <m/>
  </r>
  <r>
    <x v="41"/>
    <x v="46"/>
    <n v="800"/>
    <m/>
    <m/>
    <m/>
    <n v="4800"/>
    <m/>
    <m/>
  </r>
  <r>
    <x v="42"/>
    <x v="47"/>
    <n v="800"/>
    <m/>
    <m/>
    <m/>
    <m/>
    <m/>
    <m/>
  </r>
  <r>
    <x v="43"/>
    <x v="48"/>
    <n v="800"/>
    <n v="7000"/>
    <m/>
    <m/>
    <m/>
    <m/>
    <m/>
  </r>
  <r>
    <x v="44"/>
    <x v="49"/>
    <n v="800"/>
    <m/>
    <n v="2000"/>
    <m/>
    <n v="1000"/>
    <m/>
    <n v="1600"/>
  </r>
  <r>
    <x v="45"/>
    <x v="50"/>
    <n v="800"/>
    <m/>
    <m/>
    <m/>
    <m/>
    <m/>
    <n v="2000"/>
  </r>
  <r>
    <x v="46"/>
    <x v="51"/>
    <n v="800"/>
    <m/>
    <m/>
    <n v="3000"/>
    <m/>
    <n v="3000"/>
    <n v="800"/>
  </r>
  <r>
    <x v="47"/>
    <x v="52"/>
    <n v="800"/>
    <m/>
    <n v="3000"/>
    <m/>
    <m/>
    <m/>
    <n v="2900"/>
  </r>
  <r>
    <x v="48"/>
    <x v="53"/>
    <n v="800"/>
    <m/>
    <m/>
    <m/>
    <m/>
    <m/>
    <m/>
  </r>
  <r>
    <x v="49"/>
    <x v="54"/>
    <n v="800"/>
    <m/>
    <m/>
    <m/>
    <m/>
    <m/>
    <m/>
  </r>
  <r>
    <x v="50"/>
    <x v="55"/>
    <n v="800"/>
    <m/>
    <m/>
    <n v="2400"/>
    <m/>
    <m/>
    <m/>
  </r>
  <r>
    <x v="51"/>
    <x v="56"/>
    <n v="800"/>
    <m/>
    <m/>
    <n v="2400"/>
    <m/>
    <m/>
    <n v="5600"/>
  </r>
  <r>
    <x v="52"/>
    <x v="57"/>
    <n v="800"/>
    <m/>
    <m/>
    <m/>
    <m/>
    <m/>
    <m/>
  </r>
  <r>
    <x v="53"/>
    <x v="58"/>
    <n v="800"/>
    <m/>
    <m/>
    <m/>
    <m/>
    <m/>
    <m/>
  </r>
  <r>
    <x v="54"/>
    <x v="59"/>
    <n v="800"/>
    <n v="9600"/>
    <m/>
    <m/>
    <m/>
    <m/>
    <m/>
  </r>
  <r>
    <x v="55"/>
    <x v="60"/>
    <n v="800"/>
    <m/>
    <n v="8000"/>
    <m/>
    <m/>
    <m/>
    <n v="4000"/>
  </r>
  <r>
    <x v="56"/>
    <x v="61"/>
    <n v="800"/>
    <n v="3000"/>
    <m/>
    <n v="1600"/>
    <m/>
    <m/>
    <n v="1600"/>
  </r>
  <r>
    <x v="57"/>
    <x v="62"/>
    <n v="800"/>
    <m/>
    <m/>
    <m/>
    <m/>
    <m/>
    <m/>
  </r>
  <r>
    <x v="58"/>
    <x v="63"/>
    <n v="800"/>
    <m/>
    <m/>
    <m/>
    <m/>
    <m/>
    <m/>
  </r>
  <r>
    <x v="59"/>
    <x v="64"/>
    <n v="800"/>
    <m/>
    <m/>
    <m/>
    <m/>
    <m/>
    <n v="21600"/>
  </r>
  <r>
    <x v="60"/>
    <x v="65"/>
    <n v="800"/>
    <m/>
    <n v="1800"/>
    <n v="1800"/>
    <n v="1800"/>
    <m/>
    <m/>
  </r>
  <r>
    <x v="61"/>
    <x v="66"/>
    <n v="800"/>
    <m/>
    <m/>
    <m/>
    <m/>
    <m/>
    <m/>
  </r>
  <r>
    <x v="62"/>
    <x v="67"/>
    <n v="800"/>
    <m/>
    <n v="4800"/>
    <m/>
    <n v="4800"/>
    <m/>
    <m/>
  </r>
  <r>
    <x v="63"/>
    <x v="68"/>
    <n v="800"/>
    <m/>
    <m/>
    <m/>
    <m/>
    <n v="25000"/>
    <m/>
  </r>
  <r>
    <x v="64"/>
    <x v="69"/>
    <n v="800"/>
    <m/>
    <m/>
    <m/>
    <m/>
    <m/>
    <m/>
  </r>
  <r>
    <x v="65"/>
    <x v="70"/>
    <n v="800"/>
    <m/>
    <n v="8000"/>
    <m/>
    <m/>
    <m/>
    <n v="4000"/>
  </r>
  <r>
    <x v="66"/>
    <x v="71"/>
    <n v="800"/>
    <m/>
    <m/>
    <m/>
    <m/>
    <m/>
    <m/>
  </r>
  <r>
    <x v="67"/>
    <x v="72"/>
    <n v="800"/>
    <m/>
    <m/>
    <n v="12000"/>
    <m/>
    <m/>
    <m/>
  </r>
  <r>
    <x v="68"/>
    <x v="73"/>
    <n v="800"/>
    <m/>
    <n v="2000"/>
    <m/>
    <n v="2000"/>
    <m/>
    <m/>
  </r>
  <r>
    <x v="69"/>
    <x v="74"/>
    <n v="800"/>
    <m/>
    <m/>
    <m/>
    <m/>
    <m/>
    <m/>
  </r>
  <r>
    <x v="70"/>
    <x v="75"/>
    <n v="800"/>
    <m/>
    <m/>
    <m/>
    <m/>
    <m/>
    <m/>
  </r>
  <r>
    <x v="71"/>
    <x v="76"/>
    <n v="800"/>
    <m/>
    <n v="600"/>
    <n v="1600"/>
    <m/>
    <n v="1600"/>
    <m/>
  </r>
  <r>
    <x v="72"/>
    <x v="77"/>
    <n v="800"/>
    <m/>
    <m/>
    <m/>
    <m/>
    <m/>
    <m/>
  </r>
  <r>
    <x v="73"/>
    <x v="78"/>
    <n v="800"/>
    <m/>
    <m/>
    <m/>
    <m/>
    <m/>
    <m/>
  </r>
  <r>
    <x v="74"/>
    <x v="79"/>
    <n v="800"/>
    <m/>
    <n v="12000"/>
    <m/>
    <m/>
    <m/>
    <m/>
  </r>
  <r>
    <x v="75"/>
    <x v="80"/>
    <n v="800"/>
    <m/>
    <m/>
    <m/>
    <m/>
    <n v="7000"/>
    <m/>
  </r>
  <r>
    <x v="76"/>
    <x v="81"/>
    <n v="800"/>
    <m/>
    <m/>
    <n v="6000"/>
    <m/>
    <m/>
    <m/>
  </r>
  <r>
    <x v="77"/>
    <x v="82"/>
    <n v="800"/>
    <n v="4000"/>
    <m/>
    <n v="2000"/>
    <m/>
    <m/>
    <m/>
  </r>
  <r>
    <x v="78"/>
    <x v="83"/>
    <n v="800"/>
    <n v="2400"/>
    <m/>
    <m/>
    <m/>
    <m/>
    <n v="2400"/>
  </r>
  <r>
    <x v="79"/>
    <x v="84"/>
    <n v="800"/>
    <m/>
    <m/>
    <m/>
    <m/>
    <n v="4800"/>
    <n v="10200"/>
  </r>
  <r>
    <x v="80"/>
    <x v="85"/>
    <m/>
    <m/>
    <n v="4800"/>
    <m/>
    <m/>
    <m/>
    <m/>
  </r>
  <r>
    <x v="80"/>
    <x v="86"/>
    <m/>
    <m/>
    <m/>
    <m/>
    <m/>
    <m/>
    <m/>
  </r>
  <r>
    <x v="80"/>
    <x v="87"/>
    <n v="800"/>
    <m/>
    <m/>
    <m/>
    <m/>
    <m/>
    <m/>
  </r>
  <r>
    <x v="81"/>
    <x v="88"/>
    <n v="800"/>
    <m/>
    <m/>
    <m/>
    <m/>
    <m/>
    <m/>
  </r>
  <r>
    <x v="82"/>
    <x v="89"/>
    <n v="800"/>
    <m/>
    <m/>
    <m/>
    <m/>
    <m/>
    <m/>
  </r>
  <r>
    <x v="82"/>
    <x v="90"/>
    <m/>
    <m/>
    <m/>
    <m/>
    <m/>
    <n v="3500"/>
    <m/>
  </r>
  <r>
    <x v="83"/>
    <x v="91"/>
    <n v="800"/>
    <m/>
    <m/>
    <m/>
    <m/>
    <n v="5000"/>
    <m/>
  </r>
  <r>
    <x v="84"/>
    <x v="92"/>
    <n v="800"/>
    <m/>
    <m/>
    <m/>
    <m/>
    <m/>
    <m/>
  </r>
  <r>
    <x v="85"/>
    <x v="93"/>
    <n v="800"/>
    <m/>
    <n v="1600"/>
    <m/>
    <m/>
    <m/>
    <m/>
  </r>
  <r>
    <x v="86"/>
    <x v="94"/>
    <n v="800"/>
    <m/>
    <m/>
    <m/>
    <m/>
    <m/>
    <m/>
  </r>
  <r>
    <x v="87"/>
    <x v="95"/>
    <n v="800"/>
    <m/>
    <m/>
    <m/>
    <m/>
    <m/>
    <m/>
  </r>
  <r>
    <x v="88"/>
    <x v="96"/>
    <m/>
    <m/>
    <m/>
    <m/>
    <m/>
    <m/>
    <n v="1600"/>
  </r>
  <r>
    <x v="88"/>
    <x v="97"/>
    <n v="800"/>
    <m/>
    <m/>
    <m/>
    <m/>
    <m/>
    <m/>
  </r>
  <r>
    <x v="89"/>
    <x v="98"/>
    <n v="800"/>
    <m/>
    <m/>
    <m/>
    <m/>
    <m/>
    <m/>
  </r>
  <r>
    <x v="90"/>
    <x v="99"/>
    <n v="800"/>
    <m/>
    <m/>
    <m/>
    <m/>
    <m/>
    <n v="800"/>
  </r>
  <r>
    <x v="91"/>
    <x v="100"/>
    <n v="800"/>
    <m/>
    <m/>
    <m/>
    <m/>
    <m/>
    <n v="12000"/>
  </r>
  <r>
    <x v="92"/>
    <x v="101"/>
    <n v="800"/>
    <n v="3000"/>
    <m/>
    <m/>
    <n v="3200"/>
    <m/>
    <m/>
  </r>
  <r>
    <x v="93"/>
    <x v="102"/>
    <n v="800"/>
    <m/>
    <n v="5000"/>
    <n v="1000"/>
    <n v="1000"/>
    <n v="1000"/>
    <n v="1000"/>
  </r>
  <r>
    <x v="94"/>
    <x v="103"/>
    <n v="800"/>
    <m/>
    <m/>
    <m/>
    <m/>
    <m/>
    <m/>
  </r>
  <r>
    <x v="95"/>
    <x v="104"/>
    <n v="800"/>
    <m/>
    <n v="3000"/>
    <m/>
    <m/>
    <m/>
    <n v="2000"/>
  </r>
  <r>
    <x v="96"/>
    <x v="105"/>
    <n v="800"/>
    <m/>
    <m/>
    <m/>
    <m/>
    <m/>
    <m/>
  </r>
  <r>
    <x v="97"/>
    <x v="106"/>
    <n v="800"/>
    <m/>
    <m/>
    <m/>
    <m/>
    <m/>
    <m/>
  </r>
  <r>
    <x v="98"/>
    <x v="107"/>
    <n v="800"/>
    <m/>
    <m/>
    <m/>
    <m/>
    <m/>
    <m/>
  </r>
  <r>
    <x v="99"/>
    <x v="108"/>
    <n v="800"/>
    <m/>
    <m/>
    <n v="4800"/>
    <m/>
    <m/>
    <m/>
  </r>
  <r>
    <x v="100"/>
    <x v="109"/>
    <n v="800"/>
    <m/>
    <m/>
    <m/>
    <m/>
    <m/>
    <m/>
  </r>
  <r>
    <x v="101"/>
    <x v="110"/>
    <n v="800"/>
    <m/>
    <m/>
    <n v="1000"/>
    <n v="1000"/>
    <n v="1000"/>
    <m/>
  </r>
  <r>
    <x v="102"/>
    <x v="111"/>
    <n v="800"/>
    <m/>
    <m/>
    <m/>
    <n v="7200"/>
    <m/>
    <m/>
  </r>
  <r>
    <x v="103"/>
    <x v="112"/>
    <n v="800"/>
    <m/>
    <m/>
    <m/>
    <m/>
    <m/>
    <m/>
  </r>
  <r>
    <x v="104"/>
    <x v="113"/>
    <n v="800"/>
    <m/>
    <n v="3200"/>
    <m/>
    <m/>
    <n v="4000"/>
    <m/>
  </r>
  <r>
    <x v="105"/>
    <x v="114"/>
    <n v="800"/>
    <m/>
    <m/>
    <m/>
    <m/>
    <m/>
    <m/>
  </r>
  <r>
    <x v="106"/>
    <x v="115"/>
    <n v="800"/>
    <m/>
    <m/>
    <m/>
    <m/>
    <m/>
    <m/>
  </r>
  <r>
    <x v="107"/>
    <x v="116"/>
    <n v="800"/>
    <m/>
    <n v="5000"/>
    <m/>
    <n v="1000"/>
    <m/>
    <m/>
  </r>
  <r>
    <x v="108"/>
    <x v="117"/>
    <n v="800"/>
    <m/>
    <n v="2400"/>
    <m/>
    <n v="2400"/>
    <m/>
    <m/>
  </r>
  <r>
    <x v="109"/>
    <x v="118"/>
    <n v="800"/>
    <n v="3000"/>
    <m/>
    <n v="3000"/>
    <m/>
    <m/>
    <m/>
  </r>
  <r>
    <x v="110"/>
    <x v="119"/>
    <n v="800"/>
    <m/>
    <m/>
    <m/>
    <m/>
    <m/>
    <n v="4000"/>
  </r>
  <r>
    <x v="111"/>
    <x v="120"/>
    <n v="800"/>
    <m/>
    <m/>
    <n v="1000"/>
    <m/>
    <n v="1000"/>
    <m/>
  </r>
  <r>
    <x v="112"/>
    <x v="121"/>
    <n v="800"/>
    <m/>
    <m/>
    <m/>
    <m/>
    <m/>
    <m/>
  </r>
  <r>
    <x v="113"/>
    <x v="122"/>
    <n v="800"/>
    <m/>
    <m/>
    <m/>
    <m/>
    <m/>
    <m/>
  </r>
  <r>
    <x v="114"/>
    <x v="123"/>
    <n v="800"/>
    <m/>
    <m/>
    <m/>
    <m/>
    <m/>
    <n v="5000"/>
  </r>
  <r>
    <x v="115"/>
    <x v="124"/>
    <n v="800"/>
    <m/>
    <m/>
    <n v="3000"/>
    <m/>
    <m/>
    <m/>
  </r>
  <r>
    <x v="116"/>
    <x v="125"/>
    <n v="800"/>
    <m/>
    <m/>
    <m/>
    <m/>
    <m/>
    <m/>
  </r>
  <r>
    <x v="117"/>
    <x v="126"/>
    <n v="800"/>
    <m/>
    <m/>
    <m/>
    <m/>
    <m/>
    <m/>
  </r>
  <r>
    <x v="118"/>
    <x v="127"/>
    <n v="800"/>
    <m/>
    <m/>
    <m/>
    <m/>
    <m/>
    <m/>
  </r>
  <r>
    <x v="118"/>
    <x v="128"/>
    <m/>
    <m/>
    <m/>
    <m/>
    <m/>
    <m/>
    <m/>
  </r>
  <r>
    <x v="119"/>
    <x v="129"/>
    <n v="800"/>
    <m/>
    <n v="4200"/>
    <m/>
    <m/>
    <m/>
    <m/>
  </r>
  <r>
    <x v="120"/>
    <x v="130"/>
    <n v="800"/>
    <m/>
    <m/>
    <m/>
    <m/>
    <m/>
    <m/>
  </r>
  <r>
    <x v="121"/>
    <x v="131"/>
    <n v="800"/>
    <m/>
    <m/>
    <m/>
    <m/>
    <m/>
    <m/>
  </r>
  <r>
    <x v="122"/>
    <x v="132"/>
    <n v="800"/>
    <m/>
    <m/>
    <m/>
    <m/>
    <m/>
    <m/>
  </r>
  <r>
    <x v="123"/>
    <x v="133"/>
    <n v="800"/>
    <m/>
    <m/>
    <m/>
    <m/>
    <m/>
    <m/>
  </r>
  <r>
    <x v="124"/>
    <x v="134"/>
    <n v="800"/>
    <m/>
    <n v="4800"/>
    <m/>
    <m/>
    <m/>
    <n v="4800"/>
  </r>
  <r>
    <x v="125"/>
    <x v="135"/>
    <n v="800"/>
    <m/>
    <m/>
    <m/>
    <m/>
    <m/>
    <n v="800"/>
  </r>
  <r>
    <x v="126"/>
    <x v="136"/>
    <n v="800"/>
    <n v="2800"/>
    <n v="800"/>
    <n v="800"/>
    <n v="800"/>
    <n v="800"/>
    <n v="800"/>
  </r>
  <r>
    <x v="127"/>
    <x v="137"/>
    <n v="800"/>
    <m/>
    <n v="1000"/>
    <n v="1000"/>
    <n v="1000"/>
    <n v="1000"/>
    <n v="1000"/>
  </r>
  <r>
    <x v="128"/>
    <x v="138"/>
    <n v="800"/>
    <m/>
    <m/>
    <m/>
    <m/>
    <m/>
    <m/>
  </r>
  <r>
    <x v="129"/>
    <x v="139"/>
    <n v="800"/>
    <m/>
    <m/>
    <m/>
    <m/>
    <m/>
    <m/>
  </r>
  <r>
    <x v="130"/>
    <x v="140"/>
    <n v="800"/>
    <m/>
    <m/>
    <m/>
    <m/>
    <m/>
    <m/>
  </r>
  <r>
    <x v="131"/>
    <x v="141"/>
    <n v="800"/>
    <m/>
    <m/>
    <m/>
    <m/>
    <m/>
    <n v="4800"/>
  </r>
  <r>
    <x v="132"/>
    <x v="142"/>
    <n v="800"/>
    <m/>
    <m/>
    <n v="3200"/>
    <m/>
    <m/>
    <m/>
  </r>
  <r>
    <x v="133"/>
    <x v="143"/>
    <n v="800"/>
    <m/>
    <m/>
    <m/>
    <m/>
    <m/>
    <m/>
  </r>
  <r>
    <x v="134"/>
    <x v="144"/>
    <n v="800"/>
    <m/>
    <m/>
    <m/>
    <m/>
    <m/>
    <m/>
  </r>
  <r>
    <x v="135"/>
    <x v="145"/>
    <n v="800"/>
    <n v="1000"/>
    <m/>
    <m/>
    <m/>
    <m/>
    <m/>
  </r>
  <r>
    <x v="136"/>
    <x v="146"/>
    <n v="800"/>
    <m/>
    <n v="5000"/>
    <m/>
    <m/>
    <m/>
    <m/>
  </r>
  <r>
    <x v="137"/>
    <x v="147"/>
    <n v="800"/>
    <m/>
    <m/>
    <m/>
    <m/>
    <m/>
    <m/>
  </r>
  <r>
    <x v="138"/>
    <x v="148"/>
    <n v="800"/>
    <m/>
    <n v="5200"/>
    <m/>
    <m/>
    <m/>
    <m/>
  </r>
  <r>
    <x v="138"/>
    <x v="149"/>
    <m/>
    <m/>
    <m/>
    <m/>
    <m/>
    <m/>
    <m/>
  </r>
  <r>
    <x v="139"/>
    <x v="150"/>
    <n v="800"/>
    <m/>
    <m/>
    <m/>
    <m/>
    <m/>
    <m/>
  </r>
  <r>
    <x v="140"/>
    <x v="151"/>
    <n v="800"/>
    <m/>
    <m/>
    <m/>
    <m/>
    <m/>
    <m/>
  </r>
  <r>
    <x v="141"/>
    <x v="152"/>
    <n v="800"/>
    <n v="5000"/>
    <n v="4800"/>
    <m/>
    <m/>
    <m/>
    <n v="4800"/>
  </r>
  <r>
    <x v="142"/>
    <x v="153"/>
    <n v="800"/>
    <m/>
    <m/>
    <m/>
    <m/>
    <m/>
    <m/>
  </r>
  <r>
    <x v="143"/>
    <x v="154"/>
    <n v="800"/>
    <m/>
    <m/>
    <m/>
    <m/>
    <m/>
    <m/>
  </r>
  <r>
    <x v="144"/>
    <x v="155"/>
    <n v="800"/>
    <m/>
    <m/>
    <m/>
    <m/>
    <m/>
    <m/>
  </r>
  <r>
    <x v="145"/>
    <x v="156"/>
    <m/>
    <m/>
    <m/>
    <m/>
    <m/>
    <n v="4800"/>
    <m/>
  </r>
  <r>
    <x v="145"/>
    <x v="157"/>
    <m/>
    <m/>
    <m/>
    <m/>
    <m/>
    <m/>
    <m/>
  </r>
  <r>
    <x v="145"/>
    <x v="158"/>
    <n v="800"/>
    <m/>
    <m/>
    <m/>
    <m/>
    <m/>
    <m/>
  </r>
  <r>
    <x v="146"/>
    <x v="159"/>
    <m/>
    <n v="2400"/>
    <m/>
    <m/>
    <n v="2400"/>
    <m/>
    <m/>
  </r>
  <r>
    <x v="146"/>
    <x v="160"/>
    <n v="800"/>
    <m/>
    <m/>
    <m/>
    <m/>
    <m/>
    <m/>
  </r>
  <r>
    <x v="147"/>
    <x v="161"/>
    <n v="800"/>
    <m/>
    <m/>
    <m/>
    <m/>
    <m/>
    <m/>
  </r>
  <r>
    <x v="148"/>
    <x v="162"/>
    <n v="800"/>
    <m/>
    <m/>
    <m/>
    <m/>
    <m/>
    <m/>
  </r>
  <r>
    <x v="149"/>
    <x v="163"/>
    <n v="800"/>
    <m/>
    <m/>
    <m/>
    <m/>
    <m/>
    <m/>
  </r>
  <r>
    <x v="150"/>
    <x v="164"/>
    <n v="800"/>
    <m/>
    <m/>
    <m/>
    <m/>
    <m/>
    <m/>
  </r>
  <r>
    <x v="150"/>
    <x v="165"/>
    <m/>
    <m/>
    <m/>
    <m/>
    <m/>
    <m/>
    <m/>
  </r>
  <r>
    <x v="151"/>
    <x v="166"/>
    <n v="800"/>
    <m/>
    <m/>
    <m/>
    <m/>
    <m/>
    <m/>
  </r>
  <r>
    <x v="152"/>
    <x v="167"/>
    <n v="800"/>
    <m/>
    <m/>
    <m/>
    <m/>
    <m/>
    <m/>
  </r>
  <r>
    <x v="153"/>
    <x v="168"/>
    <n v="800"/>
    <m/>
    <m/>
    <m/>
    <m/>
    <m/>
    <m/>
  </r>
  <r>
    <x v="154"/>
    <x v="169"/>
    <n v="800"/>
    <m/>
    <m/>
    <m/>
    <m/>
    <m/>
    <n v="8000"/>
  </r>
  <r>
    <x v="155"/>
    <x v="170"/>
    <n v="800"/>
    <m/>
    <m/>
    <m/>
    <m/>
    <m/>
    <m/>
  </r>
  <r>
    <x v="156"/>
    <x v="171"/>
    <n v="800"/>
    <m/>
    <m/>
    <m/>
    <n v="2400"/>
    <n v="800"/>
    <n v="1600"/>
  </r>
  <r>
    <x v="157"/>
    <x v="172"/>
    <n v="800"/>
    <m/>
    <m/>
    <m/>
    <m/>
    <m/>
    <m/>
  </r>
  <r>
    <x v="158"/>
    <x v="173"/>
    <n v="800"/>
    <m/>
    <m/>
    <m/>
    <m/>
    <n v="9000"/>
    <n v="1600"/>
  </r>
  <r>
    <x v="159"/>
    <x v="174"/>
    <n v="800"/>
    <m/>
    <n v="3000"/>
    <m/>
    <n v="3000"/>
    <m/>
    <m/>
  </r>
  <r>
    <x v="160"/>
    <x v="175"/>
    <n v="800"/>
    <n v="5000"/>
    <n v="1400"/>
    <m/>
    <n v="1600"/>
    <m/>
    <n v="1600"/>
  </r>
  <r>
    <x v="161"/>
    <x v="176"/>
    <m/>
    <n v="9000"/>
    <m/>
    <m/>
    <n v="2000"/>
    <m/>
    <n v="2000"/>
  </r>
  <r>
    <x v="161"/>
    <x v="177"/>
    <n v="800"/>
    <m/>
    <m/>
    <m/>
    <m/>
    <m/>
    <m/>
  </r>
  <r>
    <x v="162"/>
    <x v="178"/>
    <n v="800"/>
    <m/>
    <m/>
    <m/>
    <m/>
    <m/>
    <m/>
  </r>
  <r>
    <x v="163"/>
    <x v="179"/>
    <n v="800"/>
    <m/>
    <m/>
    <m/>
    <m/>
    <n v="2000"/>
    <n v="3000"/>
  </r>
  <r>
    <x v="164"/>
    <x v="180"/>
    <n v="800"/>
    <m/>
    <m/>
    <m/>
    <m/>
    <m/>
    <m/>
  </r>
  <r>
    <x v="165"/>
    <x v="181"/>
    <n v="800"/>
    <n v="600"/>
    <m/>
    <n v="1600"/>
    <n v="800"/>
    <m/>
    <m/>
  </r>
  <r>
    <x v="166"/>
    <x v="182"/>
    <n v="800"/>
    <m/>
    <m/>
    <m/>
    <n v="13200"/>
    <m/>
    <m/>
  </r>
  <r>
    <x v="167"/>
    <x v="183"/>
    <n v="800"/>
    <m/>
    <m/>
    <m/>
    <n v="5000"/>
    <m/>
    <m/>
  </r>
  <r>
    <x v="168"/>
    <x v="184"/>
    <n v="800"/>
    <m/>
    <m/>
    <m/>
    <n v="5000"/>
    <m/>
    <m/>
  </r>
  <r>
    <x v="169"/>
    <x v="185"/>
    <n v="800"/>
    <m/>
    <m/>
    <m/>
    <m/>
    <m/>
    <m/>
  </r>
  <r>
    <x v="170"/>
    <x v="186"/>
    <n v="800"/>
    <m/>
    <m/>
    <m/>
    <m/>
    <m/>
    <m/>
  </r>
  <r>
    <x v="171"/>
    <x v="187"/>
    <n v="800"/>
    <m/>
    <m/>
    <n v="1000"/>
    <m/>
    <m/>
    <n v="5000"/>
  </r>
  <r>
    <x v="172"/>
    <x v="188"/>
    <n v="800"/>
    <n v="5000"/>
    <n v="6600"/>
    <n v="2000"/>
    <m/>
    <m/>
    <n v="1200"/>
  </r>
  <r>
    <x v="173"/>
    <x v="189"/>
    <n v="800"/>
    <m/>
    <m/>
    <m/>
    <m/>
    <m/>
    <m/>
  </r>
  <r>
    <x v="174"/>
    <x v="190"/>
    <m/>
    <n v="2400"/>
    <m/>
    <n v="2400"/>
    <m/>
    <m/>
    <n v="2400"/>
  </r>
  <r>
    <x v="174"/>
    <x v="191"/>
    <n v="800"/>
    <m/>
    <m/>
    <m/>
    <m/>
    <m/>
    <m/>
  </r>
  <r>
    <x v="175"/>
    <x v="192"/>
    <n v="800"/>
    <m/>
    <m/>
    <m/>
    <m/>
    <n v="5000"/>
    <m/>
  </r>
  <r>
    <x v="176"/>
    <x v="193"/>
    <n v="800"/>
    <m/>
    <m/>
    <n v="3200"/>
    <m/>
    <m/>
    <m/>
  </r>
  <r>
    <x v="177"/>
    <x v="194"/>
    <n v="800"/>
    <m/>
    <m/>
    <m/>
    <n v="2400"/>
    <n v="2400"/>
    <m/>
  </r>
  <r>
    <x v="178"/>
    <x v="195"/>
    <n v="800"/>
    <m/>
    <m/>
    <m/>
    <m/>
    <m/>
    <m/>
  </r>
  <r>
    <x v="179"/>
    <x v="196"/>
    <n v="800"/>
    <m/>
    <m/>
    <m/>
    <n v="4800"/>
    <m/>
    <m/>
  </r>
  <r>
    <x v="180"/>
    <x v="197"/>
    <n v="800"/>
    <m/>
    <m/>
    <m/>
    <m/>
    <m/>
    <m/>
  </r>
  <r>
    <x v="181"/>
    <x v="198"/>
    <n v="800"/>
    <m/>
    <m/>
    <m/>
    <m/>
    <m/>
    <m/>
  </r>
  <r>
    <x v="182"/>
    <x v="199"/>
    <n v="800"/>
    <m/>
    <m/>
    <m/>
    <m/>
    <m/>
    <m/>
  </r>
  <r>
    <x v="183"/>
    <x v="200"/>
    <n v="800"/>
    <m/>
    <m/>
    <m/>
    <m/>
    <m/>
    <m/>
  </r>
  <r>
    <x v="184"/>
    <x v="201"/>
    <n v="800"/>
    <m/>
    <m/>
    <m/>
    <m/>
    <m/>
    <m/>
  </r>
  <r>
    <x v="185"/>
    <x v="202"/>
    <n v="800"/>
    <m/>
    <m/>
    <m/>
    <m/>
    <m/>
    <m/>
  </r>
  <r>
    <x v="186"/>
    <x v="203"/>
    <n v="800"/>
    <m/>
    <m/>
    <m/>
    <m/>
    <m/>
    <m/>
  </r>
  <r>
    <x v="187"/>
    <x v="204"/>
    <n v="800"/>
    <m/>
    <m/>
    <m/>
    <m/>
    <m/>
    <m/>
  </r>
  <r>
    <x v="188"/>
    <x v="205"/>
    <n v="800"/>
    <m/>
    <m/>
    <m/>
    <m/>
    <n v="4000"/>
    <m/>
  </r>
  <r>
    <x v="189"/>
    <x v="206"/>
    <n v="800"/>
    <m/>
    <m/>
    <m/>
    <m/>
    <m/>
    <n v="4000"/>
  </r>
  <r>
    <x v="190"/>
    <x v="207"/>
    <n v="800"/>
    <n v="4000"/>
    <m/>
    <m/>
    <m/>
    <n v="3200"/>
    <m/>
  </r>
  <r>
    <x v="191"/>
    <x v="208"/>
    <n v="800"/>
    <m/>
    <m/>
    <m/>
    <m/>
    <m/>
    <m/>
  </r>
  <r>
    <x v="192"/>
    <x v="209"/>
    <n v="800"/>
    <m/>
    <m/>
    <m/>
    <m/>
    <m/>
    <m/>
  </r>
  <r>
    <x v="193"/>
    <x v="210"/>
    <n v="800"/>
    <m/>
    <m/>
    <m/>
    <m/>
    <n v="10050"/>
    <m/>
  </r>
  <r>
    <x v="194"/>
    <x v="211"/>
    <n v="800"/>
    <m/>
    <m/>
    <n v="5400"/>
    <m/>
    <n v="2400"/>
    <m/>
  </r>
  <r>
    <x v="195"/>
    <x v="212"/>
    <n v="800"/>
    <m/>
    <m/>
    <m/>
    <m/>
    <m/>
    <m/>
  </r>
  <r>
    <x v="196"/>
    <x v="213"/>
    <n v="800"/>
    <n v="5000"/>
    <n v="3000"/>
    <m/>
    <m/>
    <n v="3000"/>
    <n v="3500"/>
  </r>
  <r>
    <x v="197"/>
    <x v="214"/>
    <n v="800"/>
    <m/>
    <m/>
    <m/>
    <m/>
    <n v="8000"/>
    <m/>
  </r>
  <r>
    <x v="198"/>
    <x v="215"/>
    <n v="800"/>
    <m/>
    <m/>
    <m/>
    <m/>
    <m/>
    <m/>
  </r>
  <r>
    <x v="199"/>
    <x v="216"/>
    <n v="800"/>
    <m/>
    <m/>
    <m/>
    <m/>
    <m/>
    <m/>
  </r>
  <r>
    <x v="200"/>
    <x v="217"/>
    <n v="800"/>
    <m/>
    <m/>
    <m/>
    <m/>
    <m/>
    <m/>
  </r>
  <r>
    <x v="201"/>
    <x v="218"/>
    <n v="800"/>
    <n v="800"/>
    <n v="800"/>
    <n v="800"/>
    <n v="800"/>
    <m/>
    <n v="800"/>
  </r>
  <r>
    <x v="202"/>
    <x v="219"/>
    <n v="800"/>
    <n v="1000"/>
    <m/>
    <m/>
    <m/>
    <n v="3000"/>
    <m/>
  </r>
  <r>
    <x v="203"/>
    <x v="220"/>
    <n v="800"/>
    <m/>
    <m/>
    <m/>
    <m/>
    <m/>
    <m/>
  </r>
  <r>
    <x v="204"/>
    <x v="221"/>
    <n v="800"/>
    <m/>
    <m/>
    <m/>
    <m/>
    <m/>
    <m/>
  </r>
  <r>
    <x v="205"/>
    <x v="222"/>
    <n v="800"/>
    <m/>
    <m/>
    <m/>
    <m/>
    <m/>
    <m/>
  </r>
  <r>
    <x v="206"/>
    <x v="223"/>
    <n v="800"/>
    <n v="2000"/>
    <m/>
    <m/>
    <n v="2000"/>
    <m/>
    <n v="2000"/>
  </r>
  <r>
    <x v="207"/>
    <x v="224"/>
    <n v="800"/>
    <m/>
    <m/>
    <m/>
    <m/>
    <m/>
    <m/>
  </r>
  <r>
    <x v="208"/>
    <x v="225"/>
    <n v="800"/>
    <m/>
    <m/>
    <m/>
    <m/>
    <m/>
    <n v="4000"/>
  </r>
  <r>
    <x v="209"/>
    <x v="226"/>
    <m/>
    <m/>
    <m/>
    <m/>
    <m/>
    <m/>
    <m/>
  </r>
  <r>
    <x v="209"/>
    <x v="227"/>
    <n v="800"/>
    <m/>
    <m/>
    <m/>
    <m/>
    <m/>
    <m/>
  </r>
  <r>
    <x v="210"/>
    <x v="228"/>
    <m/>
    <n v="6000"/>
    <m/>
    <m/>
    <m/>
    <n v="2400"/>
    <m/>
  </r>
  <r>
    <x v="210"/>
    <x v="229"/>
    <n v="800"/>
    <m/>
    <m/>
    <m/>
    <m/>
    <m/>
    <m/>
  </r>
  <r>
    <x v="211"/>
    <x v="230"/>
    <n v="800"/>
    <m/>
    <n v="1600"/>
    <n v="800"/>
    <m/>
    <n v="800"/>
    <n v="800"/>
  </r>
  <r>
    <x v="212"/>
    <x v="231"/>
    <n v="800"/>
    <m/>
    <m/>
    <m/>
    <m/>
    <m/>
    <m/>
  </r>
  <r>
    <x v="213"/>
    <x v="232"/>
    <n v="800"/>
    <n v="12000"/>
    <n v="4800"/>
    <m/>
    <m/>
    <m/>
    <m/>
  </r>
  <r>
    <x v="214"/>
    <x v="233"/>
    <n v="800"/>
    <m/>
    <n v="4000"/>
    <n v="2000"/>
    <n v="2000"/>
    <m/>
    <m/>
  </r>
  <r>
    <x v="215"/>
    <x v="234"/>
    <n v="800"/>
    <m/>
    <m/>
    <m/>
    <m/>
    <m/>
    <n v="4800"/>
  </r>
  <r>
    <x v="216"/>
    <x v="235"/>
    <n v="800"/>
    <m/>
    <m/>
    <m/>
    <m/>
    <m/>
    <m/>
  </r>
  <r>
    <x v="217"/>
    <x v="179"/>
    <n v="800"/>
    <m/>
    <m/>
    <m/>
    <m/>
    <m/>
    <m/>
  </r>
  <r>
    <x v="218"/>
    <x v="236"/>
    <n v="800"/>
    <m/>
    <m/>
    <m/>
    <m/>
    <m/>
    <m/>
  </r>
  <r>
    <x v="219"/>
    <x v="237"/>
    <n v="800"/>
    <m/>
    <m/>
    <m/>
    <m/>
    <m/>
    <m/>
  </r>
  <r>
    <x v="220"/>
    <x v="238"/>
    <n v="800"/>
    <m/>
    <m/>
    <m/>
    <m/>
    <m/>
    <m/>
  </r>
  <r>
    <x v="221"/>
    <x v="239"/>
    <n v="800"/>
    <n v="4000"/>
    <m/>
    <m/>
    <m/>
    <m/>
    <m/>
  </r>
  <r>
    <x v="222"/>
    <x v="240"/>
    <n v="800"/>
    <m/>
    <m/>
    <m/>
    <m/>
    <m/>
    <m/>
  </r>
  <r>
    <x v="223"/>
    <x v="6"/>
    <n v="800"/>
    <m/>
    <m/>
    <m/>
    <m/>
    <m/>
    <m/>
  </r>
  <r>
    <x v="224"/>
    <x v="241"/>
    <n v="800"/>
    <m/>
    <m/>
    <m/>
    <m/>
    <m/>
    <m/>
  </r>
  <r>
    <x v="225"/>
    <x v="242"/>
    <n v="800"/>
    <m/>
    <n v="7000"/>
    <m/>
    <m/>
    <m/>
    <m/>
  </r>
  <r>
    <x v="226"/>
    <x v="243"/>
    <n v="800"/>
    <n v="3000"/>
    <n v="800"/>
    <n v="800"/>
    <m/>
    <m/>
    <n v="2400"/>
  </r>
  <r>
    <x v="227"/>
    <x v="244"/>
    <n v="800"/>
    <m/>
    <m/>
    <m/>
    <m/>
    <m/>
    <m/>
  </r>
  <r>
    <x v="228"/>
    <x v="245"/>
    <n v="800"/>
    <m/>
    <m/>
    <m/>
    <m/>
    <m/>
    <m/>
  </r>
  <r>
    <x v="229"/>
    <x v="246"/>
    <n v="800"/>
    <m/>
    <m/>
    <m/>
    <m/>
    <m/>
    <n v="4000"/>
  </r>
  <r>
    <x v="230"/>
    <x v="247"/>
    <n v="800"/>
    <n v="5000"/>
    <m/>
    <n v="5000"/>
    <n v="4950"/>
    <n v="5000"/>
    <m/>
  </r>
  <r>
    <x v="231"/>
    <x v="248"/>
    <n v="800"/>
    <m/>
    <m/>
    <m/>
    <m/>
    <m/>
    <m/>
  </r>
  <r>
    <x v="232"/>
    <x v="249"/>
    <n v="800"/>
    <m/>
    <n v="2000"/>
    <n v="3600"/>
    <n v="1600"/>
    <m/>
    <n v="800"/>
  </r>
  <r>
    <x v="233"/>
    <x v="250"/>
    <n v="800"/>
    <m/>
    <m/>
    <m/>
    <m/>
    <m/>
    <m/>
  </r>
  <r>
    <x v="234"/>
    <x v="251"/>
    <n v="800"/>
    <n v="31000"/>
    <m/>
    <n v="2000"/>
    <m/>
    <m/>
    <m/>
  </r>
  <r>
    <x v="235"/>
    <x v="252"/>
    <n v="800"/>
    <m/>
    <n v="2600"/>
    <n v="800"/>
    <m/>
    <m/>
    <m/>
  </r>
  <r>
    <x v="236"/>
    <x v="253"/>
    <n v="800"/>
    <n v="5050.3"/>
    <m/>
    <m/>
    <m/>
    <m/>
    <m/>
  </r>
  <r>
    <x v="237"/>
    <x v="254"/>
    <n v="800"/>
    <m/>
    <m/>
    <m/>
    <n v="14400"/>
    <m/>
    <m/>
  </r>
  <r>
    <x v="238"/>
    <x v="255"/>
    <n v="800"/>
    <n v="20000"/>
    <m/>
    <m/>
    <m/>
    <m/>
    <m/>
  </r>
  <r>
    <x v="238"/>
    <x v="256"/>
    <m/>
    <m/>
    <m/>
    <m/>
    <m/>
    <m/>
    <m/>
  </r>
  <r>
    <x v="239"/>
    <x v="257"/>
    <n v="800"/>
    <m/>
    <m/>
    <m/>
    <m/>
    <m/>
    <m/>
  </r>
  <r>
    <x v="240"/>
    <x v="258"/>
    <n v="800"/>
    <m/>
    <n v="4800"/>
    <m/>
    <m/>
    <m/>
    <m/>
  </r>
  <r>
    <x v="241"/>
    <x v="259"/>
    <n v="800"/>
    <m/>
    <m/>
    <m/>
    <m/>
    <m/>
    <m/>
  </r>
  <r>
    <x v="242"/>
    <x v="260"/>
    <n v="800"/>
    <m/>
    <m/>
    <m/>
    <m/>
    <m/>
    <m/>
  </r>
  <r>
    <x v="243"/>
    <x v="261"/>
    <n v="800"/>
    <m/>
    <m/>
    <m/>
    <m/>
    <m/>
    <m/>
  </r>
  <r>
    <x v="244"/>
    <x v="262"/>
    <n v="800"/>
    <n v="3000"/>
    <m/>
    <m/>
    <n v="3000"/>
    <m/>
    <n v="3000"/>
  </r>
  <r>
    <x v="245"/>
    <x v="263"/>
    <n v="800"/>
    <m/>
    <m/>
    <m/>
    <m/>
    <m/>
    <m/>
  </r>
  <r>
    <x v="246"/>
    <x v="264"/>
    <n v="800"/>
    <m/>
    <m/>
    <n v="10000"/>
    <m/>
    <m/>
    <m/>
  </r>
  <r>
    <x v="247"/>
    <x v="265"/>
    <n v="800"/>
    <m/>
    <m/>
    <m/>
    <m/>
    <m/>
    <m/>
  </r>
  <r>
    <x v="248"/>
    <x v="266"/>
    <n v="800"/>
    <m/>
    <m/>
    <m/>
    <m/>
    <m/>
    <m/>
  </r>
  <r>
    <x v="249"/>
    <x v="267"/>
    <n v="800"/>
    <m/>
    <m/>
    <m/>
    <m/>
    <m/>
    <m/>
  </r>
  <r>
    <x v="250"/>
    <x v="268"/>
    <n v="800"/>
    <m/>
    <m/>
    <m/>
    <m/>
    <n v="12000"/>
    <m/>
  </r>
  <r>
    <x v="251"/>
    <x v="269"/>
    <n v="800"/>
    <m/>
    <n v="800"/>
    <n v="1600"/>
    <m/>
    <n v="1600"/>
    <m/>
  </r>
  <r>
    <x v="251"/>
    <x v="270"/>
    <m/>
    <m/>
    <m/>
    <m/>
    <m/>
    <m/>
    <m/>
  </r>
  <r>
    <x v="252"/>
    <x v="271"/>
    <n v="800"/>
    <n v="800"/>
    <n v="800"/>
    <n v="800"/>
    <n v="800"/>
    <n v="800"/>
    <n v="800"/>
  </r>
  <r>
    <x v="253"/>
    <x v="272"/>
    <n v="800"/>
    <m/>
    <n v="2000"/>
    <m/>
    <n v="4000"/>
    <n v="4000"/>
    <m/>
  </r>
  <r>
    <x v="254"/>
    <x v="273"/>
    <n v="800"/>
    <m/>
    <m/>
    <m/>
    <m/>
    <m/>
    <m/>
  </r>
  <r>
    <x v="255"/>
    <x v="274"/>
    <n v="800"/>
    <m/>
    <m/>
    <n v="3200"/>
    <m/>
    <n v="3200"/>
    <m/>
  </r>
  <r>
    <x v="256"/>
    <x v="275"/>
    <n v="800"/>
    <m/>
    <m/>
    <m/>
    <m/>
    <m/>
    <m/>
  </r>
  <r>
    <x v="257"/>
    <x v="276"/>
    <n v="800"/>
    <m/>
    <m/>
    <m/>
    <m/>
    <m/>
    <m/>
  </r>
  <r>
    <x v="258"/>
    <x v="277"/>
    <n v="800"/>
    <m/>
    <m/>
    <m/>
    <m/>
    <m/>
    <n v="26000"/>
  </r>
  <r>
    <x v="192"/>
    <x v="209"/>
    <n v="800"/>
    <n v="9000"/>
    <n v="1600"/>
    <n v="800"/>
    <n v="1600"/>
    <m/>
    <m/>
  </r>
  <r>
    <x v="259"/>
    <x v="278"/>
    <n v="800"/>
    <m/>
    <n v="4000"/>
    <m/>
    <n v="2400"/>
    <m/>
    <m/>
  </r>
  <r>
    <x v="260"/>
    <x v="279"/>
    <n v="800"/>
    <m/>
    <m/>
    <m/>
    <m/>
    <m/>
    <m/>
  </r>
  <r>
    <x v="261"/>
    <x v="280"/>
    <n v="800"/>
    <m/>
    <m/>
    <n v="8000"/>
    <m/>
    <m/>
    <n v="21000"/>
  </r>
  <r>
    <x v="261"/>
    <x v="281"/>
    <m/>
    <m/>
    <m/>
    <m/>
    <m/>
    <m/>
    <m/>
  </r>
  <r>
    <x v="261"/>
    <x v="282"/>
    <m/>
    <m/>
    <m/>
    <m/>
    <m/>
    <m/>
    <m/>
  </r>
  <r>
    <x v="262"/>
    <x v="283"/>
    <n v="800"/>
    <n v="2400"/>
    <m/>
    <m/>
    <m/>
    <m/>
    <m/>
  </r>
  <r>
    <x v="263"/>
    <x v="284"/>
    <n v="800"/>
    <m/>
    <m/>
    <m/>
    <m/>
    <m/>
    <m/>
  </r>
  <r>
    <x v="264"/>
    <x v="285"/>
    <n v="800"/>
    <m/>
    <m/>
    <m/>
    <m/>
    <m/>
    <n v="1700"/>
  </r>
  <r>
    <x v="265"/>
    <x v="286"/>
    <n v="800"/>
    <m/>
    <m/>
    <m/>
    <m/>
    <m/>
    <m/>
  </r>
  <r>
    <x v="266"/>
    <x v="287"/>
    <n v="800"/>
    <n v="6000"/>
    <m/>
    <n v="6000"/>
    <m/>
    <m/>
    <m/>
  </r>
  <r>
    <x v="267"/>
    <x v="288"/>
    <n v="800"/>
    <m/>
    <m/>
    <m/>
    <m/>
    <m/>
    <n v="16000"/>
  </r>
  <r>
    <x v="268"/>
    <x v="289"/>
    <n v="800"/>
    <m/>
    <m/>
    <m/>
    <m/>
    <m/>
    <m/>
  </r>
  <r>
    <x v="269"/>
    <x v="290"/>
    <n v="800"/>
    <m/>
    <m/>
    <m/>
    <m/>
    <m/>
    <m/>
  </r>
  <r>
    <x v="270"/>
    <x v="291"/>
    <n v="800"/>
    <m/>
    <m/>
    <m/>
    <m/>
    <m/>
    <n v="7000"/>
  </r>
  <r>
    <x v="271"/>
    <x v="292"/>
    <n v="800"/>
    <m/>
    <m/>
    <m/>
    <m/>
    <m/>
    <m/>
  </r>
  <r>
    <x v="272"/>
    <x v="293"/>
    <n v="800"/>
    <n v="6000"/>
    <m/>
    <m/>
    <m/>
    <m/>
    <m/>
  </r>
  <r>
    <x v="272"/>
    <x v="294"/>
    <m/>
    <m/>
    <m/>
    <m/>
    <m/>
    <m/>
    <m/>
  </r>
  <r>
    <x v="272"/>
    <x v="295"/>
    <m/>
    <m/>
    <m/>
    <m/>
    <n v="3000"/>
    <m/>
    <n v="3000"/>
  </r>
  <r>
    <x v="273"/>
    <x v="296"/>
    <n v="800"/>
    <m/>
    <m/>
    <m/>
    <m/>
    <n v="4800"/>
    <m/>
  </r>
  <r>
    <x v="274"/>
    <x v="297"/>
    <n v="800"/>
    <m/>
    <m/>
    <m/>
    <m/>
    <m/>
    <m/>
  </r>
  <r>
    <x v="275"/>
    <x v="298"/>
    <n v="800"/>
    <n v="11600"/>
    <m/>
    <m/>
    <m/>
    <m/>
    <m/>
  </r>
  <r>
    <x v="276"/>
    <x v="299"/>
    <n v="800"/>
    <m/>
    <n v="2000"/>
    <m/>
    <n v="2000"/>
    <n v="2000"/>
    <m/>
  </r>
  <r>
    <x v="277"/>
    <x v="300"/>
    <n v="800"/>
    <m/>
    <m/>
    <m/>
    <m/>
    <m/>
    <n v="4800"/>
  </r>
  <r>
    <x v="278"/>
    <x v="301"/>
    <n v="800"/>
    <n v="8000"/>
    <m/>
    <m/>
    <m/>
    <m/>
    <m/>
  </r>
  <r>
    <x v="278"/>
    <x v="302"/>
    <n v="800"/>
    <m/>
    <m/>
    <m/>
    <m/>
    <m/>
    <m/>
  </r>
  <r>
    <x v="279"/>
    <x v="303"/>
    <n v="800"/>
    <m/>
    <m/>
    <m/>
    <m/>
    <m/>
    <m/>
  </r>
  <r>
    <x v="280"/>
    <x v="303"/>
    <n v="800"/>
    <m/>
    <m/>
    <m/>
    <m/>
    <m/>
    <m/>
  </r>
  <r>
    <x v="281"/>
    <x v="304"/>
    <n v="800"/>
    <m/>
    <m/>
    <m/>
    <m/>
    <m/>
    <m/>
  </r>
  <r>
    <x v="282"/>
    <x v="305"/>
    <n v="800"/>
    <m/>
    <m/>
    <m/>
    <m/>
    <n v="9200"/>
    <m/>
  </r>
  <r>
    <x v="283"/>
    <x v="306"/>
    <n v="800"/>
    <m/>
    <m/>
    <m/>
    <m/>
    <m/>
    <n v="9000"/>
  </r>
  <r>
    <x v="284"/>
    <x v="307"/>
    <n v="800"/>
    <m/>
    <n v="4000"/>
    <n v="2400"/>
    <m/>
    <m/>
    <n v="2400"/>
  </r>
  <r>
    <x v="285"/>
    <x v="308"/>
    <n v="800"/>
    <m/>
    <m/>
    <m/>
    <m/>
    <m/>
    <m/>
  </r>
  <r>
    <x v="286"/>
    <x v="309"/>
    <n v="800"/>
    <m/>
    <m/>
    <m/>
    <m/>
    <m/>
    <m/>
  </r>
  <r>
    <x v="287"/>
    <x v="310"/>
    <n v="800"/>
    <m/>
    <n v="3800"/>
    <n v="4800"/>
    <m/>
    <m/>
    <m/>
  </r>
  <r>
    <x v="288"/>
    <x v="311"/>
    <n v="800"/>
    <m/>
    <n v="4000"/>
    <m/>
    <m/>
    <m/>
    <n v="4800"/>
  </r>
  <r>
    <x v="289"/>
    <x v="312"/>
    <n v="800"/>
    <m/>
    <m/>
    <m/>
    <m/>
    <m/>
    <m/>
  </r>
  <r>
    <x v="290"/>
    <x v="313"/>
    <n v="800"/>
    <m/>
    <m/>
    <m/>
    <m/>
    <m/>
    <m/>
  </r>
  <r>
    <x v="291"/>
    <x v="314"/>
    <n v="800"/>
    <m/>
    <m/>
    <n v="3200"/>
    <m/>
    <m/>
    <m/>
  </r>
  <r>
    <x v="292"/>
    <x v="315"/>
    <n v="800"/>
    <m/>
    <m/>
    <m/>
    <m/>
    <m/>
    <m/>
  </r>
  <r>
    <x v="293"/>
    <x v="316"/>
    <n v="800"/>
    <n v="3000"/>
    <m/>
    <n v="2000"/>
    <m/>
    <m/>
    <n v="2000"/>
  </r>
  <r>
    <x v="294"/>
    <x v="317"/>
    <n v="800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СводнаяТаблица1" cacheId="2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4" indent="0" outline="1" outlineData="1" multipleFieldFilters="0">
  <location ref="V1:W297" firstHeaderRow="1" firstDataRow="1" firstDataCol="1"/>
  <pivotFields count="3">
    <pivotField showAll="0" defaultSubtotal="0"/>
    <pivotField dataField="1" showAll="0"/>
    <pivotField axis="axisRow" showAll="0" sortType="descending">
      <items count="301">
        <item x="1"/>
        <item x="11"/>
        <item x="23"/>
        <item x="24"/>
        <item x="26"/>
        <item x="44"/>
        <item x="45"/>
        <item x="48"/>
        <item x="50"/>
        <item x="52"/>
        <item x="55"/>
        <item x="57"/>
        <item x="65"/>
        <item x="66"/>
        <item x="69"/>
        <item x="71"/>
        <item x="77"/>
        <item x="78"/>
        <item x="82"/>
        <item x="85"/>
        <item x="86"/>
        <item x="87"/>
        <item x="88"/>
        <item x="89"/>
        <item x="90"/>
        <item x="93"/>
        <item x="107"/>
        <item x="109"/>
        <item x="111"/>
        <item x="117"/>
        <item x="118"/>
        <item x="131"/>
        <item x="136"/>
        <item x="138"/>
        <item x="142"/>
        <item x="146"/>
        <item x="152"/>
        <item x="153"/>
        <item x="158"/>
        <item x="160"/>
        <item x="177"/>
        <item x="181"/>
        <item x="186"/>
        <item x="187"/>
        <item x="188"/>
        <item m="1" x="295"/>
        <item x="193"/>
        <item x="200"/>
        <item x="209"/>
        <item x="210"/>
        <item x="222"/>
        <item x="229"/>
        <item x="233"/>
        <item x="239"/>
        <item x="242"/>
        <item x="247"/>
        <item x="248"/>
        <item x="249"/>
        <item x="252"/>
        <item m="1" x="298"/>
        <item x="260"/>
        <item x="261"/>
        <item x="263"/>
        <item x="264"/>
        <item x="269"/>
        <item x="270"/>
        <item x="275"/>
        <item x="276"/>
        <item x="285"/>
        <item x="288"/>
        <item x="290"/>
        <item x="291"/>
        <item x="293"/>
        <item x="294"/>
        <item x="219"/>
        <item x="280"/>
        <item x="0"/>
        <item x="189"/>
        <item x="176"/>
        <item x="108"/>
        <item x="125"/>
        <item x="278"/>
        <item x="179"/>
        <item x="43"/>
        <item x="155"/>
        <item m="1" x="299"/>
        <item x="185"/>
        <item x="40"/>
        <item x="241"/>
        <item x="279"/>
        <item x="254"/>
        <item x="56"/>
        <item x="283"/>
        <item x="161"/>
        <item x="36"/>
        <item x="257"/>
        <item x="236"/>
        <item x="42"/>
        <item x="201"/>
        <item x="267"/>
        <item x="178"/>
        <item x="35"/>
        <item x="102"/>
        <item x="232"/>
        <item x="284"/>
        <item x="9"/>
        <item x="122"/>
        <item m="1" x="296"/>
        <item x="123"/>
        <item x="273"/>
        <item x="27"/>
        <item x="246"/>
        <item x="51"/>
        <item x="149"/>
        <item x="14"/>
        <item x="172"/>
        <item x="91"/>
        <item x="67"/>
        <item x="120"/>
        <item x="99"/>
        <item x="18"/>
        <item x="49"/>
        <item x="84"/>
        <item x="221"/>
        <item x="159"/>
        <item x="10"/>
        <item x="237"/>
        <item x="72"/>
        <item x="126"/>
        <item x="212"/>
        <item x="262"/>
        <item x="25"/>
        <item x="34"/>
        <item x="46"/>
        <item x="144"/>
        <item x="29"/>
        <item x="130"/>
        <item x="208"/>
        <item x="258"/>
        <item x="191"/>
        <item x="59"/>
        <item x="110"/>
        <item x="139"/>
        <item x="28"/>
        <item x="286"/>
        <item x="101"/>
        <item x="156"/>
        <item x="70"/>
        <item x="92"/>
        <item x="134"/>
        <item x="143"/>
        <item x="73"/>
        <item x="199"/>
        <item x="227"/>
        <item x="250"/>
        <item x="121"/>
        <item x="151"/>
        <item x="203"/>
        <item x="148"/>
        <item x="256"/>
        <item x="277"/>
        <item x="194"/>
        <item x="174"/>
        <item x="245"/>
        <item x="115"/>
        <item x="202"/>
        <item x="38"/>
        <item x="196"/>
        <item x="198"/>
        <item x="13"/>
        <item x="274"/>
        <item x="74"/>
        <item x="282"/>
        <item x="238"/>
        <item x="195"/>
        <item x="167"/>
        <item x="168"/>
        <item x="31"/>
        <item x="124"/>
        <item x="16"/>
        <item x="128"/>
        <item x="12"/>
        <item x="135"/>
        <item x="207"/>
        <item x="98"/>
        <item x="96"/>
        <item x="22"/>
        <item x="150"/>
        <item x="190"/>
        <item x="127"/>
        <item x="3"/>
        <item x="183"/>
        <item x="231"/>
        <item x="41"/>
        <item x="105"/>
        <item x="104"/>
        <item x="163"/>
        <item x="216"/>
        <item x="169"/>
        <item x="165"/>
        <item x="83"/>
        <item x="94"/>
        <item x="225"/>
        <item x="137"/>
        <item x="171"/>
        <item x="32"/>
        <item x="141"/>
        <item x="7"/>
        <item x="103"/>
        <item x="33"/>
        <item x="211"/>
        <item x="132"/>
        <item x="63"/>
        <item x="287"/>
        <item x="47"/>
        <item x="19"/>
        <item x="81"/>
        <item x="106"/>
        <item x="5"/>
        <item x="271"/>
        <item x="79"/>
        <item x="62"/>
        <item x="234"/>
        <item x="218"/>
        <item x="217"/>
        <item x="289"/>
        <item x="226"/>
        <item x="170"/>
        <item x="140"/>
        <item x="30"/>
        <item x="266"/>
        <item x="265"/>
        <item x="17"/>
        <item x="100"/>
        <item x="204"/>
        <item x="251"/>
        <item x="80"/>
        <item x="255"/>
        <item x="272"/>
        <item x="164"/>
        <item x="214"/>
        <item x="8"/>
        <item x="2"/>
        <item x="145"/>
        <item x="235"/>
        <item x="76"/>
        <item x="114"/>
        <item x="133"/>
        <item x="213"/>
        <item x="244"/>
        <item x="112"/>
        <item x="157"/>
        <item x="113"/>
        <item x="228"/>
        <item x="154"/>
        <item x="37"/>
        <item x="268"/>
        <item x="58"/>
        <item x="6"/>
        <item x="223"/>
        <item x="95"/>
        <item x="224"/>
        <item x="21"/>
        <item x="182"/>
        <item x="75"/>
        <item x="64"/>
        <item x="54"/>
        <item x="173"/>
        <item x="147"/>
        <item x="129"/>
        <item x="175"/>
        <item x="184"/>
        <item x="162"/>
        <item x="15"/>
        <item x="53"/>
        <item x="97"/>
        <item x="20"/>
        <item x="220"/>
        <item x="240"/>
        <item x="215"/>
        <item x="180"/>
        <item x="68"/>
        <item x="119"/>
        <item x="39"/>
        <item x="116"/>
        <item x="281"/>
        <item x="197"/>
        <item x="60"/>
        <item x="292"/>
        <item x="230"/>
        <item x="206"/>
        <item m="1" x="297"/>
        <item x="205"/>
        <item x="4"/>
        <item x="243"/>
        <item x="61"/>
        <item x="253"/>
        <item x="166"/>
        <item x="192"/>
        <item x="25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2"/>
  </rowFields>
  <rowItems count="296">
    <i>
      <x v="220"/>
    </i>
    <i>
      <x v="130"/>
    </i>
    <i>
      <x v="109"/>
    </i>
    <i>
      <x v="134"/>
    </i>
    <i>
      <x v="235"/>
    </i>
    <i>
      <x v="187"/>
    </i>
    <i>
      <x v="173"/>
    </i>
    <i>
      <x v="89"/>
    </i>
    <i>
      <x v="216"/>
    </i>
    <i>
      <x v="93"/>
    </i>
    <i>
      <x v="166"/>
    </i>
    <i>
      <x v="1"/>
    </i>
    <i>
      <x v="177"/>
    </i>
    <i>
      <x v="21"/>
    </i>
    <i>
      <x v="203"/>
    </i>
    <i>
      <x v="243"/>
    </i>
    <i>
      <x v="29"/>
    </i>
    <i>
      <x v="255"/>
    </i>
    <i>
      <x v="48"/>
    </i>
    <i>
      <x v="162"/>
    </i>
    <i>
      <x v="283"/>
    </i>
    <i>
      <x v="137"/>
    </i>
    <i>
      <x v="153"/>
    </i>
    <i>
      <x v="217"/>
    </i>
    <i>
      <x v="185"/>
    </i>
    <i>
      <x v="23"/>
    </i>
    <i>
      <x v="249"/>
    </i>
    <i>
      <x v="24"/>
    </i>
    <i>
      <x v="169"/>
    </i>
    <i>
      <x v="25"/>
    </i>
    <i>
      <x v="201"/>
    </i>
    <i>
      <x v="26"/>
    </i>
    <i>
      <x v="233"/>
    </i>
    <i>
      <x v="27"/>
    </i>
    <i>
      <x v="265"/>
    </i>
    <i>
      <x v="28"/>
    </i>
    <i>
      <x v="161"/>
    </i>
    <i>
      <x v="3"/>
    </i>
    <i>
      <x v="14"/>
    </i>
    <i>
      <x v="30"/>
    </i>
    <i>
      <x v="193"/>
    </i>
    <i>
      <x v="31"/>
    </i>
    <i>
      <x v="209"/>
    </i>
    <i>
      <x v="32"/>
    </i>
    <i>
      <x v="225"/>
    </i>
    <i>
      <x v="33"/>
    </i>
    <i>
      <x v="241"/>
    </i>
    <i>
      <x v="34"/>
    </i>
    <i>
      <x v="257"/>
    </i>
    <i>
      <x v="35"/>
    </i>
    <i>
      <x v="296"/>
    </i>
    <i>
      <x v="36"/>
    </i>
    <i>
      <x v="157"/>
    </i>
    <i>
      <x v="37"/>
    </i>
    <i>
      <x v="165"/>
    </i>
    <i>
      <x v="38"/>
    </i>
    <i>
      <x v="13"/>
    </i>
    <i>
      <x v="39"/>
    </i>
    <i>
      <x v="181"/>
    </i>
    <i>
      <x v="40"/>
    </i>
    <i>
      <x v="189"/>
    </i>
    <i>
      <x v="41"/>
    </i>
    <i>
      <x v="197"/>
    </i>
    <i>
      <x v="42"/>
    </i>
    <i>
      <x v="205"/>
    </i>
    <i>
      <x v="43"/>
    </i>
    <i>
      <x v="213"/>
    </i>
    <i>
      <x v="44"/>
    </i>
    <i>
      <x v="221"/>
    </i>
    <i>
      <x v="46"/>
    </i>
    <i>
      <x v="229"/>
    </i>
    <i>
      <x v="47"/>
    </i>
    <i>
      <x v="237"/>
    </i>
    <i>
      <x v="4"/>
    </i>
    <i>
      <x v="245"/>
    </i>
    <i>
      <x v="49"/>
    </i>
    <i>
      <x v="253"/>
    </i>
    <i>
      <x v="50"/>
    </i>
    <i>
      <x v="261"/>
    </i>
    <i>
      <x v="51"/>
    </i>
    <i>
      <x v="269"/>
    </i>
    <i>
      <x v="52"/>
    </i>
    <i>
      <x/>
    </i>
    <i>
      <x v="53"/>
    </i>
    <i>
      <x v="155"/>
    </i>
    <i>
      <x v="54"/>
    </i>
    <i>
      <x v="159"/>
    </i>
    <i>
      <x v="55"/>
    </i>
    <i>
      <x v="163"/>
    </i>
    <i>
      <x v="56"/>
    </i>
    <i>
      <x v="167"/>
    </i>
    <i>
      <x v="57"/>
    </i>
    <i>
      <x v="171"/>
    </i>
    <i>
      <x v="58"/>
    </i>
    <i>
      <x v="175"/>
    </i>
    <i>
      <x v="60"/>
    </i>
    <i>
      <x v="179"/>
    </i>
    <i>
      <x v="61"/>
    </i>
    <i>
      <x v="183"/>
    </i>
    <i>
      <x v="62"/>
    </i>
    <i>
      <x v="15"/>
    </i>
    <i>
      <x v="63"/>
    </i>
    <i>
      <x v="191"/>
    </i>
    <i>
      <x v="64"/>
    </i>
    <i>
      <x v="195"/>
    </i>
    <i>
      <x v="65"/>
    </i>
    <i>
      <x v="199"/>
    </i>
    <i>
      <x v="66"/>
    </i>
    <i>
      <x v="16"/>
    </i>
    <i>
      <x v="67"/>
    </i>
    <i>
      <x v="207"/>
    </i>
    <i>
      <x v="68"/>
    </i>
    <i>
      <x v="211"/>
    </i>
    <i>
      <x v="69"/>
    </i>
    <i>
      <x v="215"/>
    </i>
    <i>
      <x v="70"/>
    </i>
    <i>
      <x v="219"/>
    </i>
    <i>
      <x v="71"/>
    </i>
    <i>
      <x v="223"/>
    </i>
    <i>
      <x v="72"/>
    </i>
    <i>
      <x v="227"/>
    </i>
    <i>
      <x v="73"/>
    </i>
    <i>
      <x v="231"/>
    </i>
    <i>
      <x v="74"/>
    </i>
    <i>
      <x v="19"/>
    </i>
    <i>
      <x v="75"/>
    </i>
    <i>
      <x v="239"/>
    </i>
    <i>
      <x v="76"/>
    </i>
    <i>
      <x v="20"/>
    </i>
    <i>
      <x v="77"/>
    </i>
    <i>
      <x v="247"/>
    </i>
    <i>
      <x v="78"/>
    </i>
    <i>
      <x v="251"/>
    </i>
    <i>
      <x v="79"/>
    </i>
    <i>
      <x v="2"/>
    </i>
    <i>
      <x v="80"/>
    </i>
    <i>
      <x v="259"/>
    </i>
    <i>
      <x v="81"/>
    </i>
    <i>
      <x v="263"/>
    </i>
    <i>
      <x v="82"/>
    </i>
    <i>
      <x v="267"/>
    </i>
    <i>
      <x v="83"/>
    </i>
    <i>
      <x v="271"/>
    </i>
    <i>
      <x v="84"/>
    </i>
    <i>
      <x v="150"/>
    </i>
    <i>
      <x v="86"/>
    </i>
    <i>
      <x v="152"/>
    </i>
    <i>
      <x v="87"/>
    </i>
    <i>
      <x v="154"/>
    </i>
    <i>
      <x v="88"/>
    </i>
    <i>
      <x v="156"/>
    </i>
    <i>
      <x v="5"/>
    </i>
    <i>
      <x v="158"/>
    </i>
    <i>
      <x v="90"/>
    </i>
    <i>
      <x v="160"/>
    </i>
    <i>
      <x v="91"/>
    </i>
    <i>
      <x v="11"/>
    </i>
    <i>
      <x v="92"/>
    </i>
    <i>
      <x v="164"/>
    </i>
    <i>
      <x v="6"/>
    </i>
    <i>
      <x v="12"/>
    </i>
    <i>
      <x v="94"/>
    </i>
    <i>
      <x v="168"/>
    </i>
    <i>
      <x v="95"/>
    </i>
    <i>
      <x v="170"/>
    </i>
    <i>
      <x v="96"/>
    </i>
    <i>
      <x v="172"/>
    </i>
    <i>
      <x v="97"/>
    </i>
    <i>
      <x v="174"/>
    </i>
    <i>
      <x v="98"/>
    </i>
    <i>
      <x v="176"/>
    </i>
    <i>
      <x v="99"/>
    </i>
    <i>
      <x v="178"/>
    </i>
    <i>
      <x v="100"/>
    </i>
    <i>
      <x v="180"/>
    </i>
    <i>
      <x v="101"/>
    </i>
    <i>
      <x v="182"/>
    </i>
    <i>
      <x v="102"/>
    </i>
    <i>
      <x v="184"/>
    </i>
    <i>
      <x v="103"/>
    </i>
    <i>
      <x v="186"/>
    </i>
    <i>
      <x v="104"/>
    </i>
    <i>
      <x v="188"/>
    </i>
    <i>
      <x v="105"/>
    </i>
    <i>
      <x v="190"/>
    </i>
    <i>
      <x v="106"/>
    </i>
    <i>
      <x v="192"/>
    </i>
    <i>
      <x v="108"/>
    </i>
    <i>
      <x v="194"/>
    </i>
    <i>
      <x v="7"/>
    </i>
    <i>
      <x v="196"/>
    </i>
    <i>
      <x v="110"/>
    </i>
    <i>
      <x v="198"/>
    </i>
    <i>
      <x v="111"/>
    </i>
    <i>
      <x v="200"/>
    </i>
    <i>
      <x v="112"/>
    </i>
    <i>
      <x v="202"/>
    </i>
    <i>
      <x v="113"/>
    </i>
    <i>
      <x v="204"/>
    </i>
    <i>
      <x v="114"/>
    </i>
    <i>
      <x v="206"/>
    </i>
    <i>
      <x v="115"/>
    </i>
    <i>
      <x v="208"/>
    </i>
    <i>
      <x v="116"/>
    </i>
    <i>
      <x v="210"/>
    </i>
    <i>
      <x v="117"/>
    </i>
    <i>
      <x v="212"/>
    </i>
    <i>
      <x v="118"/>
    </i>
    <i>
      <x v="214"/>
    </i>
    <i>
      <x v="119"/>
    </i>
    <i>
      <x v="17"/>
    </i>
    <i>
      <x v="120"/>
    </i>
    <i>
      <x v="218"/>
    </i>
    <i>
      <x v="121"/>
    </i>
    <i>
      <x v="18"/>
    </i>
    <i>
      <x v="122"/>
    </i>
    <i>
      <x v="222"/>
    </i>
    <i>
      <x v="123"/>
    </i>
    <i>
      <x v="224"/>
    </i>
    <i>
      <x v="124"/>
    </i>
    <i>
      <x v="226"/>
    </i>
    <i>
      <x v="125"/>
    </i>
    <i>
      <x v="228"/>
    </i>
    <i>
      <x v="126"/>
    </i>
    <i>
      <x v="230"/>
    </i>
    <i>
      <x v="127"/>
    </i>
    <i>
      <x v="232"/>
    </i>
    <i>
      <x v="128"/>
    </i>
    <i>
      <x v="234"/>
    </i>
    <i>
      <x v="129"/>
    </i>
    <i>
      <x v="236"/>
    </i>
    <i>
      <x v="8"/>
    </i>
    <i>
      <x v="238"/>
    </i>
    <i>
      <x v="131"/>
    </i>
    <i>
      <x v="240"/>
    </i>
    <i>
      <x v="132"/>
    </i>
    <i>
      <x v="242"/>
    </i>
    <i>
      <x v="133"/>
    </i>
    <i>
      <x v="244"/>
    </i>
    <i>
      <x v="9"/>
    </i>
    <i>
      <x v="246"/>
    </i>
    <i>
      <x v="135"/>
    </i>
    <i>
      <x v="248"/>
    </i>
    <i>
      <x v="136"/>
    </i>
    <i>
      <x v="250"/>
    </i>
    <i>
      <x v="272"/>
    </i>
    <i>
      <x v="252"/>
    </i>
    <i>
      <x v="273"/>
    </i>
    <i>
      <x v="254"/>
    </i>
    <i>
      <x v="275"/>
    </i>
    <i>
      <x v="256"/>
    </i>
    <i>
      <x v="277"/>
    </i>
    <i>
      <x v="258"/>
    </i>
    <i>
      <x v="279"/>
    </i>
    <i>
      <x v="260"/>
    </i>
    <i>
      <x v="281"/>
    </i>
    <i>
      <x v="262"/>
    </i>
    <i>
      <x v="10"/>
    </i>
    <i>
      <x v="264"/>
    </i>
    <i>
      <x v="285"/>
    </i>
    <i>
      <x v="266"/>
    </i>
    <i>
      <x v="287"/>
    </i>
    <i>
      <x v="268"/>
    </i>
    <i>
      <x v="289"/>
    </i>
    <i>
      <x v="270"/>
    </i>
    <i>
      <x v="292"/>
    </i>
    <i>
      <x v="22"/>
    </i>
    <i>
      <x v="294"/>
    </i>
    <i>
      <x v="274"/>
    </i>
    <i>
      <x v="138"/>
    </i>
    <i>
      <x v="276"/>
    </i>
    <i>
      <x v="139"/>
    </i>
    <i>
      <x v="278"/>
    </i>
    <i>
      <x v="140"/>
    </i>
    <i>
      <x v="280"/>
    </i>
    <i>
      <x v="141"/>
    </i>
    <i>
      <x v="282"/>
    </i>
    <i>
      <x v="142"/>
    </i>
    <i>
      <x v="284"/>
    </i>
    <i>
      <x v="143"/>
    </i>
    <i>
      <x v="286"/>
    </i>
    <i>
      <x v="144"/>
    </i>
    <i>
      <x v="288"/>
    </i>
    <i>
      <x v="145"/>
    </i>
    <i>
      <x v="290"/>
    </i>
    <i>
      <x v="146"/>
    </i>
    <i>
      <x v="293"/>
    </i>
    <i>
      <x v="147"/>
    </i>
    <i>
      <x v="295"/>
    </i>
    <i>
      <x v="148"/>
    </i>
    <i>
      <x v="298"/>
    </i>
    <i>
      <x v="149"/>
    </i>
    <i>
      <x v="151"/>
    </i>
    <i>
      <x v="299"/>
    </i>
    <i>
      <x v="297"/>
    </i>
    <i t="grand">
      <x/>
    </i>
  </rowItems>
  <colItems count="1">
    <i/>
  </colItems>
  <dataFields count="1">
    <dataField name="Количество по полю Номер участка" fld="1" subtotal="count" baseField="2" baseItem="5"/>
  </dataFields>
  <formats count="8">
    <format dxfId="7">
      <pivotArea outline="0" collapsedLevelsAreSubtotals="1" fieldPosition="0"/>
    </format>
    <format dxfId="6">
      <pivotArea dataOnly="0" labelOnly="1" fieldPosition="0">
        <references count="1">
          <reference field="2" count="50">
            <x v="1"/>
            <x v="2"/>
            <x v="3"/>
            <x v="17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48"/>
            <x v="93"/>
            <x v="109"/>
            <x v="130"/>
            <x v="134"/>
            <x v="137"/>
            <x v="156"/>
            <x v="162"/>
            <x v="164"/>
            <x v="166"/>
            <x v="172"/>
            <x v="173"/>
            <x v="177"/>
            <x v="180"/>
            <x v="187"/>
            <x v="188"/>
            <x v="196"/>
            <x v="203"/>
            <x v="204"/>
            <x v="212"/>
            <x v="216"/>
            <x v="220"/>
            <x v="228"/>
            <x v="235"/>
            <x v="236"/>
            <x v="243"/>
            <x v="244"/>
            <x v="252"/>
            <x v="255"/>
            <x v="260"/>
            <x v="268"/>
            <x v="283"/>
          </reference>
        </references>
      </pivotArea>
    </format>
    <format dxfId="5">
      <pivotArea dataOnly="0" labelOnly="1" fieldPosition="0">
        <references count="1">
          <reference field="2" count="50">
            <x v="4"/>
            <x v="10"/>
            <x v="11"/>
            <x v="16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150"/>
            <x v="152"/>
            <x v="154"/>
            <x v="158"/>
            <x v="160"/>
            <x v="168"/>
            <x v="170"/>
            <x v="174"/>
            <x v="176"/>
            <x v="178"/>
            <x v="182"/>
            <x v="184"/>
            <x v="192"/>
            <x v="200"/>
            <x v="208"/>
            <x v="224"/>
            <x v="232"/>
            <x v="240"/>
            <x v="248"/>
            <x v="256"/>
            <x v="264"/>
            <x v="272"/>
          </reference>
        </references>
      </pivotArea>
    </format>
    <format dxfId="4">
      <pivotArea dataOnly="0" labelOnly="1" fieldPosition="0">
        <references count="1">
          <reference field="2" count="50"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149"/>
            <x v="151"/>
            <x v="186"/>
            <x v="190"/>
            <x v="194"/>
            <x v="198"/>
            <x v="202"/>
            <x v="206"/>
            <x v="210"/>
            <x v="214"/>
            <x v="218"/>
            <x v="222"/>
            <x v="226"/>
            <x v="230"/>
            <x v="234"/>
            <x v="238"/>
            <x v="242"/>
            <x v="246"/>
            <x v="250"/>
            <x v="254"/>
            <x v="258"/>
            <x v="262"/>
            <x v="266"/>
            <x v="270"/>
            <x v="274"/>
          </reference>
        </references>
      </pivotArea>
    </format>
    <format dxfId="3">
      <pivotArea dataOnly="0" labelOnly="1" fieldPosition="0">
        <references count="1">
          <reference field="2" count="50">
            <x v="5"/>
            <x v="6"/>
            <x v="12"/>
            <x v="13"/>
            <x v="14"/>
            <x v="85"/>
            <x v="86"/>
            <x v="87"/>
            <x v="88"/>
            <x v="89"/>
            <x v="90"/>
            <x v="91"/>
            <x v="92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53"/>
            <x v="155"/>
            <x v="157"/>
            <x v="159"/>
            <x v="161"/>
            <x v="163"/>
            <x v="165"/>
            <x v="167"/>
            <x v="169"/>
            <x v="171"/>
            <x v="175"/>
            <x v="179"/>
            <x v="181"/>
            <x v="183"/>
            <x v="185"/>
            <x v="189"/>
            <x v="191"/>
            <x v="193"/>
            <x v="195"/>
            <x v="197"/>
            <x v="199"/>
            <x v="201"/>
          </reference>
        </references>
      </pivotArea>
    </format>
    <format dxfId="2">
      <pivotArea dataOnly="0" labelOnly="1" fieldPosition="0">
        <references count="1">
          <reference field="2" count="50">
            <x v="7"/>
            <x v="8"/>
            <x v="15"/>
            <x v="18"/>
            <x v="1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1"/>
            <x v="132"/>
            <x v="133"/>
            <x v="205"/>
            <x v="207"/>
            <x v="209"/>
            <x v="211"/>
            <x v="213"/>
            <x v="215"/>
            <x v="217"/>
            <x v="219"/>
            <x v="221"/>
            <x v="223"/>
            <x v="225"/>
            <x v="227"/>
            <x v="229"/>
            <x v="231"/>
            <x v="233"/>
            <x v="237"/>
            <x v="239"/>
            <x v="241"/>
            <x v="245"/>
            <x v="247"/>
            <x v="249"/>
            <x v="251"/>
          </reference>
        </references>
      </pivotArea>
    </format>
    <format dxfId="1">
      <pivotArea dataOnly="0" labelOnly="1" fieldPosition="0">
        <references count="1">
          <reference field="2" count="48">
            <x v="0"/>
            <x v="9"/>
            <x v="20"/>
            <x v="135"/>
            <x v="136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253"/>
            <x v="257"/>
            <x v="259"/>
            <x v="261"/>
            <x v="263"/>
            <x v="265"/>
            <x v="267"/>
            <x v="269"/>
            <x v="271"/>
            <x v="273"/>
            <x v="275"/>
            <x v="276"/>
            <x v="277"/>
            <x v="278"/>
            <x v="279"/>
            <x v="280"/>
            <x v="281"/>
            <x v="282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</reference>
        </references>
      </pivotArea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Таблица18" cacheId="3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4" indent="0" outline="1" outlineData="1" multipleFieldFilters="0">
  <location ref="O2:U298" firstHeaderRow="0" firstDataRow="1" firstDataCol="1"/>
  <pivotFields count="9">
    <pivotField axis="axisRow" showAll="0">
      <items count="296">
        <item x="119"/>
        <item x="274"/>
        <item x="143"/>
        <item x="83"/>
        <item x="94"/>
        <item x="188"/>
        <item x="11"/>
        <item x="110"/>
        <item x="158"/>
        <item x="290"/>
        <item x="27"/>
        <item x="89"/>
        <item x="153"/>
        <item x="288"/>
        <item x="91"/>
        <item x="293"/>
        <item x="70"/>
        <item x="229"/>
        <item x="269"/>
        <item x="239"/>
        <item x="268"/>
        <item x="275"/>
        <item x="66"/>
        <item x="46"/>
        <item x="186"/>
        <item x="260"/>
        <item x="259"/>
        <item x="192"/>
        <item x="112"/>
        <item x="177"/>
        <item x="78"/>
        <item x="193"/>
        <item x="152"/>
        <item x="1"/>
        <item x="87"/>
        <item x="49"/>
        <item x="88"/>
        <item x="58"/>
        <item x="294"/>
        <item x="285"/>
        <item x="160"/>
        <item x="45"/>
        <item x="72"/>
        <item x="252"/>
        <item x="248"/>
        <item x="181"/>
        <item x="233"/>
        <item x="79"/>
        <item x="67"/>
        <item x="25"/>
        <item x="24"/>
        <item x="200"/>
        <item x="242"/>
        <item x="291"/>
        <item x="139"/>
        <item x="247"/>
        <item x="51"/>
        <item x="262"/>
        <item x="263"/>
        <item x="53"/>
        <item x="132"/>
        <item x="90"/>
        <item x="56"/>
        <item x="137"/>
        <item x="86"/>
        <item x="222"/>
        <item x="211"/>
        <item x="118"/>
        <item x="187"/>
        <item x="18"/>
        <item x="249"/>
        <item x="210"/>
        <item x="108"/>
        <item x="280"/>
        <item x="279"/>
        <item x="0"/>
        <item x="189"/>
        <item x="176"/>
        <item x="109"/>
        <item x="126"/>
        <item x="277"/>
        <item x="179"/>
        <item x="44"/>
        <item x="155"/>
        <item x="278"/>
        <item x="185"/>
        <item x="41"/>
        <item x="241"/>
        <item x="254"/>
        <item x="57"/>
        <item x="283"/>
        <item x="161"/>
        <item x="37"/>
        <item x="257"/>
        <item x="236"/>
        <item x="43"/>
        <item x="201"/>
        <item x="266"/>
        <item x="178"/>
        <item x="36"/>
        <item x="103"/>
        <item x="232"/>
        <item x="284"/>
        <item x="9"/>
        <item x="123"/>
        <item x="124"/>
        <item x="272"/>
        <item x="28"/>
        <item x="246"/>
        <item x="52"/>
        <item x="149"/>
        <item x="14"/>
        <item x="172"/>
        <item x="92"/>
        <item x="68"/>
        <item x="121"/>
        <item x="100"/>
        <item x="19"/>
        <item x="50"/>
        <item x="85"/>
        <item x="221"/>
        <item x="159"/>
        <item x="10"/>
        <item x="237"/>
        <item x="73"/>
        <item x="127"/>
        <item x="213"/>
        <item x="261"/>
        <item x="26"/>
        <item x="35"/>
        <item x="47"/>
        <item x="145"/>
        <item x="30"/>
        <item x="131"/>
        <item x="209"/>
        <item x="258"/>
        <item x="191"/>
        <item x="60"/>
        <item x="111"/>
        <item x="140"/>
        <item x="29"/>
        <item x="286"/>
        <item x="102"/>
        <item x="156"/>
        <item x="71"/>
        <item x="93"/>
        <item x="135"/>
        <item x="144"/>
        <item x="74"/>
        <item x="199"/>
        <item x="227"/>
        <item x="250"/>
        <item x="122"/>
        <item x="151"/>
        <item x="203"/>
        <item x="148"/>
        <item x="256"/>
        <item x="276"/>
        <item x="194"/>
        <item x="174"/>
        <item x="245"/>
        <item x="116"/>
        <item x="202"/>
        <item x="39"/>
        <item x="196"/>
        <item x="198"/>
        <item x="13"/>
        <item x="273"/>
        <item x="75"/>
        <item x="282"/>
        <item x="238"/>
        <item x="195"/>
        <item x="167"/>
        <item x="168"/>
        <item x="32"/>
        <item x="125"/>
        <item x="16"/>
        <item x="129"/>
        <item x="12"/>
        <item x="136"/>
        <item x="99"/>
        <item x="97"/>
        <item x="23"/>
        <item x="150"/>
        <item x="190"/>
        <item x="128"/>
        <item x="3"/>
        <item x="183"/>
        <item x="231"/>
        <item x="42"/>
        <item x="106"/>
        <item x="105"/>
        <item x="163"/>
        <item x="217"/>
        <item x="169"/>
        <item x="165"/>
        <item x="84"/>
        <item x="95"/>
        <item x="225"/>
        <item x="138"/>
        <item x="171"/>
        <item x="33"/>
        <item x="142"/>
        <item x="7"/>
        <item x="104"/>
        <item x="34"/>
        <item x="212"/>
        <item x="133"/>
        <item x="64"/>
        <item x="287"/>
        <item x="48"/>
        <item x="20"/>
        <item x="82"/>
        <item x="107"/>
        <item x="5"/>
        <item x="270"/>
        <item x="80"/>
        <item x="63"/>
        <item x="234"/>
        <item x="219"/>
        <item x="218"/>
        <item x="289"/>
        <item x="226"/>
        <item x="170"/>
        <item x="141"/>
        <item x="31"/>
        <item x="265"/>
        <item x="264"/>
        <item x="17"/>
        <item x="101"/>
        <item x="204"/>
        <item x="251"/>
        <item x="81"/>
        <item x="255"/>
        <item x="271"/>
        <item x="164"/>
        <item x="215"/>
        <item x="8"/>
        <item x="2"/>
        <item x="146"/>
        <item x="235"/>
        <item x="77"/>
        <item x="115"/>
        <item x="134"/>
        <item x="214"/>
        <item x="244"/>
        <item x="113"/>
        <item x="157"/>
        <item x="114"/>
        <item x="228"/>
        <item x="154"/>
        <item x="38"/>
        <item x="267"/>
        <item x="59"/>
        <item x="6"/>
        <item x="223"/>
        <item x="96"/>
        <item x="224"/>
        <item x="22"/>
        <item x="182"/>
        <item x="76"/>
        <item x="65"/>
        <item x="55"/>
        <item x="173"/>
        <item x="147"/>
        <item x="130"/>
        <item x="175"/>
        <item x="184"/>
        <item x="162"/>
        <item x="15"/>
        <item x="54"/>
        <item x="98"/>
        <item x="21"/>
        <item x="220"/>
        <item x="240"/>
        <item x="216"/>
        <item x="180"/>
        <item x="69"/>
        <item x="120"/>
        <item x="40"/>
        <item x="117"/>
        <item x="281"/>
        <item x="197"/>
        <item x="61"/>
        <item x="292"/>
        <item x="230"/>
        <item x="206"/>
        <item x="207"/>
        <item x="205"/>
        <item x="4"/>
        <item x="243"/>
        <item x="62"/>
        <item x="253"/>
        <item x="166"/>
        <item x="208"/>
        <item t="default"/>
      </items>
    </pivotField>
    <pivotField showAll="0" defaultSubtotal="0"/>
    <pivotField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2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Количество по полю 01.01.2016" fld="3" subtotal="count" baseField="0" baseItem="0"/>
    <dataField name="Количество по полю 01.02.2016" fld="4" subtotal="count" baseField="0" baseItem="0"/>
    <dataField name="Количество по полю 01.03.2016" fld="5" subtotal="count" baseField="0" baseItem="0"/>
    <dataField name="Количество по полю 01.04.2016" fld="6" subtotal="count" baseField="0" baseItem="0"/>
    <dataField name="Количество по полю 01.05.2016" fld="7" subtotal="count" baseField="0" baseItem="0"/>
    <dataField name="Количество по полю 01.06.2016" fld="8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СводнаяТаблица19" cacheId="3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4" indent="0" compact="0" compactData="0" multipleFieldFilters="0">
  <location ref="C329:D625" firstHeaderRow="1" firstDataRow="1" firstDataCol="1" rowPageCount="1" colPageCount="1"/>
  <pivotFields count="9">
    <pivotField axis="axisRow" compact="0" outline="0" showAll="0" sortType="descending" defaultSubtotal="0">
      <items count="295">
        <item x="119"/>
        <item x="274"/>
        <item x="143"/>
        <item x="83"/>
        <item x="94"/>
        <item x="188"/>
        <item x="11"/>
        <item x="110"/>
        <item x="158"/>
        <item x="290"/>
        <item x="27"/>
        <item x="89"/>
        <item x="153"/>
        <item x="288"/>
        <item x="91"/>
        <item x="293"/>
        <item x="70"/>
        <item x="229"/>
        <item x="269"/>
        <item x="239"/>
        <item x="268"/>
        <item x="275"/>
        <item x="66"/>
        <item x="46"/>
        <item x="186"/>
        <item x="260"/>
        <item x="259"/>
        <item x="192"/>
        <item x="112"/>
        <item x="177"/>
        <item x="78"/>
        <item x="193"/>
        <item x="152"/>
        <item x="1"/>
        <item x="87"/>
        <item x="49"/>
        <item x="88"/>
        <item x="58"/>
        <item x="294"/>
        <item x="285"/>
        <item x="160"/>
        <item x="45"/>
        <item x="72"/>
        <item x="252"/>
        <item x="248"/>
        <item x="181"/>
        <item x="233"/>
        <item x="79"/>
        <item x="67"/>
        <item x="25"/>
        <item x="24"/>
        <item x="200"/>
        <item x="242"/>
        <item x="291"/>
        <item x="139"/>
        <item x="247"/>
        <item x="51"/>
        <item x="262"/>
        <item x="263"/>
        <item x="53"/>
        <item x="132"/>
        <item x="90"/>
        <item x="56"/>
        <item x="137"/>
        <item x="86"/>
        <item x="222"/>
        <item x="211"/>
        <item x="118"/>
        <item x="187"/>
        <item x="18"/>
        <item x="249"/>
        <item x="210"/>
        <item x="108"/>
        <item x="280"/>
        <item x="279"/>
        <item x="0"/>
        <item x="189"/>
        <item x="176"/>
        <item x="109"/>
        <item x="126"/>
        <item x="277"/>
        <item x="179"/>
        <item x="44"/>
        <item x="155"/>
        <item x="278"/>
        <item x="185"/>
        <item x="41"/>
        <item x="241"/>
        <item x="254"/>
        <item x="57"/>
        <item x="283"/>
        <item x="161"/>
        <item x="37"/>
        <item x="257"/>
        <item x="236"/>
        <item x="43"/>
        <item x="201"/>
        <item x="266"/>
        <item x="178"/>
        <item x="36"/>
        <item x="103"/>
        <item x="232"/>
        <item x="284"/>
        <item x="9"/>
        <item x="123"/>
        <item x="124"/>
        <item x="272"/>
        <item x="28"/>
        <item x="246"/>
        <item x="52"/>
        <item x="149"/>
        <item x="14"/>
        <item x="172"/>
        <item x="92"/>
        <item x="68"/>
        <item x="121"/>
        <item x="100"/>
        <item x="19"/>
        <item x="50"/>
        <item x="85"/>
        <item x="221"/>
        <item x="159"/>
        <item x="10"/>
        <item x="237"/>
        <item x="73"/>
        <item x="127"/>
        <item x="213"/>
        <item x="261"/>
        <item x="26"/>
        <item x="35"/>
        <item x="47"/>
        <item x="145"/>
        <item x="30"/>
        <item x="131"/>
        <item x="209"/>
        <item x="258"/>
        <item x="191"/>
        <item x="60"/>
        <item x="111"/>
        <item x="140"/>
        <item x="29"/>
        <item x="286"/>
        <item x="102"/>
        <item x="156"/>
        <item x="71"/>
        <item x="93"/>
        <item x="135"/>
        <item x="144"/>
        <item x="74"/>
        <item x="199"/>
        <item x="227"/>
        <item x="250"/>
        <item x="122"/>
        <item x="151"/>
        <item x="203"/>
        <item x="148"/>
        <item x="256"/>
        <item x="276"/>
        <item x="194"/>
        <item x="174"/>
        <item x="245"/>
        <item x="116"/>
        <item x="202"/>
        <item x="39"/>
        <item x="196"/>
        <item x="198"/>
        <item x="13"/>
        <item x="273"/>
        <item x="75"/>
        <item x="282"/>
        <item x="238"/>
        <item x="195"/>
        <item x="167"/>
        <item x="168"/>
        <item x="32"/>
        <item x="125"/>
        <item x="16"/>
        <item x="129"/>
        <item x="12"/>
        <item x="136"/>
        <item x="99"/>
        <item x="97"/>
        <item x="23"/>
        <item x="150"/>
        <item x="190"/>
        <item x="128"/>
        <item x="3"/>
        <item x="183"/>
        <item x="231"/>
        <item x="42"/>
        <item x="106"/>
        <item x="105"/>
        <item x="163"/>
        <item x="217"/>
        <item x="169"/>
        <item x="165"/>
        <item x="84"/>
        <item x="95"/>
        <item x="225"/>
        <item x="138"/>
        <item x="171"/>
        <item x="33"/>
        <item x="142"/>
        <item x="7"/>
        <item x="104"/>
        <item x="34"/>
        <item x="212"/>
        <item x="133"/>
        <item x="64"/>
        <item x="287"/>
        <item x="48"/>
        <item x="20"/>
        <item x="82"/>
        <item x="107"/>
        <item x="5"/>
        <item x="270"/>
        <item x="80"/>
        <item x="63"/>
        <item x="234"/>
        <item x="219"/>
        <item x="218"/>
        <item x="289"/>
        <item x="226"/>
        <item x="170"/>
        <item x="141"/>
        <item x="31"/>
        <item x="265"/>
        <item x="264"/>
        <item x="17"/>
        <item x="101"/>
        <item x="204"/>
        <item x="251"/>
        <item x="81"/>
        <item x="255"/>
        <item x="271"/>
        <item x="164"/>
        <item x="215"/>
        <item x="8"/>
        <item x="2"/>
        <item x="146"/>
        <item x="235"/>
        <item x="77"/>
        <item x="115"/>
        <item x="134"/>
        <item x="214"/>
        <item x="244"/>
        <item x="113"/>
        <item x="157"/>
        <item x="114"/>
        <item x="228"/>
        <item x="154"/>
        <item x="38"/>
        <item x="267"/>
        <item x="59"/>
        <item x="6"/>
        <item x="223"/>
        <item x="96"/>
        <item x="224"/>
        <item x="22"/>
        <item x="182"/>
        <item x="76"/>
        <item x="65"/>
        <item x="55"/>
        <item x="173"/>
        <item x="147"/>
        <item x="130"/>
        <item x="175"/>
        <item x="184"/>
        <item x="162"/>
        <item x="15"/>
        <item x="54"/>
        <item x="98"/>
        <item x="21"/>
        <item x="220"/>
        <item x="240"/>
        <item x="216"/>
        <item x="180"/>
        <item x="69"/>
        <item x="120"/>
        <item x="40"/>
        <item x="117"/>
        <item x="281"/>
        <item x="197"/>
        <item x="61"/>
        <item x="292"/>
        <item x="230"/>
        <item x="206"/>
        <item x="207"/>
        <item x="205"/>
        <item x="4"/>
        <item x="243"/>
        <item x="62"/>
        <item x="253"/>
        <item x="166"/>
        <item x="208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318">
        <item x="129"/>
        <item x="297"/>
        <item x="154"/>
        <item x="91"/>
        <item x="103"/>
        <item x="205"/>
        <item x="11"/>
        <item x="119"/>
        <item x="173"/>
        <item x="313"/>
        <item x="28"/>
        <item x="98"/>
        <item x="168"/>
        <item x="12"/>
        <item x="311"/>
        <item x="100"/>
        <item x="316"/>
        <item x="75"/>
        <item x="246"/>
        <item x="290"/>
        <item x="257"/>
        <item x="289"/>
        <item x="298"/>
        <item x="71"/>
        <item x="51"/>
        <item x="203"/>
        <item x="279"/>
        <item x="278"/>
        <item x="209"/>
        <item x="121"/>
        <item x="194"/>
        <item x="83"/>
        <item x="210"/>
        <item x="167"/>
        <item x="1"/>
        <item x="95"/>
        <item x="54"/>
        <item x="97"/>
        <item x="63"/>
        <item x="317"/>
        <item x="308"/>
        <item x="175"/>
        <item x="50"/>
        <item x="77"/>
        <item x="271"/>
        <item x="266"/>
        <item x="198"/>
        <item x="250"/>
        <item x="84"/>
        <item x="72"/>
        <item x="26"/>
        <item x="25"/>
        <item x="217"/>
        <item x="260"/>
        <item x="314"/>
        <item x="150"/>
        <item x="265"/>
        <item x="56"/>
        <item x="283"/>
        <item x="284"/>
        <item x="58"/>
        <item x="142"/>
        <item x="99"/>
        <item x="61"/>
        <item x="147"/>
        <item x="94"/>
        <item x="240"/>
        <item x="230"/>
        <item x="127"/>
        <item x="128"/>
        <item x="204"/>
        <item x="19"/>
        <item x="267"/>
        <item x="228"/>
        <item x="229"/>
        <item x="117"/>
        <item x="303"/>
        <item x="0"/>
        <item x="206"/>
        <item x="193"/>
        <item x="118"/>
        <item x="136"/>
        <item x="300"/>
        <item x="196"/>
        <item x="49"/>
        <item x="170"/>
        <item x="302"/>
        <item x="202"/>
        <item x="46"/>
        <item x="259"/>
        <item x="301"/>
        <item x="273"/>
        <item x="62"/>
        <item x="306"/>
        <item x="176"/>
        <item x="177"/>
        <item x="39"/>
        <item x="276"/>
        <item x="253"/>
        <item x="48"/>
        <item x="218"/>
        <item x="287"/>
        <item x="195"/>
        <item x="38"/>
        <item x="112"/>
        <item x="249"/>
        <item x="307"/>
        <item x="9"/>
        <item x="133"/>
        <item x="295"/>
        <item x="134"/>
        <item x="293"/>
        <item x="29"/>
        <item x="294"/>
        <item x="264"/>
        <item x="57"/>
        <item x="163"/>
        <item x="15"/>
        <item x="188"/>
        <item x="101"/>
        <item x="73"/>
        <item x="131"/>
        <item x="109"/>
        <item x="20"/>
        <item x="55"/>
        <item x="93"/>
        <item x="239"/>
        <item x="174"/>
        <item x="10"/>
        <item x="254"/>
        <item x="78"/>
        <item x="137"/>
        <item x="232"/>
        <item x="280"/>
        <item x="281"/>
        <item x="27"/>
        <item x="37"/>
        <item x="52"/>
        <item x="157"/>
        <item x="158"/>
        <item x="156"/>
        <item x="31"/>
        <item x="141"/>
        <item x="226"/>
        <item x="227"/>
        <item x="277"/>
        <item x="208"/>
        <item x="65"/>
        <item x="120"/>
        <item x="151"/>
        <item x="30"/>
        <item x="309"/>
        <item x="111"/>
        <item x="171"/>
        <item x="76"/>
        <item x="102"/>
        <item x="145"/>
        <item x="155"/>
        <item x="79"/>
        <item x="216"/>
        <item x="244"/>
        <item x="268"/>
        <item x="132"/>
        <item x="166"/>
        <item x="220"/>
        <item x="162"/>
        <item x="275"/>
        <item x="299"/>
        <item x="211"/>
        <item x="190"/>
        <item x="191"/>
        <item x="263"/>
        <item x="125"/>
        <item x="219"/>
        <item x="42"/>
        <item x="213"/>
        <item x="215"/>
        <item x="14"/>
        <item x="43"/>
        <item x="296"/>
        <item x="80"/>
        <item x="305"/>
        <item x="255"/>
        <item x="256"/>
        <item x="212"/>
        <item x="183"/>
        <item x="184"/>
        <item x="33"/>
        <item x="34"/>
        <item x="135"/>
        <item x="17"/>
        <item x="139"/>
        <item x="13"/>
        <item x="146"/>
        <item x="225"/>
        <item x="108"/>
        <item x="106"/>
        <item x="24"/>
        <item x="164"/>
        <item x="165"/>
        <item x="207"/>
        <item x="138"/>
        <item x="3"/>
        <item x="200"/>
        <item x="248"/>
        <item x="47"/>
        <item x="115"/>
        <item x="114"/>
        <item x="179"/>
        <item x="185"/>
        <item x="181"/>
        <item x="92"/>
        <item x="104"/>
        <item x="242"/>
        <item x="148"/>
        <item x="149"/>
        <item x="187"/>
        <item x="35"/>
        <item x="153"/>
        <item x="7"/>
        <item x="113"/>
        <item x="36"/>
        <item x="231"/>
        <item x="143"/>
        <item x="69"/>
        <item x="310"/>
        <item x="53"/>
        <item x="21"/>
        <item x="89"/>
        <item x="116"/>
        <item x="5"/>
        <item x="291"/>
        <item x="85"/>
        <item x="86"/>
        <item x="68"/>
        <item x="251"/>
        <item x="237"/>
        <item x="236"/>
        <item x="312"/>
        <item x="243"/>
        <item x="186"/>
        <item x="152"/>
        <item x="96"/>
        <item x="32"/>
        <item x="90"/>
        <item x="286"/>
        <item x="285"/>
        <item x="18"/>
        <item x="110"/>
        <item x="221"/>
        <item x="269"/>
        <item x="270"/>
        <item x="88"/>
        <item x="274"/>
        <item x="292"/>
        <item x="180"/>
        <item x="234"/>
        <item x="8"/>
        <item x="2"/>
        <item x="159"/>
        <item x="160"/>
        <item x="252"/>
        <item x="82"/>
        <item x="124"/>
        <item x="144"/>
        <item x="233"/>
        <item x="262"/>
        <item x="122"/>
        <item x="172"/>
        <item x="123"/>
        <item x="245"/>
        <item x="169"/>
        <item x="40"/>
        <item x="288"/>
        <item x="64"/>
        <item x="6"/>
        <item x="105"/>
        <item x="241"/>
        <item x="23"/>
        <item x="199"/>
        <item x="41"/>
        <item x="81"/>
        <item x="70"/>
        <item x="60"/>
        <item x="189"/>
        <item x="161"/>
        <item x="140"/>
        <item x="192"/>
        <item x="201"/>
        <item x="178"/>
        <item x="16"/>
        <item x="59"/>
        <item x="107"/>
        <item x="22"/>
        <item x="238"/>
        <item x="258"/>
        <item x="235"/>
        <item x="197"/>
        <item x="74"/>
        <item x="130"/>
        <item x="44"/>
        <item x="45"/>
        <item x="126"/>
        <item x="304"/>
        <item x="214"/>
        <item x="66"/>
        <item x="315"/>
        <item x="247"/>
        <item x="282"/>
        <item x="223"/>
        <item x="87"/>
        <item x="224"/>
        <item x="222"/>
        <item x="4"/>
        <item x="261"/>
        <item x="67"/>
        <item x="272"/>
        <item x="18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296">
    <i>
      <x v="27"/>
    </i>
    <i>
      <x v="84"/>
    </i>
    <i>
      <x v="259"/>
    </i>
    <i>
      <x v="195"/>
    </i>
    <i>
      <x v="161"/>
    </i>
    <i>
      <x v="3"/>
    </i>
    <i>
      <x v="227"/>
    </i>
    <i>
      <x v="4"/>
    </i>
    <i>
      <x v="291"/>
    </i>
    <i>
      <x v="5"/>
    </i>
    <i>
      <x v="179"/>
    </i>
    <i>
      <x v="6"/>
    </i>
    <i>
      <x v="211"/>
    </i>
    <i>
      <x v="7"/>
    </i>
    <i>
      <x v="243"/>
    </i>
    <i>
      <x v="8"/>
    </i>
    <i>
      <x v="275"/>
    </i>
    <i>
      <x v="9"/>
    </i>
    <i>
      <x v="153"/>
    </i>
    <i>
      <x v="10"/>
    </i>
    <i>
      <x v="169"/>
    </i>
    <i>
      <x v="11"/>
    </i>
    <i>
      <x v="187"/>
    </i>
    <i>
      <x v="12"/>
    </i>
    <i>
      <x v="203"/>
    </i>
    <i>
      <x v="13"/>
    </i>
    <i>
      <x v="219"/>
    </i>
    <i>
      <x v="14"/>
    </i>
    <i>
      <x v="235"/>
    </i>
    <i>
      <x v="15"/>
    </i>
    <i>
      <x v="251"/>
    </i>
    <i>
      <x v="16"/>
    </i>
    <i>
      <x v="267"/>
    </i>
    <i>
      <x v="17"/>
    </i>
    <i>
      <x v="283"/>
    </i>
    <i>
      <x v="18"/>
    </i>
    <i>
      <x v="149"/>
    </i>
    <i>
      <x v="19"/>
    </i>
    <i>
      <x v="157"/>
    </i>
    <i>
      <x v="20"/>
    </i>
    <i>
      <x v="165"/>
    </i>
    <i>
      <x v="21"/>
    </i>
    <i>
      <x v="175"/>
    </i>
    <i>
      <x v="22"/>
    </i>
    <i>
      <x v="183"/>
    </i>
    <i>
      <x v="23"/>
    </i>
    <i>
      <x v="191"/>
    </i>
    <i>
      <x v="24"/>
    </i>
    <i>
      <x v="199"/>
    </i>
    <i>
      <x v="25"/>
    </i>
    <i>
      <x v="207"/>
    </i>
    <i>
      <x v="26"/>
    </i>
    <i>
      <x v="215"/>
    </i>
    <i>
      <x v="1"/>
    </i>
    <i>
      <x v="223"/>
    </i>
    <i>
      <x v="28"/>
    </i>
    <i>
      <x v="231"/>
    </i>
    <i>
      <x v="29"/>
    </i>
    <i>
      <x v="239"/>
    </i>
    <i>
      <x v="30"/>
    </i>
    <i>
      <x v="247"/>
    </i>
    <i>
      <x v="31"/>
    </i>
    <i>
      <x v="255"/>
    </i>
    <i>
      <x v="32"/>
    </i>
    <i>
      <x v="263"/>
    </i>
    <i>
      <x v="33"/>
    </i>
    <i>
      <x v="271"/>
    </i>
    <i>
      <x v="34"/>
    </i>
    <i>
      <x v="279"/>
    </i>
    <i>
      <x v="35"/>
    </i>
    <i>
      <x v="287"/>
    </i>
    <i>
      <x v="36"/>
    </i>
    <i>
      <x/>
    </i>
    <i>
      <x v="37"/>
    </i>
    <i>
      <x v="151"/>
    </i>
    <i>
      <x v="38"/>
    </i>
    <i>
      <x v="155"/>
    </i>
    <i>
      <x v="39"/>
    </i>
    <i>
      <x v="159"/>
    </i>
    <i>
      <x v="40"/>
    </i>
    <i>
      <x v="163"/>
    </i>
    <i>
      <x v="41"/>
    </i>
    <i>
      <x v="167"/>
    </i>
    <i>
      <x v="42"/>
    </i>
    <i>
      <x v="173"/>
    </i>
    <i>
      <x v="43"/>
    </i>
    <i>
      <x v="177"/>
    </i>
    <i>
      <x v="44"/>
    </i>
    <i>
      <x v="181"/>
    </i>
    <i>
      <x v="45"/>
    </i>
    <i>
      <x v="185"/>
    </i>
    <i>
      <x v="46"/>
    </i>
    <i>
      <x v="189"/>
    </i>
    <i>
      <x v="47"/>
    </i>
    <i>
      <x v="193"/>
    </i>
    <i>
      <x v="48"/>
    </i>
    <i>
      <x v="197"/>
    </i>
    <i>
      <x v="49"/>
    </i>
    <i>
      <x v="201"/>
    </i>
    <i>
      <x v="50"/>
    </i>
    <i>
      <x v="205"/>
    </i>
    <i>
      <x v="51"/>
    </i>
    <i>
      <x v="209"/>
    </i>
    <i>
      <x v="52"/>
    </i>
    <i>
      <x v="213"/>
    </i>
    <i>
      <x v="53"/>
    </i>
    <i>
      <x v="217"/>
    </i>
    <i>
      <x v="54"/>
    </i>
    <i>
      <x v="221"/>
    </i>
    <i>
      <x v="55"/>
    </i>
    <i>
      <x v="225"/>
    </i>
    <i>
      <x v="56"/>
    </i>
    <i>
      <x v="229"/>
    </i>
    <i>
      <x v="57"/>
    </i>
    <i>
      <x v="233"/>
    </i>
    <i>
      <x v="58"/>
    </i>
    <i>
      <x v="237"/>
    </i>
    <i>
      <x v="59"/>
    </i>
    <i>
      <x v="241"/>
    </i>
    <i>
      <x v="60"/>
    </i>
    <i>
      <x v="245"/>
    </i>
    <i>
      <x v="61"/>
    </i>
    <i>
      <x v="249"/>
    </i>
    <i>
      <x v="62"/>
    </i>
    <i>
      <x v="253"/>
    </i>
    <i>
      <x v="63"/>
    </i>
    <i>
      <x v="257"/>
    </i>
    <i>
      <x v="64"/>
    </i>
    <i>
      <x v="261"/>
    </i>
    <i>
      <x v="65"/>
    </i>
    <i>
      <x v="265"/>
    </i>
    <i>
      <x v="66"/>
    </i>
    <i>
      <x v="269"/>
    </i>
    <i>
      <x v="67"/>
    </i>
    <i>
      <x v="273"/>
    </i>
    <i>
      <x v="68"/>
    </i>
    <i>
      <x v="277"/>
    </i>
    <i>
      <x v="69"/>
    </i>
    <i>
      <x v="281"/>
    </i>
    <i>
      <x v="70"/>
    </i>
    <i>
      <x v="285"/>
    </i>
    <i>
      <x v="71"/>
    </i>
    <i>
      <x v="289"/>
    </i>
    <i>
      <x v="72"/>
    </i>
    <i>
      <x v="293"/>
    </i>
    <i>
      <x v="73"/>
    </i>
    <i>
      <x v="148"/>
    </i>
    <i>
      <x v="74"/>
    </i>
    <i>
      <x v="150"/>
    </i>
    <i>
      <x v="75"/>
    </i>
    <i>
      <x v="152"/>
    </i>
    <i>
      <x v="76"/>
    </i>
    <i>
      <x v="154"/>
    </i>
    <i>
      <x v="77"/>
    </i>
    <i>
      <x v="156"/>
    </i>
    <i>
      <x v="78"/>
    </i>
    <i>
      <x v="158"/>
    </i>
    <i>
      <x v="79"/>
    </i>
    <i>
      <x v="160"/>
    </i>
    <i>
      <x v="80"/>
    </i>
    <i>
      <x v="162"/>
    </i>
    <i>
      <x v="81"/>
    </i>
    <i>
      <x v="164"/>
    </i>
    <i>
      <x v="82"/>
    </i>
    <i>
      <x v="166"/>
    </i>
    <i>
      <x v="83"/>
    </i>
    <i>
      <x v="168"/>
    </i>
    <i>
      <x v="170"/>
    </i>
    <i>
      <x v="2"/>
    </i>
    <i>
      <x v="171"/>
    </i>
    <i>
      <x v="172"/>
    </i>
    <i>
      <x v="85"/>
    </i>
    <i>
      <x v="174"/>
    </i>
    <i>
      <x v="86"/>
    </i>
    <i>
      <x v="176"/>
    </i>
    <i>
      <x v="87"/>
    </i>
    <i>
      <x v="178"/>
    </i>
    <i>
      <x v="88"/>
    </i>
    <i>
      <x v="180"/>
    </i>
    <i>
      <x v="89"/>
    </i>
    <i>
      <x v="182"/>
    </i>
    <i>
      <x v="90"/>
    </i>
    <i>
      <x v="184"/>
    </i>
    <i>
      <x v="91"/>
    </i>
    <i>
      <x v="186"/>
    </i>
    <i>
      <x v="92"/>
    </i>
    <i>
      <x v="188"/>
    </i>
    <i>
      <x v="93"/>
    </i>
    <i>
      <x v="190"/>
    </i>
    <i>
      <x v="94"/>
    </i>
    <i>
      <x v="192"/>
    </i>
    <i>
      <x v="95"/>
    </i>
    <i>
      <x v="194"/>
    </i>
    <i>
      <x v="96"/>
    </i>
    <i>
      <x v="196"/>
    </i>
    <i>
      <x v="97"/>
    </i>
    <i>
      <x v="198"/>
    </i>
    <i>
      <x v="98"/>
    </i>
    <i>
      <x v="200"/>
    </i>
    <i>
      <x v="99"/>
    </i>
    <i>
      <x v="202"/>
    </i>
    <i>
      <x v="100"/>
    </i>
    <i>
      <x v="204"/>
    </i>
    <i>
      <x v="101"/>
    </i>
    <i>
      <x v="206"/>
    </i>
    <i>
      <x v="102"/>
    </i>
    <i>
      <x v="208"/>
    </i>
    <i>
      <x v="103"/>
    </i>
    <i>
      <x v="210"/>
    </i>
    <i>
      <x v="104"/>
    </i>
    <i>
      <x v="212"/>
    </i>
    <i>
      <x v="105"/>
    </i>
    <i>
      <x v="214"/>
    </i>
    <i>
      <x v="106"/>
    </i>
    <i>
      <x v="216"/>
    </i>
    <i>
      <x v="107"/>
    </i>
    <i>
      <x v="218"/>
    </i>
    <i>
      <x v="108"/>
    </i>
    <i>
      <x v="220"/>
    </i>
    <i>
      <x v="109"/>
    </i>
    <i>
      <x v="222"/>
    </i>
    <i>
      <x v="110"/>
    </i>
    <i>
      <x v="224"/>
    </i>
    <i>
      <x v="111"/>
    </i>
    <i>
      <x v="226"/>
    </i>
    <i>
      <x v="112"/>
    </i>
    <i>
      <x v="228"/>
    </i>
    <i>
      <x v="113"/>
    </i>
    <i>
      <x v="230"/>
    </i>
    <i>
      <x v="114"/>
    </i>
    <i>
      <x v="232"/>
    </i>
    <i>
      <x v="115"/>
    </i>
    <i>
      <x v="234"/>
    </i>
    <i>
      <x v="116"/>
    </i>
    <i>
      <x v="236"/>
    </i>
    <i>
      <x v="117"/>
    </i>
    <i>
      <x v="238"/>
    </i>
    <i>
      <x v="118"/>
    </i>
    <i>
      <x v="240"/>
    </i>
    <i>
      <x v="119"/>
    </i>
    <i>
      <x v="242"/>
    </i>
    <i>
      <x v="120"/>
    </i>
    <i>
      <x v="244"/>
    </i>
    <i>
      <x v="121"/>
    </i>
    <i>
      <x v="246"/>
    </i>
    <i>
      <x v="122"/>
    </i>
    <i>
      <x v="248"/>
    </i>
    <i>
      <x v="123"/>
    </i>
    <i>
      <x v="250"/>
    </i>
    <i>
      <x v="124"/>
    </i>
    <i>
      <x v="252"/>
    </i>
    <i>
      <x v="125"/>
    </i>
    <i>
      <x v="254"/>
    </i>
    <i>
      <x v="126"/>
    </i>
    <i>
      <x v="256"/>
    </i>
    <i>
      <x v="127"/>
    </i>
    <i>
      <x v="258"/>
    </i>
    <i>
      <x v="128"/>
    </i>
    <i>
      <x v="260"/>
    </i>
    <i>
      <x v="129"/>
    </i>
    <i>
      <x v="262"/>
    </i>
    <i>
      <x v="130"/>
    </i>
    <i>
      <x v="264"/>
    </i>
    <i>
      <x v="131"/>
    </i>
    <i>
      <x v="266"/>
    </i>
    <i>
      <x v="132"/>
    </i>
    <i>
      <x v="268"/>
    </i>
    <i>
      <x v="133"/>
    </i>
    <i>
      <x v="270"/>
    </i>
    <i>
      <x v="134"/>
    </i>
    <i>
      <x v="272"/>
    </i>
    <i>
      <x v="135"/>
    </i>
    <i>
      <x v="274"/>
    </i>
    <i>
      <x v="136"/>
    </i>
    <i>
      <x v="276"/>
    </i>
    <i>
      <x v="137"/>
    </i>
    <i>
      <x v="278"/>
    </i>
    <i>
      <x v="138"/>
    </i>
    <i>
      <x v="280"/>
    </i>
    <i>
      <x v="139"/>
    </i>
    <i>
      <x v="282"/>
    </i>
    <i>
      <x v="140"/>
    </i>
    <i>
      <x v="284"/>
    </i>
    <i>
      <x v="141"/>
    </i>
    <i>
      <x v="286"/>
    </i>
    <i>
      <x v="142"/>
    </i>
    <i>
      <x v="288"/>
    </i>
    <i>
      <x v="143"/>
    </i>
    <i>
      <x v="290"/>
    </i>
    <i>
      <x v="144"/>
    </i>
    <i>
      <x v="292"/>
    </i>
    <i>
      <x v="145"/>
    </i>
    <i>
      <x v="294"/>
    </i>
    <i>
      <x v="146"/>
    </i>
    <i>
      <x v="147"/>
    </i>
    <i t="grand">
      <x/>
    </i>
  </rowItems>
  <colItems count="1">
    <i/>
  </colItems>
  <pageFields count="1">
    <pageField fld="1" hier="-1"/>
  </pageFields>
  <dataFields count="1">
    <dataField name="Количество по полю план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ables/table1.xml><?xml version="1.0" encoding="utf-8"?>
<table xmlns="http://schemas.openxmlformats.org/spreadsheetml/2006/main" id="1" name="Таблица1" displayName="Таблица1" ref="A3:D19" totalsRowCount="1" headerRowDxfId="30">
  <autoFilter ref="A3:D18"/>
  <tableColumns count="4">
    <tableColumn id="1" name="номер участка" dataDxfId="29" totalsRowDxfId="28"/>
    <tableColumn id="2" name="ID" dataDxfId="27" totalsRowDxfId="26"/>
    <tableColumn id="3" name="Ф.И.О."/>
    <tableColumn id="4" name="Сумма по полю 01.08.2016" totalsRowFunction="custom" dataDxfId="25" totalsRowDxfId="24">
      <totalsRowFormula>SUM(D16:D18,D14,D13,D4:D11)</totalsRowFormula>
    </tableColumn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22:H34" totalsRowShown="0" headerRowDxfId="23">
  <autoFilter ref="A22:H34"/>
  <tableColumns count="8">
    <tableColumn id="1" name="куратор"/>
    <tableColumn id="2" name="телефонный номер"/>
    <tableColumn id="3" name="номер участка" dataDxfId="22"/>
    <tableColumn id="4" name="ID" dataDxfId="21"/>
    <tableColumn id="5" name="Ф.И.О."/>
    <tableColumn id="6" name="Сумма по полю 01.08.2016" dataDxfId="20"/>
    <tableColumn id="7" name="Член правления"/>
    <tableColumn id="8" name="Город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Таблица3" displayName="Таблица3" ref="A39:H49" totalsRowShown="0" dataDxfId="19">
  <autoFilter ref="A39:H49"/>
  <tableColumns count="8">
    <tableColumn id="1" name="куратор" dataDxfId="18"/>
    <tableColumn id="2" name="телефонный номер" dataDxfId="17"/>
    <tableColumn id="3" name="номер участка" dataDxfId="16"/>
    <tableColumn id="4" name="ID" dataDxfId="15"/>
    <tableColumn id="5" name="Ф.И.О." dataDxfId="14"/>
    <tableColumn id="6" name="Сумма по полю 01.08.2016" dataDxfId="13"/>
    <tableColumn id="7" name="Член правления" dataDxfId="12"/>
    <tableColumn id="8" name="Город" dataDxfId="11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table" Target="../tables/table3.xml"/><Relationship Id="rId5" Type="http://schemas.openxmlformats.org/officeDocument/2006/relationships/comments" Target="../comments2.xml"/><Relationship Id="rId1" Type="http://schemas.openxmlformats.org/officeDocument/2006/relationships/vmlDrawing" Target="../drawings/vmlDrawing2.vml"/><Relationship Id="rId2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vmlDrawing" Target="../drawings/vmlDrawing7.vml"/><Relationship Id="rId3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Relationship Id="rId2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R305"/>
  <sheetViews>
    <sheetView workbookViewId="0">
      <pane xSplit="6" ySplit="6" topLeftCell="L284" activePane="bottomRight" state="frozen"/>
      <selection pane="topRight" activeCell="E1" sqref="E1"/>
      <selection pane="bottomLeft" activeCell="A7" sqref="A7"/>
      <selection pane="bottomRight" activeCell="M8" sqref="M8:M305"/>
    </sheetView>
  </sheetViews>
  <sheetFormatPr baseColWidth="10" defaultColWidth="8.83203125" defaultRowHeight="14" x14ac:dyDescent="0"/>
  <cols>
    <col min="1" max="1" width="11.83203125" bestFit="1" customWidth="1"/>
    <col min="2" max="2" width="25.33203125" customWidth="1"/>
    <col min="3" max="3" width="14.5" bestFit="1" customWidth="1"/>
    <col min="4" max="4" width="20.5" hidden="1" customWidth="1"/>
    <col min="5" max="5" width="19.6640625" bestFit="1" customWidth="1"/>
    <col min="6" max="6" width="46.5" customWidth="1"/>
    <col min="7" max="18" width="25.5" bestFit="1" customWidth="1"/>
  </cols>
  <sheetData>
    <row r="1" spans="1:18">
      <c r="A1" s="53"/>
      <c r="B1" t="s">
        <v>675</v>
      </c>
    </row>
    <row r="2" spans="1:18">
      <c r="A2" s="54"/>
      <c r="B2" t="s">
        <v>674</v>
      </c>
    </row>
    <row r="3" spans="1:18">
      <c r="B3" t="s">
        <v>673</v>
      </c>
    </row>
    <row r="4" spans="1:18">
      <c r="A4" s="55"/>
      <c r="B4" t="s">
        <v>672</v>
      </c>
    </row>
    <row r="6" spans="1:18">
      <c r="A6" s="51" t="s">
        <v>617</v>
      </c>
      <c r="B6" s="51" t="s">
        <v>1</v>
      </c>
      <c r="C6" s="51" t="s">
        <v>639</v>
      </c>
      <c r="D6" s="64" t="s">
        <v>677</v>
      </c>
      <c r="E6" s="64" t="s">
        <v>676</v>
      </c>
      <c r="F6" s="51" t="s">
        <v>640</v>
      </c>
      <c r="G6" s="51" t="s">
        <v>626</v>
      </c>
      <c r="H6" s="51" t="s">
        <v>627</v>
      </c>
      <c r="I6" s="51" t="s">
        <v>628</v>
      </c>
      <c r="J6" s="51" t="s">
        <v>629</v>
      </c>
      <c r="K6" s="51" t="s">
        <v>630</v>
      </c>
      <c r="L6" s="51" t="s">
        <v>631</v>
      </c>
      <c r="M6" s="51" t="s">
        <v>632</v>
      </c>
      <c r="N6" s="51" t="s">
        <v>633</v>
      </c>
      <c r="O6" s="51" t="s">
        <v>634</v>
      </c>
      <c r="P6" s="51" t="s">
        <v>635</v>
      </c>
      <c r="Q6" s="51" t="s">
        <v>636</v>
      </c>
      <c r="R6" s="51" t="s">
        <v>637</v>
      </c>
    </row>
    <row r="7" spans="1:18">
      <c r="A7" s="51" t="s">
        <v>619</v>
      </c>
      <c r="B7" s="64"/>
      <c r="C7" s="64"/>
      <c r="D7" s="64"/>
      <c r="E7" s="64"/>
      <c r="F7" s="64"/>
      <c r="G7" s="66">
        <v>3756757.7</v>
      </c>
      <c r="H7" s="66">
        <v>3822557.7</v>
      </c>
      <c r="I7" s="66">
        <v>3920957.7</v>
      </c>
      <c r="J7" s="66">
        <v>4039007.7</v>
      </c>
      <c r="K7" s="66">
        <v>4083657.7</v>
      </c>
      <c r="L7" s="66">
        <v>4018357.7</v>
      </c>
      <c r="M7" s="66">
        <v>4255957.7</v>
      </c>
      <c r="N7" s="66">
        <v>4493557.7</v>
      </c>
      <c r="O7" s="66">
        <v>4731157.7</v>
      </c>
      <c r="P7" s="66">
        <v>4968757.7</v>
      </c>
      <c r="Q7" s="66">
        <v>5206357.7</v>
      </c>
      <c r="R7" s="66">
        <v>5443957.7000000002</v>
      </c>
    </row>
    <row r="8" spans="1:18">
      <c r="A8" s="59">
        <v>144</v>
      </c>
      <c r="B8" t="s">
        <v>217</v>
      </c>
      <c r="C8">
        <f>VLOOKUP(A8,справочник!$A$2:$C$322,3,FALSE)</f>
        <v>153</v>
      </c>
      <c r="D8" t="str">
        <f>IFERROR(VLOOKUP(B8,справочник!$AF$2:$AF$15,1,FALSE),"")</f>
        <v/>
      </c>
      <c r="F8" t="s">
        <v>641</v>
      </c>
      <c r="G8" s="62">
        <v>102800</v>
      </c>
      <c r="H8" s="62">
        <v>103600</v>
      </c>
      <c r="I8" s="62">
        <v>104400</v>
      </c>
      <c r="J8" s="62">
        <v>105200</v>
      </c>
      <c r="K8" s="62">
        <v>106000</v>
      </c>
      <c r="L8" s="62">
        <v>106800</v>
      </c>
      <c r="M8" s="62">
        <v>107600</v>
      </c>
      <c r="N8" s="62">
        <v>108400</v>
      </c>
      <c r="O8" s="62">
        <v>109200</v>
      </c>
      <c r="P8" s="62">
        <v>110000</v>
      </c>
      <c r="Q8" s="62">
        <v>110800</v>
      </c>
      <c r="R8" s="62">
        <v>111600</v>
      </c>
    </row>
    <row r="9" spans="1:18">
      <c r="A9" s="59">
        <v>199</v>
      </c>
      <c r="B9" t="s">
        <v>155</v>
      </c>
      <c r="C9">
        <f>VLOOKUP(A9,справочник!$A$2:$C$322,3,FALSE)</f>
        <v>208</v>
      </c>
      <c r="D9" t="str">
        <f>IFERROR(VLOOKUP(B9,справочник!$AF$2:$AF$15,1,FALSE),"")</f>
        <v/>
      </c>
      <c r="F9" t="s">
        <v>37</v>
      </c>
      <c r="G9" s="62">
        <v>86800</v>
      </c>
      <c r="H9" s="62">
        <v>87600</v>
      </c>
      <c r="I9" s="62">
        <v>88400</v>
      </c>
      <c r="J9" s="62">
        <v>89200</v>
      </c>
      <c r="K9" s="62">
        <v>90000</v>
      </c>
      <c r="L9" s="62">
        <v>90800</v>
      </c>
      <c r="M9" s="62">
        <v>91600</v>
      </c>
      <c r="N9" s="62">
        <v>92400</v>
      </c>
      <c r="O9" s="62">
        <v>93200</v>
      </c>
      <c r="P9" s="62">
        <v>94000</v>
      </c>
      <c r="Q9" s="62">
        <v>94800</v>
      </c>
      <c r="R9" s="62">
        <v>95600</v>
      </c>
    </row>
    <row r="10" spans="1:18">
      <c r="A10" s="59">
        <v>56</v>
      </c>
      <c r="B10" t="s">
        <v>144</v>
      </c>
      <c r="C10">
        <f>VLOOKUP(A10,справочник!$A$2:$C$322,3,FALSE)</f>
        <v>58</v>
      </c>
      <c r="D10" t="str">
        <f>IFERROR(VLOOKUP(B10,справочник!$AF$2:$AF$15,1,FALSE),"")</f>
        <v/>
      </c>
      <c r="F10" t="s">
        <v>642</v>
      </c>
      <c r="G10" s="62">
        <v>53800</v>
      </c>
      <c r="H10" s="62">
        <v>54600</v>
      </c>
      <c r="I10" s="62">
        <v>55400</v>
      </c>
      <c r="J10" s="62">
        <v>56200</v>
      </c>
      <c r="K10" s="62">
        <v>57000</v>
      </c>
      <c r="L10" s="62">
        <v>57800</v>
      </c>
      <c r="M10" s="62">
        <v>58600</v>
      </c>
      <c r="N10" s="62">
        <v>59400</v>
      </c>
      <c r="O10" s="62">
        <v>60200</v>
      </c>
      <c r="P10" s="62">
        <v>61000</v>
      </c>
      <c r="Q10" s="62">
        <v>61800</v>
      </c>
      <c r="R10" s="62">
        <v>62600</v>
      </c>
    </row>
    <row r="11" spans="1:18">
      <c r="A11" s="59">
        <v>26</v>
      </c>
      <c r="B11" t="s">
        <v>191</v>
      </c>
      <c r="C11">
        <f>VLOOKUP(A11,справочник!$A$2:$C$322,3,FALSE)</f>
        <v>26</v>
      </c>
      <c r="D11" t="str">
        <f>IFERROR(VLOOKUP(B11,справочник!$AF$2:$AF$15,1,FALSE),"")</f>
        <v/>
      </c>
      <c r="F11" t="s">
        <v>90</v>
      </c>
      <c r="G11" s="62">
        <v>52800</v>
      </c>
      <c r="H11" s="62">
        <v>53600</v>
      </c>
      <c r="I11" s="62">
        <v>54400</v>
      </c>
      <c r="J11" s="62">
        <v>55200</v>
      </c>
      <c r="K11" s="62">
        <v>56000</v>
      </c>
      <c r="L11" s="62">
        <v>56800</v>
      </c>
      <c r="M11" s="62">
        <v>57600</v>
      </c>
      <c r="N11" s="62">
        <v>58400</v>
      </c>
      <c r="O11" s="62">
        <v>59200</v>
      </c>
      <c r="P11" s="62">
        <v>60000</v>
      </c>
      <c r="Q11" s="62">
        <v>60800</v>
      </c>
      <c r="R11" s="62">
        <v>61600</v>
      </c>
    </row>
    <row r="12" spans="1:18">
      <c r="A12" s="59">
        <v>173</v>
      </c>
      <c r="B12" t="s">
        <v>121</v>
      </c>
      <c r="C12">
        <f>VLOOKUP(A12,справочник!$A$2:$C$322,3,FALSE)</f>
        <v>181</v>
      </c>
      <c r="D12" t="str">
        <f>IFERROR(VLOOKUP(B12,справочник!$AF$2:$AF$15,1,FALSE),"")</f>
        <v/>
      </c>
      <c r="F12" t="s">
        <v>247</v>
      </c>
      <c r="G12" s="62">
        <v>51800</v>
      </c>
      <c r="H12" s="62">
        <v>52600</v>
      </c>
      <c r="I12" s="62">
        <v>53400</v>
      </c>
      <c r="J12" s="62">
        <v>54200</v>
      </c>
      <c r="K12" s="62">
        <v>55000</v>
      </c>
      <c r="L12" s="62">
        <v>55800</v>
      </c>
      <c r="M12" s="62">
        <v>56600</v>
      </c>
      <c r="N12" s="62">
        <v>57400</v>
      </c>
      <c r="O12" s="62">
        <v>58200</v>
      </c>
      <c r="P12" s="62">
        <v>59000</v>
      </c>
      <c r="Q12" s="62">
        <v>59800</v>
      </c>
      <c r="R12" s="62">
        <v>60600</v>
      </c>
    </row>
    <row r="13" spans="1:18">
      <c r="A13" s="59">
        <v>278</v>
      </c>
      <c r="B13" t="s">
        <v>231</v>
      </c>
      <c r="C13">
        <f>VLOOKUP(A13,справочник!$A$2:$C$322,3,FALSE)</f>
        <v>290</v>
      </c>
      <c r="D13" t="str">
        <f>IFERROR(VLOOKUP(B13,справочник!$AF$2:$AF$15,1,FALSE),"")</f>
        <v/>
      </c>
      <c r="F13" t="s">
        <v>643</v>
      </c>
      <c r="G13" s="62">
        <v>48800</v>
      </c>
      <c r="H13" s="62">
        <v>49600</v>
      </c>
      <c r="I13" s="62">
        <v>50400</v>
      </c>
      <c r="J13" s="62">
        <v>51200</v>
      </c>
      <c r="K13" s="62">
        <v>52000</v>
      </c>
      <c r="L13" s="62">
        <v>52800</v>
      </c>
      <c r="M13" s="62">
        <v>53600</v>
      </c>
      <c r="N13" s="62">
        <v>54400</v>
      </c>
      <c r="O13" s="62">
        <v>55200</v>
      </c>
      <c r="P13" s="62">
        <v>56000</v>
      </c>
      <c r="Q13" s="62">
        <v>56800</v>
      </c>
      <c r="R13" s="62">
        <v>57600</v>
      </c>
    </row>
    <row r="14" spans="1:18">
      <c r="A14" s="59">
        <v>149</v>
      </c>
      <c r="B14" t="s">
        <v>116</v>
      </c>
      <c r="C14">
        <f>VLOOKUP(A14,справочник!$A$2:$C$322,3,FALSE)</f>
        <v>157</v>
      </c>
      <c r="D14" t="str">
        <f>IFERROR(VLOOKUP(B14,справочник!$AF$2:$AF$15,1,FALSE),"")</f>
        <v/>
      </c>
      <c r="F14" t="s">
        <v>13</v>
      </c>
      <c r="G14" s="62">
        <v>49800</v>
      </c>
      <c r="H14" s="62">
        <v>50600</v>
      </c>
      <c r="I14" s="62">
        <v>50400</v>
      </c>
      <c r="J14" s="62">
        <v>51200</v>
      </c>
      <c r="K14" s="62">
        <v>51000</v>
      </c>
      <c r="L14" s="62">
        <v>51800</v>
      </c>
      <c r="M14" s="62">
        <v>52600</v>
      </c>
      <c r="N14" s="62">
        <v>53400</v>
      </c>
      <c r="O14" s="62">
        <v>54200</v>
      </c>
      <c r="P14" s="62">
        <v>55000</v>
      </c>
      <c r="Q14" s="62">
        <v>55800</v>
      </c>
      <c r="R14" s="62">
        <v>56600</v>
      </c>
    </row>
    <row r="15" spans="1:18">
      <c r="A15" s="59">
        <v>30</v>
      </c>
      <c r="B15" t="s">
        <v>117</v>
      </c>
      <c r="C15">
        <f>VLOOKUP(A15,справочник!$A$2:$C$322,3,FALSE)</f>
        <v>30</v>
      </c>
      <c r="D15" t="str">
        <f>IFERROR(VLOOKUP(B15,справочник!$AF$2:$AF$15,1,FALSE),"")</f>
        <v/>
      </c>
      <c r="F15" t="s">
        <v>90</v>
      </c>
      <c r="G15" s="62">
        <v>47800</v>
      </c>
      <c r="H15" s="62">
        <v>48600</v>
      </c>
      <c r="I15" s="62">
        <v>49400</v>
      </c>
      <c r="J15" s="62">
        <v>50200</v>
      </c>
      <c r="K15" s="62">
        <v>51000</v>
      </c>
      <c r="L15" s="62">
        <v>51800</v>
      </c>
      <c r="M15" s="62">
        <v>52600</v>
      </c>
      <c r="N15" s="62">
        <v>53400</v>
      </c>
      <c r="O15" s="62">
        <v>54200</v>
      </c>
      <c r="P15" s="62">
        <v>55000</v>
      </c>
      <c r="Q15" s="62">
        <v>55800</v>
      </c>
      <c r="R15" s="62">
        <v>56600</v>
      </c>
    </row>
    <row r="16" spans="1:18">
      <c r="A16" s="59">
        <v>223</v>
      </c>
      <c r="B16" s="53" t="s">
        <v>37</v>
      </c>
      <c r="C16">
        <f>VLOOKUP(A16,справочник!$A$2:$C$322,3,FALSE)</f>
        <v>232</v>
      </c>
      <c r="D16" t="str">
        <f>IFERROR(VLOOKUP(B16,справочник!$AF$2:$AF$15,1,FALSE),"")</f>
        <v>Борисов Олег Александрович</v>
      </c>
      <c r="F16" t="s">
        <v>109</v>
      </c>
      <c r="G16" s="62">
        <v>46800</v>
      </c>
      <c r="H16" s="62">
        <v>47600</v>
      </c>
      <c r="I16" s="62">
        <v>48400</v>
      </c>
      <c r="J16" s="62">
        <v>49200</v>
      </c>
      <c r="K16" s="62">
        <v>50000</v>
      </c>
      <c r="L16" s="62">
        <v>50800</v>
      </c>
      <c r="M16" s="62">
        <v>51600</v>
      </c>
      <c r="N16" s="62">
        <v>52400</v>
      </c>
      <c r="O16" s="62">
        <v>53200</v>
      </c>
      <c r="P16" s="62">
        <v>54000</v>
      </c>
      <c r="Q16" s="62">
        <v>54800</v>
      </c>
      <c r="R16" s="62">
        <v>55600</v>
      </c>
    </row>
    <row r="17" spans="1:18">
      <c r="A17" s="59">
        <v>296</v>
      </c>
      <c r="B17" t="s">
        <v>24</v>
      </c>
      <c r="C17">
        <f>VLOOKUP(A17,справочник!$A$2:$C$322,3,FALSE)</f>
        <v>311</v>
      </c>
      <c r="D17" t="str">
        <f>IFERROR(VLOOKUP(B17,справочник!$AF$2:$AF$15,1,FALSE),"")</f>
        <v/>
      </c>
      <c r="F17" t="s">
        <v>103</v>
      </c>
      <c r="G17" s="62">
        <v>44800</v>
      </c>
      <c r="H17" s="62">
        <v>45600</v>
      </c>
      <c r="I17" s="62">
        <v>46400</v>
      </c>
      <c r="J17" s="62">
        <v>47200</v>
      </c>
      <c r="K17" s="62">
        <v>48000</v>
      </c>
      <c r="L17" s="62">
        <v>48800</v>
      </c>
      <c r="M17" s="62">
        <v>49600</v>
      </c>
      <c r="N17" s="62">
        <v>50400</v>
      </c>
      <c r="O17" s="62">
        <v>51200</v>
      </c>
      <c r="P17" s="62">
        <v>52000</v>
      </c>
      <c r="Q17" s="62">
        <v>52800</v>
      </c>
      <c r="R17" s="62">
        <v>53600</v>
      </c>
    </row>
    <row r="18" spans="1:18">
      <c r="A18" s="59">
        <v>67</v>
      </c>
      <c r="B18" t="s">
        <v>230</v>
      </c>
      <c r="C18">
        <f>VLOOKUP(A18,справочник!$A$2:$C$322,3,FALSE)</f>
        <v>69</v>
      </c>
      <c r="D18" t="str">
        <f>IFERROR(VLOOKUP(B18,справочник!$AF$2:$AF$15,1,FALSE),"")</f>
        <v/>
      </c>
      <c r="F18" t="s">
        <v>181</v>
      </c>
      <c r="G18" s="62">
        <v>44800</v>
      </c>
      <c r="H18" s="62">
        <v>45600</v>
      </c>
      <c r="I18" s="62">
        <v>46400</v>
      </c>
      <c r="J18" s="62">
        <v>47200</v>
      </c>
      <c r="K18" s="62">
        <v>48000</v>
      </c>
      <c r="L18" s="62">
        <v>48800</v>
      </c>
      <c r="M18" s="62">
        <v>49600</v>
      </c>
      <c r="N18" s="62">
        <v>50400</v>
      </c>
      <c r="O18" s="62">
        <v>51200</v>
      </c>
      <c r="P18" s="62">
        <v>52000</v>
      </c>
      <c r="Q18" s="62">
        <v>52800</v>
      </c>
      <c r="R18" s="62">
        <v>53600</v>
      </c>
    </row>
    <row r="19" spans="1:18">
      <c r="A19" s="59">
        <v>238</v>
      </c>
      <c r="B19" t="s">
        <v>227</v>
      </c>
      <c r="C19">
        <f>VLOOKUP(A19,справочник!$A$2:$C$322,3,FALSE)</f>
        <v>249</v>
      </c>
      <c r="D19" t="str">
        <f>IFERROR(VLOOKUP(B19,справочник!$AF$2:$AF$15,1,FALSE),"")</f>
        <v/>
      </c>
      <c r="F19" t="s">
        <v>644</v>
      </c>
      <c r="G19" s="62">
        <v>43800</v>
      </c>
      <c r="H19" s="62">
        <v>44600</v>
      </c>
      <c r="I19" s="62">
        <v>45400</v>
      </c>
      <c r="J19" s="62">
        <v>46200</v>
      </c>
      <c r="K19" s="62">
        <v>47000</v>
      </c>
      <c r="L19" s="62">
        <v>47800</v>
      </c>
      <c r="M19" s="62">
        <v>48600</v>
      </c>
      <c r="N19" s="62">
        <v>49400</v>
      </c>
      <c r="O19" s="62">
        <v>50200</v>
      </c>
      <c r="P19" s="62">
        <v>51000</v>
      </c>
      <c r="Q19" s="62">
        <v>51800</v>
      </c>
      <c r="R19" s="62">
        <v>52600</v>
      </c>
    </row>
    <row r="20" spans="1:18">
      <c r="A20" s="59">
        <v>69</v>
      </c>
      <c r="B20" t="s">
        <v>123</v>
      </c>
      <c r="C20">
        <f>VLOOKUP(A20,справочник!$A$2:$C$322,3,FALSE)</f>
        <v>76</v>
      </c>
      <c r="D20" t="str">
        <f>IFERROR(VLOOKUP(B20,справочник!$AF$2:$AF$15,1,FALSE),"")</f>
        <v/>
      </c>
      <c r="F20" t="s">
        <v>181</v>
      </c>
      <c r="G20" s="62">
        <v>39800</v>
      </c>
      <c r="H20" s="62">
        <v>40600</v>
      </c>
      <c r="I20" s="62">
        <v>41400</v>
      </c>
      <c r="J20" s="62">
        <v>42200</v>
      </c>
      <c r="K20" s="62">
        <v>43000</v>
      </c>
      <c r="L20" s="62">
        <v>43800</v>
      </c>
      <c r="M20" s="62">
        <v>44600</v>
      </c>
      <c r="N20" s="62">
        <v>45400</v>
      </c>
      <c r="O20" s="62">
        <v>46200</v>
      </c>
      <c r="P20" s="62">
        <v>47000</v>
      </c>
      <c r="Q20" s="62">
        <v>47800</v>
      </c>
      <c r="R20" s="62">
        <v>48600</v>
      </c>
    </row>
    <row r="21" spans="1:18">
      <c r="A21" s="59">
        <v>7</v>
      </c>
      <c r="B21" t="s">
        <v>14</v>
      </c>
      <c r="C21">
        <f>VLOOKUP(A21,справочник!$A$2:$C$322,3,FALSE)</f>
        <v>14</v>
      </c>
      <c r="D21" t="str">
        <f>IFERROR(VLOOKUP(B21,справочник!$AF$2:$AF$15,1,FALSE),"")</f>
        <v/>
      </c>
      <c r="F21" t="s">
        <v>90</v>
      </c>
      <c r="G21" s="62">
        <v>39800</v>
      </c>
      <c r="H21" s="62">
        <v>40600</v>
      </c>
      <c r="I21" s="62">
        <v>41400</v>
      </c>
      <c r="J21" s="62">
        <v>42200</v>
      </c>
      <c r="K21" s="62">
        <v>43000</v>
      </c>
      <c r="L21" s="62">
        <v>43800</v>
      </c>
      <c r="M21" s="62">
        <v>44600</v>
      </c>
      <c r="N21" s="62">
        <v>45400</v>
      </c>
      <c r="O21" s="62">
        <v>46200</v>
      </c>
      <c r="P21" s="62">
        <v>47000</v>
      </c>
      <c r="Q21" s="62">
        <v>47800</v>
      </c>
      <c r="R21" s="62">
        <v>48600</v>
      </c>
    </row>
    <row r="22" spans="1:18">
      <c r="A22" s="59">
        <v>172</v>
      </c>
      <c r="B22" t="s">
        <v>255</v>
      </c>
      <c r="C22">
        <f>VLOOKUP(A22,справочник!$A$2:$C$322,3,FALSE)</f>
        <v>180</v>
      </c>
      <c r="D22" t="str">
        <f>IFERROR(VLOOKUP(B22,справочник!$AF$2:$AF$15,1,FALSE),"")</f>
        <v/>
      </c>
      <c r="F22" t="s">
        <v>13</v>
      </c>
      <c r="G22" s="62">
        <v>38800</v>
      </c>
      <c r="H22" s="62">
        <v>39600</v>
      </c>
      <c r="I22" s="62">
        <v>40400</v>
      </c>
      <c r="J22" s="62">
        <v>41200</v>
      </c>
      <c r="K22" s="62">
        <v>42000</v>
      </c>
      <c r="L22" s="62">
        <v>42800</v>
      </c>
      <c r="M22" s="62">
        <v>43600</v>
      </c>
      <c r="N22" s="62">
        <v>44400</v>
      </c>
      <c r="O22" s="62">
        <v>45200</v>
      </c>
      <c r="P22" s="62">
        <v>46000</v>
      </c>
      <c r="Q22" s="62">
        <v>46800</v>
      </c>
      <c r="R22" s="62">
        <v>47600</v>
      </c>
    </row>
    <row r="23" spans="1:18">
      <c r="A23" s="59">
        <v>114</v>
      </c>
      <c r="B23" t="s">
        <v>31</v>
      </c>
      <c r="C23">
        <f>VLOOKUP(A23,справочник!$A$2:$C$322,3,FALSE)</f>
        <v>119</v>
      </c>
      <c r="D23" t="str">
        <f>IFERROR(VLOOKUP(B23,справочник!$AF$2:$AF$15,1,FALSE),"")</f>
        <v/>
      </c>
      <c r="F23" t="s">
        <v>645</v>
      </c>
      <c r="G23" s="62">
        <v>35800</v>
      </c>
      <c r="H23" s="62">
        <v>36600</v>
      </c>
      <c r="I23" s="62">
        <v>37400</v>
      </c>
      <c r="J23" s="62">
        <v>38200</v>
      </c>
      <c r="K23" s="62">
        <v>39000</v>
      </c>
      <c r="L23" s="62">
        <v>39800</v>
      </c>
      <c r="M23" s="62">
        <v>40600</v>
      </c>
      <c r="N23" s="62">
        <v>41400</v>
      </c>
      <c r="O23" s="62">
        <v>42200</v>
      </c>
      <c r="P23" s="62">
        <v>43000</v>
      </c>
      <c r="Q23" s="62">
        <v>43800</v>
      </c>
      <c r="R23" s="62">
        <v>44600</v>
      </c>
    </row>
    <row r="24" spans="1:18">
      <c r="A24" s="59">
        <v>106</v>
      </c>
      <c r="B24" t="s">
        <v>108</v>
      </c>
      <c r="C24">
        <f>VLOOKUP(A24,справочник!$A$2:$C$322,3,FALSE)</f>
        <v>111</v>
      </c>
      <c r="D24" t="str">
        <f>IFERROR(VLOOKUP(B24,справочник!$AF$2:$AF$15,1,FALSE),"")</f>
        <v/>
      </c>
      <c r="F24" t="s">
        <v>645</v>
      </c>
      <c r="G24" s="62">
        <v>35800</v>
      </c>
      <c r="H24" s="62">
        <v>36600</v>
      </c>
      <c r="I24" s="62">
        <v>37400</v>
      </c>
      <c r="J24" s="62">
        <v>38200</v>
      </c>
      <c r="K24" s="62">
        <v>39000</v>
      </c>
      <c r="L24" s="62">
        <v>39800</v>
      </c>
      <c r="M24" s="62">
        <v>40600</v>
      </c>
      <c r="N24" s="62">
        <v>41400</v>
      </c>
      <c r="O24" s="62">
        <v>42200</v>
      </c>
      <c r="P24" s="62">
        <v>43000</v>
      </c>
      <c r="Q24" s="62">
        <v>43800</v>
      </c>
      <c r="R24" s="62">
        <v>44600</v>
      </c>
    </row>
    <row r="25" spans="1:18">
      <c r="A25" s="59">
        <v>139</v>
      </c>
      <c r="B25" t="s">
        <v>150</v>
      </c>
      <c r="C25">
        <f>VLOOKUP(A25,справочник!$A$2:$C$322,3,FALSE)</f>
        <v>149</v>
      </c>
      <c r="D25" t="str">
        <f>IFERROR(VLOOKUP(B25,справочник!$AF$2:$AF$15,1,FALSE),"")</f>
        <v/>
      </c>
      <c r="F25" t="s">
        <v>641</v>
      </c>
      <c r="G25" s="62">
        <v>39800</v>
      </c>
      <c r="H25" s="62">
        <v>40600</v>
      </c>
      <c r="I25" s="62">
        <v>41400</v>
      </c>
      <c r="J25" s="62">
        <v>42200</v>
      </c>
      <c r="K25" s="62">
        <v>38200</v>
      </c>
      <c r="L25" s="62">
        <v>39000</v>
      </c>
      <c r="M25" s="62">
        <v>39800</v>
      </c>
      <c r="N25" s="62">
        <v>40600</v>
      </c>
      <c r="O25" s="62">
        <v>41400</v>
      </c>
      <c r="P25" s="62">
        <v>42200</v>
      </c>
      <c r="Q25" s="62">
        <v>43000</v>
      </c>
      <c r="R25" s="62">
        <v>43800</v>
      </c>
    </row>
    <row r="26" spans="1:18">
      <c r="A26" s="59">
        <v>197</v>
      </c>
      <c r="B26" t="s">
        <v>102</v>
      </c>
      <c r="C26">
        <f>VLOOKUP(A26,справочник!$A$2:$C$322,3,FALSE)</f>
        <v>205</v>
      </c>
      <c r="D26" t="str">
        <f>IFERROR(VLOOKUP(B26,справочник!$AF$2:$AF$15,1,FALSE),"")</f>
        <v/>
      </c>
      <c r="F26" t="s">
        <v>37</v>
      </c>
      <c r="G26" s="62">
        <v>34800</v>
      </c>
      <c r="H26" s="62">
        <v>35600</v>
      </c>
      <c r="I26" s="62">
        <v>36400</v>
      </c>
      <c r="J26" s="62">
        <v>37200</v>
      </c>
      <c r="K26" s="62">
        <v>38000</v>
      </c>
      <c r="L26" s="62">
        <v>38800</v>
      </c>
      <c r="M26" s="62">
        <v>39600</v>
      </c>
      <c r="N26" s="62">
        <v>40400</v>
      </c>
      <c r="O26" s="62">
        <v>41200</v>
      </c>
      <c r="P26" s="62">
        <v>42000</v>
      </c>
      <c r="Q26" s="62">
        <v>42800</v>
      </c>
      <c r="R26" s="62">
        <v>43600</v>
      </c>
    </row>
    <row r="27" spans="1:18">
      <c r="A27" s="59">
        <v>188</v>
      </c>
      <c r="B27" t="s">
        <v>35</v>
      </c>
      <c r="C27">
        <f>VLOOKUP(A27,справочник!$A$2:$C$322,3,FALSE)</f>
        <v>197</v>
      </c>
      <c r="D27" t="str">
        <f>IFERROR(VLOOKUP(B27,справочник!$AF$2:$AF$15,1,FALSE),"")</f>
        <v/>
      </c>
      <c r="F27" t="s">
        <v>247</v>
      </c>
      <c r="G27" s="62">
        <v>34800</v>
      </c>
      <c r="H27" s="62">
        <v>35600</v>
      </c>
      <c r="I27" s="62">
        <v>36400</v>
      </c>
      <c r="J27" s="62">
        <v>37200</v>
      </c>
      <c r="K27" s="62">
        <v>38000</v>
      </c>
      <c r="L27" s="62">
        <v>38800</v>
      </c>
      <c r="M27" s="62">
        <v>39600</v>
      </c>
      <c r="N27" s="62">
        <v>40400</v>
      </c>
      <c r="O27" s="62">
        <v>41200</v>
      </c>
      <c r="P27" s="62">
        <v>42000</v>
      </c>
      <c r="Q27" s="62">
        <v>42800</v>
      </c>
      <c r="R27" s="62">
        <v>43600</v>
      </c>
    </row>
    <row r="28" spans="1:18">
      <c r="A28" s="59">
        <v>183</v>
      </c>
      <c r="B28" s="53" t="s">
        <v>247</v>
      </c>
      <c r="C28">
        <f>VLOOKUP(A28,справочник!$A$2:$C$322,3,FALSE)</f>
        <v>192</v>
      </c>
      <c r="D28" t="str">
        <f>IFERROR(VLOOKUP(B28,справочник!$AF$2:$AF$15,1,FALSE),"")</f>
        <v>Спиридонов Андрей Владимирович</v>
      </c>
      <c r="F28" t="s">
        <v>247</v>
      </c>
      <c r="G28" s="62">
        <v>34800</v>
      </c>
      <c r="H28" s="62">
        <v>35600</v>
      </c>
      <c r="I28" s="62">
        <v>36400</v>
      </c>
      <c r="J28" s="62">
        <v>37200</v>
      </c>
      <c r="K28" s="62">
        <v>38000</v>
      </c>
      <c r="L28" s="62">
        <v>38800</v>
      </c>
      <c r="M28" s="62">
        <v>39600</v>
      </c>
      <c r="N28" s="62">
        <v>40400</v>
      </c>
      <c r="O28" s="62">
        <v>41200</v>
      </c>
      <c r="P28" s="62">
        <v>42000</v>
      </c>
      <c r="Q28" s="62">
        <v>42800</v>
      </c>
      <c r="R28" s="62">
        <v>43600</v>
      </c>
    </row>
    <row r="29" spans="1:18">
      <c r="A29" s="59">
        <v>77</v>
      </c>
      <c r="B29" t="s">
        <v>295</v>
      </c>
      <c r="C29">
        <f>VLOOKUP(A29,справочник!$A$2:$C$322,3,FALSE)</f>
        <v>83</v>
      </c>
      <c r="D29" t="str">
        <f>IFERROR(VLOOKUP(B29,справочник!$AF$2:$AF$15,1,FALSE),"")</f>
        <v/>
      </c>
      <c r="F29" t="s">
        <v>2</v>
      </c>
      <c r="G29" s="62">
        <v>33800</v>
      </c>
      <c r="H29" s="62">
        <v>34600</v>
      </c>
      <c r="I29" s="62">
        <v>35400</v>
      </c>
      <c r="J29" s="62">
        <v>36200</v>
      </c>
      <c r="K29" s="62">
        <v>37000</v>
      </c>
      <c r="L29" s="62">
        <v>37800</v>
      </c>
      <c r="M29" s="62">
        <v>38600</v>
      </c>
      <c r="N29" s="62">
        <v>39400</v>
      </c>
      <c r="O29" s="62">
        <v>40200</v>
      </c>
      <c r="P29" s="62">
        <v>41000</v>
      </c>
      <c r="Q29" s="62">
        <v>41800</v>
      </c>
      <c r="R29" s="62">
        <v>42600</v>
      </c>
    </row>
    <row r="30" spans="1:18">
      <c r="A30" s="59">
        <v>299</v>
      </c>
      <c r="B30" t="s">
        <v>224</v>
      </c>
      <c r="C30">
        <f>VLOOKUP(A30,справочник!$A$2:$C$322,3,FALSE)</f>
        <v>314</v>
      </c>
      <c r="D30" t="str">
        <f>IFERROR(VLOOKUP(B30,справочник!$AF$2:$AF$15,1,FALSE),"")</f>
        <v/>
      </c>
      <c r="F30" t="s">
        <v>103</v>
      </c>
      <c r="G30" s="62">
        <v>32800</v>
      </c>
      <c r="H30" s="62">
        <v>33600</v>
      </c>
      <c r="I30" s="62">
        <v>34400</v>
      </c>
      <c r="J30" s="62">
        <v>35200</v>
      </c>
      <c r="K30" s="62">
        <v>36000</v>
      </c>
      <c r="L30" s="62">
        <v>36800</v>
      </c>
      <c r="M30" s="62">
        <v>37600</v>
      </c>
      <c r="N30" s="62">
        <v>38400</v>
      </c>
      <c r="O30" s="62">
        <v>39200</v>
      </c>
      <c r="P30" s="62">
        <v>40000</v>
      </c>
      <c r="Q30" s="62">
        <v>40800</v>
      </c>
      <c r="R30" s="62">
        <v>41600</v>
      </c>
    </row>
    <row r="31" spans="1:18">
      <c r="A31" s="59">
        <v>306</v>
      </c>
      <c r="B31" t="s">
        <v>296</v>
      </c>
      <c r="C31">
        <f>VLOOKUP(A31,справочник!$A$2:$C$322,3,FALSE)</f>
        <v>321</v>
      </c>
      <c r="D31" t="str">
        <f>IFERROR(VLOOKUP(B31,справочник!$AF$2:$AF$15,1,FALSE),"")</f>
        <v/>
      </c>
      <c r="F31" t="s">
        <v>103</v>
      </c>
      <c r="G31" s="62">
        <v>31800</v>
      </c>
      <c r="H31" s="62">
        <v>32600</v>
      </c>
      <c r="I31" s="62">
        <v>33400</v>
      </c>
      <c r="J31" s="62">
        <v>34200</v>
      </c>
      <c r="K31" s="62">
        <v>35000</v>
      </c>
      <c r="L31" s="62">
        <v>35800</v>
      </c>
      <c r="M31" s="62">
        <v>36600</v>
      </c>
      <c r="N31" s="62">
        <v>37400</v>
      </c>
      <c r="O31" s="62">
        <v>38200</v>
      </c>
      <c r="P31" s="62">
        <v>39000</v>
      </c>
      <c r="Q31" s="62">
        <v>39800</v>
      </c>
      <c r="R31" s="62">
        <v>40600</v>
      </c>
    </row>
    <row r="32" spans="1:18">
      <c r="A32" s="59">
        <v>91</v>
      </c>
      <c r="B32" t="s">
        <v>250</v>
      </c>
      <c r="C32">
        <f>VLOOKUP(A32,справочник!$A$2:$C$322,3,FALSE)</f>
        <v>96</v>
      </c>
      <c r="D32" t="str">
        <f>IFERROR(VLOOKUP(B32,справочник!$AF$2:$AF$15,1,FALSE),"")</f>
        <v/>
      </c>
      <c r="F32" t="s">
        <v>2</v>
      </c>
      <c r="G32" s="62">
        <v>31800</v>
      </c>
      <c r="H32" s="62">
        <v>32600</v>
      </c>
      <c r="I32" s="62">
        <v>33400</v>
      </c>
      <c r="J32" s="62">
        <v>34200</v>
      </c>
      <c r="K32" s="62">
        <v>35000</v>
      </c>
      <c r="L32" s="62">
        <v>35800</v>
      </c>
      <c r="M32" s="62">
        <v>36600</v>
      </c>
      <c r="N32" s="62">
        <v>37400</v>
      </c>
      <c r="O32" s="62">
        <v>38200</v>
      </c>
      <c r="P32" s="62">
        <v>39000</v>
      </c>
      <c r="Q32" s="62">
        <v>39800</v>
      </c>
      <c r="R32" s="62">
        <v>40600</v>
      </c>
    </row>
    <row r="33" spans="1:18">
      <c r="A33" s="59">
        <v>150</v>
      </c>
      <c r="B33" t="s">
        <v>145</v>
      </c>
      <c r="C33">
        <f>VLOOKUP(A33,справочник!$A$2:$C$322,3,FALSE)</f>
        <v>158</v>
      </c>
      <c r="D33" t="str">
        <f>IFERROR(VLOOKUP(B33,справочник!$AF$2:$AF$15,1,FALSE),"")</f>
        <v/>
      </c>
      <c r="F33" t="s">
        <v>13</v>
      </c>
      <c r="G33" s="62">
        <v>30800</v>
      </c>
      <c r="H33" s="62">
        <v>31600</v>
      </c>
      <c r="I33" s="62">
        <v>32400</v>
      </c>
      <c r="J33" s="62">
        <v>33200</v>
      </c>
      <c r="K33" s="62">
        <v>34000</v>
      </c>
      <c r="L33" s="62">
        <v>34800</v>
      </c>
      <c r="M33" s="62">
        <v>35600</v>
      </c>
      <c r="N33" s="62">
        <v>36400</v>
      </c>
      <c r="O33" s="62">
        <v>37200</v>
      </c>
      <c r="P33" s="62">
        <v>38000</v>
      </c>
      <c r="Q33" s="62">
        <v>38800</v>
      </c>
      <c r="R33" s="62">
        <v>39600</v>
      </c>
    </row>
    <row r="34" spans="1:18">
      <c r="A34" s="60">
        <v>135</v>
      </c>
      <c r="B34" t="s">
        <v>273</v>
      </c>
      <c r="C34">
        <v>142</v>
      </c>
      <c r="D34" t="str">
        <f>IFERROR(VLOOKUP(B34,справочник!$AF$2:$AF$15,1,FALSE),"")</f>
        <v/>
      </c>
      <c r="F34" t="s">
        <v>641</v>
      </c>
      <c r="G34" s="62">
        <v>59800</v>
      </c>
      <c r="H34" s="62">
        <v>60600</v>
      </c>
      <c r="I34" s="62">
        <v>53400</v>
      </c>
      <c r="J34" s="62">
        <v>54200</v>
      </c>
      <c r="K34" s="62">
        <v>55000</v>
      </c>
      <c r="L34" s="62">
        <v>34800</v>
      </c>
      <c r="M34" s="62">
        <v>35600</v>
      </c>
      <c r="N34" s="62">
        <v>36400</v>
      </c>
      <c r="O34" s="62">
        <v>37200</v>
      </c>
      <c r="P34" s="62">
        <v>38000</v>
      </c>
      <c r="Q34" s="62">
        <v>38800</v>
      </c>
      <c r="R34" s="62">
        <v>39600</v>
      </c>
    </row>
    <row r="35" spans="1:18">
      <c r="A35" s="59">
        <v>78</v>
      </c>
      <c r="B35" t="s">
        <v>294</v>
      </c>
      <c r="C35">
        <f>VLOOKUP(A35,справочник!$A$2:$C$322,3,FALSE)</f>
        <v>83</v>
      </c>
      <c r="D35" t="str">
        <f>IFERROR(VLOOKUP(B35,справочник!$AF$2:$AF$15,1,FALSE),"")</f>
        <v/>
      </c>
      <c r="F35" t="s">
        <v>2</v>
      </c>
      <c r="G35" s="62">
        <v>30800</v>
      </c>
      <c r="H35" s="62">
        <v>31600</v>
      </c>
      <c r="I35" s="62">
        <v>32400</v>
      </c>
      <c r="J35" s="62">
        <v>33200</v>
      </c>
      <c r="K35" s="62">
        <v>34000</v>
      </c>
      <c r="L35" s="62">
        <v>34800</v>
      </c>
      <c r="M35" s="62">
        <v>35600</v>
      </c>
      <c r="N35" s="62">
        <v>36400</v>
      </c>
      <c r="O35" s="62">
        <v>37200</v>
      </c>
      <c r="P35" s="62">
        <v>38000</v>
      </c>
      <c r="Q35" s="62">
        <v>38800</v>
      </c>
      <c r="R35" s="62">
        <v>39600</v>
      </c>
    </row>
    <row r="36" spans="1:18">
      <c r="A36" s="59">
        <v>113</v>
      </c>
      <c r="B36" t="s">
        <v>286</v>
      </c>
      <c r="C36" t="str">
        <f>VLOOKUP(A36,справочник!$A$2:$C$322,3,FALSE)</f>
        <v>116+118+120</v>
      </c>
      <c r="D36" t="str">
        <f>IFERROR(VLOOKUP(B36,справочник!$AF$2:$AF$15,1,FALSE),"")</f>
        <v/>
      </c>
      <c r="F36" t="s">
        <v>645</v>
      </c>
      <c r="G36" s="62">
        <v>41000</v>
      </c>
      <c r="H36" s="62">
        <v>41000</v>
      </c>
      <c r="I36" s="62">
        <v>41000</v>
      </c>
      <c r="J36" s="62">
        <v>38000</v>
      </c>
      <c r="K36" s="62">
        <v>38000</v>
      </c>
      <c r="L36" s="62">
        <v>35000</v>
      </c>
      <c r="M36" s="62">
        <v>35000</v>
      </c>
      <c r="N36" s="62">
        <v>35000</v>
      </c>
      <c r="O36" s="62">
        <v>35000</v>
      </c>
      <c r="P36" s="62">
        <v>35000</v>
      </c>
      <c r="Q36" s="62">
        <v>35000</v>
      </c>
      <c r="R36" s="62">
        <v>35000</v>
      </c>
    </row>
    <row r="37" spans="1:18">
      <c r="A37" s="59">
        <v>242</v>
      </c>
      <c r="B37" t="s">
        <v>175</v>
      </c>
      <c r="C37">
        <f>VLOOKUP(A37,справочник!$A$2:$C$322,3,FALSE)</f>
        <v>253</v>
      </c>
      <c r="D37" t="str">
        <f>IFERROR(VLOOKUP(B37,справочник!$AF$2:$AF$15,1,FALSE),"")</f>
        <v/>
      </c>
      <c r="F37" t="s">
        <v>644</v>
      </c>
      <c r="G37" s="62">
        <v>29800</v>
      </c>
      <c r="H37" s="62">
        <v>30600</v>
      </c>
      <c r="I37" s="62">
        <v>31400</v>
      </c>
      <c r="J37" s="62">
        <v>32200</v>
      </c>
      <c r="K37" s="62">
        <v>33000</v>
      </c>
      <c r="L37" s="62">
        <v>33800</v>
      </c>
      <c r="M37" s="62">
        <v>34600</v>
      </c>
      <c r="N37" s="62">
        <v>35400</v>
      </c>
      <c r="O37" s="62">
        <v>36200</v>
      </c>
      <c r="P37" s="62">
        <v>37000</v>
      </c>
      <c r="Q37" s="62">
        <v>37800</v>
      </c>
      <c r="R37" s="62">
        <v>38600</v>
      </c>
    </row>
    <row r="38" spans="1:18">
      <c r="A38" s="59">
        <v>99</v>
      </c>
      <c r="B38" t="s">
        <v>268</v>
      </c>
      <c r="C38">
        <f>VLOOKUP(A38,справочник!$A$2:$C$322,3,FALSE)</f>
        <v>104</v>
      </c>
      <c r="D38" t="str">
        <f>IFERROR(VLOOKUP(B38,справочник!$AF$2:$AF$15,1,FALSE),"")</f>
        <v/>
      </c>
      <c r="F38" t="s">
        <v>645</v>
      </c>
      <c r="G38" s="62">
        <v>29800</v>
      </c>
      <c r="H38" s="62">
        <v>30600</v>
      </c>
      <c r="I38" s="62">
        <v>31400</v>
      </c>
      <c r="J38" s="62">
        <v>32200</v>
      </c>
      <c r="K38" s="62">
        <v>33000</v>
      </c>
      <c r="L38" s="62">
        <v>33800</v>
      </c>
      <c r="M38" s="62">
        <v>34600</v>
      </c>
      <c r="N38" s="62">
        <v>35400</v>
      </c>
      <c r="O38" s="62">
        <v>36200</v>
      </c>
      <c r="P38" s="62">
        <v>37000</v>
      </c>
      <c r="Q38" s="62">
        <v>37800</v>
      </c>
      <c r="R38" s="62">
        <v>38600</v>
      </c>
    </row>
    <row r="39" spans="1:18">
      <c r="A39" s="59">
        <v>48</v>
      </c>
      <c r="B39" t="s">
        <v>242</v>
      </c>
      <c r="C39">
        <f>VLOOKUP(A39,справочник!$A$2:$C$322,3,FALSE)</f>
        <v>48</v>
      </c>
      <c r="D39" t="str">
        <f>IFERROR(VLOOKUP(B39,справочник!$AF$2:$AF$15,1,FALSE),"")</f>
        <v/>
      </c>
      <c r="F39" t="s">
        <v>642</v>
      </c>
      <c r="G39" s="62">
        <v>29800</v>
      </c>
      <c r="H39" s="62">
        <v>30600</v>
      </c>
      <c r="I39" s="62">
        <v>31400</v>
      </c>
      <c r="J39" s="62">
        <v>32200</v>
      </c>
      <c r="K39" s="62">
        <v>33000</v>
      </c>
      <c r="L39" s="62">
        <v>33800</v>
      </c>
      <c r="M39" s="62">
        <v>34600</v>
      </c>
      <c r="N39" s="62">
        <v>35400</v>
      </c>
      <c r="O39" s="62">
        <v>36200</v>
      </c>
      <c r="P39" s="62">
        <v>37000</v>
      </c>
      <c r="Q39" s="62">
        <v>37800</v>
      </c>
      <c r="R39" s="62">
        <v>38600</v>
      </c>
    </row>
    <row r="40" spans="1:18">
      <c r="A40" s="59">
        <v>288</v>
      </c>
      <c r="B40" t="s">
        <v>152</v>
      </c>
      <c r="C40">
        <f>VLOOKUP(A40,справочник!$A$2:$C$322,3,FALSE)</f>
        <v>300</v>
      </c>
      <c r="D40" t="str">
        <f>IFERROR(VLOOKUP(B40,справочник!$AF$2:$AF$15,1,FALSE),"")</f>
        <v/>
      </c>
      <c r="F40" t="s">
        <v>643</v>
      </c>
      <c r="G40" s="62">
        <v>28800</v>
      </c>
      <c r="H40" s="62">
        <v>29600</v>
      </c>
      <c r="I40" s="62">
        <v>30400</v>
      </c>
      <c r="J40" s="62">
        <v>31200</v>
      </c>
      <c r="K40" s="62">
        <v>32000</v>
      </c>
      <c r="L40" s="62">
        <v>32800</v>
      </c>
      <c r="M40" s="62">
        <v>33600</v>
      </c>
      <c r="N40" s="62">
        <v>34400</v>
      </c>
      <c r="O40" s="62">
        <v>35200</v>
      </c>
      <c r="P40" s="62">
        <v>36000</v>
      </c>
      <c r="Q40" s="62">
        <v>36800</v>
      </c>
      <c r="R40" s="62">
        <v>37600</v>
      </c>
    </row>
    <row r="41" spans="1:18">
      <c r="A41" s="59">
        <v>148</v>
      </c>
      <c r="B41" t="s">
        <v>63</v>
      </c>
      <c r="C41">
        <f>VLOOKUP(A41,справочник!$A$2:$C$322,3,FALSE)</f>
        <v>156</v>
      </c>
      <c r="D41" t="str">
        <f>IFERROR(VLOOKUP(B41,справочник!$AF$2:$AF$15,1,FALSE),"")</f>
        <v/>
      </c>
      <c r="F41" t="s">
        <v>13</v>
      </c>
      <c r="G41" s="62">
        <v>33800</v>
      </c>
      <c r="H41" s="62">
        <v>32800</v>
      </c>
      <c r="I41" s="62">
        <v>31800</v>
      </c>
      <c r="J41" s="62">
        <v>30800</v>
      </c>
      <c r="K41" s="62">
        <v>31600</v>
      </c>
      <c r="L41" s="62">
        <v>32400</v>
      </c>
      <c r="M41" s="62">
        <v>33200</v>
      </c>
      <c r="N41" s="62">
        <v>34000</v>
      </c>
      <c r="O41" s="62">
        <v>34800</v>
      </c>
      <c r="P41" s="62">
        <v>35600</v>
      </c>
      <c r="Q41" s="62">
        <v>36400</v>
      </c>
      <c r="R41" s="62">
        <v>37200</v>
      </c>
    </row>
    <row r="42" spans="1:18">
      <c r="A42" s="59">
        <v>63</v>
      </c>
      <c r="B42" t="s">
        <v>95</v>
      </c>
      <c r="C42">
        <f>VLOOKUP(A42,справочник!$A$2:$C$322,3,FALSE)</f>
        <v>65</v>
      </c>
      <c r="D42" t="str">
        <f>IFERROR(VLOOKUP(B42,справочник!$AF$2:$AF$15,1,FALSE),"")</f>
        <v/>
      </c>
      <c r="F42" t="s">
        <v>181</v>
      </c>
      <c r="G42" s="62">
        <v>28800</v>
      </c>
      <c r="H42" s="62">
        <v>29600</v>
      </c>
      <c r="I42" s="62">
        <v>30400</v>
      </c>
      <c r="J42" s="62">
        <v>31200</v>
      </c>
      <c r="K42" s="62">
        <v>32000</v>
      </c>
      <c r="L42" s="62">
        <v>32000</v>
      </c>
      <c r="M42" s="62">
        <v>32800</v>
      </c>
      <c r="N42" s="62">
        <v>33600</v>
      </c>
      <c r="O42" s="62">
        <v>34400</v>
      </c>
      <c r="P42" s="62">
        <v>35200</v>
      </c>
      <c r="Q42" s="62">
        <v>36000</v>
      </c>
      <c r="R42" s="62">
        <v>36800</v>
      </c>
    </row>
    <row r="43" spans="1:18">
      <c r="A43" s="59">
        <v>257</v>
      </c>
      <c r="B43" t="s">
        <v>169</v>
      </c>
      <c r="C43">
        <f>VLOOKUP(A43,справочник!$A$2:$C$322,3,FALSE)</f>
        <v>270</v>
      </c>
      <c r="D43" t="str">
        <f>IFERROR(VLOOKUP(B43,справочник!$AF$2:$AF$15,1,FALSE),"")</f>
        <v/>
      </c>
      <c r="F43" t="s">
        <v>146</v>
      </c>
      <c r="G43" s="62">
        <v>26800</v>
      </c>
      <c r="H43" s="62">
        <v>27600</v>
      </c>
      <c r="I43" s="62">
        <v>28400</v>
      </c>
      <c r="J43" s="62">
        <v>29200</v>
      </c>
      <c r="K43" s="62">
        <v>30000</v>
      </c>
      <c r="L43" s="62">
        <v>30800</v>
      </c>
      <c r="M43" s="62">
        <v>31600</v>
      </c>
      <c r="N43" s="62">
        <v>32400</v>
      </c>
      <c r="O43" s="62">
        <v>33200</v>
      </c>
      <c r="P43" s="62">
        <v>34000</v>
      </c>
      <c r="Q43" s="62">
        <v>34800</v>
      </c>
      <c r="R43" s="62">
        <v>35600</v>
      </c>
    </row>
    <row r="44" spans="1:18">
      <c r="A44" s="59">
        <v>12</v>
      </c>
      <c r="B44" t="s">
        <v>94</v>
      </c>
      <c r="C44">
        <f>VLOOKUP(A44,справочник!$A$2:$C$322,3,FALSE)</f>
        <v>12</v>
      </c>
      <c r="D44" t="str">
        <f>IFERROR(VLOOKUP(B44,справочник!$AF$2:$AF$15,1,FALSE),"")</f>
        <v/>
      </c>
      <c r="F44" t="s">
        <v>90</v>
      </c>
      <c r="G44" s="62">
        <v>26800</v>
      </c>
      <c r="H44" s="62">
        <v>27600</v>
      </c>
      <c r="I44" s="62">
        <v>28400</v>
      </c>
      <c r="J44" s="62">
        <v>29200</v>
      </c>
      <c r="K44" s="62">
        <v>30000</v>
      </c>
      <c r="L44" s="62">
        <v>30800</v>
      </c>
      <c r="M44" s="62">
        <v>31600</v>
      </c>
      <c r="N44" s="62">
        <v>32400</v>
      </c>
      <c r="O44" s="62">
        <v>33200</v>
      </c>
      <c r="P44" s="62">
        <v>34000</v>
      </c>
      <c r="Q44" s="62">
        <v>34800</v>
      </c>
      <c r="R44" s="62">
        <v>35600</v>
      </c>
    </row>
    <row r="45" spans="1:18">
      <c r="A45" s="59">
        <v>261</v>
      </c>
      <c r="B45" t="s">
        <v>151</v>
      </c>
      <c r="C45">
        <f>VLOOKUP(A45,справочник!$A$2:$C$322,3,FALSE)</f>
        <v>275</v>
      </c>
      <c r="D45" t="str">
        <f>IFERROR(VLOOKUP(B45,справочник!$AF$2:$AF$15,1,FALSE),"")</f>
        <v/>
      </c>
      <c r="F45" t="s">
        <v>146</v>
      </c>
      <c r="G45" s="62">
        <v>28400</v>
      </c>
      <c r="H45" s="62">
        <v>29200</v>
      </c>
      <c r="I45" s="62">
        <v>30000</v>
      </c>
      <c r="J45" s="62">
        <v>28400</v>
      </c>
      <c r="K45" s="62">
        <v>29200</v>
      </c>
      <c r="L45" s="62">
        <v>30000</v>
      </c>
      <c r="M45" s="62">
        <v>30800</v>
      </c>
      <c r="N45" s="62">
        <v>31600</v>
      </c>
      <c r="O45" s="62">
        <v>32400</v>
      </c>
      <c r="P45" s="62">
        <v>33200</v>
      </c>
      <c r="Q45" s="62">
        <v>34000</v>
      </c>
      <c r="R45" s="62">
        <v>34800</v>
      </c>
    </row>
    <row r="46" spans="1:18">
      <c r="A46" s="59">
        <v>164</v>
      </c>
      <c r="B46" t="s">
        <v>156</v>
      </c>
      <c r="C46">
        <f>VLOOKUP(A46,справочник!$A$2:$C$322,3,FALSE)</f>
        <v>172</v>
      </c>
      <c r="D46" t="str">
        <f>IFERROR(VLOOKUP(B46,справочник!$AF$2:$AF$15,1,FALSE),"")</f>
        <v/>
      </c>
      <c r="F46" t="s">
        <v>13</v>
      </c>
      <c r="G46" s="62">
        <v>25800</v>
      </c>
      <c r="H46" s="62">
        <v>26600</v>
      </c>
      <c r="I46" s="62">
        <v>27400</v>
      </c>
      <c r="J46" s="62">
        <v>28200</v>
      </c>
      <c r="K46" s="62">
        <v>29000</v>
      </c>
      <c r="L46" s="62">
        <v>29800</v>
      </c>
      <c r="M46" s="62">
        <v>30600</v>
      </c>
      <c r="N46" s="62">
        <v>31400</v>
      </c>
      <c r="O46" s="62">
        <v>32200</v>
      </c>
      <c r="P46" s="62">
        <v>33000</v>
      </c>
      <c r="Q46" s="62">
        <v>33800</v>
      </c>
      <c r="R46" s="62">
        <v>34600</v>
      </c>
    </row>
    <row r="47" spans="1:18">
      <c r="A47" s="59">
        <v>303</v>
      </c>
      <c r="B47" t="s">
        <v>43</v>
      </c>
      <c r="C47">
        <f>VLOOKUP(A47,справочник!$A$2:$C$322,3,FALSE)</f>
        <v>319</v>
      </c>
      <c r="D47" t="str">
        <f>IFERROR(VLOOKUP(B47,справочник!$AF$2:$AF$15,1,FALSE),"")</f>
        <v/>
      </c>
      <c r="F47" t="s">
        <v>103</v>
      </c>
      <c r="G47" s="62">
        <v>24800</v>
      </c>
      <c r="H47" s="62">
        <v>25600</v>
      </c>
      <c r="I47" s="62">
        <v>26400</v>
      </c>
      <c r="J47" s="62">
        <v>27200</v>
      </c>
      <c r="K47" s="62">
        <v>28000</v>
      </c>
      <c r="L47" s="62">
        <v>28800</v>
      </c>
      <c r="M47" s="62">
        <v>29600</v>
      </c>
      <c r="N47" s="62">
        <v>30400</v>
      </c>
      <c r="O47" s="62">
        <v>31200</v>
      </c>
      <c r="P47" s="62">
        <v>32000</v>
      </c>
      <c r="Q47" s="62">
        <v>32800</v>
      </c>
      <c r="R47" s="62">
        <v>33600</v>
      </c>
    </row>
    <row r="48" spans="1:18">
      <c r="A48" s="59">
        <v>249</v>
      </c>
      <c r="B48" t="s">
        <v>20</v>
      </c>
      <c r="C48">
        <f>VLOOKUP(A48,справочник!$A$2:$C$322,3,FALSE)</f>
        <v>260</v>
      </c>
      <c r="D48" t="str">
        <f>IFERROR(VLOOKUP(B48,справочник!$AF$2:$AF$15,1,FALSE),"")</f>
        <v/>
      </c>
      <c r="F48" t="s">
        <v>644</v>
      </c>
      <c r="G48" s="62">
        <v>24800</v>
      </c>
      <c r="H48" s="62">
        <v>25600</v>
      </c>
      <c r="I48" s="62">
        <v>26400</v>
      </c>
      <c r="J48" s="62">
        <v>27200</v>
      </c>
      <c r="K48" s="62">
        <v>28000</v>
      </c>
      <c r="L48" s="62">
        <v>28800</v>
      </c>
      <c r="M48" s="62">
        <v>29600</v>
      </c>
      <c r="N48" s="62">
        <v>30400</v>
      </c>
      <c r="O48" s="62">
        <v>31200</v>
      </c>
      <c r="P48" s="62">
        <v>32000</v>
      </c>
      <c r="Q48" s="62">
        <v>32800</v>
      </c>
      <c r="R48" s="62">
        <v>33600</v>
      </c>
    </row>
    <row r="49" spans="1:18">
      <c r="A49" s="59">
        <v>232</v>
      </c>
      <c r="B49" t="s">
        <v>8</v>
      </c>
      <c r="C49">
        <f>VLOOKUP(A49,справочник!$A$2:$C$322,3,FALSE)</f>
        <v>241</v>
      </c>
      <c r="D49" t="str">
        <f>IFERROR(VLOOKUP(B49,справочник!$AF$2:$AF$15,1,FALSE),"")</f>
        <v/>
      </c>
      <c r="F49" t="s">
        <v>644</v>
      </c>
      <c r="G49" s="62">
        <v>24800</v>
      </c>
      <c r="H49" s="62">
        <v>25600</v>
      </c>
      <c r="I49" s="62">
        <v>26400</v>
      </c>
      <c r="J49" s="62">
        <v>27200</v>
      </c>
      <c r="K49" s="62">
        <v>28000</v>
      </c>
      <c r="L49" s="62">
        <v>28800</v>
      </c>
      <c r="M49" s="62">
        <v>29600</v>
      </c>
      <c r="N49" s="62">
        <v>30400</v>
      </c>
      <c r="O49" s="62">
        <v>31200</v>
      </c>
      <c r="P49" s="62">
        <v>32000</v>
      </c>
      <c r="Q49" s="62">
        <v>32800</v>
      </c>
      <c r="R49" s="62">
        <v>33600</v>
      </c>
    </row>
    <row r="50" spans="1:18">
      <c r="A50" s="59">
        <v>202</v>
      </c>
      <c r="B50" t="s">
        <v>133</v>
      </c>
      <c r="C50">
        <f>VLOOKUP(A50,справочник!$A$2:$C$322,3,FALSE)</f>
        <v>212</v>
      </c>
      <c r="D50" t="str">
        <f>IFERROR(VLOOKUP(B50,справочник!$AF$2:$AF$15,1,FALSE),"")</f>
        <v/>
      </c>
      <c r="F50" t="s">
        <v>37</v>
      </c>
      <c r="G50" s="62">
        <v>24800</v>
      </c>
      <c r="H50" s="62">
        <v>25600</v>
      </c>
      <c r="I50" s="62">
        <v>26400</v>
      </c>
      <c r="J50" s="62">
        <v>27200</v>
      </c>
      <c r="K50" s="62">
        <v>28000</v>
      </c>
      <c r="L50" s="62">
        <v>28800</v>
      </c>
      <c r="M50" s="62">
        <v>29600</v>
      </c>
      <c r="N50" s="62">
        <v>30400</v>
      </c>
      <c r="O50" s="62">
        <v>31200</v>
      </c>
      <c r="P50" s="62">
        <v>32000</v>
      </c>
      <c r="Q50" s="62">
        <v>32800</v>
      </c>
      <c r="R50" s="62">
        <v>33600</v>
      </c>
    </row>
    <row r="51" spans="1:18">
      <c r="A51" s="59">
        <v>151</v>
      </c>
      <c r="B51" t="s">
        <v>32</v>
      </c>
      <c r="C51">
        <f>VLOOKUP(A51,справочник!$A$2:$C$322,3,FALSE)</f>
        <v>159</v>
      </c>
      <c r="D51" t="str">
        <f>IFERROR(VLOOKUP(B51,справочник!$AF$2:$AF$15,1,FALSE),"")</f>
        <v/>
      </c>
      <c r="F51" t="s">
        <v>13</v>
      </c>
      <c r="G51" s="62">
        <v>24800</v>
      </c>
      <c r="H51" s="62">
        <v>25600</v>
      </c>
      <c r="I51" s="62">
        <v>26400</v>
      </c>
      <c r="J51" s="62">
        <v>27200</v>
      </c>
      <c r="K51" s="62">
        <v>28000</v>
      </c>
      <c r="L51" s="62">
        <v>28800</v>
      </c>
      <c r="M51" s="62">
        <v>29600</v>
      </c>
      <c r="N51" s="62">
        <v>30400</v>
      </c>
      <c r="O51" s="62">
        <v>31200</v>
      </c>
      <c r="P51" s="62">
        <v>32000</v>
      </c>
      <c r="Q51" s="62">
        <v>32800</v>
      </c>
      <c r="R51" s="62">
        <v>33600</v>
      </c>
    </row>
    <row r="52" spans="1:18">
      <c r="A52" s="59">
        <v>229</v>
      </c>
      <c r="B52" t="s">
        <v>23</v>
      </c>
      <c r="C52">
        <f>VLOOKUP(A52,справочник!$A$2:$C$322,3,FALSE)</f>
        <v>238</v>
      </c>
      <c r="D52" t="str">
        <f>IFERROR(VLOOKUP(B52,справочник!$AF$2:$AF$15,1,FALSE),"")</f>
        <v/>
      </c>
      <c r="F52" t="s">
        <v>109</v>
      </c>
      <c r="G52" s="62">
        <v>23800</v>
      </c>
      <c r="H52" s="62">
        <v>24600</v>
      </c>
      <c r="I52" s="62">
        <v>25400</v>
      </c>
      <c r="J52" s="62">
        <v>26200</v>
      </c>
      <c r="K52" s="62">
        <v>27000</v>
      </c>
      <c r="L52" s="62">
        <v>27800</v>
      </c>
      <c r="M52" s="62">
        <v>28600</v>
      </c>
      <c r="N52" s="62">
        <v>29400</v>
      </c>
      <c r="O52" s="62">
        <v>30200</v>
      </c>
      <c r="P52" s="62">
        <v>31000</v>
      </c>
      <c r="Q52" s="62">
        <v>31800</v>
      </c>
      <c r="R52" s="62">
        <v>32600</v>
      </c>
    </row>
    <row r="53" spans="1:18">
      <c r="A53" s="59">
        <v>157</v>
      </c>
      <c r="B53" t="s">
        <v>140</v>
      </c>
      <c r="C53">
        <f>VLOOKUP(A53,справочник!$A$2:$C$322,3,FALSE)</f>
        <v>165</v>
      </c>
      <c r="D53" t="str">
        <f>IFERROR(VLOOKUP(B53,справочник!$AF$2:$AF$15,1,FALSE),"")</f>
        <v/>
      </c>
      <c r="F53" t="s">
        <v>13</v>
      </c>
      <c r="G53" s="62">
        <v>23800</v>
      </c>
      <c r="H53" s="62">
        <v>24600</v>
      </c>
      <c r="I53" s="62">
        <v>25400</v>
      </c>
      <c r="J53" s="62">
        <v>26200</v>
      </c>
      <c r="K53" s="62">
        <v>27000</v>
      </c>
      <c r="L53" s="62">
        <v>27800</v>
      </c>
      <c r="M53" s="62">
        <v>28600</v>
      </c>
      <c r="N53" s="62">
        <v>29400</v>
      </c>
      <c r="O53" s="62">
        <v>30200</v>
      </c>
      <c r="P53" s="62">
        <v>31000</v>
      </c>
      <c r="Q53" s="62">
        <v>31800</v>
      </c>
      <c r="R53" s="62">
        <v>32600</v>
      </c>
    </row>
    <row r="54" spans="1:18">
      <c r="A54" s="59">
        <v>47</v>
      </c>
      <c r="B54" t="s">
        <v>186</v>
      </c>
      <c r="C54">
        <f>VLOOKUP(A54,справочник!$A$2:$C$322,3,FALSE)</f>
        <v>47</v>
      </c>
      <c r="D54" t="str">
        <f>IFERROR(VLOOKUP(B54,справочник!$AF$2:$AF$15,1,FALSE),"")</f>
        <v/>
      </c>
      <c r="F54" t="s">
        <v>642</v>
      </c>
      <c r="G54" s="62">
        <v>23800</v>
      </c>
      <c r="H54" s="62">
        <v>24600</v>
      </c>
      <c r="I54" s="62">
        <v>25400</v>
      </c>
      <c r="J54" s="62">
        <v>26200</v>
      </c>
      <c r="K54" s="62">
        <v>27000</v>
      </c>
      <c r="L54" s="62">
        <v>27800</v>
      </c>
      <c r="M54" s="62">
        <v>28600</v>
      </c>
      <c r="N54" s="62">
        <v>29400</v>
      </c>
      <c r="O54" s="62">
        <v>30200</v>
      </c>
      <c r="P54" s="62">
        <v>31000</v>
      </c>
      <c r="Q54" s="62">
        <v>31800</v>
      </c>
      <c r="R54" s="62">
        <v>32600</v>
      </c>
    </row>
    <row r="55" spans="1:18">
      <c r="A55" s="59">
        <v>309</v>
      </c>
      <c r="B55" t="s">
        <v>307</v>
      </c>
      <c r="C55">
        <f>VLOOKUP(A55,справочник!$A$2:$C$322,3,FALSE)</f>
        <v>324</v>
      </c>
      <c r="D55" t="str">
        <f>IFERROR(VLOOKUP(B55,справочник!$AF$2:$AF$15,1,FALSE),"")</f>
        <v/>
      </c>
      <c r="F55" t="s">
        <v>103</v>
      </c>
      <c r="G55" s="62">
        <v>22800</v>
      </c>
      <c r="H55" s="62">
        <v>23600</v>
      </c>
      <c r="I55" s="62">
        <v>24400</v>
      </c>
      <c r="J55" s="62">
        <v>25200</v>
      </c>
      <c r="K55" s="62">
        <v>26000</v>
      </c>
      <c r="L55" s="62">
        <v>26800</v>
      </c>
      <c r="M55" s="62">
        <v>27600</v>
      </c>
      <c r="N55" s="62">
        <v>28400</v>
      </c>
      <c r="O55" s="62">
        <v>29200</v>
      </c>
      <c r="P55" s="62">
        <v>30000</v>
      </c>
      <c r="Q55" s="62">
        <v>30800</v>
      </c>
      <c r="R55" s="62">
        <v>31600</v>
      </c>
    </row>
    <row r="56" spans="1:18">
      <c r="A56" s="59">
        <v>187</v>
      </c>
      <c r="B56" t="s">
        <v>173</v>
      </c>
      <c r="C56">
        <f>VLOOKUP(A56,справочник!$A$2:$C$322,3,FALSE)</f>
        <v>195</v>
      </c>
      <c r="D56" t="str">
        <f>IFERROR(VLOOKUP(B56,справочник!$AF$2:$AF$15,1,FALSE),"")</f>
        <v/>
      </c>
      <c r="F56" t="s">
        <v>247</v>
      </c>
      <c r="G56" s="62">
        <v>27800</v>
      </c>
      <c r="H56" s="62">
        <v>28600</v>
      </c>
      <c r="I56" s="62">
        <v>29400</v>
      </c>
      <c r="J56" s="62">
        <v>25200</v>
      </c>
      <c r="K56" s="62">
        <v>26000</v>
      </c>
      <c r="L56" s="62">
        <v>26800</v>
      </c>
      <c r="M56" s="62">
        <v>27600</v>
      </c>
      <c r="N56" s="62">
        <v>28400</v>
      </c>
      <c r="O56" s="62">
        <v>29200</v>
      </c>
      <c r="P56" s="62">
        <v>30000</v>
      </c>
      <c r="Q56" s="62">
        <v>30800</v>
      </c>
      <c r="R56" s="62">
        <v>31600</v>
      </c>
    </row>
    <row r="57" spans="1:18">
      <c r="A57" s="59">
        <v>158</v>
      </c>
      <c r="B57" t="s">
        <v>149</v>
      </c>
      <c r="C57">
        <f>VLOOKUP(A57,справочник!$A$2:$C$322,3,FALSE)</f>
        <v>166</v>
      </c>
      <c r="D57" t="str">
        <f>IFERROR(VLOOKUP(B57,справочник!$AF$2:$AF$15,1,FALSE),"")</f>
        <v/>
      </c>
      <c r="F57" t="s">
        <v>13</v>
      </c>
      <c r="G57" s="62">
        <v>22800</v>
      </c>
      <c r="H57" s="62">
        <v>23600</v>
      </c>
      <c r="I57" s="62">
        <v>24400</v>
      </c>
      <c r="J57" s="62">
        <v>25200</v>
      </c>
      <c r="K57" s="62">
        <v>26000</v>
      </c>
      <c r="L57" s="62">
        <v>26800</v>
      </c>
      <c r="M57" s="62">
        <v>27600</v>
      </c>
      <c r="N57" s="62">
        <v>28400</v>
      </c>
      <c r="O57" s="62">
        <v>29200</v>
      </c>
      <c r="P57" s="62">
        <v>30000</v>
      </c>
      <c r="Q57" s="62">
        <v>30800</v>
      </c>
      <c r="R57" s="62">
        <v>31600</v>
      </c>
    </row>
    <row r="58" spans="1:18">
      <c r="A58" s="59">
        <v>228</v>
      </c>
      <c r="B58" t="s">
        <v>51</v>
      </c>
      <c r="C58">
        <f>VLOOKUP(A58,справочник!$A$2:$C$322,3,FALSE)</f>
        <v>237</v>
      </c>
      <c r="D58" t="str">
        <f>IFERROR(VLOOKUP(B58,справочник!$AF$2:$AF$15,1,FALSE),"")</f>
        <v/>
      </c>
      <c r="F58" t="s">
        <v>109</v>
      </c>
      <c r="G58" s="62">
        <v>21800</v>
      </c>
      <c r="H58" s="62">
        <v>22600</v>
      </c>
      <c r="I58" s="62">
        <v>23400</v>
      </c>
      <c r="J58" s="62">
        <v>24200</v>
      </c>
      <c r="K58" s="62">
        <v>25000</v>
      </c>
      <c r="L58" s="62">
        <v>25800</v>
      </c>
      <c r="M58" s="62">
        <v>26600</v>
      </c>
      <c r="N58" s="62">
        <v>27400</v>
      </c>
      <c r="O58" s="62">
        <v>28200</v>
      </c>
      <c r="P58" s="62">
        <v>29000</v>
      </c>
      <c r="Q58" s="62">
        <v>29800</v>
      </c>
      <c r="R58" s="62">
        <v>30600</v>
      </c>
    </row>
    <row r="59" spans="1:18">
      <c r="A59" s="59">
        <v>160</v>
      </c>
      <c r="B59" t="s">
        <v>204</v>
      </c>
      <c r="C59">
        <f>VLOOKUP(A59,справочник!$A$2:$C$322,3,FALSE)</f>
        <v>168</v>
      </c>
      <c r="D59" t="str">
        <f>IFERROR(VLOOKUP(B59,справочник!$AF$2:$AF$15,1,FALSE),"")</f>
        <v/>
      </c>
      <c r="F59" t="s">
        <v>13</v>
      </c>
      <c r="G59" s="62">
        <v>21800</v>
      </c>
      <c r="H59" s="62">
        <v>22600</v>
      </c>
      <c r="I59" s="62">
        <v>23400</v>
      </c>
      <c r="J59" s="62">
        <v>24200</v>
      </c>
      <c r="K59" s="62">
        <v>25000</v>
      </c>
      <c r="L59" s="62">
        <v>25800</v>
      </c>
      <c r="M59" s="62">
        <v>26600</v>
      </c>
      <c r="N59" s="62">
        <v>27400</v>
      </c>
      <c r="O59" s="62">
        <v>28200</v>
      </c>
      <c r="P59" s="62">
        <v>29000</v>
      </c>
      <c r="Q59" s="62">
        <v>29800</v>
      </c>
      <c r="R59" s="62">
        <v>30600</v>
      </c>
    </row>
    <row r="60" spans="1:18">
      <c r="A60" s="59">
        <v>89</v>
      </c>
      <c r="B60" t="s">
        <v>190</v>
      </c>
      <c r="C60">
        <f>VLOOKUP(A60,справочник!$A$2:$C$322,3,FALSE)</f>
        <v>94</v>
      </c>
      <c r="D60" t="str">
        <f>IFERROR(VLOOKUP(B60,справочник!$AF$2:$AF$15,1,FALSE),"")</f>
        <v/>
      </c>
      <c r="F60" t="s">
        <v>2</v>
      </c>
      <c r="G60" s="62">
        <v>21800</v>
      </c>
      <c r="H60" s="62">
        <v>22600</v>
      </c>
      <c r="I60" s="62">
        <v>23400</v>
      </c>
      <c r="J60" s="62">
        <v>24200</v>
      </c>
      <c r="K60" s="62">
        <v>25000</v>
      </c>
      <c r="L60" s="62">
        <v>25800</v>
      </c>
      <c r="M60" s="62">
        <v>26600</v>
      </c>
      <c r="N60" s="62">
        <v>27400</v>
      </c>
      <c r="O60" s="62">
        <v>28200</v>
      </c>
      <c r="P60" s="62">
        <v>29000</v>
      </c>
      <c r="Q60" s="62">
        <v>29800</v>
      </c>
      <c r="R60" s="62">
        <v>30600</v>
      </c>
    </row>
    <row r="61" spans="1:18">
      <c r="A61" s="59">
        <v>61</v>
      </c>
      <c r="B61" t="s">
        <v>56</v>
      </c>
      <c r="C61">
        <f>VLOOKUP(A61,справочник!$A$2:$C$322,3,FALSE)</f>
        <v>63</v>
      </c>
      <c r="D61" t="str">
        <f>IFERROR(VLOOKUP(B61,справочник!$AF$2:$AF$15,1,FALSE),"")</f>
        <v/>
      </c>
      <c r="F61" t="s">
        <v>181</v>
      </c>
      <c r="G61" s="62">
        <v>21800</v>
      </c>
      <c r="H61" s="62">
        <v>22600</v>
      </c>
      <c r="I61" s="62">
        <v>23400</v>
      </c>
      <c r="J61" s="62">
        <v>24200</v>
      </c>
      <c r="K61" s="62">
        <v>25000</v>
      </c>
      <c r="L61" s="62">
        <v>25800</v>
      </c>
      <c r="M61" s="62">
        <v>26600</v>
      </c>
      <c r="N61" s="62">
        <v>27400</v>
      </c>
      <c r="O61" s="62">
        <v>28200</v>
      </c>
      <c r="P61" s="62">
        <v>29000</v>
      </c>
      <c r="Q61" s="62">
        <v>29800</v>
      </c>
      <c r="R61" s="62">
        <v>30600</v>
      </c>
    </row>
    <row r="62" spans="1:18">
      <c r="A62" s="59">
        <v>43</v>
      </c>
      <c r="B62" t="s">
        <v>48</v>
      </c>
      <c r="C62">
        <f>VLOOKUP(A62,справочник!$A$2:$C$322,3,FALSE)</f>
        <v>43</v>
      </c>
      <c r="D62" t="str">
        <f>IFERROR(VLOOKUP(B62,справочник!$AF$2:$AF$15,1,FALSE),"")</f>
        <v/>
      </c>
      <c r="F62" t="s">
        <v>642</v>
      </c>
      <c r="G62" s="62">
        <v>23800</v>
      </c>
      <c r="H62" s="62">
        <v>24600</v>
      </c>
      <c r="I62" s="62">
        <v>25400</v>
      </c>
      <c r="J62" s="62">
        <v>26200</v>
      </c>
      <c r="K62" s="62">
        <v>27000</v>
      </c>
      <c r="L62" s="62">
        <v>25800</v>
      </c>
      <c r="M62" s="62">
        <v>26600</v>
      </c>
      <c r="N62" s="62">
        <v>27400</v>
      </c>
      <c r="O62" s="62">
        <v>28200</v>
      </c>
      <c r="P62" s="62">
        <v>29000</v>
      </c>
      <c r="Q62" s="62">
        <v>29800</v>
      </c>
      <c r="R62" s="62">
        <v>30600</v>
      </c>
    </row>
    <row r="63" spans="1:18">
      <c r="A63" s="59">
        <v>3</v>
      </c>
      <c r="B63" t="s">
        <v>148</v>
      </c>
      <c r="C63">
        <f>VLOOKUP(A63,справочник!$A$2:$C$322,3,FALSE)</f>
        <v>3</v>
      </c>
      <c r="D63" t="str">
        <f>IFERROR(VLOOKUP(B63,справочник!$AF$2:$AF$15,1,FALSE),"")</f>
        <v/>
      </c>
      <c r="F63" t="s">
        <v>90</v>
      </c>
      <c r="G63" s="62">
        <v>21800</v>
      </c>
      <c r="H63" s="62">
        <v>22600</v>
      </c>
      <c r="I63" s="62">
        <v>23400</v>
      </c>
      <c r="J63" s="62">
        <v>24200</v>
      </c>
      <c r="K63" s="62">
        <v>25000</v>
      </c>
      <c r="L63" s="62">
        <v>25800</v>
      </c>
      <c r="M63" s="62">
        <v>26600</v>
      </c>
      <c r="N63" s="62">
        <v>27400</v>
      </c>
      <c r="O63" s="62">
        <v>28200</v>
      </c>
      <c r="P63" s="62">
        <v>29000</v>
      </c>
      <c r="Q63" s="62">
        <v>29800</v>
      </c>
      <c r="R63" s="62">
        <v>30600</v>
      </c>
    </row>
    <row r="64" spans="1:18">
      <c r="A64" s="59">
        <v>310</v>
      </c>
      <c r="B64" t="s">
        <v>239</v>
      </c>
      <c r="C64" t="str">
        <f>VLOOKUP(A64,справочник!$A$2:$C$322,3,FALSE)</f>
        <v>133-134</v>
      </c>
      <c r="D64" t="str">
        <f>IFERROR(VLOOKUP(B64,справочник!$AF$2:$AF$15,1,FALSE),"")</f>
        <v/>
      </c>
      <c r="F64" t="e">
        <v>#N/A</v>
      </c>
      <c r="G64" s="62">
        <v>35800</v>
      </c>
      <c r="H64" s="62">
        <v>36600</v>
      </c>
      <c r="I64" s="62">
        <v>32400</v>
      </c>
      <c r="J64" s="62">
        <v>28250</v>
      </c>
      <c r="K64" s="62">
        <v>24050</v>
      </c>
      <c r="L64" s="62">
        <v>24850</v>
      </c>
      <c r="M64" s="62">
        <v>25650</v>
      </c>
      <c r="N64" s="62">
        <v>26450</v>
      </c>
      <c r="O64" s="62">
        <v>27250</v>
      </c>
      <c r="P64" s="62">
        <v>28050</v>
      </c>
      <c r="Q64" s="62">
        <v>28850</v>
      </c>
      <c r="R64" s="62">
        <v>29650</v>
      </c>
    </row>
    <row r="65" spans="1:18">
      <c r="A65" s="59">
        <v>265</v>
      </c>
      <c r="B65" t="s">
        <v>120</v>
      </c>
      <c r="C65">
        <f>VLOOKUP(A65,справочник!$A$2:$C$322,3,FALSE)</f>
        <v>278</v>
      </c>
      <c r="D65" t="str">
        <f>IFERROR(VLOOKUP(B65,справочник!$AF$2:$AF$15,1,FALSE),"")</f>
        <v/>
      </c>
      <c r="F65" t="s">
        <v>146</v>
      </c>
      <c r="G65" s="62">
        <v>23800</v>
      </c>
      <c r="H65" s="62">
        <v>24600</v>
      </c>
      <c r="I65" s="62">
        <v>22400</v>
      </c>
      <c r="J65" s="62">
        <v>23200</v>
      </c>
      <c r="K65" s="62">
        <v>24000</v>
      </c>
      <c r="L65" s="62">
        <v>24800</v>
      </c>
      <c r="M65" s="62">
        <v>25600</v>
      </c>
      <c r="N65" s="62">
        <v>26400</v>
      </c>
      <c r="O65" s="62">
        <v>27200</v>
      </c>
      <c r="P65" s="62">
        <v>28000</v>
      </c>
      <c r="Q65" s="62">
        <v>28800</v>
      </c>
      <c r="R65" s="62">
        <v>29600</v>
      </c>
    </row>
    <row r="66" spans="1:18">
      <c r="A66" s="59">
        <v>251</v>
      </c>
      <c r="B66" t="s">
        <v>209</v>
      </c>
      <c r="C66">
        <f>VLOOKUP(A66,справочник!$A$2:$C$322,3,FALSE)</f>
        <v>262</v>
      </c>
      <c r="D66" t="str">
        <f>IFERROR(VLOOKUP(B66,справочник!$AF$2:$AF$15,1,FALSE),"")</f>
        <v/>
      </c>
      <c r="F66" t="s">
        <v>146</v>
      </c>
      <c r="G66" s="62">
        <v>20800</v>
      </c>
      <c r="H66" s="62">
        <v>21600</v>
      </c>
      <c r="I66" s="62">
        <v>22400</v>
      </c>
      <c r="J66" s="62">
        <v>23200</v>
      </c>
      <c r="K66" s="62">
        <v>24000</v>
      </c>
      <c r="L66" s="62">
        <v>24800</v>
      </c>
      <c r="M66" s="62">
        <v>25600</v>
      </c>
      <c r="N66" s="62">
        <v>26400</v>
      </c>
      <c r="O66" s="62">
        <v>27200</v>
      </c>
      <c r="P66" s="62">
        <v>28000</v>
      </c>
      <c r="Q66" s="62">
        <v>28800</v>
      </c>
      <c r="R66" s="62">
        <v>29600</v>
      </c>
    </row>
    <row r="67" spans="1:18">
      <c r="A67" s="59">
        <v>239</v>
      </c>
      <c r="B67" t="s">
        <v>226</v>
      </c>
      <c r="C67">
        <f>VLOOKUP(A67,справочник!$A$2:$C$322,3,FALSE)</f>
        <v>250</v>
      </c>
      <c r="D67" t="str">
        <f>IFERROR(VLOOKUP(B67,справочник!$AF$2:$AF$15,1,FALSE),"")</f>
        <v/>
      </c>
      <c r="F67" t="s">
        <v>644</v>
      </c>
      <c r="G67" s="62">
        <v>20800</v>
      </c>
      <c r="H67" s="62">
        <v>21600</v>
      </c>
      <c r="I67" s="62">
        <v>22400</v>
      </c>
      <c r="J67" s="62">
        <v>23200</v>
      </c>
      <c r="K67" s="62">
        <v>24000</v>
      </c>
      <c r="L67" s="62">
        <v>24800</v>
      </c>
      <c r="M67" s="62">
        <v>25600</v>
      </c>
      <c r="N67" s="62">
        <v>26400</v>
      </c>
      <c r="O67" s="62">
        <v>27200</v>
      </c>
      <c r="P67" s="62">
        <v>28000</v>
      </c>
      <c r="Q67" s="62">
        <v>28800</v>
      </c>
      <c r="R67" s="62">
        <v>29600</v>
      </c>
    </row>
    <row r="68" spans="1:18">
      <c r="A68" s="59">
        <v>226</v>
      </c>
      <c r="B68" t="s">
        <v>68</v>
      </c>
      <c r="C68">
        <f>VLOOKUP(A68,справочник!$A$2:$C$322,3,FALSE)</f>
        <v>235</v>
      </c>
      <c r="D68" t="str">
        <f>IFERROR(VLOOKUP(B68,справочник!$AF$2:$AF$15,1,FALSE),"")</f>
        <v/>
      </c>
      <c r="F68" t="s">
        <v>109</v>
      </c>
      <c r="G68" s="62">
        <v>20800</v>
      </c>
      <c r="H68" s="62">
        <v>21600</v>
      </c>
      <c r="I68" s="62">
        <v>22400</v>
      </c>
      <c r="J68" s="62">
        <v>23200</v>
      </c>
      <c r="K68" s="62">
        <v>24000</v>
      </c>
      <c r="L68" s="62">
        <v>24800</v>
      </c>
      <c r="M68" s="62">
        <v>25600</v>
      </c>
      <c r="N68" s="62">
        <v>26400</v>
      </c>
      <c r="O68" s="62">
        <v>27200</v>
      </c>
      <c r="P68" s="62">
        <v>28000</v>
      </c>
      <c r="Q68" s="62">
        <v>28800</v>
      </c>
      <c r="R68" s="62">
        <v>29600</v>
      </c>
    </row>
    <row r="69" spans="1:18">
      <c r="A69" s="59">
        <v>224</v>
      </c>
      <c r="B69" t="s">
        <v>220</v>
      </c>
      <c r="C69">
        <f>VLOOKUP(A69,справочник!$A$2:$C$322,3,FALSE)</f>
        <v>233</v>
      </c>
      <c r="D69" t="str">
        <f>IFERROR(VLOOKUP(B69,справочник!$AF$2:$AF$15,1,FALSE),"")</f>
        <v/>
      </c>
      <c r="F69" t="s">
        <v>109</v>
      </c>
      <c r="G69" s="62">
        <v>20800</v>
      </c>
      <c r="H69" s="62">
        <v>21600</v>
      </c>
      <c r="I69" s="62">
        <v>22400</v>
      </c>
      <c r="J69" s="62">
        <v>23200</v>
      </c>
      <c r="K69" s="62">
        <v>24000</v>
      </c>
      <c r="L69" s="62">
        <v>24800</v>
      </c>
      <c r="M69" s="62">
        <v>25600</v>
      </c>
      <c r="N69" s="62">
        <v>26400</v>
      </c>
      <c r="O69" s="62">
        <v>27200</v>
      </c>
      <c r="P69" s="62">
        <v>28000</v>
      </c>
      <c r="Q69" s="62">
        <v>28800</v>
      </c>
      <c r="R69" s="62">
        <v>29600</v>
      </c>
    </row>
    <row r="70" spans="1:18">
      <c r="A70" s="59">
        <v>195</v>
      </c>
      <c r="B70" t="s">
        <v>216</v>
      </c>
      <c r="C70">
        <f>VLOOKUP(A70,справочник!$A$2:$C$322,3,FALSE)</f>
        <v>203</v>
      </c>
      <c r="D70" t="str">
        <f>IFERROR(VLOOKUP(B70,справочник!$AF$2:$AF$15,1,FALSE),"")</f>
        <v/>
      </c>
      <c r="F70" t="s">
        <v>37</v>
      </c>
      <c r="G70" s="62">
        <v>24800</v>
      </c>
      <c r="H70" s="62">
        <v>25600</v>
      </c>
      <c r="I70" s="62">
        <v>26400</v>
      </c>
      <c r="J70" s="62">
        <v>27200</v>
      </c>
      <c r="K70" s="62">
        <v>28000</v>
      </c>
      <c r="L70" s="62">
        <v>24800</v>
      </c>
      <c r="M70" s="62">
        <v>25600</v>
      </c>
      <c r="N70" s="62">
        <v>26400</v>
      </c>
      <c r="O70" s="62">
        <v>27200</v>
      </c>
      <c r="P70" s="62">
        <v>28000</v>
      </c>
      <c r="Q70" s="62">
        <v>28800</v>
      </c>
      <c r="R70" s="62">
        <v>29600</v>
      </c>
    </row>
    <row r="71" spans="1:18">
      <c r="A71" s="59">
        <v>65</v>
      </c>
      <c r="B71" t="s">
        <v>142</v>
      </c>
      <c r="C71">
        <f>VLOOKUP(A71,справочник!$A$2:$C$322,3,FALSE)</f>
        <v>67</v>
      </c>
      <c r="D71" t="str">
        <f>IFERROR(VLOOKUP(B71,справочник!$AF$2:$AF$15,1,FALSE),"")</f>
        <v/>
      </c>
      <c r="F71" t="s">
        <v>181</v>
      </c>
      <c r="G71" s="62">
        <v>20800</v>
      </c>
      <c r="H71" s="62">
        <v>21600</v>
      </c>
      <c r="I71" s="62">
        <v>22400</v>
      </c>
      <c r="J71" s="62">
        <v>23200</v>
      </c>
      <c r="K71" s="62">
        <v>24000</v>
      </c>
      <c r="L71" s="62">
        <v>24800</v>
      </c>
      <c r="M71" s="62">
        <v>25600</v>
      </c>
      <c r="N71" s="62">
        <v>26400</v>
      </c>
      <c r="O71" s="62">
        <v>27200</v>
      </c>
      <c r="P71" s="62">
        <v>28000</v>
      </c>
      <c r="Q71" s="62">
        <v>28800</v>
      </c>
      <c r="R71" s="62">
        <v>29600</v>
      </c>
    </row>
    <row r="72" spans="1:18">
      <c r="A72" s="59">
        <v>315</v>
      </c>
      <c r="B72" t="s">
        <v>211</v>
      </c>
      <c r="C72" t="str">
        <f>VLOOKUP(A72,справочник!$A$2:$C$322,3,FALSE)</f>
        <v>265-266</v>
      </c>
      <c r="D72" t="str">
        <f>IFERROR(VLOOKUP(B72,справочник!$AF$2:$AF$15,1,FALSE),"")</f>
        <v/>
      </c>
      <c r="F72" t="e">
        <v>#N/A</v>
      </c>
      <c r="G72" s="62">
        <v>19800</v>
      </c>
      <c r="H72" s="62">
        <v>20600</v>
      </c>
      <c r="I72" s="62">
        <v>21400</v>
      </c>
      <c r="J72" s="62">
        <v>22200</v>
      </c>
      <c r="K72" s="62">
        <v>23000</v>
      </c>
      <c r="L72" s="62">
        <v>23800</v>
      </c>
      <c r="M72" s="62">
        <v>24600</v>
      </c>
      <c r="N72" s="62">
        <v>25400</v>
      </c>
      <c r="O72" s="62">
        <v>26200</v>
      </c>
      <c r="P72" s="62">
        <v>27000</v>
      </c>
      <c r="Q72" s="62">
        <v>27800</v>
      </c>
      <c r="R72" s="62">
        <v>28600</v>
      </c>
    </row>
    <row r="73" spans="1:18">
      <c r="A73" s="59">
        <v>117</v>
      </c>
      <c r="B73" t="s">
        <v>55</v>
      </c>
      <c r="C73">
        <f>VLOOKUP(A73,справочник!$A$2:$C$322,3,FALSE)</f>
        <v>122</v>
      </c>
      <c r="D73" t="str">
        <f>IFERROR(VLOOKUP(B73,справочник!$AF$2:$AF$15,1,FALSE),"")</f>
        <v/>
      </c>
      <c r="F73" t="s">
        <v>645</v>
      </c>
      <c r="G73" s="62">
        <v>19800</v>
      </c>
      <c r="H73" s="62">
        <v>20600</v>
      </c>
      <c r="I73" s="62">
        <v>21400</v>
      </c>
      <c r="J73" s="62">
        <v>22200</v>
      </c>
      <c r="K73" s="62">
        <v>23000</v>
      </c>
      <c r="L73" s="62">
        <v>23800</v>
      </c>
      <c r="M73" s="62">
        <v>24600</v>
      </c>
      <c r="N73" s="62">
        <v>25400</v>
      </c>
      <c r="O73" s="62">
        <v>26200</v>
      </c>
      <c r="P73" s="62">
        <v>27000</v>
      </c>
      <c r="Q73" s="62">
        <v>27800</v>
      </c>
      <c r="R73" s="62">
        <v>28600</v>
      </c>
    </row>
    <row r="74" spans="1:18">
      <c r="A74" s="59">
        <v>110</v>
      </c>
      <c r="B74" t="s">
        <v>128</v>
      </c>
      <c r="C74">
        <f>VLOOKUP(A74,справочник!$A$2:$C$322,3,FALSE)</f>
        <v>115</v>
      </c>
      <c r="D74" t="str">
        <f>IFERROR(VLOOKUP(B74,справочник!$AF$2:$AF$15,1,FALSE),"")</f>
        <v/>
      </c>
      <c r="F74" t="s">
        <v>645</v>
      </c>
      <c r="G74" s="62">
        <v>19800</v>
      </c>
      <c r="H74" s="62">
        <v>20600</v>
      </c>
      <c r="I74" s="62">
        <v>21400</v>
      </c>
      <c r="J74" s="62">
        <v>22200</v>
      </c>
      <c r="K74" s="62">
        <v>23000</v>
      </c>
      <c r="L74" s="62">
        <v>23800</v>
      </c>
      <c r="M74" s="62">
        <v>24600</v>
      </c>
      <c r="N74" s="62">
        <v>25400</v>
      </c>
      <c r="O74" s="62">
        <v>26200</v>
      </c>
      <c r="P74" s="62">
        <v>27000</v>
      </c>
      <c r="Q74" s="62">
        <v>27800</v>
      </c>
      <c r="R74" s="62">
        <v>28600</v>
      </c>
    </row>
    <row r="75" spans="1:18">
      <c r="A75" s="59">
        <v>109</v>
      </c>
      <c r="B75" t="s">
        <v>12</v>
      </c>
      <c r="C75">
        <f>VLOOKUP(A75,справочник!$A$2:$C$322,3,FALSE)</f>
        <v>114</v>
      </c>
      <c r="D75" t="str">
        <f>IFERROR(VLOOKUP(B75,справочник!$AF$2:$AF$15,1,FALSE),"")</f>
        <v/>
      </c>
      <c r="F75" t="s">
        <v>645</v>
      </c>
      <c r="G75" s="62">
        <v>21800</v>
      </c>
      <c r="H75" s="62">
        <v>21600</v>
      </c>
      <c r="I75" s="62">
        <v>21400</v>
      </c>
      <c r="J75" s="62">
        <v>22200</v>
      </c>
      <c r="K75" s="62">
        <v>23000</v>
      </c>
      <c r="L75" s="62">
        <v>23800</v>
      </c>
      <c r="M75" s="62">
        <v>24600</v>
      </c>
      <c r="N75" s="62">
        <v>25400</v>
      </c>
      <c r="O75" s="62">
        <v>26200</v>
      </c>
      <c r="P75" s="62">
        <v>27000</v>
      </c>
      <c r="Q75" s="62">
        <v>27800</v>
      </c>
      <c r="R75" s="62">
        <v>28600</v>
      </c>
    </row>
    <row r="76" spans="1:18">
      <c r="A76" s="59">
        <v>98</v>
      </c>
      <c r="B76" t="s">
        <v>40</v>
      </c>
      <c r="C76">
        <f>VLOOKUP(A76,справочник!$A$2:$C$322,3,FALSE)</f>
        <v>103</v>
      </c>
      <c r="D76" t="str">
        <f>IFERROR(VLOOKUP(B76,справочник!$AF$2:$AF$15,1,FALSE),"")</f>
        <v/>
      </c>
      <c r="F76" t="s">
        <v>645</v>
      </c>
      <c r="G76" s="62">
        <v>19800</v>
      </c>
      <c r="H76" s="62">
        <v>20600</v>
      </c>
      <c r="I76" s="62">
        <v>21400</v>
      </c>
      <c r="J76" s="62">
        <v>22200</v>
      </c>
      <c r="K76" s="62">
        <v>23000</v>
      </c>
      <c r="L76" s="62">
        <v>23800</v>
      </c>
      <c r="M76" s="62">
        <v>24600</v>
      </c>
      <c r="N76" s="62">
        <v>25400</v>
      </c>
      <c r="O76" s="62">
        <v>26200</v>
      </c>
      <c r="P76" s="62">
        <v>27000</v>
      </c>
      <c r="Q76" s="62">
        <v>27800</v>
      </c>
      <c r="R76" s="62">
        <v>28600</v>
      </c>
    </row>
    <row r="77" spans="1:18">
      <c r="A77" s="59">
        <v>213</v>
      </c>
      <c r="B77" t="s">
        <v>89</v>
      </c>
      <c r="C77">
        <f>VLOOKUP(A77,справочник!$A$2:$C$322,3,FALSE)</f>
        <v>222</v>
      </c>
      <c r="D77" t="str">
        <f>IFERROR(VLOOKUP(B77,справочник!$AF$2:$AF$15,1,FALSE),"")</f>
        <v/>
      </c>
      <c r="F77" t="s">
        <v>109</v>
      </c>
      <c r="G77" s="62">
        <v>19300</v>
      </c>
      <c r="H77" s="62">
        <v>20100</v>
      </c>
      <c r="I77" s="62">
        <v>20900</v>
      </c>
      <c r="J77" s="62">
        <v>21700</v>
      </c>
      <c r="K77" s="62">
        <v>22500</v>
      </c>
      <c r="L77" s="62">
        <v>23300</v>
      </c>
      <c r="M77" s="62">
        <v>24100</v>
      </c>
      <c r="N77" s="62">
        <v>24900</v>
      </c>
      <c r="O77" s="62">
        <v>25700</v>
      </c>
      <c r="P77" s="62">
        <v>26500</v>
      </c>
      <c r="Q77" s="62">
        <v>27300</v>
      </c>
      <c r="R77" s="62">
        <v>28100</v>
      </c>
    </row>
    <row r="78" spans="1:18">
      <c r="A78" s="59">
        <v>281</v>
      </c>
      <c r="B78" t="s">
        <v>25</v>
      </c>
      <c r="C78">
        <f>VLOOKUP(A78,справочник!$A$2:$C$322,3,FALSE)</f>
        <v>293</v>
      </c>
      <c r="D78" t="str">
        <f>IFERROR(VLOOKUP(B78,справочник!$AF$2:$AF$15,1,FALSE),"")</f>
        <v/>
      </c>
      <c r="F78" t="s">
        <v>643</v>
      </c>
      <c r="G78" s="62">
        <v>18800</v>
      </c>
      <c r="H78" s="62">
        <v>19600</v>
      </c>
      <c r="I78" s="62">
        <v>20400</v>
      </c>
      <c r="J78" s="62">
        <v>21200</v>
      </c>
      <c r="K78" s="62">
        <v>22000</v>
      </c>
      <c r="L78" s="62">
        <v>22800</v>
      </c>
      <c r="M78" s="62">
        <v>23600</v>
      </c>
      <c r="N78" s="62">
        <v>24400</v>
      </c>
      <c r="O78" s="62">
        <v>25200</v>
      </c>
      <c r="P78" s="62">
        <v>26000</v>
      </c>
      <c r="Q78" s="62">
        <v>26800</v>
      </c>
      <c r="R78" s="62">
        <v>27600</v>
      </c>
    </row>
    <row r="79" spans="1:18">
      <c r="A79" s="59">
        <v>269</v>
      </c>
      <c r="B79" t="s">
        <v>118</v>
      </c>
      <c r="C79">
        <f>VLOOKUP(A79,справочник!$A$2:$C$322,3,FALSE)</f>
        <v>282</v>
      </c>
      <c r="D79" t="str">
        <f>IFERROR(VLOOKUP(B79,справочник!$AF$2:$AF$15,1,FALSE),"")</f>
        <v/>
      </c>
      <c r="F79" t="s">
        <v>643</v>
      </c>
      <c r="G79" s="62">
        <v>18800</v>
      </c>
      <c r="H79" s="62">
        <v>19600</v>
      </c>
      <c r="I79" s="62">
        <v>20400</v>
      </c>
      <c r="J79" s="62">
        <v>21200</v>
      </c>
      <c r="K79" s="62">
        <v>22000</v>
      </c>
      <c r="L79" s="62">
        <v>22800</v>
      </c>
      <c r="M79" s="62">
        <v>23600</v>
      </c>
      <c r="N79" s="62">
        <v>24400</v>
      </c>
      <c r="O79" s="62">
        <v>25200</v>
      </c>
      <c r="P79" s="62">
        <v>26000</v>
      </c>
      <c r="Q79" s="62">
        <v>26800</v>
      </c>
      <c r="R79" s="62">
        <v>27600</v>
      </c>
    </row>
    <row r="80" spans="1:18">
      <c r="A80" s="59">
        <v>93</v>
      </c>
      <c r="B80" t="s">
        <v>265</v>
      </c>
      <c r="C80">
        <f>VLOOKUP(A80,справочник!$A$2:$C$322,3,FALSE)</f>
        <v>98</v>
      </c>
      <c r="D80" t="str">
        <f>IFERROR(VLOOKUP(B80,справочник!$AF$2:$AF$15,1,FALSE),"")</f>
        <v/>
      </c>
      <c r="F80" t="s">
        <v>2</v>
      </c>
      <c r="G80" s="62">
        <v>18800</v>
      </c>
      <c r="H80" s="62">
        <v>19600</v>
      </c>
      <c r="I80" s="62">
        <v>20400</v>
      </c>
      <c r="J80" s="62">
        <v>21200</v>
      </c>
      <c r="K80" s="62">
        <v>22000</v>
      </c>
      <c r="L80" s="62">
        <v>22800</v>
      </c>
      <c r="M80" s="62">
        <v>23600</v>
      </c>
      <c r="N80" s="62">
        <v>24400</v>
      </c>
      <c r="O80" s="62">
        <v>25200</v>
      </c>
      <c r="P80" s="62">
        <v>26000</v>
      </c>
      <c r="Q80" s="62">
        <v>26800</v>
      </c>
      <c r="R80" s="62">
        <v>27600</v>
      </c>
    </row>
    <row r="81" spans="1:18">
      <c r="A81" s="59">
        <v>220</v>
      </c>
      <c r="B81" t="s">
        <v>147</v>
      </c>
      <c r="C81">
        <f>VLOOKUP(A81,справочник!$A$2:$C$322,3,FALSE)</f>
        <v>229</v>
      </c>
      <c r="D81" t="str">
        <f>IFERROR(VLOOKUP(B81,справочник!$AF$2:$AF$15,1,FALSE),"")</f>
        <v/>
      </c>
      <c r="F81" t="s">
        <v>109</v>
      </c>
      <c r="G81" s="62">
        <v>17800</v>
      </c>
      <c r="H81" s="62">
        <v>18600</v>
      </c>
      <c r="I81" s="62">
        <v>19400</v>
      </c>
      <c r="J81" s="62">
        <v>20200</v>
      </c>
      <c r="K81" s="62">
        <v>21000</v>
      </c>
      <c r="L81" s="62">
        <v>21800</v>
      </c>
      <c r="M81" s="62">
        <v>22600</v>
      </c>
      <c r="N81" s="62">
        <v>23400</v>
      </c>
      <c r="O81" s="62">
        <v>24200</v>
      </c>
      <c r="P81" s="62">
        <v>25000</v>
      </c>
      <c r="Q81" s="62">
        <v>25800</v>
      </c>
      <c r="R81" s="62">
        <v>26600</v>
      </c>
    </row>
    <row r="82" spans="1:18">
      <c r="A82" s="59">
        <v>192</v>
      </c>
      <c r="B82" t="s">
        <v>134</v>
      </c>
      <c r="C82">
        <f>VLOOKUP(A82,справочник!$A$2:$C$322,3,FALSE)</f>
        <v>200</v>
      </c>
      <c r="D82" t="str">
        <f>IFERROR(VLOOKUP(B82,справочник!$AF$2:$AF$15,1,FALSE),"")</f>
        <v/>
      </c>
      <c r="F82" t="s">
        <v>247</v>
      </c>
      <c r="G82" s="62">
        <v>17800</v>
      </c>
      <c r="H82" s="62">
        <v>18600</v>
      </c>
      <c r="I82" s="62">
        <v>19400</v>
      </c>
      <c r="J82" s="62">
        <v>20200</v>
      </c>
      <c r="K82" s="62">
        <v>21000</v>
      </c>
      <c r="L82" s="62">
        <v>21800</v>
      </c>
      <c r="M82" s="62">
        <v>22600</v>
      </c>
      <c r="N82" s="62">
        <v>23400</v>
      </c>
      <c r="O82" s="62">
        <v>24200</v>
      </c>
      <c r="P82" s="62">
        <v>25000</v>
      </c>
      <c r="Q82" s="62">
        <v>25800</v>
      </c>
      <c r="R82" s="62">
        <v>26600</v>
      </c>
    </row>
    <row r="83" spans="1:18">
      <c r="A83" s="59">
        <v>119</v>
      </c>
      <c r="B83" t="s">
        <v>17</v>
      </c>
      <c r="C83">
        <f>VLOOKUP(A83,справочник!$A$2:$C$322,3,FALSE)</f>
        <v>124</v>
      </c>
      <c r="D83" t="str">
        <f>IFERROR(VLOOKUP(B83,справочник!$AF$2:$AF$15,1,FALSE),"")</f>
        <v/>
      </c>
      <c r="F83" t="s">
        <v>645</v>
      </c>
      <c r="G83" s="62">
        <v>20800</v>
      </c>
      <c r="H83" s="62">
        <v>21600</v>
      </c>
      <c r="I83" s="62">
        <v>19400</v>
      </c>
      <c r="J83" s="62">
        <v>20200</v>
      </c>
      <c r="K83" s="62">
        <v>21000</v>
      </c>
      <c r="L83" s="62">
        <v>21800</v>
      </c>
      <c r="M83" s="62">
        <v>22600</v>
      </c>
      <c r="N83" s="62">
        <v>23400</v>
      </c>
      <c r="O83" s="62">
        <v>24200</v>
      </c>
      <c r="P83" s="62">
        <v>25000</v>
      </c>
      <c r="Q83" s="62">
        <v>25800</v>
      </c>
      <c r="R83" s="62">
        <v>26600</v>
      </c>
    </row>
    <row r="84" spans="1:18">
      <c r="A84" s="59">
        <v>20</v>
      </c>
      <c r="B84" t="s">
        <v>282</v>
      </c>
      <c r="C84">
        <f>VLOOKUP(A84,справочник!$A$2:$C$322,3,FALSE)</f>
        <v>20</v>
      </c>
      <c r="D84" t="str">
        <f>IFERROR(VLOOKUP(B84,справочник!$AF$2:$AF$15,1,FALSE),"")</f>
        <v/>
      </c>
      <c r="F84" t="s">
        <v>90</v>
      </c>
      <c r="G84" s="62">
        <v>17800</v>
      </c>
      <c r="H84" s="62">
        <v>18600</v>
      </c>
      <c r="I84" s="62">
        <v>19400</v>
      </c>
      <c r="J84" s="62">
        <v>20200</v>
      </c>
      <c r="K84" s="62">
        <v>21000</v>
      </c>
      <c r="L84" s="62">
        <v>21800</v>
      </c>
      <c r="M84" s="62">
        <v>22600</v>
      </c>
      <c r="N84" s="62">
        <v>23400</v>
      </c>
      <c r="O84" s="62">
        <v>24200</v>
      </c>
      <c r="P84" s="62">
        <v>25000</v>
      </c>
      <c r="Q84" s="62">
        <v>25800</v>
      </c>
      <c r="R84" s="62">
        <v>26600</v>
      </c>
    </row>
    <row r="85" spans="1:18">
      <c r="A85" s="59">
        <v>316</v>
      </c>
      <c r="B85" t="s">
        <v>7</v>
      </c>
      <c r="C85" t="str">
        <f>VLOOKUP(A85,справочник!$A$2:$C$322,3,FALSE)</f>
        <v>306-307</v>
      </c>
      <c r="D85" t="str">
        <f>IFERROR(VLOOKUP(B85,справочник!$AF$2:$AF$15,1,FALSE),"")</f>
        <v/>
      </c>
      <c r="F85" t="e">
        <v>#N/A</v>
      </c>
      <c r="G85" s="62">
        <v>17000</v>
      </c>
      <c r="H85" s="62">
        <v>17800</v>
      </c>
      <c r="I85" s="62">
        <v>18600</v>
      </c>
      <c r="J85" s="62">
        <v>19400</v>
      </c>
      <c r="K85" s="62">
        <v>20200</v>
      </c>
      <c r="L85" s="62">
        <v>21000</v>
      </c>
      <c r="M85" s="62">
        <v>21800</v>
      </c>
      <c r="N85" s="62">
        <v>22600</v>
      </c>
      <c r="O85" s="62">
        <v>23400</v>
      </c>
      <c r="P85" s="62">
        <v>24200</v>
      </c>
      <c r="Q85" s="62">
        <v>25000</v>
      </c>
      <c r="R85" s="62">
        <v>25800</v>
      </c>
    </row>
    <row r="86" spans="1:18">
      <c r="A86" s="59">
        <v>105</v>
      </c>
      <c r="B86" t="s">
        <v>39</v>
      </c>
      <c r="C86">
        <f>VLOOKUP(A86,справочник!$A$2:$C$322,3,FALSE)</f>
        <v>110</v>
      </c>
      <c r="D86" t="str">
        <f>IFERROR(VLOOKUP(B86,справочник!$AF$2:$AF$15,1,FALSE),"")</f>
        <v/>
      </c>
      <c r="F86" t="s">
        <v>645</v>
      </c>
      <c r="G86" s="62">
        <v>17800</v>
      </c>
      <c r="H86" s="62">
        <v>18600</v>
      </c>
      <c r="I86" s="62">
        <v>19400</v>
      </c>
      <c r="J86" s="62">
        <v>20200</v>
      </c>
      <c r="K86" s="62">
        <v>21000</v>
      </c>
      <c r="L86" s="62">
        <v>21000</v>
      </c>
      <c r="M86" s="62">
        <v>21800</v>
      </c>
      <c r="N86" s="62">
        <v>22600</v>
      </c>
      <c r="O86" s="62">
        <v>23400</v>
      </c>
      <c r="P86" s="62">
        <v>24200</v>
      </c>
      <c r="Q86" s="62">
        <v>25000</v>
      </c>
      <c r="R86" s="62">
        <v>25800</v>
      </c>
    </row>
    <row r="87" spans="1:18">
      <c r="A87" s="59">
        <v>225</v>
      </c>
      <c r="B87" t="s">
        <v>138</v>
      </c>
      <c r="C87">
        <f>VLOOKUP(A87,справочник!$A$2:$C$322,3,FALSE)</f>
        <v>234</v>
      </c>
      <c r="D87" t="str">
        <f>IFERROR(VLOOKUP(B87,справочник!$AF$2:$AF$15,1,FALSE),"")</f>
        <v/>
      </c>
      <c r="F87" t="s">
        <v>109</v>
      </c>
      <c r="G87" s="62">
        <v>16800</v>
      </c>
      <c r="H87" s="62">
        <v>17600</v>
      </c>
      <c r="I87" s="62">
        <v>18400</v>
      </c>
      <c r="J87" s="62">
        <v>19200</v>
      </c>
      <c r="K87" s="62">
        <v>20000</v>
      </c>
      <c r="L87" s="62">
        <v>20800</v>
      </c>
      <c r="M87" s="62">
        <v>21600</v>
      </c>
      <c r="N87" s="62">
        <v>22400</v>
      </c>
      <c r="O87" s="62">
        <v>23200</v>
      </c>
      <c r="P87" s="62">
        <v>24000</v>
      </c>
      <c r="Q87" s="62">
        <v>24800</v>
      </c>
      <c r="R87" s="62">
        <v>25600</v>
      </c>
    </row>
    <row r="88" spans="1:18">
      <c r="A88" s="59">
        <v>35</v>
      </c>
      <c r="B88" t="s">
        <v>3</v>
      </c>
      <c r="C88">
        <f>VLOOKUP(A88,справочник!$A$2:$C$322,3,FALSE)</f>
        <v>35</v>
      </c>
      <c r="D88" t="str">
        <f>IFERROR(VLOOKUP(B88,справочник!$AF$2:$AF$15,1,FALSE),"")</f>
        <v/>
      </c>
      <c r="F88" t="s">
        <v>642</v>
      </c>
      <c r="G88" s="62">
        <v>16800</v>
      </c>
      <c r="H88" s="62">
        <v>17600</v>
      </c>
      <c r="I88" s="62">
        <v>18400</v>
      </c>
      <c r="J88" s="62">
        <v>19200</v>
      </c>
      <c r="K88" s="62">
        <v>20000</v>
      </c>
      <c r="L88" s="62">
        <v>20800</v>
      </c>
      <c r="M88" s="62">
        <v>21600</v>
      </c>
      <c r="N88" s="62">
        <v>22400</v>
      </c>
      <c r="O88" s="62">
        <v>23200</v>
      </c>
      <c r="P88" s="62">
        <v>24000</v>
      </c>
      <c r="Q88" s="62">
        <v>24800</v>
      </c>
      <c r="R88" s="62">
        <v>25600</v>
      </c>
    </row>
    <row r="89" spans="1:18">
      <c r="A89" s="59">
        <v>13</v>
      </c>
      <c r="B89" t="s">
        <v>158</v>
      </c>
      <c r="C89">
        <f>VLOOKUP(A89,справочник!$A$2:$C$322,3,FALSE)</f>
        <v>13</v>
      </c>
      <c r="D89" t="str">
        <f>IFERROR(VLOOKUP(B89,справочник!$AF$2:$AF$15,1,FALSE),"")</f>
        <v/>
      </c>
      <c r="F89" t="s">
        <v>90</v>
      </c>
      <c r="G89" s="62">
        <v>16800</v>
      </c>
      <c r="H89" s="62">
        <v>17600</v>
      </c>
      <c r="I89" s="62">
        <v>18400</v>
      </c>
      <c r="J89" s="62">
        <v>19200</v>
      </c>
      <c r="K89" s="62">
        <v>20000</v>
      </c>
      <c r="L89" s="62">
        <v>20800</v>
      </c>
      <c r="M89" s="62">
        <v>21600</v>
      </c>
      <c r="N89" s="62">
        <v>22400</v>
      </c>
      <c r="O89" s="62">
        <v>23200</v>
      </c>
      <c r="P89" s="62">
        <v>24000</v>
      </c>
      <c r="Q89" s="62">
        <v>24800</v>
      </c>
      <c r="R89" s="62">
        <v>25600</v>
      </c>
    </row>
    <row r="90" spans="1:18">
      <c r="A90" s="59">
        <v>190</v>
      </c>
      <c r="B90" t="s">
        <v>130</v>
      </c>
      <c r="C90">
        <f>VLOOKUP(A90,справочник!$A$2:$C$322,3,FALSE)</f>
        <v>198</v>
      </c>
      <c r="D90" t="str">
        <f>IFERROR(VLOOKUP(B90,справочник!$AF$2:$AF$15,1,FALSE),"")</f>
        <v/>
      </c>
      <c r="F90" t="s">
        <v>247</v>
      </c>
      <c r="G90" s="62">
        <v>16800</v>
      </c>
      <c r="H90" s="62">
        <v>17600</v>
      </c>
      <c r="I90" s="62">
        <v>18400</v>
      </c>
      <c r="J90" s="62">
        <v>19200</v>
      </c>
      <c r="K90" s="62">
        <v>20000</v>
      </c>
      <c r="L90" s="62">
        <v>20000</v>
      </c>
      <c r="M90" s="62">
        <v>20800</v>
      </c>
      <c r="N90" s="62">
        <v>21600</v>
      </c>
      <c r="O90" s="62">
        <v>22400</v>
      </c>
      <c r="P90" s="62">
        <v>23200</v>
      </c>
      <c r="Q90" s="62">
        <v>24000</v>
      </c>
      <c r="R90" s="62">
        <v>24800</v>
      </c>
    </row>
    <row r="91" spans="1:18">
      <c r="A91" s="59">
        <v>209</v>
      </c>
      <c r="B91" t="s">
        <v>168</v>
      </c>
      <c r="C91">
        <f>VLOOKUP(A91,справочник!$A$2:$C$322,3,FALSE)</f>
        <v>219</v>
      </c>
      <c r="D91" t="str">
        <f>IFERROR(VLOOKUP(B91,справочник!$AF$2:$AF$15,1,FALSE),"")</f>
        <v/>
      </c>
      <c r="F91" t="s">
        <v>37</v>
      </c>
      <c r="G91" s="62">
        <v>20800</v>
      </c>
      <c r="H91" s="62">
        <v>21600</v>
      </c>
      <c r="I91" s="62">
        <v>22400</v>
      </c>
      <c r="J91" s="62">
        <v>23200</v>
      </c>
      <c r="K91" s="62">
        <v>22000</v>
      </c>
      <c r="L91" s="62">
        <v>19800</v>
      </c>
      <c r="M91" s="62">
        <v>20600</v>
      </c>
      <c r="N91" s="62">
        <v>21400</v>
      </c>
      <c r="O91" s="62">
        <v>22200</v>
      </c>
      <c r="P91" s="62">
        <v>23000</v>
      </c>
      <c r="Q91" s="62">
        <v>23800</v>
      </c>
      <c r="R91" s="62">
        <v>24600</v>
      </c>
    </row>
    <row r="92" spans="1:18">
      <c r="A92" s="60">
        <v>147</v>
      </c>
      <c r="B92" t="s">
        <v>196</v>
      </c>
      <c r="C92">
        <f>VLOOKUP(A92,справочник!$A$2:$C$322,3,FALSE)</f>
        <v>155</v>
      </c>
      <c r="D92" t="str">
        <f>IFERROR(VLOOKUP(B92,справочник!$AF$2:$AF$15,1,FALSE),"")</f>
        <v/>
      </c>
      <c r="F92" t="s">
        <v>641</v>
      </c>
      <c r="G92" s="62">
        <v>15800</v>
      </c>
      <c r="H92" s="62">
        <v>16600</v>
      </c>
      <c r="I92" s="62">
        <v>17400</v>
      </c>
      <c r="J92" s="62">
        <v>18200</v>
      </c>
      <c r="K92" s="62">
        <v>19000</v>
      </c>
      <c r="L92" s="62">
        <v>19800</v>
      </c>
      <c r="M92" s="62">
        <v>20600</v>
      </c>
      <c r="N92" s="62">
        <v>21400</v>
      </c>
      <c r="O92" s="62">
        <v>22200</v>
      </c>
      <c r="P92" s="62">
        <v>23000</v>
      </c>
      <c r="Q92" s="62">
        <v>23800</v>
      </c>
      <c r="R92" s="62">
        <v>24600</v>
      </c>
    </row>
    <row r="93" spans="1:18">
      <c r="A93" s="59">
        <v>113</v>
      </c>
      <c r="B93" t="s">
        <v>285</v>
      </c>
      <c r="C93" t="str">
        <f>VLOOKUP(A93,справочник!$A$2:$C$322,3,FALSE)</f>
        <v>116+118+120</v>
      </c>
      <c r="D93" t="str">
        <f>IFERROR(VLOOKUP(B93,справочник!$AF$2:$AF$15,1,FALSE),"")</f>
        <v/>
      </c>
      <c r="F93" t="s">
        <v>645</v>
      </c>
      <c r="G93" s="62">
        <v>15800</v>
      </c>
      <c r="H93" s="62">
        <v>16600</v>
      </c>
      <c r="I93" s="62">
        <v>17400</v>
      </c>
      <c r="J93" s="62">
        <v>18200</v>
      </c>
      <c r="K93" s="62">
        <v>19000</v>
      </c>
      <c r="L93" s="62">
        <v>19800</v>
      </c>
      <c r="M93" s="62">
        <v>20600</v>
      </c>
      <c r="N93" s="62">
        <v>21400</v>
      </c>
      <c r="O93" s="62">
        <v>22200</v>
      </c>
      <c r="P93" s="62">
        <v>23000</v>
      </c>
      <c r="Q93" s="62">
        <v>23800</v>
      </c>
      <c r="R93" s="62">
        <v>24600</v>
      </c>
    </row>
    <row r="94" spans="1:18">
      <c r="A94" s="59">
        <v>46</v>
      </c>
      <c r="B94" t="s">
        <v>258</v>
      </c>
      <c r="C94">
        <f>VLOOKUP(A94,справочник!$A$2:$C$322,3,FALSE)</f>
        <v>46</v>
      </c>
      <c r="D94" t="str">
        <f>IFERROR(VLOOKUP(B94,справочник!$AF$2:$AF$15,1,FALSE),"")</f>
        <v/>
      </c>
      <c r="F94" t="s">
        <v>642</v>
      </c>
      <c r="G94" s="62">
        <v>15800</v>
      </c>
      <c r="H94" s="62">
        <v>16600</v>
      </c>
      <c r="I94" s="62">
        <v>17400</v>
      </c>
      <c r="J94" s="62">
        <v>18200</v>
      </c>
      <c r="K94" s="62">
        <v>19000</v>
      </c>
      <c r="L94" s="62">
        <v>19800</v>
      </c>
      <c r="M94" s="62">
        <v>20600</v>
      </c>
      <c r="N94" s="62">
        <v>21400</v>
      </c>
      <c r="O94" s="62">
        <v>22200</v>
      </c>
      <c r="P94" s="62">
        <v>23000</v>
      </c>
      <c r="Q94" s="62">
        <v>23800</v>
      </c>
      <c r="R94" s="62">
        <v>24600</v>
      </c>
    </row>
    <row r="95" spans="1:18">
      <c r="A95" s="59">
        <v>41</v>
      </c>
      <c r="B95" t="s">
        <v>300</v>
      </c>
      <c r="C95">
        <f>VLOOKUP(A95,справочник!$A$2:$C$322,3,FALSE)</f>
        <v>41</v>
      </c>
      <c r="D95" t="str">
        <f>IFERROR(VLOOKUP(B95,справочник!$AF$2:$AF$15,1,FALSE),"")</f>
        <v/>
      </c>
      <c r="F95" t="s">
        <v>642</v>
      </c>
      <c r="G95" s="62">
        <v>15800</v>
      </c>
      <c r="H95" s="62">
        <v>16600</v>
      </c>
      <c r="I95" s="62">
        <v>17400</v>
      </c>
      <c r="J95" s="62">
        <v>18200</v>
      </c>
      <c r="K95" s="62">
        <v>19000</v>
      </c>
      <c r="L95" s="62">
        <v>19800</v>
      </c>
      <c r="M95" s="62">
        <v>20600</v>
      </c>
      <c r="N95" s="62">
        <v>21400</v>
      </c>
      <c r="O95" s="62">
        <v>22200</v>
      </c>
      <c r="P95" s="62">
        <v>23000</v>
      </c>
      <c r="Q95" s="62">
        <v>23800</v>
      </c>
      <c r="R95" s="62">
        <v>24600</v>
      </c>
    </row>
    <row r="96" spans="1:18">
      <c r="A96" s="59">
        <v>40</v>
      </c>
      <c r="B96" t="s">
        <v>309</v>
      </c>
      <c r="C96">
        <f>VLOOKUP(A96,справочник!$A$2:$C$322,3,FALSE)</f>
        <v>40</v>
      </c>
      <c r="D96" t="str">
        <f>IFERROR(VLOOKUP(B96,справочник!$AF$2:$AF$15,1,FALSE),"")</f>
        <v/>
      </c>
      <c r="F96" t="s">
        <v>642</v>
      </c>
      <c r="G96" s="62">
        <v>15800</v>
      </c>
      <c r="H96" s="62">
        <v>16600</v>
      </c>
      <c r="I96" s="62">
        <v>17400</v>
      </c>
      <c r="J96" s="62">
        <v>18200</v>
      </c>
      <c r="K96" s="62">
        <v>19000</v>
      </c>
      <c r="L96" s="62">
        <v>19800</v>
      </c>
      <c r="M96" s="62">
        <v>20600</v>
      </c>
      <c r="N96" s="62">
        <v>21400</v>
      </c>
      <c r="O96" s="62">
        <v>22200</v>
      </c>
      <c r="P96" s="62">
        <v>23000</v>
      </c>
      <c r="Q96" s="62">
        <v>23800</v>
      </c>
      <c r="R96" s="62">
        <v>24600</v>
      </c>
    </row>
    <row r="97" spans="1:18">
      <c r="A97" s="59">
        <v>185</v>
      </c>
      <c r="B97" t="s">
        <v>200</v>
      </c>
      <c r="C97">
        <f>VLOOKUP(A97,справочник!$A$2:$C$322,3,FALSE)</f>
        <v>193</v>
      </c>
      <c r="D97" t="str">
        <f>IFERROR(VLOOKUP(B97,справочник!$AF$2:$AF$15,1,FALSE),"")</f>
        <v/>
      </c>
      <c r="F97" t="s">
        <v>247</v>
      </c>
      <c r="G97" s="62">
        <v>14800</v>
      </c>
      <c r="H97" s="62">
        <v>15600</v>
      </c>
      <c r="I97" s="62">
        <v>16400</v>
      </c>
      <c r="J97" s="62">
        <v>17200</v>
      </c>
      <c r="K97" s="62">
        <v>18000</v>
      </c>
      <c r="L97" s="62">
        <v>18800</v>
      </c>
      <c r="M97" s="62">
        <v>19600</v>
      </c>
      <c r="N97" s="62">
        <v>20400</v>
      </c>
      <c r="O97" s="62">
        <v>21200</v>
      </c>
      <c r="P97" s="62">
        <v>22000</v>
      </c>
      <c r="Q97" s="62">
        <v>22800</v>
      </c>
      <c r="R97" s="62">
        <v>23600</v>
      </c>
    </row>
    <row r="98" spans="1:18">
      <c r="A98" s="59">
        <v>124</v>
      </c>
      <c r="B98" t="s">
        <v>105</v>
      </c>
      <c r="C98">
        <f>VLOOKUP(A98,справочник!$A$2:$C$322,3,FALSE)</f>
        <v>129</v>
      </c>
      <c r="D98" t="str">
        <f>IFERROR(VLOOKUP(B98,справочник!$AF$2:$AF$15,1,FALSE),"")</f>
        <v/>
      </c>
      <c r="F98" t="s">
        <v>645</v>
      </c>
      <c r="G98" s="62">
        <v>14300</v>
      </c>
      <c r="H98" s="62">
        <v>15100</v>
      </c>
      <c r="I98" s="62">
        <v>15900</v>
      </c>
      <c r="J98" s="62">
        <v>16700</v>
      </c>
      <c r="K98" s="62">
        <v>17500</v>
      </c>
      <c r="L98" s="62">
        <v>18300</v>
      </c>
      <c r="M98" s="62">
        <v>19100</v>
      </c>
      <c r="N98" s="62">
        <v>19900</v>
      </c>
      <c r="O98" s="62">
        <v>20700</v>
      </c>
      <c r="P98" s="62">
        <v>21500</v>
      </c>
      <c r="Q98" s="62">
        <v>22300</v>
      </c>
      <c r="R98" s="62">
        <v>23100</v>
      </c>
    </row>
    <row r="99" spans="1:18">
      <c r="A99" s="59">
        <v>305</v>
      </c>
      <c r="B99" t="s">
        <v>122</v>
      </c>
      <c r="C99">
        <f>VLOOKUP(A99,справочник!$A$2:$C$322,3,FALSE)</f>
        <v>320</v>
      </c>
      <c r="D99" t="str">
        <f>IFERROR(VLOOKUP(B99,справочник!$AF$2:$AF$15,1,FALSE),"")</f>
        <v/>
      </c>
      <c r="F99" t="s">
        <v>103</v>
      </c>
      <c r="G99" s="62">
        <v>13800</v>
      </c>
      <c r="H99" s="62">
        <v>14600</v>
      </c>
      <c r="I99" s="62">
        <v>15400</v>
      </c>
      <c r="J99" s="62">
        <v>16200</v>
      </c>
      <c r="K99" s="62">
        <v>17000</v>
      </c>
      <c r="L99" s="62">
        <v>17800</v>
      </c>
      <c r="M99" s="62">
        <v>18600</v>
      </c>
      <c r="N99" s="62">
        <v>19400</v>
      </c>
      <c r="O99" s="62">
        <v>20200</v>
      </c>
      <c r="P99" s="62">
        <v>21000</v>
      </c>
      <c r="Q99" s="62">
        <v>21800</v>
      </c>
      <c r="R99" s="62">
        <v>22600</v>
      </c>
    </row>
    <row r="100" spans="1:18">
      <c r="A100" s="59">
        <v>302</v>
      </c>
      <c r="B100" t="s">
        <v>125</v>
      </c>
      <c r="C100">
        <f>VLOOKUP(A100,справочник!$A$2:$C$322,3,FALSE)</f>
        <v>317</v>
      </c>
      <c r="D100" t="str">
        <f>IFERROR(VLOOKUP(B100,справочник!$AF$2:$AF$15,1,FALSE),"")</f>
        <v/>
      </c>
      <c r="F100" t="s">
        <v>103</v>
      </c>
      <c r="G100" s="62">
        <v>13800</v>
      </c>
      <c r="H100" s="62">
        <v>14600</v>
      </c>
      <c r="I100" s="62">
        <v>15400</v>
      </c>
      <c r="J100" s="62">
        <v>16200</v>
      </c>
      <c r="K100" s="62">
        <v>17000</v>
      </c>
      <c r="L100" s="62">
        <v>17800</v>
      </c>
      <c r="M100" s="62">
        <v>18600</v>
      </c>
      <c r="N100" s="62">
        <v>19400</v>
      </c>
      <c r="O100" s="62">
        <v>20200</v>
      </c>
      <c r="P100" s="62">
        <v>21000</v>
      </c>
      <c r="Q100" s="62">
        <v>21800</v>
      </c>
      <c r="R100" s="62">
        <v>22600</v>
      </c>
    </row>
    <row r="101" spans="1:18">
      <c r="A101" s="59">
        <v>178</v>
      </c>
      <c r="B101" t="s">
        <v>16</v>
      </c>
      <c r="C101">
        <f>VLOOKUP(A101,справочник!$A$2:$C$322,3,FALSE)</f>
        <v>186</v>
      </c>
      <c r="D101" t="str">
        <f>IFERROR(VLOOKUP(B101,справочник!$AF$2:$AF$15,1,FALSE),"")</f>
        <v/>
      </c>
      <c r="F101" t="s">
        <v>247</v>
      </c>
      <c r="G101" s="62">
        <v>13800</v>
      </c>
      <c r="H101" s="62">
        <v>14600</v>
      </c>
      <c r="I101" s="62">
        <v>15400</v>
      </c>
      <c r="J101" s="62">
        <v>16200</v>
      </c>
      <c r="K101" s="62">
        <v>17000</v>
      </c>
      <c r="L101" s="62">
        <v>17800</v>
      </c>
      <c r="M101" s="62">
        <v>18600</v>
      </c>
      <c r="N101" s="62">
        <v>19400</v>
      </c>
      <c r="O101" s="62">
        <v>20200</v>
      </c>
      <c r="P101" s="62">
        <v>21000</v>
      </c>
      <c r="Q101" s="62">
        <v>21800</v>
      </c>
      <c r="R101" s="62">
        <v>22600</v>
      </c>
    </row>
    <row r="102" spans="1:18">
      <c r="A102" s="59">
        <v>132</v>
      </c>
      <c r="B102" t="s">
        <v>77</v>
      </c>
      <c r="C102">
        <f>VLOOKUP(A102,справочник!$A$2:$C$322,3,FALSE)</f>
        <v>139</v>
      </c>
      <c r="D102" t="str">
        <f>IFERROR(VLOOKUP(B102,справочник!$AF$2:$AF$15,1,FALSE),"")</f>
        <v/>
      </c>
      <c r="F102" t="s">
        <v>641</v>
      </c>
      <c r="G102" s="62">
        <v>13800</v>
      </c>
      <c r="H102" s="62">
        <v>14600</v>
      </c>
      <c r="I102" s="62">
        <v>15400</v>
      </c>
      <c r="J102" s="62">
        <v>16200</v>
      </c>
      <c r="K102" s="62">
        <v>17000</v>
      </c>
      <c r="L102" s="62">
        <v>17800</v>
      </c>
      <c r="M102" s="62">
        <v>18600</v>
      </c>
      <c r="N102" s="62">
        <v>19400</v>
      </c>
      <c r="O102" s="62">
        <v>20200</v>
      </c>
      <c r="P102" s="62">
        <v>21000</v>
      </c>
      <c r="Q102" s="62">
        <v>21800</v>
      </c>
      <c r="R102" s="62">
        <v>22600</v>
      </c>
    </row>
    <row r="103" spans="1:18">
      <c r="A103" s="59">
        <v>123</v>
      </c>
      <c r="B103" t="s">
        <v>126</v>
      </c>
      <c r="C103">
        <f>VLOOKUP(A103,справочник!$A$2:$C$322,3,FALSE)</f>
        <v>128</v>
      </c>
      <c r="D103" t="str">
        <f>IFERROR(VLOOKUP(B103,справочник!$AF$2:$AF$15,1,FALSE),"")</f>
        <v/>
      </c>
      <c r="F103" t="s">
        <v>645</v>
      </c>
      <c r="G103" s="62">
        <v>13800</v>
      </c>
      <c r="H103" s="62">
        <v>14600</v>
      </c>
      <c r="I103" s="62">
        <v>15400</v>
      </c>
      <c r="J103" s="62">
        <v>16200</v>
      </c>
      <c r="K103" s="62">
        <v>17000</v>
      </c>
      <c r="L103" s="62">
        <v>17800</v>
      </c>
      <c r="M103" s="62">
        <v>18600</v>
      </c>
      <c r="N103" s="62">
        <v>19400</v>
      </c>
      <c r="O103" s="62">
        <v>20200</v>
      </c>
      <c r="P103" s="62">
        <v>21000</v>
      </c>
      <c r="Q103" s="62">
        <v>21800</v>
      </c>
      <c r="R103" s="62">
        <v>22600</v>
      </c>
    </row>
    <row r="104" spans="1:18">
      <c r="A104" s="59">
        <v>96</v>
      </c>
      <c r="B104" t="s">
        <v>166</v>
      </c>
      <c r="C104">
        <f>VLOOKUP(A104,справочник!$A$2:$C$322,3,FALSE)</f>
        <v>102</v>
      </c>
      <c r="D104" t="str">
        <f>IFERROR(VLOOKUP(B104,справочник!$AF$2:$AF$15,1,FALSE),"")</f>
        <v/>
      </c>
      <c r="F104" t="s">
        <v>645</v>
      </c>
      <c r="G104" s="62">
        <v>17788</v>
      </c>
      <c r="H104" s="62">
        <v>18588</v>
      </c>
      <c r="I104" s="62">
        <v>19388</v>
      </c>
      <c r="J104" s="62">
        <v>18188</v>
      </c>
      <c r="K104" s="62">
        <v>18988</v>
      </c>
      <c r="L104" s="62">
        <v>17788</v>
      </c>
      <c r="M104" s="62">
        <v>18588</v>
      </c>
      <c r="N104" s="62">
        <v>19388</v>
      </c>
      <c r="O104" s="62">
        <v>20188</v>
      </c>
      <c r="P104" s="62">
        <v>20988</v>
      </c>
      <c r="Q104" s="62">
        <v>21788</v>
      </c>
      <c r="R104" s="62">
        <v>22588</v>
      </c>
    </row>
    <row r="105" spans="1:18">
      <c r="A105" s="59">
        <v>9</v>
      </c>
      <c r="B105" t="s">
        <v>163</v>
      </c>
      <c r="C105">
        <f>VLOOKUP(A105,справочник!$A$2:$C$322,3,FALSE)</f>
        <v>9</v>
      </c>
      <c r="D105" t="str">
        <f>IFERROR(VLOOKUP(B105,справочник!$AF$2:$AF$15,1,FALSE),"")</f>
        <v/>
      </c>
      <c r="F105" t="s">
        <v>90</v>
      </c>
      <c r="G105" s="62">
        <v>23800</v>
      </c>
      <c r="H105" s="62">
        <v>24600</v>
      </c>
      <c r="I105" s="62">
        <v>25400</v>
      </c>
      <c r="J105" s="62">
        <v>26200</v>
      </c>
      <c r="K105" s="62">
        <v>18000</v>
      </c>
      <c r="L105" s="62">
        <v>17200</v>
      </c>
      <c r="M105" s="62">
        <v>18000</v>
      </c>
      <c r="N105" s="62">
        <v>18800</v>
      </c>
      <c r="O105" s="62">
        <v>19600</v>
      </c>
      <c r="P105" s="62">
        <v>20400</v>
      </c>
      <c r="Q105" s="62">
        <v>21200</v>
      </c>
      <c r="R105" s="62">
        <v>22000</v>
      </c>
    </row>
    <row r="106" spans="1:18">
      <c r="A106" s="59">
        <v>301</v>
      </c>
      <c r="B106" t="s">
        <v>73</v>
      </c>
      <c r="C106">
        <f>VLOOKUP(A106,справочник!$A$2:$C$322,3,FALSE)</f>
        <v>316</v>
      </c>
      <c r="D106" t="str">
        <f>IFERROR(VLOOKUP(B106,справочник!$AF$2:$AF$15,1,FALSE),"")</f>
        <v/>
      </c>
      <c r="F106" t="s">
        <v>103</v>
      </c>
      <c r="G106" s="62">
        <v>12800</v>
      </c>
      <c r="H106" s="62">
        <v>13600</v>
      </c>
      <c r="I106" s="62">
        <v>14400</v>
      </c>
      <c r="J106" s="62">
        <v>15200</v>
      </c>
      <c r="K106" s="62">
        <v>16000</v>
      </c>
      <c r="L106" s="62">
        <v>16800</v>
      </c>
      <c r="M106" s="62">
        <v>17600</v>
      </c>
      <c r="N106" s="62">
        <v>18400</v>
      </c>
      <c r="O106" s="62">
        <v>19200</v>
      </c>
      <c r="P106" s="62">
        <v>20000</v>
      </c>
      <c r="Q106" s="62">
        <v>20800</v>
      </c>
      <c r="R106" s="62">
        <v>21600</v>
      </c>
    </row>
    <row r="107" spans="1:18">
      <c r="A107" s="59">
        <v>297</v>
      </c>
      <c r="B107" t="s">
        <v>228</v>
      </c>
      <c r="C107">
        <f>VLOOKUP(A107,справочник!$A$2:$C$322,3,FALSE)</f>
        <v>312</v>
      </c>
      <c r="D107" t="str">
        <f>IFERROR(VLOOKUP(B107,справочник!$AF$2:$AF$15,1,FALSE),"")</f>
        <v/>
      </c>
      <c r="F107" t="s">
        <v>103</v>
      </c>
      <c r="G107" s="62">
        <v>12800</v>
      </c>
      <c r="H107" s="62">
        <v>13600</v>
      </c>
      <c r="I107" s="62">
        <v>14400</v>
      </c>
      <c r="J107" s="62">
        <v>15200</v>
      </c>
      <c r="K107" s="62">
        <v>16000</v>
      </c>
      <c r="L107" s="62">
        <v>16800</v>
      </c>
      <c r="M107" s="62">
        <v>17600</v>
      </c>
      <c r="N107" s="62">
        <v>18400</v>
      </c>
      <c r="O107" s="62">
        <v>19200</v>
      </c>
      <c r="P107" s="62">
        <v>20000</v>
      </c>
      <c r="Q107" s="62">
        <v>20800</v>
      </c>
      <c r="R107" s="62">
        <v>21600</v>
      </c>
    </row>
    <row r="108" spans="1:18">
      <c r="A108" s="59">
        <v>295</v>
      </c>
      <c r="B108" s="53" t="s">
        <v>103</v>
      </c>
      <c r="C108">
        <f>VLOOKUP(A108,справочник!$A$2:$C$322,3,FALSE)</f>
        <v>310</v>
      </c>
      <c r="D108" t="str">
        <f>IFERROR(VLOOKUP(B108,справочник!$AF$2:$AF$15,1,FALSE),"")</f>
        <v>Измайлов Михаил Михайлович</v>
      </c>
      <c r="F108" t="s">
        <v>103</v>
      </c>
      <c r="G108" s="62">
        <v>12800</v>
      </c>
      <c r="H108" s="62">
        <v>13600</v>
      </c>
      <c r="I108" s="62">
        <v>14400</v>
      </c>
      <c r="J108" s="62">
        <v>15200</v>
      </c>
      <c r="K108" s="62">
        <v>16000</v>
      </c>
      <c r="L108" s="62">
        <v>16800</v>
      </c>
      <c r="M108" s="62">
        <v>17600</v>
      </c>
      <c r="N108" s="62">
        <v>18400</v>
      </c>
      <c r="O108" s="62">
        <v>19200</v>
      </c>
      <c r="P108" s="62">
        <v>20000</v>
      </c>
      <c r="Q108" s="62">
        <v>20800</v>
      </c>
      <c r="R108" s="62">
        <v>21600</v>
      </c>
    </row>
    <row r="109" spans="1:18">
      <c r="A109" s="59">
        <v>293</v>
      </c>
      <c r="B109" t="s">
        <v>18</v>
      </c>
      <c r="C109">
        <f>VLOOKUP(A109,справочник!$A$2:$C$322,3,FALSE)</f>
        <v>308</v>
      </c>
      <c r="D109" t="str">
        <f>IFERROR(VLOOKUP(B109,справочник!$AF$2:$AF$15,1,FALSE),"")</f>
        <v/>
      </c>
      <c r="F109" t="s">
        <v>103</v>
      </c>
      <c r="G109" s="62">
        <v>12800</v>
      </c>
      <c r="H109" s="62">
        <v>13600</v>
      </c>
      <c r="I109" s="62">
        <v>14400</v>
      </c>
      <c r="J109" s="62">
        <v>15200</v>
      </c>
      <c r="K109" s="62">
        <v>16000</v>
      </c>
      <c r="L109" s="62">
        <v>16800</v>
      </c>
      <c r="M109" s="62">
        <v>17600</v>
      </c>
      <c r="N109" s="62">
        <v>18400</v>
      </c>
      <c r="O109" s="62">
        <v>19200</v>
      </c>
      <c r="P109" s="62">
        <v>20000</v>
      </c>
      <c r="Q109" s="62">
        <v>20800</v>
      </c>
      <c r="R109" s="62">
        <v>21600</v>
      </c>
    </row>
    <row r="110" spans="1:18">
      <c r="A110" s="59">
        <v>205</v>
      </c>
      <c r="B110" t="s">
        <v>240</v>
      </c>
      <c r="C110">
        <f>VLOOKUP(A110,справочник!$A$2:$C$322,3,FALSE)</f>
        <v>215</v>
      </c>
      <c r="D110" t="str">
        <f>IFERROR(VLOOKUP(B110,справочник!$AF$2:$AF$15,1,FALSE),"")</f>
        <v/>
      </c>
      <c r="F110" t="s">
        <v>37</v>
      </c>
      <c r="G110" s="62">
        <v>12800</v>
      </c>
      <c r="H110" s="62">
        <v>13600</v>
      </c>
      <c r="I110" s="62">
        <v>14400</v>
      </c>
      <c r="J110" s="62">
        <v>15200</v>
      </c>
      <c r="K110" s="62">
        <v>16000</v>
      </c>
      <c r="L110" s="62">
        <v>16800</v>
      </c>
      <c r="M110" s="62">
        <v>17600</v>
      </c>
      <c r="N110" s="62">
        <v>18400</v>
      </c>
      <c r="O110" s="62">
        <v>19200</v>
      </c>
      <c r="P110" s="62">
        <v>20000</v>
      </c>
      <c r="Q110" s="62">
        <v>20800</v>
      </c>
      <c r="R110" s="62">
        <v>21600</v>
      </c>
    </row>
    <row r="111" spans="1:18">
      <c r="A111" s="59">
        <v>167</v>
      </c>
      <c r="B111" t="s">
        <v>267</v>
      </c>
      <c r="C111">
        <f>VLOOKUP(A111,справочник!$A$2:$C$322,3,FALSE)</f>
        <v>175</v>
      </c>
      <c r="D111" t="str">
        <f>IFERROR(VLOOKUP(B111,справочник!$AF$2:$AF$15,1,FALSE),"")</f>
        <v/>
      </c>
      <c r="F111" t="s">
        <v>13</v>
      </c>
      <c r="G111" s="62">
        <v>12800</v>
      </c>
      <c r="H111" s="62">
        <v>13600</v>
      </c>
      <c r="I111" s="62">
        <v>14400</v>
      </c>
      <c r="J111" s="62">
        <v>15200</v>
      </c>
      <c r="K111" s="62">
        <v>16000</v>
      </c>
      <c r="L111" s="62">
        <v>16800</v>
      </c>
      <c r="M111" s="62">
        <v>17600</v>
      </c>
      <c r="N111" s="62">
        <v>18400</v>
      </c>
      <c r="O111" s="62">
        <v>19200</v>
      </c>
      <c r="P111" s="62">
        <v>20000</v>
      </c>
      <c r="Q111" s="62">
        <v>20800</v>
      </c>
      <c r="R111" s="62">
        <v>21600</v>
      </c>
    </row>
    <row r="112" spans="1:18">
      <c r="A112" s="59">
        <v>166</v>
      </c>
      <c r="B112" t="s">
        <v>153</v>
      </c>
      <c r="C112">
        <f>VLOOKUP(A112,справочник!$A$2:$C$322,3,FALSE)</f>
        <v>174</v>
      </c>
      <c r="D112" t="str">
        <f>IFERROR(VLOOKUP(B112,справочник!$AF$2:$AF$15,1,FALSE),"")</f>
        <v/>
      </c>
      <c r="F112" t="s">
        <v>13</v>
      </c>
      <c r="G112" s="62">
        <v>12800</v>
      </c>
      <c r="H112" s="62">
        <v>13600</v>
      </c>
      <c r="I112" s="62">
        <v>14400</v>
      </c>
      <c r="J112" s="62">
        <v>15200</v>
      </c>
      <c r="K112" s="62">
        <v>16000</v>
      </c>
      <c r="L112" s="62">
        <v>16800</v>
      </c>
      <c r="M112" s="62">
        <v>17600</v>
      </c>
      <c r="N112" s="62">
        <v>18400</v>
      </c>
      <c r="O112" s="62">
        <v>19200</v>
      </c>
      <c r="P112" s="62">
        <v>20000</v>
      </c>
      <c r="Q112" s="62">
        <v>20800</v>
      </c>
      <c r="R112" s="62">
        <v>21600</v>
      </c>
    </row>
    <row r="113" spans="1:18">
      <c r="A113" s="59">
        <v>71</v>
      </c>
      <c r="B113" t="s">
        <v>192</v>
      </c>
      <c r="C113">
        <f>VLOOKUP(A113,справочник!$A$2:$C$322,3,FALSE)</f>
        <v>77</v>
      </c>
      <c r="D113" t="str">
        <f>IFERROR(VLOOKUP(B113,справочник!$AF$2:$AF$15,1,FALSE),"")</f>
        <v/>
      </c>
      <c r="F113" t="s">
        <v>181</v>
      </c>
      <c r="G113" s="62">
        <v>12800</v>
      </c>
      <c r="H113" s="62">
        <v>13600</v>
      </c>
      <c r="I113" s="62">
        <v>14400</v>
      </c>
      <c r="J113" s="62">
        <v>15200</v>
      </c>
      <c r="K113" s="62">
        <v>16000</v>
      </c>
      <c r="L113" s="62">
        <v>16800</v>
      </c>
      <c r="M113" s="62">
        <v>17600</v>
      </c>
      <c r="N113" s="62">
        <v>18400</v>
      </c>
      <c r="O113" s="62">
        <v>19200</v>
      </c>
      <c r="P113" s="62">
        <v>20000</v>
      </c>
      <c r="Q113" s="62">
        <v>20800</v>
      </c>
      <c r="R113" s="62">
        <v>21600</v>
      </c>
    </row>
    <row r="114" spans="1:18">
      <c r="A114" s="59">
        <v>39</v>
      </c>
      <c r="B114" t="s">
        <v>61</v>
      </c>
      <c r="C114">
        <f>VLOOKUP(A114,справочник!$A$2:$C$322,3,FALSE)</f>
        <v>39</v>
      </c>
      <c r="D114" t="str">
        <f>IFERROR(VLOOKUP(B114,справочник!$AF$2:$AF$15,1,FALSE),"")</f>
        <v/>
      </c>
      <c r="F114" t="s">
        <v>642</v>
      </c>
      <c r="G114" s="62">
        <v>12800</v>
      </c>
      <c r="H114" s="62">
        <v>13600</v>
      </c>
      <c r="I114" s="62">
        <v>14400</v>
      </c>
      <c r="J114" s="62">
        <v>15200</v>
      </c>
      <c r="K114" s="62">
        <v>16000</v>
      </c>
      <c r="L114" s="62">
        <v>16800</v>
      </c>
      <c r="M114" s="62">
        <v>17600</v>
      </c>
      <c r="N114" s="62">
        <v>18400</v>
      </c>
      <c r="O114" s="62">
        <v>19200</v>
      </c>
      <c r="P114" s="62">
        <v>20000</v>
      </c>
      <c r="Q114" s="62">
        <v>20800</v>
      </c>
      <c r="R114" s="62">
        <v>21600</v>
      </c>
    </row>
    <row r="115" spans="1:18">
      <c r="A115" s="60">
        <v>27</v>
      </c>
      <c r="B115" t="s">
        <v>272</v>
      </c>
      <c r="C115">
        <f>VLOOKUP(A115,справочник!$A$2:$C$322,3,FALSE)</f>
        <v>27</v>
      </c>
      <c r="D115" t="str">
        <f>IFERROR(VLOOKUP(B115,справочник!$AF$2:$AF$15,1,FALSE),"")</f>
        <v/>
      </c>
      <c r="F115" t="s">
        <v>90</v>
      </c>
      <c r="G115" s="62">
        <v>12800</v>
      </c>
      <c r="H115" s="62">
        <v>13600</v>
      </c>
      <c r="I115" s="62">
        <v>14400</v>
      </c>
      <c r="J115" s="62">
        <v>15200</v>
      </c>
      <c r="K115" s="62">
        <v>16000</v>
      </c>
      <c r="L115" s="62">
        <v>16800</v>
      </c>
      <c r="M115" s="62">
        <v>17600</v>
      </c>
      <c r="N115" s="62">
        <v>18400</v>
      </c>
      <c r="O115" s="62">
        <v>19200</v>
      </c>
      <c r="P115" s="62">
        <v>20000</v>
      </c>
      <c r="Q115" s="62">
        <v>20800</v>
      </c>
      <c r="R115" s="62">
        <v>21600</v>
      </c>
    </row>
    <row r="116" spans="1:18">
      <c r="A116" s="59">
        <v>11</v>
      </c>
      <c r="B116" t="s">
        <v>30</v>
      </c>
      <c r="C116">
        <f>VLOOKUP(A116,справочник!$A$2:$C$322,3,FALSE)</f>
        <v>11</v>
      </c>
      <c r="D116" t="str">
        <f>IFERROR(VLOOKUP(B116,справочник!$AF$2:$AF$15,1,FALSE),"")</f>
        <v/>
      </c>
      <c r="F116" t="s">
        <v>90</v>
      </c>
      <c r="G116" s="62">
        <v>12800</v>
      </c>
      <c r="H116" s="62">
        <v>13600</v>
      </c>
      <c r="I116" s="62">
        <v>14400</v>
      </c>
      <c r="J116" s="62">
        <v>15200</v>
      </c>
      <c r="K116" s="62">
        <v>16000</v>
      </c>
      <c r="L116" s="62">
        <v>16800</v>
      </c>
      <c r="M116" s="62">
        <v>17600</v>
      </c>
      <c r="N116" s="62">
        <v>18400</v>
      </c>
      <c r="O116" s="62">
        <v>19200</v>
      </c>
      <c r="P116" s="62">
        <v>20000</v>
      </c>
      <c r="Q116" s="62">
        <v>20800</v>
      </c>
      <c r="R116" s="62">
        <v>21600</v>
      </c>
    </row>
    <row r="117" spans="1:18">
      <c r="A117" s="59">
        <v>300</v>
      </c>
      <c r="B117" t="s">
        <v>185</v>
      </c>
      <c r="C117">
        <f>VLOOKUP(A117,справочник!$A$2:$C$322,3,FALSE)</f>
        <v>315</v>
      </c>
      <c r="D117" t="str">
        <f>IFERROR(VLOOKUP(B117,справочник!$AF$2:$AF$15,1,FALSE),"")</f>
        <v/>
      </c>
      <c r="F117" t="s">
        <v>103</v>
      </c>
      <c r="G117" s="62">
        <v>11800</v>
      </c>
      <c r="H117" s="62">
        <v>12600</v>
      </c>
      <c r="I117" s="62">
        <v>13400</v>
      </c>
      <c r="J117" s="62">
        <v>14200</v>
      </c>
      <c r="K117" s="62">
        <v>15000</v>
      </c>
      <c r="L117" s="62">
        <v>15800</v>
      </c>
      <c r="M117" s="62">
        <v>16600</v>
      </c>
      <c r="N117" s="62">
        <v>17400</v>
      </c>
      <c r="O117" s="62">
        <v>18200</v>
      </c>
      <c r="P117" s="62">
        <v>19000</v>
      </c>
      <c r="Q117" s="62">
        <v>19800</v>
      </c>
      <c r="R117" s="62">
        <v>20600</v>
      </c>
    </row>
    <row r="118" spans="1:18">
      <c r="A118" s="59">
        <v>292</v>
      </c>
      <c r="B118" t="s">
        <v>167</v>
      </c>
      <c r="C118">
        <f>VLOOKUP(A118,справочник!$A$2:$C$322,3,FALSE)</f>
        <v>305</v>
      </c>
      <c r="D118" t="str">
        <f>IFERROR(VLOOKUP(B118,справочник!$AF$2:$AF$15,1,FALSE),"")</f>
        <v/>
      </c>
      <c r="F118" t="s">
        <v>103</v>
      </c>
      <c r="G118" s="62">
        <v>11800</v>
      </c>
      <c r="H118" s="62">
        <v>12600</v>
      </c>
      <c r="I118" s="62">
        <v>13400</v>
      </c>
      <c r="J118" s="62">
        <v>14200</v>
      </c>
      <c r="K118" s="62">
        <v>15000</v>
      </c>
      <c r="L118" s="62">
        <v>15800</v>
      </c>
      <c r="M118" s="62">
        <v>16600</v>
      </c>
      <c r="N118" s="62">
        <v>17400</v>
      </c>
      <c r="O118" s="62">
        <v>18200</v>
      </c>
      <c r="P118" s="62">
        <v>19000</v>
      </c>
      <c r="Q118" s="62">
        <v>19800</v>
      </c>
      <c r="R118" s="62">
        <v>20600</v>
      </c>
    </row>
    <row r="119" spans="1:18">
      <c r="A119" s="59">
        <v>266</v>
      </c>
      <c r="B119" t="s">
        <v>139</v>
      </c>
      <c r="C119">
        <f>VLOOKUP(A119,справочник!$A$2:$C$322,3,FALSE)</f>
        <v>279</v>
      </c>
      <c r="D119" t="str">
        <f>IFERROR(VLOOKUP(B119,справочник!$AF$2:$AF$15,1,FALSE),"")</f>
        <v/>
      </c>
      <c r="F119" t="s">
        <v>146</v>
      </c>
      <c r="G119" s="62">
        <v>11800</v>
      </c>
      <c r="H119" s="62">
        <v>12600</v>
      </c>
      <c r="I119" s="62">
        <v>13400</v>
      </c>
      <c r="J119" s="62">
        <v>14200</v>
      </c>
      <c r="K119" s="62">
        <v>15000</v>
      </c>
      <c r="L119" s="62">
        <v>15800</v>
      </c>
      <c r="M119" s="62">
        <v>16600</v>
      </c>
      <c r="N119" s="62">
        <v>17400</v>
      </c>
      <c r="O119" s="62">
        <v>18200</v>
      </c>
      <c r="P119" s="62">
        <v>19000</v>
      </c>
      <c r="Q119" s="62">
        <v>19800</v>
      </c>
      <c r="R119" s="62">
        <v>20600</v>
      </c>
    </row>
    <row r="120" spans="1:18">
      <c r="A120" s="59">
        <v>250</v>
      </c>
      <c r="B120" t="s">
        <v>106</v>
      </c>
      <c r="C120">
        <f>VLOOKUP(A120,справочник!$A$2:$C$322,3,FALSE)</f>
        <v>261</v>
      </c>
      <c r="D120" t="str">
        <f>IFERROR(VLOOKUP(B120,справочник!$AF$2:$AF$15,1,FALSE),"")</f>
        <v/>
      </c>
      <c r="F120" t="s">
        <v>146</v>
      </c>
      <c r="G120" s="62">
        <v>14800</v>
      </c>
      <c r="H120" s="62">
        <v>15600</v>
      </c>
      <c r="I120" s="62">
        <v>15400</v>
      </c>
      <c r="J120" s="62">
        <v>15200</v>
      </c>
      <c r="K120" s="62">
        <v>15000</v>
      </c>
      <c r="L120" s="62">
        <v>15800</v>
      </c>
      <c r="M120" s="62">
        <v>16600</v>
      </c>
      <c r="N120" s="62">
        <v>17400</v>
      </c>
      <c r="O120" s="62">
        <v>18200</v>
      </c>
      <c r="P120" s="62">
        <v>19000</v>
      </c>
      <c r="Q120" s="62">
        <v>19800</v>
      </c>
      <c r="R120" s="62">
        <v>20600</v>
      </c>
    </row>
    <row r="121" spans="1:18">
      <c r="A121" s="59">
        <v>247</v>
      </c>
      <c r="B121" t="s">
        <v>278</v>
      </c>
      <c r="C121">
        <f>VLOOKUP(A121,справочник!$A$2:$C$322,3,FALSE)</f>
        <v>258</v>
      </c>
      <c r="D121" t="str">
        <f>IFERROR(VLOOKUP(B121,справочник!$AF$2:$AF$15,1,FALSE),"")</f>
        <v/>
      </c>
      <c r="F121" t="s">
        <v>644</v>
      </c>
      <c r="G121" s="62">
        <v>11800</v>
      </c>
      <c r="H121" s="62">
        <v>12600</v>
      </c>
      <c r="I121" s="62">
        <v>13400</v>
      </c>
      <c r="J121" s="62">
        <v>14200</v>
      </c>
      <c r="K121" s="62">
        <v>15000</v>
      </c>
      <c r="L121" s="62">
        <v>15800</v>
      </c>
      <c r="M121" s="62">
        <v>16600</v>
      </c>
      <c r="N121" s="62">
        <v>17400</v>
      </c>
      <c r="O121" s="62">
        <v>18200</v>
      </c>
      <c r="P121" s="62">
        <v>19000</v>
      </c>
      <c r="Q121" s="62">
        <v>19800</v>
      </c>
      <c r="R121" s="62">
        <v>20600</v>
      </c>
    </row>
    <row r="122" spans="1:18">
      <c r="A122" s="59">
        <v>73</v>
      </c>
      <c r="B122" t="s">
        <v>259</v>
      </c>
      <c r="C122">
        <f>VLOOKUP(A122,справочник!$A$2:$C$322,3,FALSE)</f>
        <v>79</v>
      </c>
      <c r="D122" t="str">
        <f>IFERROR(VLOOKUP(B122,справочник!$AF$2:$AF$15,1,FALSE),"")</f>
        <v/>
      </c>
      <c r="F122" t="s">
        <v>181</v>
      </c>
      <c r="G122" s="62">
        <v>11800</v>
      </c>
      <c r="H122" s="62">
        <v>12600</v>
      </c>
      <c r="I122" s="62">
        <v>13400</v>
      </c>
      <c r="J122" s="62">
        <v>14200</v>
      </c>
      <c r="K122" s="62">
        <v>15000</v>
      </c>
      <c r="L122" s="62">
        <v>15800</v>
      </c>
      <c r="M122" s="62">
        <v>16600</v>
      </c>
      <c r="N122" s="62">
        <v>17400</v>
      </c>
      <c r="O122" s="62">
        <v>18200</v>
      </c>
      <c r="P122" s="62">
        <v>19000</v>
      </c>
      <c r="Q122" s="62">
        <v>19800</v>
      </c>
      <c r="R122" s="62">
        <v>20600</v>
      </c>
    </row>
    <row r="123" spans="1:18">
      <c r="A123" s="59">
        <v>5</v>
      </c>
      <c r="B123" t="s">
        <v>99</v>
      </c>
      <c r="C123">
        <f>VLOOKUP(A123,справочник!$A$2:$C$322,3,FALSE)</f>
        <v>5</v>
      </c>
      <c r="D123" t="str">
        <f>IFERROR(VLOOKUP(B123,справочник!$AF$2:$AF$15,1,FALSE),"")</f>
        <v/>
      </c>
      <c r="F123" t="s">
        <v>90</v>
      </c>
      <c r="G123" s="62">
        <v>11800</v>
      </c>
      <c r="H123" s="62">
        <v>12600</v>
      </c>
      <c r="I123" s="62">
        <v>13400</v>
      </c>
      <c r="J123" s="62">
        <v>14200</v>
      </c>
      <c r="K123" s="62">
        <v>15000</v>
      </c>
      <c r="L123" s="62">
        <v>15800</v>
      </c>
      <c r="M123" s="62">
        <v>16600</v>
      </c>
      <c r="N123" s="62">
        <v>17400</v>
      </c>
      <c r="O123" s="62">
        <v>18200</v>
      </c>
      <c r="P123" s="62">
        <v>19000</v>
      </c>
      <c r="Q123" s="62">
        <v>19800</v>
      </c>
      <c r="R123" s="62">
        <v>20600</v>
      </c>
    </row>
    <row r="124" spans="1:18">
      <c r="A124" s="59">
        <v>175</v>
      </c>
      <c r="B124" t="s">
        <v>42</v>
      </c>
      <c r="C124">
        <f>VLOOKUP(A124,справочник!$A$2:$C$322,3,FALSE)</f>
        <v>187</v>
      </c>
      <c r="D124" t="str">
        <f>IFERROR(VLOOKUP(B124,справочник!$AF$2:$AF$15,1,FALSE),"")</f>
        <v/>
      </c>
      <c r="F124" t="s">
        <v>247</v>
      </c>
      <c r="G124" s="62">
        <v>32800</v>
      </c>
      <c r="H124" s="62">
        <v>33600</v>
      </c>
      <c r="I124" s="62">
        <v>34400</v>
      </c>
      <c r="J124" s="62">
        <v>35200</v>
      </c>
      <c r="K124" s="62">
        <v>14400</v>
      </c>
      <c r="L124" s="62">
        <v>15200</v>
      </c>
      <c r="M124" s="62">
        <v>16000</v>
      </c>
      <c r="N124" s="62">
        <v>16800</v>
      </c>
      <c r="O124" s="62">
        <v>17600</v>
      </c>
      <c r="P124" s="62">
        <v>18400</v>
      </c>
      <c r="Q124" s="62">
        <v>19200</v>
      </c>
      <c r="R124" s="62">
        <v>20000</v>
      </c>
    </row>
    <row r="125" spans="1:18">
      <c r="A125" s="59">
        <v>127</v>
      </c>
      <c r="B125" s="53" t="s">
        <v>90</v>
      </c>
      <c r="C125">
        <f>VLOOKUP(A125,справочник!$A$2:$C$322,3,FALSE)</f>
        <v>132</v>
      </c>
      <c r="D125" t="str">
        <f>IFERROR(VLOOKUP(B125,справочник!$AF$2:$AF$15,1,FALSE),"")</f>
        <v>Жохова Елена Сергеевна</v>
      </c>
      <c r="F125" t="s">
        <v>641</v>
      </c>
      <c r="G125" s="62">
        <v>12800</v>
      </c>
      <c r="H125" s="62">
        <v>12000</v>
      </c>
      <c r="I125" s="62">
        <v>12800</v>
      </c>
      <c r="J125" s="62">
        <v>13600</v>
      </c>
      <c r="K125" s="62">
        <v>14400</v>
      </c>
      <c r="L125" s="62">
        <v>15200</v>
      </c>
      <c r="M125" s="62">
        <v>16000</v>
      </c>
      <c r="N125" s="62">
        <v>16800</v>
      </c>
      <c r="O125" s="62">
        <v>17600</v>
      </c>
      <c r="P125" s="62">
        <v>18400</v>
      </c>
      <c r="Q125" s="62">
        <v>19200</v>
      </c>
      <c r="R125" s="62">
        <v>20000</v>
      </c>
    </row>
    <row r="126" spans="1:18">
      <c r="A126" s="59">
        <v>270</v>
      </c>
      <c r="B126" t="s">
        <v>162</v>
      </c>
      <c r="C126">
        <f>VLOOKUP(A126,справочник!$A$2:$C$322,3,FALSE)</f>
        <v>283</v>
      </c>
      <c r="D126" t="str">
        <f>IFERROR(VLOOKUP(B126,справочник!$AF$2:$AF$15,1,FALSE),"")</f>
        <v/>
      </c>
      <c r="F126" t="s">
        <v>643</v>
      </c>
      <c r="G126" s="62">
        <v>10800</v>
      </c>
      <c r="H126" s="62">
        <v>11600</v>
      </c>
      <c r="I126" s="62">
        <v>12400</v>
      </c>
      <c r="J126" s="62">
        <v>13200</v>
      </c>
      <c r="K126" s="62">
        <v>14000</v>
      </c>
      <c r="L126" s="62">
        <v>14800</v>
      </c>
      <c r="M126" s="62">
        <v>15600</v>
      </c>
      <c r="N126" s="62">
        <v>16400</v>
      </c>
      <c r="O126" s="62">
        <v>17200</v>
      </c>
      <c r="P126" s="62">
        <v>18000</v>
      </c>
      <c r="Q126" s="62">
        <v>18800</v>
      </c>
      <c r="R126" s="62">
        <v>19600</v>
      </c>
    </row>
    <row r="127" spans="1:18">
      <c r="A127" s="59">
        <v>136</v>
      </c>
      <c r="B127" t="s">
        <v>29</v>
      </c>
      <c r="C127">
        <f>VLOOKUP(A127,справочник!$A$2:$C$322,3,FALSE)</f>
        <v>144</v>
      </c>
      <c r="D127" t="str">
        <f>IFERROR(VLOOKUP(B127,справочник!$AF$2:$AF$15,1,FALSE),"")</f>
        <v/>
      </c>
      <c r="F127" t="s">
        <v>641</v>
      </c>
      <c r="G127" s="62">
        <v>10800</v>
      </c>
      <c r="H127" s="62">
        <v>11600</v>
      </c>
      <c r="I127" s="62">
        <v>12400</v>
      </c>
      <c r="J127" s="62">
        <v>13200</v>
      </c>
      <c r="K127" s="62">
        <v>14000</v>
      </c>
      <c r="L127" s="62">
        <v>14800</v>
      </c>
      <c r="M127" s="62">
        <v>15600</v>
      </c>
      <c r="N127" s="62">
        <v>16400</v>
      </c>
      <c r="O127" s="62">
        <v>17200</v>
      </c>
      <c r="P127" s="62">
        <v>18000</v>
      </c>
      <c r="Q127" s="62">
        <v>18800</v>
      </c>
      <c r="R127" s="62">
        <v>19600</v>
      </c>
    </row>
    <row r="128" spans="1:18">
      <c r="A128" s="59">
        <v>57</v>
      </c>
      <c r="B128" t="s">
        <v>257</v>
      </c>
      <c r="C128">
        <f>VLOOKUP(A128,справочник!$A$2:$C$322,3,FALSE)</f>
        <v>59</v>
      </c>
      <c r="D128" t="str">
        <f>IFERROR(VLOOKUP(B128,справочник!$AF$2:$AF$15,1,FALSE),"")</f>
        <v/>
      </c>
      <c r="F128" t="s">
        <v>642</v>
      </c>
      <c r="G128" s="62">
        <v>10800</v>
      </c>
      <c r="H128" s="62">
        <v>11600</v>
      </c>
      <c r="I128" s="62">
        <v>12400</v>
      </c>
      <c r="J128" s="62">
        <v>13200</v>
      </c>
      <c r="K128" s="62">
        <v>14000</v>
      </c>
      <c r="L128" s="62">
        <v>14800</v>
      </c>
      <c r="M128" s="62">
        <v>15600</v>
      </c>
      <c r="N128" s="62">
        <v>16400</v>
      </c>
      <c r="O128" s="62">
        <v>17200</v>
      </c>
      <c r="P128" s="62">
        <v>18000</v>
      </c>
      <c r="Q128" s="62">
        <v>18800</v>
      </c>
      <c r="R128" s="62">
        <v>19600</v>
      </c>
    </row>
    <row r="129" spans="1:18">
      <c r="A129" s="59">
        <v>36</v>
      </c>
      <c r="B129" t="s">
        <v>92</v>
      </c>
      <c r="C129">
        <f>VLOOKUP(A129,справочник!$A$2:$C$322,3,FALSE)</f>
        <v>36</v>
      </c>
      <c r="D129" t="str">
        <f>IFERROR(VLOOKUP(B129,справочник!$AF$2:$AF$15,1,FALSE),"")</f>
        <v/>
      </c>
      <c r="F129" t="s">
        <v>642</v>
      </c>
      <c r="G129" s="62">
        <v>10800</v>
      </c>
      <c r="H129" s="62">
        <v>11600</v>
      </c>
      <c r="I129" s="62">
        <v>12400</v>
      </c>
      <c r="J129" s="62">
        <v>13200</v>
      </c>
      <c r="K129" s="62">
        <v>14000</v>
      </c>
      <c r="L129" s="62">
        <v>14800</v>
      </c>
      <c r="M129" s="62">
        <v>15600</v>
      </c>
      <c r="N129" s="62">
        <v>16400</v>
      </c>
      <c r="O129" s="62">
        <v>17200</v>
      </c>
      <c r="P129" s="62">
        <v>18000</v>
      </c>
      <c r="Q129" s="62">
        <v>18800</v>
      </c>
      <c r="R129" s="62">
        <v>19600</v>
      </c>
    </row>
    <row r="130" spans="1:18">
      <c r="A130" s="59">
        <v>24</v>
      </c>
      <c r="B130" t="s">
        <v>70</v>
      </c>
      <c r="C130">
        <f>VLOOKUP(A130,справочник!$A$2:$C$322,3,FALSE)</f>
        <v>24</v>
      </c>
      <c r="D130" t="str">
        <f>IFERROR(VLOOKUP(B130,справочник!$AF$2:$AF$15,1,FALSE),"")</f>
        <v/>
      </c>
      <c r="F130" t="s">
        <v>90</v>
      </c>
      <c r="G130" s="62">
        <v>10800</v>
      </c>
      <c r="H130" s="62">
        <v>11600</v>
      </c>
      <c r="I130" s="62">
        <v>12400</v>
      </c>
      <c r="J130" s="62">
        <v>13200</v>
      </c>
      <c r="K130" s="62">
        <v>14000</v>
      </c>
      <c r="L130" s="62">
        <v>14800</v>
      </c>
      <c r="M130" s="62">
        <v>15600</v>
      </c>
      <c r="N130" s="62">
        <v>16400</v>
      </c>
      <c r="O130" s="62">
        <v>17200</v>
      </c>
      <c r="P130" s="62">
        <v>18000</v>
      </c>
      <c r="Q130" s="62">
        <v>18800</v>
      </c>
      <c r="R130" s="62">
        <v>19600</v>
      </c>
    </row>
    <row r="131" spans="1:18">
      <c r="A131" s="59">
        <v>6</v>
      </c>
      <c r="B131" t="s">
        <v>193</v>
      </c>
      <c r="C131">
        <f>VLOOKUP(A131,справочник!$A$2:$C$322,3,FALSE)</f>
        <v>6</v>
      </c>
      <c r="D131" t="str">
        <f>IFERROR(VLOOKUP(B131,справочник!$AF$2:$AF$15,1,FALSE),"")</f>
        <v/>
      </c>
      <c r="F131" t="s">
        <v>90</v>
      </c>
      <c r="G131" s="62">
        <v>14800</v>
      </c>
      <c r="H131" s="62">
        <v>15600</v>
      </c>
      <c r="I131" s="62">
        <v>16400</v>
      </c>
      <c r="J131" s="62">
        <v>17200</v>
      </c>
      <c r="K131" s="62">
        <v>14000</v>
      </c>
      <c r="L131" s="62">
        <v>14800</v>
      </c>
      <c r="M131" s="62">
        <v>15600</v>
      </c>
      <c r="N131" s="62">
        <v>16400</v>
      </c>
      <c r="O131" s="62">
        <v>17200</v>
      </c>
      <c r="P131" s="62">
        <v>18000</v>
      </c>
      <c r="Q131" s="62">
        <v>18800</v>
      </c>
      <c r="R131" s="62">
        <v>19600</v>
      </c>
    </row>
    <row r="132" spans="1:18">
      <c r="A132" s="59">
        <v>100</v>
      </c>
      <c r="B132" t="s">
        <v>245</v>
      </c>
      <c r="C132">
        <f>VLOOKUP(A132,справочник!$A$2:$C$322,3,FALSE)</f>
        <v>105</v>
      </c>
      <c r="D132" t="str">
        <f>IFERROR(VLOOKUP(B132,справочник!$AF$2:$AF$15,1,FALSE),"")</f>
        <v/>
      </c>
      <c r="F132" t="s">
        <v>645</v>
      </c>
      <c r="G132" s="62">
        <v>10749.7</v>
      </c>
      <c r="H132" s="62">
        <v>11549.7</v>
      </c>
      <c r="I132" s="62">
        <v>12349.7</v>
      </c>
      <c r="J132" s="62">
        <v>13149.7</v>
      </c>
      <c r="K132" s="62">
        <v>13949.7</v>
      </c>
      <c r="L132" s="62">
        <v>14749.7</v>
      </c>
      <c r="M132" s="62">
        <v>15549.7</v>
      </c>
      <c r="N132" s="62">
        <v>16349.7</v>
      </c>
      <c r="O132" s="62">
        <v>17149.7</v>
      </c>
      <c r="P132" s="62">
        <v>17949.7</v>
      </c>
      <c r="Q132" s="62">
        <v>18749.7</v>
      </c>
      <c r="R132" s="62">
        <v>19549.7</v>
      </c>
    </row>
    <row r="133" spans="1:18">
      <c r="A133" s="59">
        <v>289</v>
      </c>
      <c r="B133" t="s">
        <v>135</v>
      </c>
      <c r="C133">
        <f>VLOOKUP(A133,справочник!$A$2:$C$322,3,FALSE)</f>
        <v>301</v>
      </c>
      <c r="D133" t="str">
        <f>IFERROR(VLOOKUP(B133,справочник!$AF$2:$AF$15,1,FALSE),"")</f>
        <v/>
      </c>
      <c r="F133" t="s">
        <v>103</v>
      </c>
      <c r="G133" s="62">
        <v>9800</v>
      </c>
      <c r="H133" s="62">
        <v>10600</v>
      </c>
      <c r="I133" s="62">
        <v>11400</v>
      </c>
      <c r="J133" s="62">
        <v>12200</v>
      </c>
      <c r="K133" s="62">
        <v>13000</v>
      </c>
      <c r="L133" s="62">
        <v>13800</v>
      </c>
      <c r="M133" s="62">
        <v>14600</v>
      </c>
      <c r="N133" s="62">
        <v>15400</v>
      </c>
      <c r="O133" s="62">
        <v>16200</v>
      </c>
      <c r="P133" s="62">
        <v>17000</v>
      </c>
      <c r="Q133" s="62">
        <v>17800</v>
      </c>
      <c r="R133" s="62">
        <v>18600</v>
      </c>
    </row>
    <row r="134" spans="1:18">
      <c r="A134" s="59">
        <v>206</v>
      </c>
      <c r="B134" t="s">
        <v>45</v>
      </c>
      <c r="C134">
        <f>VLOOKUP(A134,справочник!$A$2:$C$322,3,FALSE)</f>
        <v>216</v>
      </c>
      <c r="D134" t="str">
        <f>IFERROR(VLOOKUP(B134,справочник!$AF$2:$AF$15,1,FALSE),"")</f>
        <v/>
      </c>
      <c r="F134" t="s">
        <v>37</v>
      </c>
      <c r="G134" s="62">
        <v>9800</v>
      </c>
      <c r="H134" s="62">
        <v>10600</v>
      </c>
      <c r="I134" s="62">
        <v>11400</v>
      </c>
      <c r="J134" s="62">
        <v>12200</v>
      </c>
      <c r="K134" s="62">
        <v>13000</v>
      </c>
      <c r="L134" s="62">
        <v>13800</v>
      </c>
      <c r="M134" s="62">
        <v>14600</v>
      </c>
      <c r="N134" s="62">
        <v>15400</v>
      </c>
      <c r="O134" s="62">
        <v>16200</v>
      </c>
      <c r="P134" s="62">
        <v>17000</v>
      </c>
      <c r="Q134" s="62">
        <v>17800</v>
      </c>
      <c r="R134" s="62">
        <v>18600</v>
      </c>
    </row>
    <row r="135" spans="1:18">
      <c r="A135" s="59">
        <v>163</v>
      </c>
      <c r="B135" t="s">
        <v>127</v>
      </c>
      <c r="C135">
        <f>VLOOKUP(A135,справочник!$A$2:$C$322,3,FALSE)</f>
        <v>171</v>
      </c>
      <c r="D135" t="str">
        <f>IFERROR(VLOOKUP(B135,справочник!$AF$2:$AF$15,1,FALSE),"")</f>
        <v/>
      </c>
      <c r="F135" t="s">
        <v>13</v>
      </c>
      <c r="G135" s="62">
        <v>9800</v>
      </c>
      <c r="H135" s="62">
        <v>10600</v>
      </c>
      <c r="I135" s="62">
        <v>11400</v>
      </c>
      <c r="J135" s="62">
        <v>12200</v>
      </c>
      <c r="K135" s="62">
        <v>13000</v>
      </c>
      <c r="L135" s="62">
        <v>13800</v>
      </c>
      <c r="M135" s="62">
        <v>14600</v>
      </c>
      <c r="N135" s="62">
        <v>15400</v>
      </c>
      <c r="O135" s="62">
        <v>16200</v>
      </c>
      <c r="P135" s="62">
        <v>17000</v>
      </c>
      <c r="Q135" s="62">
        <v>17800</v>
      </c>
      <c r="R135" s="62">
        <v>18600</v>
      </c>
    </row>
    <row r="136" spans="1:18">
      <c r="A136" s="59">
        <v>2</v>
      </c>
      <c r="B136" t="s">
        <v>288</v>
      </c>
      <c r="C136">
        <f>VLOOKUP(A136,справочник!$A$2:$C$322,3,FALSE)</f>
        <v>2</v>
      </c>
      <c r="D136" t="str">
        <f>IFERROR(VLOOKUP(B136,справочник!$AF$2:$AF$15,1,FALSE),"")</f>
        <v/>
      </c>
      <c r="F136" t="s">
        <v>90</v>
      </c>
      <c r="G136" s="62">
        <v>9800</v>
      </c>
      <c r="H136" s="62">
        <v>10600</v>
      </c>
      <c r="I136" s="62">
        <v>11400</v>
      </c>
      <c r="J136" s="62">
        <v>12200</v>
      </c>
      <c r="K136" s="62">
        <v>13000</v>
      </c>
      <c r="L136" s="62">
        <v>13800</v>
      </c>
      <c r="M136" s="62">
        <v>14600</v>
      </c>
      <c r="N136" s="62">
        <v>15400</v>
      </c>
      <c r="O136" s="62">
        <v>16200</v>
      </c>
      <c r="P136" s="62">
        <v>17000</v>
      </c>
      <c r="Q136" s="62">
        <v>17800</v>
      </c>
      <c r="R136" s="62">
        <v>18600</v>
      </c>
    </row>
    <row r="137" spans="1:18">
      <c r="A137" s="59">
        <v>143</v>
      </c>
      <c r="B137" t="s">
        <v>136</v>
      </c>
      <c r="C137">
        <f>VLOOKUP(A137,справочник!$A$2:$C$322,3,FALSE)</f>
        <v>151</v>
      </c>
      <c r="D137" t="str">
        <f>IFERROR(VLOOKUP(B137,справочник!$AF$2:$AF$15,1,FALSE),"")</f>
        <v/>
      </c>
      <c r="F137" t="s">
        <v>641</v>
      </c>
      <c r="G137" s="62">
        <v>13800</v>
      </c>
      <c r="H137" s="62">
        <v>14600</v>
      </c>
      <c r="I137" s="62">
        <v>15400</v>
      </c>
      <c r="J137" s="62">
        <v>16200</v>
      </c>
      <c r="K137" s="62">
        <v>17000</v>
      </c>
      <c r="L137" s="62">
        <v>13000</v>
      </c>
      <c r="M137" s="62">
        <v>13800</v>
      </c>
      <c r="N137" s="62">
        <v>14600</v>
      </c>
      <c r="O137" s="62">
        <v>15400</v>
      </c>
      <c r="P137" s="62">
        <v>16200</v>
      </c>
      <c r="Q137" s="62">
        <v>17000</v>
      </c>
      <c r="R137" s="62">
        <v>17800</v>
      </c>
    </row>
    <row r="138" spans="1:18">
      <c r="A138" s="59">
        <v>308</v>
      </c>
      <c r="B138" t="s">
        <v>64</v>
      </c>
      <c r="C138">
        <f>VLOOKUP(A138,справочник!$A$2:$C$322,3,FALSE)</f>
        <v>323</v>
      </c>
      <c r="D138" t="str">
        <f>IFERROR(VLOOKUP(B138,справочник!$AF$2:$AF$15,1,FALSE),"")</f>
        <v/>
      </c>
      <c r="F138" t="s">
        <v>103</v>
      </c>
      <c r="G138" s="62">
        <v>8800</v>
      </c>
      <c r="H138" s="62">
        <v>9600</v>
      </c>
      <c r="I138" s="62">
        <v>10400</v>
      </c>
      <c r="J138" s="62">
        <v>11200</v>
      </c>
      <c r="K138" s="62">
        <v>12000</v>
      </c>
      <c r="L138" s="62">
        <v>12800</v>
      </c>
      <c r="M138" s="62">
        <v>13600</v>
      </c>
      <c r="N138" s="62">
        <v>14400</v>
      </c>
      <c r="O138" s="62">
        <v>15200</v>
      </c>
      <c r="P138" s="62">
        <v>16000</v>
      </c>
      <c r="Q138" s="62">
        <v>16800</v>
      </c>
      <c r="R138" s="62">
        <v>17600</v>
      </c>
    </row>
    <row r="139" spans="1:18">
      <c r="A139" s="59">
        <v>218</v>
      </c>
      <c r="B139" t="s">
        <v>176</v>
      </c>
      <c r="C139">
        <f>VLOOKUP(A139,справочник!$A$2:$C$322,3,FALSE)</f>
        <v>227</v>
      </c>
      <c r="D139" t="str">
        <f>IFERROR(VLOOKUP(B139,справочник!$AF$2:$AF$15,1,FALSE),"")</f>
        <v/>
      </c>
      <c r="F139" t="s">
        <v>109</v>
      </c>
      <c r="G139" s="62">
        <v>14800</v>
      </c>
      <c r="H139" s="62">
        <v>15600</v>
      </c>
      <c r="I139" s="62">
        <v>15400</v>
      </c>
      <c r="J139" s="62">
        <v>16200</v>
      </c>
      <c r="K139" s="62">
        <v>17000</v>
      </c>
      <c r="L139" s="62">
        <v>12800</v>
      </c>
      <c r="M139" s="62">
        <v>13600</v>
      </c>
      <c r="N139" s="62">
        <v>14400</v>
      </c>
      <c r="O139" s="62">
        <v>15200</v>
      </c>
      <c r="P139" s="62">
        <v>16000</v>
      </c>
      <c r="Q139" s="62">
        <v>16800</v>
      </c>
      <c r="R139" s="62">
        <v>17600</v>
      </c>
    </row>
    <row r="140" spans="1:18">
      <c r="A140" s="59">
        <v>210</v>
      </c>
      <c r="B140" t="s">
        <v>225</v>
      </c>
      <c r="C140">
        <f>VLOOKUP(A140,справочник!$A$2:$C$322,3,FALSE)</f>
        <v>219</v>
      </c>
      <c r="D140" t="str">
        <f>IFERROR(VLOOKUP(B140,справочник!$AF$2:$AF$15,1,FALSE),"")</f>
        <v/>
      </c>
      <c r="F140" t="s">
        <v>37</v>
      </c>
      <c r="G140" s="62">
        <v>8800</v>
      </c>
      <c r="H140" s="62">
        <v>9600</v>
      </c>
      <c r="I140" s="62">
        <v>10400</v>
      </c>
      <c r="J140" s="62">
        <v>11200</v>
      </c>
      <c r="K140" s="62">
        <v>12000</v>
      </c>
      <c r="L140" s="62">
        <v>12800</v>
      </c>
      <c r="M140" s="62">
        <v>13600</v>
      </c>
      <c r="N140" s="62">
        <v>14400</v>
      </c>
      <c r="O140" s="62">
        <v>15200</v>
      </c>
      <c r="P140" s="62">
        <v>16000</v>
      </c>
      <c r="Q140" s="62">
        <v>16800</v>
      </c>
      <c r="R140" s="62">
        <v>17600</v>
      </c>
    </row>
    <row r="141" spans="1:18">
      <c r="A141" s="59">
        <v>112</v>
      </c>
      <c r="B141" t="s">
        <v>129</v>
      </c>
      <c r="C141">
        <f>VLOOKUP(A141,справочник!$A$2:$C$322,3,FALSE)</f>
        <v>117</v>
      </c>
      <c r="D141" t="str">
        <f>IFERROR(VLOOKUP(B141,справочник!$AF$2:$AF$15,1,FALSE),"")</f>
        <v/>
      </c>
      <c r="F141" t="s">
        <v>645</v>
      </c>
      <c r="G141" s="62">
        <v>17800</v>
      </c>
      <c r="H141" s="62">
        <v>13800</v>
      </c>
      <c r="I141" s="62">
        <v>14600</v>
      </c>
      <c r="J141" s="62">
        <v>15400</v>
      </c>
      <c r="K141" s="62">
        <v>16200</v>
      </c>
      <c r="L141" s="62">
        <v>12200</v>
      </c>
      <c r="M141" s="62">
        <v>13000</v>
      </c>
      <c r="N141" s="62">
        <v>13800</v>
      </c>
      <c r="O141" s="62">
        <v>14600</v>
      </c>
      <c r="P141" s="62">
        <v>15400</v>
      </c>
      <c r="Q141" s="62">
        <v>16200</v>
      </c>
      <c r="R141" s="62">
        <v>17000</v>
      </c>
    </row>
    <row r="142" spans="1:18">
      <c r="A142" s="59">
        <v>118</v>
      </c>
      <c r="B142" t="s">
        <v>154</v>
      </c>
      <c r="C142">
        <f>VLOOKUP(A142,справочник!$A$2:$C$322,3,FALSE)</f>
        <v>123</v>
      </c>
      <c r="D142" t="str">
        <f>IFERROR(VLOOKUP(B142,справочник!$AF$2:$AF$15,1,FALSE),"")</f>
        <v/>
      </c>
      <c r="F142" t="s">
        <v>645</v>
      </c>
      <c r="G142" s="62">
        <v>7800</v>
      </c>
      <c r="H142" s="62">
        <v>8600</v>
      </c>
      <c r="I142" s="62">
        <v>9400</v>
      </c>
      <c r="J142" s="62">
        <v>10200</v>
      </c>
      <c r="K142" s="62">
        <v>11000</v>
      </c>
      <c r="L142" s="62">
        <v>11800</v>
      </c>
      <c r="M142" s="62">
        <v>12600</v>
      </c>
      <c r="N142" s="62">
        <v>13400</v>
      </c>
      <c r="O142" s="62">
        <v>14200</v>
      </c>
      <c r="P142" s="62">
        <v>15000</v>
      </c>
      <c r="Q142" s="62">
        <v>15800</v>
      </c>
      <c r="R142" s="62">
        <v>16600</v>
      </c>
    </row>
    <row r="143" spans="1:18">
      <c r="A143" s="59">
        <v>230</v>
      </c>
      <c r="B143" t="s">
        <v>87</v>
      </c>
      <c r="C143">
        <f>VLOOKUP(A143,справочник!$A$2:$C$322,3,FALSE)</f>
        <v>257</v>
      </c>
      <c r="D143" t="str">
        <f>IFERROR(VLOOKUP(B143,справочник!$AF$2:$AF$15,1,FALSE),"")</f>
        <v/>
      </c>
      <c r="F143" t="s">
        <v>644</v>
      </c>
      <c r="G143" s="62">
        <v>10800</v>
      </c>
      <c r="H143" s="62">
        <v>11600</v>
      </c>
      <c r="I143" s="62">
        <v>12400</v>
      </c>
      <c r="J143" s="62">
        <v>13200</v>
      </c>
      <c r="K143" s="62">
        <v>10500</v>
      </c>
      <c r="L143" s="62">
        <v>11300</v>
      </c>
      <c r="M143" s="62">
        <v>12100</v>
      </c>
      <c r="N143" s="62">
        <v>12900</v>
      </c>
      <c r="O143" s="62">
        <v>13700</v>
      </c>
      <c r="P143" s="62">
        <v>14500</v>
      </c>
      <c r="Q143" s="62">
        <v>15300</v>
      </c>
      <c r="R143" s="62">
        <v>16100</v>
      </c>
    </row>
    <row r="144" spans="1:18">
      <c r="A144" s="59">
        <v>307</v>
      </c>
      <c r="B144" t="s">
        <v>202</v>
      </c>
      <c r="C144">
        <f>VLOOKUP(A144,справочник!$A$2:$C$322,3,FALSE)</f>
        <v>322</v>
      </c>
      <c r="D144" t="str">
        <f>IFERROR(VLOOKUP(B144,справочник!$AF$2:$AF$15,1,FALSE),"")</f>
        <v/>
      </c>
      <c r="F144" t="s">
        <v>103</v>
      </c>
      <c r="G144" s="62">
        <v>14800</v>
      </c>
      <c r="H144" s="62">
        <v>15600</v>
      </c>
      <c r="I144" s="62">
        <v>16400</v>
      </c>
      <c r="J144" s="62">
        <v>17200</v>
      </c>
      <c r="K144" s="62">
        <v>10000</v>
      </c>
      <c r="L144" s="62">
        <v>10800</v>
      </c>
      <c r="M144" s="62">
        <v>11600</v>
      </c>
      <c r="N144" s="62">
        <v>12400</v>
      </c>
      <c r="O144" s="62">
        <v>13200</v>
      </c>
      <c r="P144" s="62">
        <v>14000</v>
      </c>
      <c r="Q144" s="62">
        <v>14800</v>
      </c>
      <c r="R144" s="62">
        <v>15600</v>
      </c>
    </row>
    <row r="145" spans="1:18">
      <c r="A145" s="59">
        <v>279</v>
      </c>
      <c r="B145" t="s">
        <v>101</v>
      </c>
      <c r="C145">
        <f>VLOOKUP(A145,справочник!$A$2:$C$322,3,FALSE)</f>
        <v>291</v>
      </c>
      <c r="D145" t="str">
        <f>IFERROR(VLOOKUP(B145,справочник!$AF$2:$AF$15,1,FALSE),"")</f>
        <v/>
      </c>
      <c r="F145" t="s">
        <v>643</v>
      </c>
      <c r="G145" s="62">
        <v>6800</v>
      </c>
      <c r="H145" s="62">
        <v>7600</v>
      </c>
      <c r="I145" s="62">
        <v>8400</v>
      </c>
      <c r="J145" s="62">
        <v>9200</v>
      </c>
      <c r="K145" s="62">
        <v>10000</v>
      </c>
      <c r="L145" s="62">
        <v>10800</v>
      </c>
      <c r="M145" s="62">
        <v>11600</v>
      </c>
      <c r="N145" s="62">
        <v>12400</v>
      </c>
      <c r="O145" s="62">
        <v>13200</v>
      </c>
      <c r="P145" s="62">
        <v>14000</v>
      </c>
      <c r="Q145" s="62">
        <v>14800</v>
      </c>
      <c r="R145" s="62">
        <v>15600</v>
      </c>
    </row>
    <row r="146" spans="1:18">
      <c r="A146" s="59">
        <v>252</v>
      </c>
      <c r="B146" t="s">
        <v>261</v>
      </c>
      <c r="C146">
        <f>VLOOKUP(A146,справочник!$A$2:$C$322,3,FALSE)</f>
        <v>264</v>
      </c>
      <c r="D146" t="str">
        <f>IFERROR(VLOOKUP(B146,справочник!$AF$2:$AF$15,1,FALSE),"")</f>
        <v/>
      </c>
      <c r="F146" t="s">
        <v>146</v>
      </c>
      <c r="G146" s="62">
        <v>10800</v>
      </c>
      <c r="H146" s="62">
        <v>10800</v>
      </c>
      <c r="I146" s="62">
        <v>10000</v>
      </c>
      <c r="J146" s="62">
        <v>10800</v>
      </c>
      <c r="K146" s="62">
        <v>10000</v>
      </c>
      <c r="L146" s="62">
        <v>10800</v>
      </c>
      <c r="M146" s="62">
        <v>11600</v>
      </c>
      <c r="N146" s="62">
        <v>12400</v>
      </c>
      <c r="O146" s="62">
        <v>13200</v>
      </c>
      <c r="P146" s="62">
        <v>14000</v>
      </c>
      <c r="Q146" s="62">
        <v>14800</v>
      </c>
      <c r="R146" s="62">
        <v>15600</v>
      </c>
    </row>
    <row r="147" spans="1:18">
      <c r="A147" s="59">
        <v>161</v>
      </c>
      <c r="B147" t="s">
        <v>235</v>
      </c>
      <c r="C147">
        <f>VLOOKUP(A147,справочник!$A$2:$C$322,3,FALSE)</f>
        <v>169</v>
      </c>
      <c r="D147" t="str">
        <f>IFERROR(VLOOKUP(B147,справочник!$AF$2:$AF$15,1,FALSE),"")</f>
        <v/>
      </c>
      <c r="F147" t="s">
        <v>13</v>
      </c>
      <c r="G147" s="62">
        <v>6800</v>
      </c>
      <c r="H147" s="62">
        <v>7600</v>
      </c>
      <c r="I147" s="62">
        <v>8400</v>
      </c>
      <c r="J147" s="62">
        <v>9200</v>
      </c>
      <c r="K147" s="62">
        <v>10000</v>
      </c>
      <c r="L147" s="62">
        <v>10800</v>
      </c>
      <c r="M147" s="62">
        <v>11600</v>
      </c>
      <c r="N147" s="62">
        <v>12400</v>
      </c>
      <c r="O147" s="62">
        <v>13200</v>
      </c>
      <c r="P147" s="62">
        <v>14000</v>
      </c>
      <c r="Q147" s="62">
        <v>14800</v>
      </c>
      <c r="R147" s="62">
        <v>15600</v>
      </c>
    </row>
    <row r="148" spans="1:18">
      <c r="A148" s="59">
        <v>94</v>
      </c>
      <c r="B148" t="s">
        <v>60</v>
      </c>
      <c r="C148">
        <f>VLOOKUP(A148,справочник!$A$2:$C$322,3,FALSE)</f>
        <v>99</v>
      </c>
      <c r="D148" t="str">
        <f>IFERROR(VLOOKUP(B148,справочник!$AF$2:$AF$15,1,FALSE),"")</f>
        <v/>
      </c>
      <c r="F148" t="s">
        <v>2</v>
      </c>
      <c r="G148" s="62">
        <v>6800</v>
      </c>
      <c r="H148" s="62">
        <v>7600</v>
      </c>
      <c r="I148" s="62">
        <v>8400</v>
      </c>
      <c r="J148" s="62">
        <v>9200</v>
      </c>
      <c r="K148" s="62">
        <v>10000</v>
      </c>
      <c r="L148" s="62">
        <v>10800</v>
      </c>
      <c r="M148" s="62">
        <v>11600</v>
      </c>
      <c r="N148" s="62">
        <v>12400</v>
      </c>
      <c r="O148" s="62">
        <v>13200</v>
      </c>
      <c r="P148" s="62">
        <v>14000</v>
      </c>
      <c r="Q148" s="62">
        <v>14800</v>
      </c>
      <c r="R148" s="62">
        <v>15600</v>
      </c>
    </row>
    <row r="149" spans="1:18">
      <c r="A149" s="59">
        <v>72</v>
      </c>
      <c r="B149" t="s">
        <v>21</v>
      </c>
      <c r="C149">
        <f>VLOOKUP(A149,справочник!$A$2:$C$322,3,FALSE)</f>
        <v>78</v>
      </c>
      <c r="D149" t="str">
        <f>IFERROR(VLOOKUP(B149,справочник!$AF$2:$AF$15,1,FALSE),"")</f>
        <v/>
      </c>
      <c r="F149" t="s">
        <v>181</v>
      </c>
      <c r="G149" s="62">
        <v>6800</v>
      </c>
      <c r="H149" s="62">
        <v>7600</v>
      </c>
      <c r="I149" s="62">
        <v>8400</v>
      </c>
      <c r="J149" s="62">
        <v>9200</v>
      </c>
      <c r="K149" s="62">
        <v>10000</v>
      </c>
      <c r="L149" s="62">
        <v>10800</v>
      </c>
      <c r="M149" s="62">
        <v>11600</v>
      </c>
      <c r="N149" s="62">
        <v>12400</v>
      </c>
      <c r="O149" s="62">
        <v>13200</v>
      </c>
      <c r="P149" s="62">
        <v>14000</v>
      </c>
      <c r="Q149" s="62">
        <v>14800</v>
      </c>
      <c r="R149" s="62">
        <v>15600</v>
      </c>
    </row>
    <row r="150" spans="1:18">
      <c r="A150" s="59">
        <v>38</v>
      </c>
      <c r="B150" t="s">
        <v>93</v>
      </c>
      <c r="C150">
        <f>VLOOKUP(A150,справочник!$A$2:$C$322,3,FALSE)</f>
        <v>255</v>
      </c>
      <c r="D150" t="str">
        <f>IFERROR(VLOOKUP(B150,справочник!$AF$2:$AF$15,1,FALSE),"")</f>
        <v/>
      </c>
      <c r="F150" t="s">
        <v>644</v>
      </c>
      <c r="G150" s="62">
        <v>7800</v>
      </c>
      <c r="H150" s="62">
        <v>8600</v>
      </c>
      <c r="I150" s="62">
        <v>9400</v>
      </c>
      <c r="J150" s="62">
        <v>10200</v>
      </c>
      <c r="K150" s="62">
        <v>11000</v>
      </c>
      <c r="L150" s="62">
        <v>10200</v>
      </c>
      <c r="M150" s="62">
        <v>11000</v>
      </c>
      <c r="N150" s="62">
        <v>11800</v>
      </c>
      <c r="O150" s="62">
        <v>12600</v>
      </c>
      <c r="P150" s="62">
        <v>13400</v>
      </c>
      <c r="Q150" s="62">
        <v>14200</v>
      </c>
      <c r="R150" s="62">
        <v>15000</v>
      </c>
    </row>
    <row r="151" spans="1:18">
      <c r="A151" s="59">
        <v>280</v>
      </c>
      <c r="B151" t="s">
        <v>232</v>
      </c>
      <c r="C151">
        <f>VLOOKUP(A151,справочник!$A$2:$C$322,3,FALSE)</f>
        <v>292</v>
      </c>
      <c r="D151" t="str">
        <f>IFERROR(VLOOKUP(B151,справочник!$AF$2:$AF$15,1,FALSE),"")</f>
        <v/>
      </c>
      <c r="F151" t="s">
        <v>643</v>
      </c>
      <c r="G151" s="62">
        <v>5800</v>
      </c>
      <c r="H151" s="62">
        <v>6600</v>
      </c>
      <c r="I151" s="62">
        <v>7400</v>
      </c>
      <c r="J151" s="62">
        <v>8200</v>
      </c>
      <c r="K151" s="62">
        <v>9000</v>
      </c>
      <c r="L151" s="62">
        <v>9800</v>
      </c>
      <c r="M151" s="62">
        <v>10600</v>
      </c>
      <c r="N151" s="62">
        <v>11400</v>
      </c>
      <c r="O151" s="62">
        <v>12200</v>
      </c>
      <c r="P151" s="62">
        <v>13000</v>
      </c>
      <c r="Q151" s="62">
        <v>13800</v>
      </c>
      <c r="R151" s="62">
        <v>14600</v>
      </c>
    </row>
    <row r="152" spans="1:18">
      <c r="A152" s="59">
        <v>272</v>
      </c>
      <c r="B152" t="s">
        <v>236</v>
      </c>
      <c r="C152">
        <f>VLOOKUP(A152,справочник!$A$2:$C$322,3,FALSE)</f>
        <v>285</v>
      </c>
      <c r="D152" t="str">
        <f>IFERROR(VLOOKUP(B152,справочник!$AF$2:$AF$15,1,FALSE),"")</f>
        <v/>
      </c>
      <c r="F152" t="s">
        <v>643</v>
      </c>
      <c r="G152" s="62">
        <v>5800</v>
      </c>
      <c r="H152" s="62">
        <v>6600</v>
      </c>
      <c r="I152" s="62">
        <v>7400</v>
      </c>
      <c r="J152" s="62">
        <v>8200</v>
      </c>
      <c r="K152" s="62">
        <v>9000</v>
      </c>
      <c r="L152" s="62">
        <v>9800</v>
      </c>
      <c r="M152" s="62">
        <v>10600</v>
      </c>
      <c r="N152" s="62">
        <v>11400</v>
      </c>
      <c r="O152" s="62">
        <v>12200</v>
      </c>
      <c r="P152" s="62">
        <v>13000</v>
      </c>
      <c r="Q152" s="62">
        <v>13800</v>
      </c>
      <c r="R152" s="62">
        <v>14600</v>
      </c>
    </row>
    <row r="153" spans="1:18">
      <c r="A153" s="59">
        <v>259</v>
      </c>
      <c r="B153" t="s">
        <v>11</v>
      </c>
      <c r="C153">
        <f>VLOOKUP(A153,справочник!$A$2:$C$322,3,FALSE)</f>
        <v>272</v>
      </c>
      <c r="D153" t="str">
        <f>IFERROR(VLOOKUP(B153,справочник!$AF$2:$AF$15,1,FALSE),"")</f>
        <v/>
      </c>
      <c r="F153" t="s">
        <v>146</v>
      </c>
      <c r="G153" s="62">
        <v>4800</v>
      </c>
      <c r="H153" s="62">
        <v>5600</v>
      </c>
      <c r="I153" s="62">
        <v>6400</v>
      </c>
      <c r="J153" s="62">
        <v>7200</v>
      </c>
      <c r="K153" s="62">
        <v>8000</v>
      </c>
      <c r="L153" s="62">
        <v>8800</v>
      </c>
      <c r="M153" s="62">
        <v>9600</v>
      </c>
      <c r="N153" s="62">
        <v>10400</v>
      </c>
      <c r="O153" s="62">
        <v>11200</v>
      </c>
      <c r="P153" s="62">
        <v>12000</v>
      </c>
      <c r="Q153" s="62">
        <v>12800</v>
      </c>
      <c r="R153" s="62">
        <v>13600</v>
      </c>
    </row>
    <row r="154" spans="1:18">
      <c r="A154" s="59">
        <v>88</v>
      </c>
      <c r="B154" t="s">
        <v>293</v>
      </c>
      <c r="C154" t="str">
        <f>VLOOKUP(A154,справочник!$A$2:$C$322,3,FALSE)</f>
        <v>97+93</v>
      </c>
      <c r="D154" t="str">
        <f>IFERROR(VLOOKUP(B154,справочник!$AF$2:$AF$15,1,FALSE),"")</f>
        <v/>
      </c>
      <c r="F154" t="s">
        <v>2</v>
      </c>
      <c r="G154" s="62">
        <v>4800</v>
      </c>
      <c r="H154" s="62">
        <v>5600</v>
      </c>
      <c r="I154" s="62">
        <v>6400</v>
      </c>
      <c r="J154" s="62">
        <v>7200</v>
      </c>
      <c r="K154" s="62">
        <v>8000</v>
      </c>
      <c r="L154" s="62">
        <v>8800</v>
      </c>
      <c r="M154" s="62">
        <v>9600</v>
      </c>
      <c r="N154" s="62">
        <v>10400</v>
      </c>
      <c r="O154" s="62">
        <v>11200</v>
      </c>
      <c r="P154" s="62">
        <v>12000</v>
      </c>
      <c r="Q154" s="62">
        <v>12800</v>
      </c>
      <c r="R154" s="62">
        <v>13600</v>
      </c>
    </row>
    <row r="155" spans="1:18">
      <c r="A155" s="59">
        <v>284</v>
      </c>
      <c r="B155" t="s">
        <v>80</v>
      </c>
      <c r="C155">
        <f>VLOOKUP(A155,справочник!$A$2:$C$322,3,FALSE)</f>
        <v>296</v>
      </c>
      <c r="D155" t="str">
        <f>IFERROR(VLOOKUP(B155,справочник!$AF$2:$AF$15,1,FALSE),"")</f>
        <v/>
      </c>
      <c r="F155" t="s">
        <v>643</v>
      </c>
      <c r="G155" s="62">
        <v>9800</v>
      </c>
      <c r="H155" s="62">
        <v>10600</v>
      </c>
      <c r="I155" s="62">
        <v>5400</v>
      </c>
      <c r="J155" s="62">
        <v>6200</v>
      </c>
      <c r="K155" s="62">
        <v>7000</v>
      </c>
      <c r="L155" s="62">
        <v>7800</v>
      </c>
      <c r="M155" s="62">
        <v>8600</v>
      </c>
      <c r="N155" s="62">
        <v>9400</v>
      </c>
      <c r="O155" s="62">
        <v>10200</v>
      </c>
      <c r="P155" s="62">
        <v>11000</v>
      </c>
      <c r="Q155" s="62">
        <v>11800</v>
      </c>
      <c r="R155" s="62">
        <v>12600</v>
      </c>
    </row>
    <row r="156" spans="1:18">
      <c r="A156" s="59">
        <v>282</v>
      </c>
      <c r="B156" t="s">
        <v>187</v>
      </c>
      <c r="C156">
        <f>VLOOKUP(A156,справочник!$A$2:$C$322,3,FALSE)</f>
        <v>294</v>
      </c>
      <c r="D156" t="str">
        <f>IFERROR(VLOOKUP(B156,справочник!$AF$2:$AF$15,1,FALSE),"")</f>
        <v/>
      </c>
      <c r="F156" t="s">
        <v>643</v>
      </c>
      <c r="G156" s="62">
        <v>3800</v>
      </c>
      <c r="H156" s="62">
        <v>4600</v>
      </c>
      <c r="I156" s="62">
        <v>5400</v>
      </c>
      <c r="J156" s="62">
        <v>6200</v>
      </c>
      <c r="K156" s="62">
        <v>7000</v>
      </c>
      <c r="L156" s="62">
        <v>7800</v>
      </c>
      <c r="M156" s="62">
        <v>8600</v>
      </c>
      <c r="N156" s="62">
        <v>9400</v>
      </c>
      <c r="O156" s="62">
        <v>10200</v>
      </c>
      <c r="P156" s="62">
        <v>11000</v>
      </c>
      <c r="Q156" s="62">
        <v>11800</v>
      </c>
      <c r="R156" s="62">
        <v>12600</v>
      </c>
    </row>
    <row r="157" spans="1:18">
      <c r="A157" s="59">
        <v>260</v>
      </c>
      <c r="B157" t="s">
        <v>4</v>
      </c>
      <c r="C157">
        <f>VLOOKUP(A157,справочник!$A$2:$C$322,3,FALSE)</f>
        <v>273</v>
      </c>
      <c r="D157" t="str">
        <f>IFERROR(VLOOKUP(B157,справочник!$AF$2:$AF$15,1,FALSE),"")</f>
        <v/>
      </c>
      <c r="F157" t="s">
        <v>146</v>
      </c>
      <c r="G157" s="62">
        <v>8800</v>
      </c>
      <c r="H157" s="62">
        <v>7600</v>
      </c>
      <c r="I157" s="62">
        <v>8400</v>
      </c>
      <c r="J157" s="62">
        <v>9200</v>
      </c>
      <c r="K157" s="62">
        <v>9000</v>
      </c>
      <c r="L157" s="62">
        <v>7800</v>
      </c>
      <c r="M157" s="62">
        <v>8600</v>
      </c>
      <c r="N157" s="62">
        <v>9400</v>
      </c>
      <c r="O157" s="62">
        <v>10200</v>
      </c>
      <c r="P157" s="62">
        <v>11000</v>
      </c>
      <c r="Q157" s="62">
        <v>11800</v>
      </c>
      <c r="R157" s="62">
        <v>12600</v>
      </c>
    </row>
    <row r="158" spans="1:18">
      <c r="A158" s="59">
        <v>254</v>
      </c>
      <c r="B158" t="s">
        <v>86</v>
      </c>
      <c r="C158">
        <f>VLOOKUP(A158,справочник!$A$2:$C$322,3,FALSE)</f>
        <v>267</v>
      </c>
      <c r="D158" t="str">
        <f>IFERROR(VLOOKUP(B158,справочник!$AF$2:$AF$15,1,FALSE),"")</f>
        <v/>
      </c>
      <c r="F158" t="s">
        <v>146</v>
      </c>
      <c r="G158" s="62">
        <v>3800</v>
      </c>
      <c r="H158" s="62">
        <v>4600</v>
      </c>
      <c r="I158" s="62">
        <v>5400</v>
      </c>
      <c r="J158" s="62">
        <v>6200</v>
      </c>
      <c r="K158" s="62">
        <v>7000</v>
      </c>
      <c r="L158" s="62">
        <v>7800</v>
      </c>
      <c r="M158" s="62">
        <v>8600</v>
      </c>
      <c r="N158" s="62">
        <v>9400</v>
      </c>
      <c r="O158" s="62">
        <v>10200</v>
      </c>
      <c r="P158" s="62">
        <v>11000</v>
      </c>
      <c r="Q158" s="62">
        <v>11800</v>
      </c>
      <c r="R158" s="62">
        <v>12600</v>
      </c>
    </row>
    <row r="159" spans="1:18">
      <c r="A159" s="59">
        <v>177</v>
      </c>
      <c r="B159" t="s">
        <v>203</v>
      </c>
      <c r="C159">
        <f>VLOOKUP(A159,справочник!$A$2:$C$322,3,FALSE)</f>
        <v>185</v>
      </c>
      <c r="D159" t="str">
        <f>IFERROR(VLOOKUP(B159,справочник!$AF$2:$AF$15,1,FALSE),"")</f>
        <v/>
      </c>
      <c r="F159" t="s">
        <v>247</v>
      </c>
      <c r="G159" s="62">
        <v>3800</v>
      </c>
      <c r="H159" s="62">
        <v>4600</v>
      </c>
      <c r="I159" s="62">
        <v>5400</v>
      </c>
      <c r="J159" s="62">
        <v>6200</v>
      </c>
      <c r="K159" s="62">
        <v>7000</v>
      </c>
      <c r="L159" s="62">
        <v>7800</v>
      </c>
      <c r="M159" s="62">
        <v>8600</v>
      </c>
      <c r="N159" s="62">
        <v>9400</v>
      </c>
      <c r="O159" s="62">
        <v>10200</v>
      </c>
      <c r="P159" s="62">
        <v>11000</v>
      </c>
      <c r="Q159" s="62">
        <v>11800</v>
      </c>
      <c r="R159" s="62">
        <v>12600</v>
      </c>
    </row>
    <row r="160" spans="1:18">
      <c r="A160" s="59">
        <v>152</v>
      </c>
      <c r="B160" t="s">
        <v>301</v>
      </c>
      <c r="C160">
        <f>VLOOKUP(A160,справочник!$A$2:$C$322,3,FALSE)</f>
        <v>160</v>
      </c>
      <c r="D160" t="str">
        <f>IFERROR(VLOOKUP(B160,справочник!$AF$2:$AF$15,1,FALSE),"")</f>
        <v/>
      </c>
      <c r="F160" t="s">
        <v>13</v>
      </c>
      <c r="G160" s="62">
        <v>3800</v>
      </c>
      <c r="H160" s="62">
        <v>4600</v>
      </c>
      <c r="I160" s="62">
        <v>5400</v>
      </c>
      <c r="J160" s="62">
        <v>6200</v>
      </c>
      <c r="K160" s="62">
        <v>7000</v>
      </c>
      <c r="L160" s="62">
        <v>7800</v>
      </c>
      <c r="M160" s="62">
        <v>8600</v>
      </c>
      <c r="N160" s="62">
        <v>9400</v>
      </c>
      <c r="O160" s="62">
        <v>10200</v>
      </c>
      <c r="P160" s="62">
        <v>11000</v>
      </c>
      <c r="Q160" s="62">
        <v>11800</v>
      </c>
      <c r="R160" s="62">
        <v>12600</v>
      </c>
    </row>
    <row r="161" spans="1:18">
      <c r="A161" s="59">
        <v>128</v>
      </c>
      <c r="B161" t="s">
        <v>229</v>
      </c>
      <c r="C161">
        <f>VLOOKUP(A161,справочник!$A$2:$C$322,3,FALSE)</f>
        <v>135</v>
      </c>
      <c r="D161" t="str">
        <f>IFERROR(VLOOKUP(B161,справочник!$AF$2:$AF$15,1,FALSE),"")</f>
        <v/>
      </c>
      <c r="F161" t="s">
        <v>641</v>
      </c>
      <c r="G161" s="62">
        <v>3800</v>
      </c>
      <c r="H161" s="62">
        <v>4600</v>
      </c>
      <c r="I161" s="62">
        <v>5400</v>
      </c>
      <c r="J161" s="62">
        <v>6200</v>
      </c>
      <c r="K161" s="62">
        <v>7000</v>
      </c>
      <c r="L161" s="62">
        <v>7800</v>
      </c>
      <c r="M161" s="62">
        <v>8600</v>
      </c>
      <c r="N161" s="62">
        <v>9400</v>
      </c>
      <c r="O161" s="62">
        <v>10200</v>
      </c>
      <c r="P161" s="62">
        <v>11000</v>
      </c>
      <c r="Q161" s="62">
        <v>11800</v>
      </c>
      <c r="R161" s="62">
        <v>12600</v>
      </c>
    </row>
    <row r="162" spans="1:18">
      <c r="A162" s="59">
        <v>104</v>
      </c>
      <c r="B162" t="s">
        <v>183</v>
      </c>
      <c r="C162">
        <f>VLOOKUP(A162,справочник!$A$2:$C$322,3,FALSE)</f>
        <v>109</v>
      </c>
      <c r="D162" t="str">
        <f>IFERROR(VLOOKUP(B162,справочник!$AF$2:$AF$15,1,FALSE),"")</f>
        <v/>
      </c>
      <c r="F162" t="s">
        <v>645</v>
      </c>
      <c r="G162" s="62">
        <v>3800</v>
      </c>
      <c r="H162" s="62">
        <v>4600</v>
      </c>
      <c r="I162" s="62">
        <v>5400</v>
      </c>
      <c r="J162" s="62">
        <v>6200</v>
      </c>
      <c r="K162" s="62">
        <v>7000</v>
      </c>
      <c r="L162" s="62">
        <v>7800</v>
      </c>
      <c r="M162" s="62">
        <v>8600</v>
      </c>
      <c r="N162" s="62">
        <v>9400</v>
      </c>
      <c r="O162" s="62">
        <v>10200</v>
      </c>
      <c r="P162" s="62">
        <v>11000</v>
      </c>
      <c r="Q162" s="62">
        <v>11800</v>
      </c>
      <c r="R162" s="62">
        <v>12600</v>
      </c>
    </row>
    <row r="163" spans="1:18">
      <c r="A163" s="59">
        <v>87</v>
      </c>
      <c r="B163" t="s">
        <v>160</v>
      </c>
      <c r="C163">
        <f>VLOOKUP(A163,справочник!$A$2:$C$322,3,FALSE)</f>
        <v>92</v>
      </c>
      <c r="D163" t="str">
        <f>IFERROR(VLOOKUP(B163,справочник!$AF$2:$AF$15,1,FALSE),"")</f>
        <v/>
      </c>
      <c r="F163" t="s">
        <v>2</v>
      </c>
      <c r="G163" s="62">
        <v>3800</v>
      </c>
      <c r="H163" s="62">
        <v>4600</v>
      </c>
      <c r="I163" s="62">
        <v>5400</v>
      </c>
      <c r="J163" s="62">
        <v>6200</v>
      </c>
      <c r="K163" s="62">
        <v>7000</v>
      </c>
      <c r="L163" s="62">
        <v>7800</v>
      </c>
      <c r="M163" s="62">
        <v>8600</v>
      </c>
      <c r="N163" s="62">
        <v>9400</v>
      </c>
      <c r="O163" s="62">
        <v>10200</v>
      </c>
      <c r="P163" s="62">
        <v>11000</v>
      </c>
      <c r="Q163" s="62">
        <v>11800</v>
      </c>
      <c r="R163" s="62">
        <v>12600</v>
      </c>
    </row>
    <row r="164" spans="1:18">
      <c r="A164" s="59">
        <v>208</v>
      </c>
      <c r="B164" t="s">
        <v>110</v>
      </c>
      <c r="C164">
        <f>VLOOKUP(A164,справочник!$A$2:$C$322,3,FALSE)</f>
        <v>218</v>
      </c>
      <c r="D164" t="str">
        <f>IFERROR(VLOOKUP(B164,справочник!$AF$2:$AF$15,1,FALSE),"")</f>
        <v/>
      </c>
      <c r="F164" t="s">
        <v>37</v>
      </c>
      <c r="G164" s="62">
        <v>3300</v>
      </c>
      <c r="H164" s="62">
        <v>4100</v>
      </c>
      <c r="I164" s="62">
        <v>4900</v>
      </c>
      <c r="J164" s="62">
        <v>5700</v>
      </c>
      <c r="K164" s="62">
        <v>6500</v>
      </c>
      <c r="L164" s="62">
        <v>7300</v>
      </c>
      <c r="M164" s="62">
        <v>8100</v>
      </c>
      <c r="N164" s="62">
        <v>8900</v>
      </c>
      <c r="O164" s="62">
        <v>9700</v>
      </c>
      <c r="P164" s="62">
        <v>10500</v>
      </c>
      <c r="Q164" s="62">
        <v>11300</v>
      </c>
      <c r="R164" s="62">
        <v>12100</v>
      </c>
    </row>
    <row r="165" spans="1:18">
      <c r="A165" s="59">
        <v>176</v>
      </c>
      <c r="B165" t="s">
        <v>201</v>
      </c>
      <c r="C165">
        <f>VLOOKUP(A165,справочник!$A$2:$C$322,3,FALSE)</f>
        <v>184</v>
      </c>
      <c r="D165" t="str">
        <f>IFERROR(VLOOKUP(B165,справочник!$AF$2:$AF$15,1,FALSE),"")</f>
        <v/>
      </c>
      <c r="F165" t="s">
        <v>247</v>
      </c>
      <c r="G165" s="62">
        <v>12800</v>
      </c>
      <c r="H165" s="62">
        <v>10600</v>
      </c>
      <c r="I165" s="62">
        <v>11400</v>
      </c>
      <c r="J165" s="62">
        <v>12200</v>
      </c>
      <c r="K165" s="62">
        <v>10000</v>
      </c>
      <c r="L165" s="62">
        <v>7300</v>
      </c>
      <c r="M165" s="62">
        <v>8100</v>
      </c>
      <c r="N165" s="62">
        <v>8900</v>
      </c>
      <c r="O165" s="62">
        <v>9700</v>
      </c>
      <c r="P165" s="62">
        <v>10500</v>
      </c>
      <c r="Q165" s="62">
        <v>11300</v>
      </c>
      <c r="R165" s="62">
        <v>12100</v>
      </c>
    </row>
    <row r="166" spans="1:18">
      <c r="A166" s="59">
        <v>227</v>
      </c>
      <c r="B166" t="s">
        <v>302</v>
      </c>
      <c r="C166">
        <f>VLOOKUP(A166,справочник!$A$2:$C$322,3,FALSE)</f>
        <v>236</v>
      </c>
      <c r="D166" t="str">
        <f>IFERROR(VLOOKUP(B166,справочник!$AF$2:$AF$15,1,FALSE),"")</f>
        <v/>
      </c>
      <c r="F166" t="s">
        <v>109</v>
      </c>
      <c r="G166" s="62">
        <v>11800</v>
      </c>
      <c r="H166" s="62">
        <v>8800</v>
      </c>
      <c r="I166" s="62">
        <v>4800</v>
      </c>
      <c r="J166" s="62">
        <v>5600</v>
      </c>
      <c r="K166" s="62">
        <v>6400</v>
      </c>
      <c r="L166" s="62">
        <v>7200</v>
      </c>
      <c r="M166" s="62">
        <v>8000</v>
      </c>
      <c r="N166" s="62">
        <v>8800</v>
      </c>
      <c r="O166" s="62">
        <v>9600</v>
      </c>
      <c r="P166" s="62">
        <v>10400</v>
      </c>
      <c r="Q166" s="62">
        <v>11200</v>
      </c>
      <c r="R166" s="62">
        <v>12000</v>
      </c>
    </row>
    <row r="167" spans="1:18">
      <c r="A167" s="59">
        <v>66</v>
      </c>
      <c r="B167" t="s">
        <v>91</v>
      </c>
      <c r="C167">
        <f>VLOOKUP(A167,справочник!$A$2:$C$322,3,FALSE)</f>
        <v>68</v>
      </c>
      <c r="D167" t="str">
        <f>IFERROR(VLOOKUP(B167,справочник!$AF$2:$AF$15,1,FALSE),"")</f>
        <v/>
      </c>
      <c r="F167" t="s">
        <v>181</v>
      </c>
      <c r="G167" s="62">
        <v>3020</v>
      </c>
      <c r="H167" s="62">
        <v>3820</v>
      </c>
      <c r="I167" s="62">
        <v>4620</v>
      </c>
      <c r="J167" s="62">
        <v>5420</v>
      </c>
      <c r="K167" s="62">
        <v>6220</v>
      </c>
      <c r="L167" s="62">
        <v>7020</v>
      </c>
      <c r="M167" s="62">
        <v>7820</v>
      </c>
      <c r="N167" s="62">
        <v>8620</v>
      </c>
      <c r="O167" s="62">
        <v>9420</v>
      </c>
      <c r="P167" s="62">
        <v>10220</v>
      </c>
      <c r="Q167" s="62">
        <v>11020</v>
      </c>
      <c r="R167" s="62">
        <v>11820</v>
      </c>
    </row>
    <row r="168" spans="1:18">
      <c r="A168" s="59">
        <v>287</v>
      </c>
      <c r="B168" t="s">
        <v>178</v>
      </c>
      <c r="C168">
        <f>VLOOKUP(A168,справочник!$A$2:$C$322,3,FALSE)</f>
        <v>299</v>
      </c>
      <c r="D168" t="str">
        <f>IFERROR(VLOOKUP(B168,справочник!$AF$2:$AF$15,1,FALSE),"")</f>
        <v/>
      </c>
      <c r="F168" t="s">
        <v>643</v>
      </c>
      <c r="G168" s="62">
        <v>2800</v>
      </c>
      <c r="H168" s="62">
        <v>3600</v>
      </c>
      <c r="I168" s="62">
        <v>4400</v>
      </c>
      <c r="J168" s="62">
        <v>5200</v>
      </c>
      <c r="K168" s="62">
        <v>6000</v>
      </c>
      <c r="L168" s="62">
        <v>6800</v>
      </c>
      <c r="M168" s="62">
        <v>7600</v>
      </c>
      <c r="N168" s="62">
        <v>8400</v>
      </c>
      <c r="O168" s="62">
        <v>9200</v>
      </c>
      <c r="P168" s="62">
        <v>10000</v>
      </c>
      <c r="Q168" s="62">
        <v>10800</v>
      </c>
      <c r="R168" s="62">
        <v>11600</v>
      </c>
    </row>
    <row r="169" spans="1:18">
      <c r="A169" s="59">
        <v>221</v>
      </c>
      <c r="B169" t="s">
        <v>10</v>
      </c>
      <c r="C169">
        <f>VLOOKUP(A169,справочник!$A$2:$C$322,3,FALSE)</f>
        <v>230</v>
      </c>
      <c r="D169" t="str">
        <f>IFERROR(VLOOKUP(B169,справочник!$AF$2:$AF$15,1,FALSE),"")</f>
        <v/>
      </c>
      <c r="F169" t="s">
        <v>109</v>
      </c>
      <c r="G169" s="62">
        <v>2800</v>
      </c>
      <c r="H169" s="62">
        <v>3600</v>
      </c>
      <c r="I169" s="62">
        <v>4400</v>
      </c>
      <c r="J169" s="62">
        <v>5200</v>
      </c>
      <c r="K169" s="62">
        <v>6000</v>
      </c>
      <c r="L169" s="62">
        <v>6800</v>
      </c>
      <c r="M169" s="62">
        <v>7600</v>
      </c>
      <c r="N169" s="62">
        <v>8400</v>
      </c>
      <c r="O169" s="62">
        <v>9200</v>
      </c>
      <c r="P169" s="62">
        <v>10000</v>
      </c>
      <c r="Q169" s="62">
        <v>10800</v>
      </c>
      <c r="R169" s="62">
        <v>11600</v>
      </c>
    </row>
    <row r="170" spans="1:18">
      <c r="A170" s="59">
        <v>125</v>
      </c>
      <c r="B170" t="s">
        <v>22</v>
      </c>
      <c r="C170">
        <f>VLOOKUP(A170,справочник!$A$2:$C$322,3,FALSE)</f>
        <v>130</v>
      </c>
      <c r="D170" t="str">
        <f>IFERROR(VLOOKUP(B170,справочник!$AF$2:$AF$15,1,FALSE),"")</f>
        <v/>
      </c>
      <c r="F170" t="s">
        <v>645</v>
      </c>
      <c r="G170" s="62">
        <v>5800</v>
      </c>
      <c r="H170" s="62">
        <v>6600</v>
      </c>
      <c r="I170" s="62">
        <v>7400</v>
      </c>
      <c r="J170" s="62">
        <v>8200</v>
      </c>
      <c r="K170" s="62">
        <v>9000</v>
      </c>
      <c r="L170" s="62">
        <v>6800</v>
      </c>
      <c r="M170" s="62">
        <v>7600</v>
      </c>
      <c r="N170" s="62">
        <v>8400</v>
      </c>
      <c r="O170" s="62">
        <v>9200</v>
      </c>
      <c r="P170" s="62">
        <v>10000</v>
      </c>
      <c r="Q170" s="62">
        <v>10800</v>
      </c>
      <c r="R170" s="62">
        <v>11600</v>
      </c>
    </row>
    <row r="171" spans="1:18">
      <c r="A171" s="59">
        <v>101</v>
      </c>
      <c r="B171" t="s">
        <v>46</v>
      </c>
      <c r="C171">
        <f>VLOOKUP(A171,справочник!$A$2:$C$322,3,FALSE)</f>
        <v>106</v>
      </c>
      <c r="D171" t="str">
        <f>IFERROR(VLOOKUP(B171,справочник!$AF$2:$AF$15,1,FALSE),"")</f>
        <v/>
      </c>
      <c r="F171" t="s">
        <v>645</v>
      </c>
      <c r="G171" s="62">
        <v>2800</v>
      </c>
      <c r="H171" s="62">
        <v>3600</v>
      </c>
      <c r="I171" s="62">
        <v>4400</v>
      </c>
      <c r="J171" s="62">
        <v>5200</v>
      </c>
      <c r="K171" s="62">
        <v>6000</v>
      </c>
      <c r="L171" s="62">
        <v>6800</v>
      </c>
      <c r="M171" s="62">
        <v>7600</v>
      </c>
      <c r="N171" s="62">
        <v>8400</v>
      </c>
      <c r="O171" s="62">
        <v>9200</v>
      </c>
      <c r="P171" s="62">
        <v>10000</v>
      </c>
      <c r="Q171" s="62">
        <v>10800</v>
      </c>
      <c r="R171" s="62">
        <v>11600</v>
      </c>
    </row>
    <row r="172" spans="1:18">
      <c r="A172" s="59">
        <v>44</v>
      </c>
      <c r="B172" t="s">
        <v>76</v>
      </c>
      <c r="C172">
        <f>VLOOKUP(A172,справочник!$A$2:$C$322,3,FALSE)</f>
        <v>44</v>
      </c>
      <c r="D172" t="str">
        <f>IFERROR(VLOOKUP(B172,справочник!$AF$2:$AF$15,1,FALSE),"")</f>
        <v/>
      </c>
      <c r="F172" t="s">
        <v>642</v>
      </c>
      <c r="G172" s="62">
        <v>2800</v>
      </c>
      <c r="H172" s="62">
        <v>3600</v>
      </c>
      <c r="I172" s="62">
        <v>4400</v>
      </c>
      <c r="J172" s="62">
        <v>5200</v>
      </c>
      <c r="K172" s="62">
        <v>6000</v>
      </c>
      <c r="L172" s="62">
        <v>6800</v>
      </c>
      <c r="M172" s="62">
        <v>7600</v>
      </c>
      <c r="N172" s="62">
        <v>8400</v>
      </c>
      <c r="O172" s="62">
        <v>9200</v>
      </c>
      <c r="P172" s="62">
        <v>10000</v>
      </c>
      <c r="Q172" s="62">
        <v>10800</v>
      </c>
      <c r="R172" s="62">
        <v>11600</v>
      </c>
    </row>
    <row r="173" spans="1:18">
      <c r="A173" s="59">
        <v>22</v>
      </c>
      <c r="B173" t="s">
        <v>281</v>
      </c>
      <c r="C173">
        <f>VLOOKUP(A173,справочник!$A$2:$C$322,3,FALSE)</f>
        <v>22</v>
      </c>
      <c r="D173" t="str">
        <f>IFERROR(VLOOKUP(B173,справочник!$AF$2:$AF$15,1,FALSE),"")</f>
        <v/>
      </c>
      <c r="F173" t="s">
        <v>90</v>
      </c>
      <c r="G173" s="62">
        <v>2800</v>
      </c>
      <c r="H173" s="62">
        <v>3600</v>
      </c>
      <c r="I173" s="62">
        <v>4400</v>
      </c>
      <c r="J173" s="62">
        <v>5200</v>
      </c>
      <c r="K173" s="62">
        <v>6000</v>
      </c>
      <c r="L173" s="62">
        <v>6800</v>
      </c>
      <c r="M173" s="62">
        <v>7600</v>
      </c>
      <c r="N173" s="62">
        <v>8400</v>
      </c>
      <c r="O173" s="62">
        <v>9200</v>
      </c>
      <c r="P173" s="62">
        <v>10000</v>
      </c>
      <c r="Q173" s="62">
        <v>10800</v>
      </c>
      <c r="R173" s="62">
        <v>11600</v>
      </c>
    </row>
    <row r="174" spans="1:18">
      <c r="A174" s="59">
        <v>21</v>
      </c>
      <c r="B174" t="s">
        <v>248</v>
      </c>
      <c r="C174">
        <f>VLOOKUP(A174,справочник!$A$2:$C$322,3,FALSE)</f>
        <v>21</v>
      </c>
      <c r="D174" t="str">
        <f>IFERROR(VLOOKUP(B174,справочник!$AF$2:$AF$15,1,FALSE),"")</f>
        <v/>
      </c>
      <c r="F174" t="s">
        <v>90</v>
      </c>
      <c r="G174" s="62">
        <v>2800</v>
      </c>
      <c r="H174" s="62">
        <v>3600</v>
      </c>
      <c r="I174" s="62">
        <v>4400</v>
      </c>
      <c r="J174" s="62">
        <v>5200</v>
      </c>
      <c r="K174" s="62">
        <v>6000</v>
      </c>
      <c r="L174" s="62">
        <v>6800</v>
      </c>
      <c r="M174" s="62">
        <v>7600</v>
      </c>
      <c r="N174" s="62">
        <v>8400</v>
      </c>
      <c r="O174" s="62">
        <v>9200</v>
      </c>
      <c r="P174" s="62">
        <v>10000</v>
      </c>
      <c r="Q174" s="62">
        <v>10800</v>
      </c>
      <c r="R174" s="62">
        <v>11600</v>
      </c>
    </row>
    <row r="175" spans="1:18">
      <c r="A175" s="59">
        <v>268</v>
      </c>
      <c r="B175" t="s">
        <v>254</v>
      </c>
      <c r="C175">
        <f>VLOOKUP(A175,справочник!$A$2:$C$322,3,FALSE)</f>
        <v>281</v>
      </c>
      <c r="D175" t="str">
        <f>IFERROR(VLOOKUP(B175,справочник!$AF$2:$AF$15,1,FALSE),"")</f>
        <v/>
      </c>
      <c r="F175" t="s">
        <v>643</v>
      </c>
      <c r="G175" s="62">
        <v>7800</v>
      </c>
      <c r="H175" s="62">
        <v>8600</v>
      </c>
      <c r="I175" s="62">
        <v>9400</v>
      </c>
      <c r="J175" s="62">
        <v>7200</v>
      </c>
      <c r="K175" s="62">
        <v>8000</v>
      </c>
      <c r="L175" s="62">
        <v>5800</v>
      </c>
      <c r="M175" s="62">
        <v>6600</v>
      </c>
      <c r="N175" s="62">
        <v>7400</v>
      </c>
      <c r="O175" s="62">
        <v>8200</v>
      </c>
      <c r="P175" s="62">
        <v>9000</v>
      </c>
      <c r="Q175" s="62">
        <v>9800</v>
      </c>
      <c r="R175" s="62">
        <v>10600</v>
      </c>
    </row>
    <row r="176" spans="1:18">
      <c r="A176" s="59">
        <v>248</v>
      </c>
      <c r="B176" t="s">
        <v>277</v>
      </c>
      <c r="C176">
        <f>VLOOKUP(A176,справочник!$A$2:$C$322,3,FALSE)</f>
        <v>259</v>
      </c>
      <c r="D176" t="str">
        <f>IFERROR(VLOOKUP(B176,справочник!$AF$2:$AF$15,1,FALSE),"")</f>
        <v/>
      </c>
      <c r="F176" t="s">
        <v>644</v>
      </c>
      <c r="G176" s="62">
        <v>3500</v>
      </c>
      <c r="H176" s="62">
        <v>4300</v>
      </c>
      <c r="I176" s="62">
        <v>5100</v>
      </c>
      <c r="J176" s="62">
        <v>5900</v>
      </c>
      <c r="K176" s="62">
        <v>6700</v>
      </c>
      <c r="L176" s="62">
        <v>5800</v>
      </c>
      <c r="M176" s="62">
        <v>6600</v>
      </c>
      <c r="N176" s="62">
        <v>7400</v>
      </c>
      <c r="O176" s="62">
        <v>8200</v>
      </c>
      <c r="P176" s="62">
        <v>9000</v>
      </c>
      <c r="Q176" s="62">
        <v>9800</v>
      </c>
      <c r="R176" s="62">
        <v>10600</v>
      </c>
    </row>
    <row r="177" spans="1:18">
      <c r="A177" s="59">
        <v>122</v>
      </c>
      <c r="B177" t="s">
        <v>72</v>
      </c>
      <c r="C177">
        <f>VLOOKUP(A177,справочник!$A$2:$C$322,3,FALSE)</f>
        <v>127</v>
      </c>
      <c r="D177" t="str">
        <f>IFERROR(VLOOKUP(B177,справочник!$AF$2:$AF$15,1,FALSE),"")</f>
        <v/>
      </c>
      <c r="F177" t="s">
        <v>645</v>
      </c>
      <c r="G177" s="62">
        <v>5800</v>
      </c>
      <c r="H177" s="62">
        <v>4600</v>
      </c>
      <c r="I177" s="62">
        <v>5400</v>
      </c>
      <c r="J177" s="62">
        <v>4200</v>
      </c>
      <c r="K177" s="62">
        <v>5000</v>
      </c>
      <c r="L177" s="62">
        <v>5800</v>
      </c>
      <c r="M177" s="62">
        <v>6600</v>
      </c>
      <c r="N177" s="62">
        <v>7400</v>
      </c>
      <c r="O177" s="62">
        <v>8200</v>
      </c>
      <c r="P177" s="62">
        <v>9000</v>
      </c>
      <c r="Q177" s="62">
        <v>9800</v>
      </c>
      <c r="R177" s="62">
        <v>10600</v>
      </c>
    </row>
    <row r="178" spans="1:18">
      <c r="A178" s="59">
        <v>201</v>
      </c>
      <c r="B178" t="s">
        <v>195</v>
      </c>
      <c r="C178">
        <f>VLOOKUP(A178,справочник!$A$2:$C$322,3,FALSE)</f>
        <v>209</v>
      </c>
      <c r="D178" t="str">
        <f>IFERROR(VLOOKUP(B178,справочник!$AF$2:$AF$15,1,FALSE),"")</f>
        <v/>
      </c>
      <c r="F178" t="s">
        <v>37</v>
      </c>
      <c r="G178" s="62">
        <v>4800</v>
      </c>
      <c r="H178" s="62">
        <v>5600</v>
      </c>
      <c r="I178" s="62">
        <v>6400</v>
      </c>
      <c r="J178" s="62">
        <v>7200</v>
      </c>
      <c r="K178" s="62">
        <v>4800</v>
      </c>
      <c r="L178" s="62">
        <v>5600</v>
      </c>
      <c r="M178" s="62">
        <v>6400</v>
      </c>
      <c r="N178" s="62">
        <v>7200</v>
      </c>
      <c r="O178" s="62">
        <v>8000</v>
      </c>
      <c r="P178" s="62">
        <v>8800</v>
      </c>
      <c r="Q178" s="62">
        <v>9600</v>
      </c>
      <c r="R178" s="62">
        <v>10400</v>
      </c>
    </row>
    <row r="179" spans="1:18">
      <c r="A179" s="59">
        <v>64</v>
      </c>
      <c r="B179" t="s">
        <v>59</v>
      </c>
      <c r="C179">
        <f>VLOOKUP(A179,справочник!$A$2:$C$322,3,FALSE)</f>
        <v>66</v>
      </c>
      <c r="D179" t="str">
        <f>IFERROR(VLOOKUP(B179,справочник!$AF$2:$AF$15,1,FALSE),"")</f>
        <v/>
      </c>
      <c r="F179" t="s">
        <v>181</v>
      </c>
      <c r="G179" s="62">
        <v>4800</v>
      </c>
      <c r="H179" s="62">
        <v>5600</v>
      </c>
      <c r="I179" s="62">
        <v>4800</v>
      </c>
      <c r="J179" s="62">
        <v>5600</v>
      </c>
      <c r="K179" s="62">
        <v>6400</v>
      </c>
      <c r="L179" s="62">
        <v>5600</v>
      </c>
      <c r="M179" s="62">
        <v>6400</v>
      </c>
      <c r="N179" s="62">
        <v>7200</v>
      </c>
      <c r="O179" s="62">
        <v>8000</v>
      </c>
      <c r="P179" s="62">
        <v>8800</v>
      </c>
      <c r="Q179" s="62">
        <v>9600</v>
      </c>
      <c r="R179" s="62">
        <v>10400</v>
      </c>
    </row>
    <row r="180" spans="1:18">
      <c r="A180" s="59">
        <v>317</v>
      </c>
      <c r="B180" t="s">
        <v>253</v>
      </c>
      <c r="C180" t="str">
        <f>VLOOKUP(A180,справочник!$A$2:$C$322,3,FALSE)</f>
        <v>51-52</v>
      </c>
      <c r="D180" t="str">
        <f>IFERROR(VLOOKUP(B180,справочник!$AF$2:$AF$15,1,FALSE),"")</f>
        <v/>
      </c>
      <c r="F180" t="e">
        <v>#N/A</v>
      </c>
      <c r="G180" s="62">
        <v>800</v>
      </c>
      <c r="H180" s="62">
        <v>1600</v>
      </c>
      <c r="I180" s="62">
        <v>2400</v>
      </c>
      <c r="J180" s="62">
        <v>3200</v>
      </c>
      <c r="K180" s="62">
        <v>4000</v>
      </c>
      <c r="L180" s="62">
        <v>4800</v>
      </c>
      <c r="M180" s="62">
        <v>5600</v>
      </c>
      <c r="N180" s="62">
        <v>6400</v>
      </c>
      <c r="O180" s="62">
        <v>7200</v>
      </c>
      <c r="P180" s="62">
        <v>8000</v>
      </c>
      <c r="Q180" s="62">
        <v>8800</v>
      </c>
      <c r="R180" s="62">
        <v>9600</v>
      </c>
    </row>
    <row r="181" spans="1:18">
      <c r="A181" s="59">
        <v>314</v>
      </c>
      <c r="B181" t="s">
        <v>215</v>
      </c>
      <c r="C181" t="e">
        <f>VLOOKUP(A181,справочник!$A$2:$C$322,3,FALSE)</f>
        <v>#N/A</v>
      </c>
      <c r="D181" t="str">
        <f>IFERROR(VLOOKUP(B181,справочник!$AF$2:$AF$15,1,FALSE),"")</f>
        <v/>
      </c>
      <c r="F181" t="e">
        <v>#N/A</v>
      </c>
      <c r="G181" s="62">
        <v>800</v>
      </c>
      <c r="H181" s="62">
        <v>1600</v>
      </c>
      <c r="I181" s="62">
        <v>2400</v>
      </c>
      <c r="J181" s="62">
        <v>3200</v>
      </c>
      <c r="K181" s="62">
        <v>4000</v>
      </c>
      <c r="L181" s="62">
        <v>4800</v>
      </c>
      <c r="M181" s="62">
        <v>5600</v>
      </c>
      <c r="N181" s="62">
        <v>6400</v>
      </c>
      <c r="O181" s="62">
        <v>7200</v>
      </c>
      <c r="P181" s="62">
        <v>8000</v>
      </c>
      <c r="Q181" s="62">
        <v>8800</v>
      </c>
      <c r="R181" s="62">
        <v>9600</v>
      </c>
    </row>
    <row r="182" spans="1:18">
      <c r="A182" s="59">
        <v>291</v>
      </c>
      <c r="B182" t="s">
        <v>189</v>
      </c>
      <c r="C182">
        <f>VLOOKUP(A182,справочник!$A$2:$C$322,3,FALSE)</f>
        <v>304</v>
      </c>
      <c r="D182" t="str">
        <f>IFERROR(VLOOKUP(B182,справочник!$AF$2:$AF$15,1,FALSE),"")</f>
        <v/>
      </c>
      <c r="F182" t="s">
        <v>103</v>
      </c>
      <c r="G182" s="62">
        <v>800</v>
      </c>
      <c r="H182" s="62">
        <v>1600</v>
      </c>
      <c r="I182" s="62">
        <v>2400</v>
      </c>
      <c r="J182" s="62">
        <v>3200</v>
      </c>
      <c r="K182" s="62">
        <v>4000</v>
      </c>
      <c r="L182" s="62">
        <v>4800</v>
      </c>
      <c r="M182" s="62">
        <v>5600</v>
      </c>
      <c r="N182" s="62">
        <v>6400</v>
      </c>
      <c r="O182" s="62">
        <v>7200</v>
      </c>
      <c r="P182" s="62">
        <v>8000</v>
      </c>
      <c r="Q182" s="62">
        <v>8800</v>
      </c>
      <c r="R182" s="62">
        <v>9600</v>
      </c>
    </row>
    <row r="183" spans="1:18">
      <c r="A183" s="59">
        <v>241</v>
      </c>
      <c r="B183" t="s">
        <v>234</v>
      </c>
      <c r="C183">
        <f>VLOOKUP(A183,справочник!$A$2:$C$322,3,FALSE)</f>
        <v>252</v>
      </c>
      <c r="D183" t="str">
        <f>IFERROR(VLOOKUP(B183,справочник!$AF$2:$AF$15,1,FALSE),"")</f>
        <v/>
      </c>
      <c r="F183" t="s">
        <v>644</v>
      </c>
      <c r="G183" s="62">
        <v>4800</v>
      </c>
      <c r="H183" s="62">
        <v>4800</v>
      </c>
      <c r="I183" s="62">
        <v>4800</v>
      </c>
      <c r="J183" s="62">
        <v>5600</v>
      </c>
      <c r="K183" s="62">
        <v>6400</v>
      </c>
      <c r="L183" s="62">
        <v>4800</v>
      </c>
      <c r="M183" s="62">
        <v>5600</v>
      </c>
      <c r="N183" s="62">
        <v>6400</v>
      </c>
      <c r="O183" s="62">
        <v>7200</v>
      </c>
      <c r="P183" s="62">
        <v>8000</v>
      </c>
      <c r="Q183" s="62">
        <v>8800</v>
      </c>
      <c r="R183" s="62">
        <v>9600</v>
      </c>
    </row>
    <row r="184" spans="1:18">
      <c r="A184" s="59">
        <v>212</v>
      </c>
      <c r="B184" t="s">
        <v>170</v>
      </c>
      <c r="C184">
        <f>VLOOKUP(A184,справочник!$A$2:$C$322,3,FALSE)</f>
        <v>221</v>
      </c>
      <c r="D184" t="str">
        <f>IFERROR(VLOOKUP(B184,справочник!$AF$2:$AF$15,1,FALSE),"")</f>
        <v/>
      </c>
      <c r="F184" t="s">
        <v>109</v>
      </c>
      <c r="G184" s="62">
        <v>3200</v>
      </c>
      <c r="H184" s="62">
        <v>4000</v>
      </c>
      <c r="I184" s="62">
        <v>3200</v>
      </c>
      <c r="J184" s="62">
        <v>3200</v>
      </c>
      <c r="K184" s="62">
        <v>4000</v>
      </c>
      <c r="L184" s="62">
        <v>4800</v>
      </c>
      <c r="M184" s="62">
        <v>5600</v>
      </c>
      <c r="N184" s="62">
        <v>6400</v>
      </c>
      <c r="O184" s="62">
        <v>7200</v>
      </c>
      <c r="P184" s="62">
        <v>8000</v>
      </c>
      <c r="Q184" s="62">
        <v>8800</v>
      </c>
      <c r="R184" s="62">
        <v>9600</v>
      </c>
    </row>
    <row r="185" spans="1:18">
      <c r="A185" s="59">
        <v>207</v>
      </c>
      <c r="B185" t="s">
        <v>111</v>
      </c>
      <c r="C185">
        <f>VLOOKUP(A185,справочник!$A$2:$C$322,3,FALSE)</f>
        <v>217</v>
      </c>
      <c r="D185" t="str">
        <f>IFERROR(VLOOKUP(B185,справочник!$AF$2:$AF$15,1,FALSE),"")</f>
        <v/>
      </c>
      <c r="F185" t="s">
        <v>37</v>
      </c>
      <c r="G185" s="62">
        <v>800</v>
      </c>
      <c r="H185" s="62">
        <v>1600</v>
      </c>
      <c r="I185" s="62">
        <v>2400</v>
      </c>
      <c r="J185" s="62">
        <v>3200</v>
      </c>
      <c r="K185" s="62">
        <v>4000</v>
      </c>
      <c r="L185" s="62">
        <v>4800</v>
      </c>
      <c r="M185" s="62">
        <v>5600</v>
      </c>
      <c r="N185" s="62">
        <v>6400</v>
      </c>
      <c r="O185" s="62">
        <v>7200</v>
      </c>
      <c r="P185" s="62">
        <v>8000</v>
      </c>
      <c r="Q185" s="62">
        <v>8800</v>
      </c>
      <c r="R185" s="62">
        <v>9600</v>
      </c>
    </row>
    <row r="186" spans="1:18">
      <c r="A186" s="59">
        <v>204</v>
      </c>
      <c r="B186" t="s">
        <v>188</v>
      </c>
      <c r="C186">
        <f>VLOOKUP(A186,справочник!$A$2:$C$322,3,FALSE)</f>
        <v>214</v>
      </c>
      <c r="D186" t="str">
        <f>IFERROR(VLOOKUP(B186,справочник!$AF$2:$AF$15,1,FALSE),"")</f>
        <v/>
      </c>
      <c r="F186" t="s">
        <v>37</v>
      </c>
      <c r="G186" s="62">
        <v>800</v>
      </c>
      <c r="H186" s="62">
        <v>1600</v>
      </c>
      <c r="I186" s="62">
        <v>2400</v>
      </c>
      <c r="J186" s="62">
        <v>3200</v>
      </c>
      <c r="K186" s="62">
        <v>4000</v>
      </c>
      <c r="L186" s="62">
        <v>4800</v>
      </c>
      <c r="M186" s="62">
        <v>5600</v>
      </c>
      <c r="N186" s="62">
        <v>6400</v>
      </c>
      <c r="O186" s="62">
        <v>7200</v>
      </c>
      <c r="P186" s="62">
        <v>8000</v>
      </c>
      <c r="Q186" s="62">
        <v>8800</v>
      </c>
      <c r="R186" s="62">
        <v>9600</v>
      </c>
    </row>
    <row r="187" spans="1:18">
      <c r="A187" s="59">
        <v>193</v>
      </c>
      <c r="B187" t="s">
        <v>15</v>
      </c>
      <c r="C187">
        <f>VLOOKUP(A187,справочник!$A$2:$C$322,3,FALSE)</f>
        <v>201</v>
      </c>
      <c r="D187" t="str">
        <f>IFERROR(VLOOKUP(B187,справочник!$AF$2:$AF$15,1,FALSE),"")</f>
        <v/>
      </c>
      <c r="F187" t="s">
        <v>37</v>
      </c>
      <c r="G187" s="62">
        <v>800</v>
      </c>
      <c r="H187" s="62">
        <v>1600</v>
      </c>
      <c r="I187" s="62">
        <v>2400</v>
      </c>
      <c r="J187" s="62">
        <v>3200</v>
      </c>
      <c r="K187" s="62">
        <v>4000</v>
      </c>
      <c r="L187" s="62">
        <v>4800</v>
      </c>
      <c r="M187" s="62">
        <v>5600</v>
      </c>
      <c r="N187" s="62">
        <v>6400</v>
      </c>
      <c r="O187" s="62">
        <v>7200</v>
      </c>
      <c r="P187" s="62">
        <v>8000</v>
      </c>
      <c r="Q187" s="62">
        <v>8800</v>
      </c>
      <c r="R187" s="62">
        <v>9600</v>
      </c>
    </row>
    <row r="188" spans="1:18">
      <c r="A188" s="59">
        <v>191</v>
      </c>
      <c r="B188" t="s">
        <v>19</v>
      </c>
      <c r="C188">
        <f>VLOOKUP(A188,справочник!$A$2:$C$322,3,FALSE)</f>
        <v>199</v>
      </c>
      <c r="D188" t="str">
        <f>IFERROR(VLOOKUP(B188,справочник!$AF$2:$AF$15,1,FALSE),"")</f>
        <v/>
      </c>
      <c r="F188" t="s">
        <v>247</v>
      </c>
      <c r="G188" s="62">
        <v>800</v>
      </c>
      <c r="H188" s="62">
        <v>1600</v>
      </c>
      <c r="I188" s="62">
        <v>2400</v>
      </c>
      <c r="J188" s="62">
        <v>3200</v>
      </c>
      <c r="K188" s="62">
        <v>4000</v>
      </c>
      <c r="L188" s="62">
        <v>4800</v>
      </c>
      <c r="M188" s="62">
        <v>5600</v>
      </c>
      <c r="N188" s="62">
        <v>6400</v>
      </c>
      <c r="O188" s="62">
        <v>7200</v>
      </c>
      <c r="P188" s="62">
        <v>8000</v>
      </c>
      <c r="Q188" s="62">
        <v>8800</v>
      </c>
      <c r="R188" s="62">
        <v>9600</v>
      </c>
    </row>
    <row r="189" spans="1:18">
      <c r="A189" s="59">
        <v>165</v>
      </c>
      <c r="B189" t="s">
        <v>208</v>
      </c>
      <c r="C189">
        <f>VLOOKUP(A189,справочник!$A$2:$C$322,3,FALSE)</f>
        <v>173</v>
      </c>
      <c r="D189" t="str">
        <f>IFERROR(VLOOKUP(B189,справочник!$AF$2:$AF$15,1,FALSE),"")</f>
        <v/>
      </c>
      <c r="F189" t="s">
        <v>13</v>
      </c>
      <c r="G189" s="62">
        <v>800</v>
      </c>
      <c r="H189" s="62">
        <v>1600</v>
      </c>
      <c r="I189" s="62">
        <v>2400</v>
      </c>
      <c r="J189" s="62">
        <v>3200</v>
      </c>
      <c r="K189" s="62">
        <v>4000</v>
      </c>
      <c r="L189" s="62">
        <v>4800</v>
      </c>
      <c r="M189" s="62">
        <v>5600</v>
      </c>
      <c r="N189" s="62">
        <v>6400</v>
      </c>
      <c r="O189" s="62">
        <v>7200</v>
      </c>
      <c r="P189" s="62">
        <v>8000</v>
      </c>
      <c r="Q189" s="62">
        <v>8800</v>
      </c>
      <c r="R189" s="62">
        <v>9600</v>
      </c>
    </row>
    <row r="190" spans="1:18">
      <c r="A190" s="59">
        <v>159</v>
      </c>
      <c r="B190" t="s">
        <v>78</v>
      </c>
      <c r="C190">
        <f>VLOOKUP(A190,справочник!$A$2:$C$322,3,FALSE)</f>
        <v>167</v>
      </c>
      <c r="D190" t="str">
        <f>IFERROR(VLOOKUP(B190,справочник!$AF$2:$AF$15,1,FALSE),"")</f>
        <v/>
      </c>
      <c r="F190" t="s">
        <v>13</v>
      </c>
      <c r="G190" s="62">
        <v>12800</v>
      </c>
      <c r="H190" s="62">
        <v>1600</v>
      </c>
      <c r="I190" s="62">
        <v>2400</v>
      </c>
      <c r="J190" s="62">
        <v>3200</v>
      </c>
      <c r="K190" s="62">
        <v>4000</v>
      </c>
      <c r="L190" s="62">
        <v>4800</v>
      </c>
      <c r="M190" s="62">
        <v>5600</v>
      </c>
      <c r="N190" s="62">
        <v>6400</v>
      </c>
      <c r="O190" s="62">
        <v>7200</v>
      </c>
      <c r="P190" s="62">
        <v>8000</v>
      </c>
      <c r="Q190" s="62">
        <v>8800</v>
      </c>
      <c r="R190" s="62">
        <v>9600</v>
      </c>
    </row>
    <row r="191" spans="1:18">
      <c r="A191" s="59">
        <v>142</v>
      </c>
      <c r="B191" t="s">
        <v>33</v>
      </c>
      <c r="C191">
        <f>VLOOKUP(A191,справочник!$A$2:$C$322,3,FALSE)</f>
        <v>150</v>
      </c>
      <c r="D191" t="str">
        <f>IFERROR(VLOOKUP(B191,справочник!$AF$2:$AF$15,1,FALSE),"")</f>
        <v/>
      </c>
      <c r="F191" t="s">
        <v>641</v>
      </c>
      <c r="G191" s="62">
        <v>800</v>
      </c>
      <c r="H191" s="62">
        <v>1600</v>
      </c>
      <c r="I191" s="62">
        <v>2400</v>
      </c>
      <c r="J191" s="62">
        <v>3200</v>
      </c>
      <c r="K191" s="62">
        <v>4000</v>
      </c>
      <c r="L191" s="62">
        <v>4800</v>
      </c>
      <c r="M191" s="62">
        <v>5600</v>
      </c>
      <c r="N191" s="62">
        <v>6400</v>
      </c>
      <c r="O191" s="62">
        <v>7200</v>
      </c>
      <c r="P191" s="62">
        <v>8000</v>
      </c>
      <c r="Q191" s="62">
        <v>8800</v>
      </c>
      <c r="R191" s="62">
        <v>9600</v>
      </c>
    </row>
    <row r="192" spans="1:18">
      <c r="A192" s="59">
        <v>54</v>
      </c>
      <c r="B192" t="s">
        <v>251</v>
      </c>
      <c r="C192">
        <f>VLOOKUP(A192,справочник!$A$2:$C$322,3,FALSE)</f>
        <v>56</v>
      </c>
      <c r="D192" t="str">
        <f>IFERROR(VLOOKUP(B192,справочник!$AF$2:$AF$15,1,FALSE),"")</f>
        <v/>
      </c>
      <c r="F192" t="s">
        <v>642</v>
      </c>
      <c r="G192" s="62">
        <v>800</v>
      </c>
      <c r="H192" s="62">
        <v>1600</v>
      </c>
      <c r="I192" s="62">
        <v>2400</v>
      </c>
      <c r="J192" s="62">
        <v>3200</v>
      </c>
      <c r="K192" s="62">
        <v>4000</v>
      </c>
      <c r="L192" s="62">
        <v>4800</v>
      </c>
      <c r="M192" s="62">
        <v>5600</v>
      </c>
      <c r="N192" s="62">
        <v>6400</v>
      </c>
      <c r="O192" s="62">
        <v>7200</v>
      </c>
      <c r="P192" s="62">
        <v>8000</v>
      </c>
      <c r="Q192" s="62">
        <v>8800</v>
      </c>
      <c r="R192" s="62">
        <v>9600</v>
      </c>
    </row>
    <row r="193" spans="1:18">
      <c r="A193" s="59">
        <v>53</v>
      </c>
      <c r="B193" t="s">
        <v>205</v>
      </c>
      <c r="C193">
        <f>VLOOKUP(A193,справочник!$A$2:$C$322,3,FALSE)</f>
        <v>55</v>
      </c>
      <c r="D193" t="str">
        <f>IFERROR(VLOOKUP(B193,справочник!$AF$2:$AF$15,1,FALSE),"")</f>
        <v/>
      </c>
      <c r="F193" t="s">
        <v>642</v>
      </c>
      <c r="G193" s="62">
        <v>800</v>
      </c>
      <c r="H193" s="62">
        <v>1600</v>
      </c>
      <c r="I193" s="62">
        <v>2400</v>
      </c>
      <c r="J193" s="62">
        <v>3200</v>
      </c>
      <c r="K193" s="62">
        <v>4000</v>
      </c>
      <c r="L193" s="62">
        <v>4800</v>
      </c>
      <c r="M193" s="62">
        <v>5600</v>
      </c>
      <c r="N193" s="62">
        <v>6400</v>
      </c>
      <c r="O193" s="62">
        <v>7200</v>
      </c>
      <c r="P193" s="62">
        <v>8000</v>
      </c>
      <c r="Q193" s="62">
        <v>8800</v>
      </c>
      <c r="R193" s="62">
        <v>9600</v>
      </c>
    </row>
    <row r="194" spans="1:18">
      <c r="A194" s="59">
        <v>37</v>
      </c>
      <c r="B194" t="s">
        <v>52</v>
      </c>
      <c r="C194">
        <f>VLOOKUP(A194,справочник!$A$2:$C$322,3,FALSE)</f>
        <v>37</v>
      </c>
      <c r="D194" t="str">
        <f>IFERROR(VLOOKUP(B194,справочник!$AF$2:$AF$15,1,FALSE),"")</f>
        <v/>
      </c>
      <c r="F194" t="s">
        <v>642</v>
      </c>
      <c r="G194" s="62">
        <v>800</v>
      </c>
      <c r="H194" s="62">
        <v>1600</v>
      </c>
      <c r="I194" s="62">
        <v>2400</v>
      </c>
      <c r="J194" s="62">
        <v>3200</v>
      </c>
      <c r="K194" s="62">
        <v>4000</v>
      </c>
      <c r="L194" s="62">
        <v>4800</v>
      </c>
      <c r="M194" s="62">
        <v>5600</v>
      </c>
      <c r="N194" s="62">
        <v>6400</v>
      </c>
      <c r="O194" s="62">
        <v>7200</v>
      </c>
      <c r="P194" s="62">
        <v>8000</v>
      </c>
      <c r="Q194" s="62">
        <v>8800</v>
      </c>
      <c r="R194" s="62">
        <v>9600</v>
      </c>
    </row>
    <row r="195" spans="1:18">
      <c r="A195" s="59">
        <v>29</v>
      </c>
      <c r="B195" t="s">
        <v>197</v>
      </c>
      <c r="C195">
        <f>VLOOKUP(A195,справочник!$A$2:$C$322,3,FALSE)</f>
        <v>29</v>
      </c>
      <c r="D195" t="str">
        <f>IFERROR(VLOOKUP(B195,справочник!$AF$2:$AF$15,1,FALSE),"")</f>
        <v/>
      </c>
      <c r="F195" t="s">
        <v>90</v>
      </c>
      <c r="G195" s="62">
        <v>800</v>
      </c>
      <c r="H195" s="62">
        <v>1600</v>
      </c>
      <c r="I195" s="62">
        <v>2400</v>
      </c>
      <c r="J195" s="62">
        <v>3200</v>
      </c>
      <c r="K195" s="62">
        <v>4000</v>
      </c>
      <c r="L195" s="62">
        <v>4800</v>
      </c>
      <c r="M195" s="62">
        <v>5600</v>
      </c>
      <c r="N195" s="62">
        <v>6400</v>
      </c>
      <c r="O195" s="62">
        <v>7200</v>
      </c>
      <c r="P195" s="62">
        <v>8000</v>
      </c>
      <c r="Q195" s="62">
        <v>8800</v>
      </c>
      <c r="R195" s="62">
        <v>9600</v>
      </c>
    </row>
    <row r="196" spans="1:18">
      <c r="A196" s="59">
        <v>18</v>
      </c>
      <c r="B196" t="s">
        <v>74</v>
      </c>
      <c r="C196">
        <f>VLOOKUP(A196,справочник!$A$2:$C$322,3,FALSE)</f>
        <v>18</v>
      </c>
      <c r="D196" t="str">
        <f>IFERROR(VLOOKUP(B196,справочник!$AF$2:$AF$15,1,FALSE),"")</f>
        <v/>
      </c>
      <c r="F196" t="s">
        <v>90</v>
      </c>
      <c r="G196" s="62">
        <v>800</v>
      </c>
      <c r="H196" s="62">
        <v>1600</v>
      </c>
      <c r="I196" s="62">
        <v>2400</v>
      </c>
      <c r="J196" s="62">
        <v>3200</v>
      </c>
      <c r="K196" s="62">
        <v>4000</v>
      </c>
      <c r="L196" s="62">
        <v>4800</v>
      </c>
      <c r="M196" s="62">
        <v>5600</v>
      </c>
      <c r="N196" s="62">
        <v>6400</v>
      </c>
      <c r="O196" s="62">
        <v>7200</v>
      </c>
      <c r="P196" s="62">
        <v>8000</v>
      </c>
      <c r="Q196" s="62">
        <v>8800</v>
      </c>
      <c r="R196" s="62">
        <v>9600</v>
      </c>
    </row>
    <row r="197" spans="1:18">
      <c r="A197" s="59">
        <v>10</v>
      </c>
      <c r="B197" t="s">
        <v>305</v>
      </c>
      <c r="C197">
        <f>VLOOKUP(A197,справочник!$A$2:$C$322,3,FALSE)</f>
        <v>10</v>
      </c>
      <c r="D197" t="str">
        <f>IFERROR(VLOOKUP(B197,справочник!$AF$2:$AF$15,1,FALSE),"")</f>
        <v/>
      </c>
      <c r="F197" t="s">
        <v>90</v>
      </c>
      <c r="G197" s="62">
        <v>800</v>
      </c>
      <c r="H197" s="62">
        <v>1600</v>
      </c>
      <c r="I197" s="62">
        <v>2400</v>
      </c>
      <c r="J197" s="62">
        <v>3200</v>
      </c>
      <c r="K197" s="62">
        <v>4000</v>
      </c>
      <c r="L197" s="62">
        <v>4800</v>
      </c>
      <c r="M197" s="62">
        <v>5600</v>
      </c>
      <c r="N197" s="62">
        <v>6400</v>
      </c>
      <c r="O197" s="62">
        <v>7200</v>
      </c>
      <c r="P197" s="62">
        <v>8000</v>
      </c>
      <c r="Q197" s="62">
        <v>8800</v>
      </c>
      <c r="R197" s="62">
        <v>9600</v>
      </c>
    </row>
    <row r="198" spans="1:18">
      <c r="A198" s="59">
        <v>121</v>
      </c>
      <c r="B198" t="s">
        <v>97</v>
      </c>
      <c r="C198">
        <f>VLOOKUP(A198,справочник!$A$2:$C$322,3,FALSE)</f>
        <v>126</v>
      </c>
      <c r="D198" t="str">
        <f>IFERROR(VLOOKUP(B198,справочник!$AF$2:$AF$15,1,FALSE),"")</f>
        <v/>
      </c>
      <c r="F198" t="s">
        <v>645</v>
      </c>
      <c r="G198" s="62">
        <v>3800</v>
      </c>
      <c r="H198" s="62">
        <v>4600</v>
      </c>
      <c r="I198" s="62">
        <v>5400</v>
      </c>
      <c r="J198" s="62">
        <v>3000</v>
      </c>
      <c r="K198" s="62">
        <v>3800</v>
      </c>
      <c r="L198" s="62">
        <v>4600</v>
      </c>
      <c r="M198" s="62">
        <v>5400</v>
      </c>
      <c r="N198" s="62">
        <v>6200</v>
      </c>
      <c r="O198" s="62">
        <v>7000</v>
      </c>
      <c r="P198" s="62">
        <v>7800</v>
      </c>
      <c r="Q198" s="62">
        <v>8600</v>
      </c>
      <c r="R198" s="62">
        <v>9400</v>
      </c>
    </row>
    <row r="199" spans="1:18">
      <c r="A199" s="59">
        <v>263</v>
      </c>
      <c r="B199" t="s">
        <v>244</v>
      </c>
      <c r="C199">
        <f>VLOOKUP(A199,справочник!$A$2:$C$322,3,FALSE)</f>
        <v>276</v>
      </c>
      <c r="D199" t="str">
        <f>IFERROR(VLOOKUP(B199,справочник!$AF$2:$AF$15,1,FALSE),"")</f>
        <v/>
      </c>
      <c r="F199" t="s">
        <v>146</v>
      </c>
      <c r="G199" s="62">
        <v>3800</v>
      </c>
      <c r="H199" s="62">
        <v>2000</v>
      </c>
      <c r="I199" s="62">
        <v>2000</v>
      </c>
      <c r="J199" s="62">
        <v>2800</v>
      </c>
      <c r="K199" s="62">
        <v>3600</v>
      </c>
      <c r="L199" s="62">
        <v>4400</v>
      </c>
      <c r="M199" s="62">
        <v>5200</v>
      </c>
      <c r="N199" s="62">
        <v>6000</v>
      </c>
      <c r="O199" s="62">
        <v>6800</v>
      </c>
      <c r="P199" s="62">
        <v>7600</v>
      </c>
      <c r="Q199" s="62">
        <v>8400</v>
      </c>
      <c r="R199" s="62">
        <v>9200</v>
      </c>
    </row>
    <row r="200" spans="1:18">
      <c r="A200" s="59">
        <v>154</v>
      </c>
      <c r="B200" t="s">
        <v>161</v>
      </c>
      <c r="C200">
        <f>VLOOKUP(A200,справочник!$A$2:$C$322,3,FALSE)</f>
        <v>162</v>
      </c>
      <c r="D200" t="str">
        <f>IFERROR(VLOOKUP(B200,справочник!$AF$2:$AF$15,1,FALSE),"")</f>
        <v/>
      </c>
      <c r="F200" t="s">
        <v>13</v>
      </c>
      <c r="G200" s="62">
        <v>4800</v>
      </c>
      <c r="H200" s="62">
        <v>5600</v>
      </c>
      <c r="I200" s="62">
        <v>6400</v>
      </c>
      <c r="J200" s="62">
        <v>4800</v>
      </c>
      <c r="K200" s="62">
        <v>4800</v>
      </c>
      <c r="L200" s="62">
        <v>4000</v>
      </c>
      <c r="M200" s="62">
        <v>4800</v>
      </c>
      <c r="N200" s="62">
        <v>5600</v>
      </c>
      <c r="O200" s="62">
        <v>6400</v>
      </c>
      <c r="P200" s="62">
        <v>7200</v>
      </c>
      <c r="Q200" s="62">
        <v>8000</v>
      </c>
      <c r="R200" s="62">
        <v>8800</v>
      </c>
    </row>
    <row r="201" spans="1:18">
      <c r="A201" s="59">
        <v>240</v>
      </c>
      <c r="B201" t="s">
        <v>304</v>
      </c>
      <c r="C201">
        <f>VLOOKUP(A201,справочник!$A$2:$C$322,3,FALSE)</f>
        <v>251</v>
      </c>
      <c r="D201" t="str">
        <f>IFERROR(VLOOKUP(B201,справочник!$AF$2:$AF$15,1,FALSE),"")</f>
        <v/>
      </c>
      <c r="F201" t="s">
        <v>644</v>
      </c>
      <c r="G201" s="62">
        <v>-200</v>
      </c>
      <c r="H201" s="62">
        <v>600</v>
      </c>
      <c r="I201" s="62">
        <v>1400</v>
      </c>
      <c r="J201" s="62">
        <v>2200</v>
      </c>
      <c r="K201" s="62">
        <v>3000</v>
      </c>
      <c r="L201" s="62">
        <v>3800</v>
      </c>
      <c r="M201" s="62">
        <v>4600</v>
      </c>
      <c r="N201" s="62">
        <v>5400</v>
      </c>
      <c r="O201" s="62">
        <v>6200</v>
      </c>
      <c r="P201" s="62">
        <v>7000</v>
      </c>
      <c r="Q201" s="62">
        <v>7800</v>
      </c>
      <c r="R201" s="62">
        <v>8600</v>
      </c>
    </row>
    <row r="202" spans="1:18">
      <c r="A202" s="59">
        <v>231</v>
      </c>
      <c r="B202" t="s">
        <v>112</v>
      </c>
      <c r="C202">
        <f>VLOOKUP(A202,справочник!$A$2:$C$322,3,FALSE)</f>
        <v>240</v>
      </c>
      <c r="D202" t="str">
        <f>IFERROR(VLOOKUP(B202,справочник!$AF$2:$AF$15,1,FALSE),"")</f>
        <v/>
      </c>
      <c r="F202" t="s">
        <v>109</v>
      </c>
      <c r="G202" s="62">
        <v>5800</v>
      </c>
      <c r="H202" s="62">
        <v>1600</v>
      </c>
      <c r="I202" s="62">
        <v>2400</v>
      </c>
      <c r="J202" s="62">
        <v>2200</v>
      </c>
      <c r="K202" s="62">
        <v>3000</v>
      </c>
      <c r="L202" s="62">
        <v>3800</v>
      </c>
      <c r="M202" s="62">
        <v>4600</v>
      </c>
      <c r="N202" s="62">
        <v>5400</v>
      </c>
      <c r="O202" s="62">
        <v>6200</v>
      </c>
      <c r="P202" s="62">
        <v>7000</v>
      </c>
      <c r="Q202" s="62">
        <v>7800</v>
      </c>
      <c r="R202" s="62">
        <v>8600</v>
      </c>
    </row>
    <row r="203" spans="1:18">
      <c r="A203" s="59">
        <v>194</v>
      </c>
      <c r="B203" t="s">
        <v>141</v>
      </c>
      <c r="C203">
        <f>VLOOKUP(A203,справочник!$A$2:$C$322,3,FALSE)</f>
        <v>202</v>
      </c>
      <c r="D203" t="str">
        <f>IFERROR(VLOOKUP(B203,справочник!$AF$2:$AF$15,1,FALSE),"")</f>
        <v/>
      </c>
      <c r="F203" t="s">
        <v>37</v>
      </c>
      <c r="G203" s="62">
        <v>4800</v>
      </c>
      <c r="H203" s="62">
        <v>600</v>
      </c>
      <c r="I203" s="62">
        <v>1400</v>
      </c>
      <c r="J203" s="62">
        <v>2200</v>
      </c>
      <c r="K203" s="62">
        <v>3000</v>
      </c>
      <c r="L203" s="62">
        <v>3800</v>
      </c>
      <c r="M203" s="62">
        <v>4600</v>
      </c>
      <c r="N203" s="62">
        <v>5400</v>
      </c>
      <c r="O203" s="62">
        <v>6200</v>
      </c>
      <c r="P203" s="62">
        <v>7000</v>
      </c>
      <c r="Q203" s="62">
        <v>7800</v>
      </c>
      <c r="R203" s="62">
        <v>8600</v>
      </c>
    </row>
    <row r="204" spans="1:18">
      <c r="A204" s="59">
        <v>186</v>
      </c>
      <c r="B204" t="s">
        <v>172</v>
      </c>
      <c r="C204">
        <f>VLOOKUP(A204,справочник!$A$2:$C$322,3,FALSE)</f>
        <v>194</v>
      </c>
      <c r="D204" t="str">
        <f>IFERROR(VLOOKUP(B204,справочник!$AF$2:$AF$15,1,FALSE),"")</f>
        <v/>
      </c>
      <c r="F204" t="s">
        <v>247</v>
      </c>
      <c r="G204" s="62">
        <v>4800</v>
      </c>
      <c r="H204" s="62">
        <v>5600</v>
      </c>
      <c r="I204" s="62">
        <v>6400</v>
      </c>
      <c r="J204" s="62">
        <v>2200</v>
      </c>
      <c r="K204" s="62">
        <v>3000</v>
      </c>
      <c r="L204" s="62">
        <v>3800</v>
      </c>
      <c r="M204" s="62">
        <v>4600</v>
      </c>
      <c r="N204" s="62">
        <v>5400</v>
      </c>
      <c r="O204" s="62">
        <v>6200</v>
      </c>
      <c r="P204" s="62">
        <v>7000</v>
      </c>
      <c r="Q204" s="62">
        <v>7800</v>
      </c>
      <c r="R204" s="62">
        <v>8600</v>
      </c>
    </row>
    <row r="205" spans="1:18">
      <c r="A205" s="59">
        <v>82</v>
      </c>
      <c r="B205" t="s">
        <v>114</v>
      </c>
      <c r="C205">
        <f>VLOOKUP(A205,справочник!$A$2:$C$322,3,FALSE)</f>
        <v>87</v>
      </c>
      <c r="D205" t="str">
        <f>IFERROR(VLOOKUP(B205,справочник!$AF$2:$AF$15,1,FALSE),"")</f>
        <v/>
      </c>
      <c r="F205" t="s">
        <v>2</v>
      </c>
      <c r="G205" s="62">
        <v>2800</v>
      </c>
      <c r="H205" s="62">
        <v>3600</v>
      </c>
      <c r="I205" s="62">
        <v>1400</v>
      </c>
      <c r="J205" s="62">
        <v>2200</v>
      </c>
      <c r="K205" s="62">
        <v>3000</v>
      </c>
      <c r="L205" s="62">
        <v>3800</v>
      </c>
      <c r="M205" s="62">
        <v>4600</v>
      </c>
      <c r="N205" s="62">
        <v>5400</v>
      </c>
      <c r="O205" s="62">
        <v>6200</v>
      </c>
      <c r="P205" s="62">
        <v>7000</v>
      </c>
      <c r="Q205" s="62">
        <v>7800</v>
      </c>
      <c r="R205" s="62">
        <v>8600</v>
      </c>
    </row>
    <row r="206" spans="1:18">
      <c r="A206" s="59">
        <v>1</v>
      </c>
      <c r="B206" s="68" t="s">
        <v>124</v>
      </c>
      <c r="C206">
        <f>VLOOKUP(A206,справочник!$A$2:$C$322,3,FALSE)</f>
        <v>1</v>
      </c>
      <c r="D206" t="str">
        <f>IFERROR(VLOOKUP(B206,справочник!$AF$2:$AF$15,1,FALSE),"")</f>
        <v/>
      </c>
      <c r="F206" t="s">
        <v>90</v>
      </c>
      <c r="G206" s="69">
        <v>3800</v>
      </c>
      <c r="H206" s="69">
        <v>400</v>
      </c>
      <c r="I206" s="69">
        <v>1200</v>
      </c>
      <c r="J206" s="69">
        <v>2000</v>
      </c>
      <c r="K206" s="69">
        <v>2800</v>
      </c>
      <c r="L206" s="69">
        <v>3600</v>
      </c>
      <c r="M206" s="69">
        <v>4400</v>
      </c>
      <c r="N206" s="69">
        <v>5200</v>
      </c>
      <c r="O206" s="69">
        <v>6000</v>
      </c>
      <c r="P206" s="69">
        <v>6800</v>
      </c>
      <c r="Q206" s="69">
        <v>7600</v>
      </c>
      <c r="R206" s="69">
        <v>8400</v>
      </c>
    </row>
    <row r="207" spans="1:18">
      <c r="A207" s="59">
        <v>83</v>
      </c>
      <c r="B207" t="s">
        <v>131</v>
      </c>
      <c r="C207">
        <f>VLOOKUP(A207,справочник!$A$2:$C$322,3,FALSE)</f>
        <v>88</v>
      </c>
      <c r="D207" t="str">
        <f>IFERROR(VLOOKUP(B207,справочник!$AF$2:$AF$15,1,FALSE),"")</f>
        <v/>
      </c>
      <c r="F207" t="s">
        <v>2</v>
      </c>
      <c r="G207" s="62">
        <v>3000</v>
      </c>
      <c r="H207" s="62">
        <v>3000</v>
      </c>
      <c r="I207" s="62">
        <v>3000</v>
      </c>
      <c r="J207" s="62">
        <v>3000</v>
      </c>
      <c r="K207" s="62">
        <v>3000</v>
      </c>
      <c r="L207" s="62">
        <v>3000</v>
      </c>
      <c r="M207" s="62">
        <v>3800</v>
      </c>
      <c r="N207" s="62">
        <v>4600</v>
      </c>
      <c r="O207" s="62">
        <v>5400</v>
      </c>
      <c r="P207" s="62">
        <v>6200</v>
      </c>
      <c r="Q207" s="62">
        <v>7000</v>
      </c>
      <c r="R207" s="62">
        <v>7800</v>
      </c>
    </row>
    <row r="208" spans="1:18">
      <c r="A208" s="59">
        <v>277</v>
      </c>
      <c r="B208" t="s">
        <v>9</v>
      </c>
      <c r="C208">
        <f>VLOOKUP(A208,справочник!$A$2:$C$322,3,FALSE)</f>
        <v>290</v>
      </c>
      <c r="D208" t="str">
        <f>IFERROR(VLOOKUP(B208,справочник!$AF$2:$AF$15,1,FALSE),"")</f>
        <v/>
      </c>
      <c r="F208" t="s">
        <v>643</v>
      </c>
      <c r="G208" s="62">
        <v>-1200</v>
      </c>
      <c r="H208" s="62">
        <v>-400</v>
      </c>
      <c r="I208" s="62">
        <v>400</v>
      </c>
      <c r="J208" s="62">
        <v>1200</v>
      </c>
      <c r="K208" s="62">
        <v>2000</v>
      </c>
      <c r="L208" s="62">
        <v>2800</v>
      </c>
      <c r="M208" s="62">
        <v>3600</v>
      </c>
      <c r="N208" s="62">
        <v>4400</v>
      </c>
      <c r="O208" s="62">
        <v>5200</v>
      </c>
      <c r="P208" s="62">
        <v>6000</v>
      </c>
      <c r="Q208" s="62">
        <v>6800</v>
      </c>
      <c r="R208" s="62">
        <v>7600</v>
      </c>
    </row>
    <row r="209" spans="1:18">
      <c r="A209" s="59">
        <v>264</v>
      </c>
      <c r="B209" t="s">
        <v>81</v>
      </c>
      <c r="C209">
        <f>VLOOKUP(A209,справочник!$A$2:$C$322,3,FALSE)</f>
        <v>277</v>
      </c>
      <c r="D209" t="str">
        <f>IFERROR(VLOOKUP(B209,справочник!$AF$2:$AF$15,1,FALSE),"")</f>
        <v/>
      </c>
      <c r="F209" t="s">
        <v>146</v>
      </c>
      <c r="G209" s="62">
        <v>800</v>
      </c>
      <c r="H209" s="62">
        <v>1600</v>
      </c>
      <c r="I209" s="62">
        <v>400</v>
      </c>
      <c r="J209" s="62">
        <v>1200</v>
      </c>
      <c r="K209" s="62">
        <v>2000</v>
      </c>
      <c r="L209" s="62">
        <v>2800</v>
      </c>
      <c r="M209" s="62">
        <v>3600</v>
      </c>
      <c r="N209" s="62">
        <v>4400</v>
      </c>
      <c r="O209" s="62">
        <v>5200</v>
      </c>
      <c r="P209" s="62">
        <v>6000</v>
      </c>
      <c r="Q209" s="62">
        <v>6800</v>
      </c>
      <c r="R209" s="62">
        <v>7600</v>
      </c>
    </row>
    <row r="210" spans="1:18">
      <c r="A210" s="59">
        <v>256</v>
      </c>
      <c r="B210" t="s">
        <v>284</v>
      </c>
      <c r="C210">
        <f>VLOOKUP(A210,справочник!$A$2:$C$322,3,FALSE)</f>
        <v>269</v>
      </c>
      <c r="D210" t="str">
        <f>IFERROR(VLOOKUP(B210,справочник!$AF$2:$AF$15,1,FALSE),"")</f>
        <v/>
      </c>
      <c r="F210" t="s">
        <v>146</v>
      </c>
      <c r="G210" s="62">
        <v>-1200</v>
      </c>
      <c r="H210" s="62">
        <v>-400</v>
      </c>
      <c r="I210" s="62">
        <v>400</v>
      </c>
      <c r="J210" s="62">
        <v>1200</v>
      </c>
      <c r="K210" s="62">
        <v>2000</v>
      </c>
      <c r="L210" s="62">
        <v>2800</v>
      </c>
      <c r="M210" s="62">
        <v>3600</v>
      </c>
      <c r="N210" s="62">
        <v>4400</v>
      </c>
      <c r="O210" s="62">
        <v>5200</v>
      </c>
      <c r="P210" s="62">
        <v>6000</v>
      </c>
      <c r="Q210" s="62">
        <v>6800</v>
      </c>
      <c r="R210" s="62">
        <v>7600</v>
      </c>
    </row>
    <row r="211" spans="1:18">
      <c r="A211" s="59">
        <v>237</v>
      </c>
      <c r="B211" t="s">
        <v>243</v>
      </c>
      <c r="C211">
        <f>VLOOKUP(A211,справочник!$A$2:$C$322,3,FALSE)</f>
        <v>248</v>
      </c>
      <c r="D211" t="str">
        <f>IFERROR(VLOOKUP(B211,справочник!$AF$2:$AF$15,1,FALSE),"")</f>
        <v/>
      </c>
      <c r="F211" t="s">
        <v>644</v>
      </c>
      <c r="G211" s="62">
        <v>800</v>
      </c>
      <c r="H211" s="62">
        <v>1600</v>
      </c>
      <c r="I211" s="62">
        <v>400</v>
      </c>
      <c r="J211" s="62">
        <v>1200</v>
      </c>
      <c r="K211" s="62">
        <v>2000</v>
      </c>
      <c r="L211" s="62">
        <v>2800</v>
      </c>
      <c r="M211" s="62">
        <v>3600</v>
      </c>
      <c r="N211" s="62">
        <v>4400</v>
      </c>
      <c r="O211" s="62">
        <v>5200</v>
      </c>
      <c r="P211" s="62">
        <v>6000</v>
      </c>
      <c r="Q211" s="62">
        <v>6800</v>
      </c>
      <c r="R211" s="62">
        <v>7600</v>
      </c>
    </row>
    <row r="212" spans="1:18">
      <c r="A212" s="59">
        <v>211</v>
      </c>
      <c r="B212" t="s">
        <v>174</v>
      </c>
      <c r="C212">
        <f>VLOOKUP(A212,справочник!$A$2:$C$322,3,FALSE)</f>
        <v>220</v>
      </c>
      <c r="D212" t="str">
        <f>IFERROR(VLOOKUP(B212,справочник!$AF$2:$AF$15,1,FALSE),"")</f>
        <v/>
      </c>
      <c r="F212" t="s">
        <v>37</v>
      </c>
      <c r="G212" s="62">
        <v>-1200</v>
      </c>
      <c r="H212" s="62">
        <v>-400</v>
      </c>
      <c r="I212" s="62">
        <v>400</v>
      </c>
      <c r="J212" s="62">
        <v>1200</v>
      </c>
      <c r="K212" s="62">
        <v>2000</v>
      </c>
      <c r="L212" s="62">
        <v>2800</v>
      </c>
      <c r="M212" s="62">
        <v>3600</v>
      </c>
      <c r="N212" s="62">
        <v>4400</v>
      </c>
      <c r="O212" s="62">
        <v>5200</v>
      </c>
      <c r="P212" s="62">
        <v>6000</v>
      </c>
      <c r="Q212" s="62">
        <v>6800</v>
      </c>
      <c r="R212" s="62">
        <v>7600</v>
      </c>
    </row>
    <row r="213" spans="1:18">
      <c r="A213" s="59">
        <v>116</v>
      </c>
      <c r="B213" t="s">
        <v>256</v>
      </c>
      <c r="C213">
        <f>VLOOKUP(A213,справочник!$A$2:$C$322,3,FALSE)</f>
        <v>121</v>
      </c>
      <c r="D213" t="str">
        <f>IFERROR(VLOOKUP(B213,справочник!$AF$2:$AF$15,1,FALSE),"")</f>
        <v/>
      </c>
      <c r="F213" t="s">
        <v>645</v>
      </c>
      <c r="G213" s="62">
        <v>8800</v>
      </c>
      <c r="H213" s="62">
        <v>9600</v>
      </c>
      <c r="I213" s="62">
        <v>400</v>
      </c>
      <c r="J213" s="62">
        <v>1200</v>
      </c>
      <c r="K213" s="62">
        <v>2000</v>
      </c>
      <c r="L213" s="62">
        <v>2800</v>
      </c>
      <c r="M213" s="62">
        <v>3600</v>
      </c>
      <c r="N213" s="62">
        <v>4400</v>
      </c>
      <c r="O213" s="62">
        <v>5200</v>
      </c>
      <c r="P213" s="62">
        <v>6000</v>
      </c>
      <c r="Q213" s="62">
        <v>6800</v>
      </c>
      <c r="R213" s="62">
        <v>7600</v>
      </c>
    </row>
    <row r="214" spans="1:18">
      <c r="A214" s="59">
        <v>50</v>
      </c>
      <c r="B214" t="s">
        <v>71</v>
      </c>
      <c r="C214">
        <f>VLOOKUP(A214,справочник!$A$2:$C$322,3,FALSE)</f>
        <v>50</v>
      </c>
      <c r="D214" t="str">
        <f>IFERROR(VLOOKUP(B214,справочник!$AF$2:$AF$15,1,FALSE),"")</f>
        <v/>
      </c>
      <c r="F214" t="s">
        <v>642</v>
      </c>
      <c r="G214" s="62">
        <v>10800</v>
      </c>
      <c r="H214" s="62">
        <v>11600</v>
      </c>
      <c r="I214" s="62">
        <v>400</v>
      </c>
      <c r="J214" s="62">
        <v>1200</v>
      </c>
      <c r="K214" s="62">
        <v>2000</v>
      </c>
      <c r="L214" s="62">
        <v>2800</v>
      </c>
      <c r="M214" s="62">
        <v>3600</v>
      </c>
      <c r="N214" s="62">
        <v>4400</v>
      </c>
      <c r="O214" s="62">
        <v>5200</v>
      </c>
      <c r="P214" s="62">
        <v>6000</v>
      </c>
      <c r="Q214" s="62">
        <v>6800</v>
      </c>
      <c r="R214" s="62">
        <v>7600</v>
      </c>
    </row>
    <row r="215" spans="1:18">
      <c r="A215" s="59">
        <v>17</v>
      </c>
      <c r="B215" t="s">
        <v>308</v>
      </c>
      <c r="C215">
        <f>VLOOKUP(A215,справочник!$A$2:$C$322,3,FALSE)</f>
        <v>17</v>
      </c>
      <c r="D215" t="str">
        <f>IFERROR(VLOOKUP(B215,справочник!$AF$2:$AF$15,1,FALSE),"")</f>
        <v/>
      </c>
      <c r="F215" t="s">
        <v>90</v>
      </c>
      <c r="G215" s="62">
        <v>2800</v>
      </c>
      <c r="H215" s="62">
        <v>3600</v>
      </c>
      <c r="I215" s="62">
        <v>2400</v>
      </c>
      <c r="J215" s="62">
        <v>3200</v>
      </c>
      <c r="K215" s="62">
        <v>4000</v>
      </c>
      <c r="L215" s="62">
        <v>2800</v>
      </c>
      <c r="M215" s="62">
        <v>3600</v>
      </c>
      <c r="N215" s="62">
        <v>4400</v>
      </c>
      <c r="O215" s="62">
        <v>5200</v>
      </c>
      <c r="P215" s="62">
        <v>6000</v>
      </c>
      <c r="Q215" s="62">
        <v>6800</v>
      </c>
      <c r="R215" s="62">
        <v>7600</v>
      </c>
    </row>
    <row r="216" spans="1:18">
      <c r="A216" s="59">
        <v>8</v>
      </c>
      <c r="B216" t="s">
        <v>115</v>
      </c>
      <c r="C216">
        <f>VLOOKUP(A216,справочник!$A$2:$C$322,3,FALSE)</f>
        <v>8</v>
      </c>
      <c r="D216" t="str">
        <f>IFERROR(VLOOKUP(B216,справочник!$AF$2:$AF$15,1,FALSE),"")</f>
        <v/>
      </c>
      <c r="F216" t="s">
        <v>90</v>
      </c>
      <c r="G216" s="62">
        <v>2800</v>
      </c>
      <c r="H216" s="62">
        <v>3600</v>
      </c>
      <c r="I216" s="62">
        <v>4400</v>
      </c>
      <c r="J216" s="62">
        <v>5200</v>
      </c>
      <c r="K216" s="62">
        <v>6000</v>
      </c>
      <c r="L216" s="62">
        <v>2800</v>
      </c>
      <c r="M216" s="62">
        <v>3600</v>
      </c>
      <c r="N216" s="62">
        <v>4400</v>
      </c>
      <c r="O216" s="62">
        <v>5200</v>
      </c>
      <c r="P216" s="62">
        <v>6000</v>
      </c>
      <c r="Q216" s="62">
        <v>6800</v>
      </c>
      <c r="R216" s="62">
        <v>7600</v>
      </c>
    </row>
    <row r="217" spans="1:18">
      <c r="A217" s="59">
        <v>4</v>
      </c>
      <c r="B217" t="s">
        <v>88</v>
      </c>
      <c r="C217">
        <f>VLOOKUP(A217,справочник!$A$2:$C$322,3,FALSE)</f>
        <v>4</v>
      </c>
      <c r="D217" t="str">
        <f>IFERROR(VLOOKUP(B217,справочник!$AF$2:$AF$15,1,FALSE),"")</f>
        <v/>
      </c>
      <c r="F217" t="s">
        <v>90</v>
      </c>
      <c r="G217" s="62">
        <v>3800</v>
      </c>
      <c r="H217" s="62">
        <v>4600</v>
      </c>
      <c r="I217" s="62">
        <v>5400</v>
      </c>
      <c r="J217" s="62">
        <v>6200</v>
      </c>
      <c r="K217" s="62">
        <v>2000</v>
      </c>
      <c r="L217" s="62">
        <v>2800</v>
      </c>
      <c r="M217" s="62">
        <v>3600</v>
      </c>
      <c r="N217" s="62">
        <v>4400</v>
      </c>
      <c r="O217" s="62">
        <v>5200</v>
      </c>
      <c r="P217" s="62">
        <v>6000</v>
      </c>
      <c r="Q217" s="62">
        <v>6800</v>
      </c>
      <c r="R217" s="62">
        <v>7600</v>
      </c>
    </row>
    <row r="218" spans="1:18">
      <c r="A218" s="59">
        <v>137</v>
      </c>
      <c r="B218" t="s">
        <v>38</v>
      </c>
      <c r="C218">
        <f>VLOOKUP(A218,справочник!$A$2:$C$322,3,FALSE)</f>
        <v>145</v>
      </c>
      <c r="D218" t="str">
        <f>IFERROR(VLOOKUP(B218,справочник!$AF$2:$AF$15,1,FALSE),"")</f>
        <v/>
      </c>
      <c r="F218" t="s">
        <v>641</v>
      </c>
      <c r="G218" s="62">
        <v>800</v>
      </c>
      <c r="H218" s="62">
        <v>0</v>
      </c>
      <c r="I218" s="62">
        <v>800</v>
      </c>
      <c r="J218" s="62">
        <v>1600</v>
      </c>
      <c r="K218" s="62">
        <v>2400</v>
      </c>
      <c r="L218" s="62">
        <v>2400</v>
      </c>
      <c r="M218" s="62">
        <v>3200</v>
      </c>
      <c r="N218" s="62">
        <v>4000</v>
      </c>
      <c r="O218" s="62">
        <v>4800</v>
      </c>
      <c r="P218" s="62">
        <v>5600</v>
      </c>
      <c r="Q218" s="62">
        <v>6400</v>
      </c>
      <c r="R218" s="62">
        <v>7200</v>
      </c>
    </row>
    <row r="219" spans="1:18">
      <c r="A219" s="59">
        <v>131</v>
      </c>
      <c r="B219" t="s">
        <v>246</v>
      </c>
      <c r="C219">
        <f>VLOOKUP(A219,справочник!$A$2:$C$322,3,FALSE)</f>
        <v>138</v>
      </c>
      <c r="D219" t="str">
        <f>IFERROR(VLOOKUP(B219,справочник!$AF$2:$AF$15,1,FALSE),"")</f>
        <v/>
      </c>
      <c r="F219" t="s">
        <v>641</v>
      </c>
      <c r="G219" s="62">
        <v>12800</v>
      </c>
      <c r="H219" s="62">
        <v>13600</v>
      </c>
      <c r="I219" s="62">
        <v>14400</v>
      </c>
      <c r="J219" s="62">
        <v>800</v>
      </c>
      <c r="K219" s="62">
        <v>1600</v>
      </c>
      <c r="L219" s="62">
        <v>2400</v>
      </c>
      <c r="M219" s="62">
        <v>3200</v>
      </c>
      <c r="N219" s="62">
        <v>4000</v>
      </c>
      <c r="O219" s="62">
        <v>4800</v>
      </c>
      <c r="P219" s="62">
        <v>5600</v>
      </c>
      <c r="Q219" s="62">
        <v>6400</v>
      </c>
      <c r="R219" s="62">
        <v>7200</v>
      </c>
    </row>
    <row r="220" spans="1:18">
      <c r="A220" s="59">
        <v>126</v>
      </c>
      <c r="B220" t="s">
        <v>53</v>
      </c>
      <c r="C220">
        <f>VLOOKUP(A220,справочник!$A$2:$C$322,3,FALSE)</f>
        <v>131</v>
      </c>
      <c r="D220" t="str">
        <f>IFERROR(VLOOKUP(B220,справочник!$AF$2:$AF$15,1,FALSE),"")</f>
        <v/>
      </c>
      <c r="F220" t="s">
        <v>641</v>
      </c>
      <c r="G220" s="62">
        <v>800</v>
      </c>
      <c r="H220" s="62">
        <v>1600</v>
      </c>
      <c r="I220" s="62">
        <v>0</v>
      </c>
      <c r="J220" s="62">
        <v>800</v>
      </c>
      <c r="K220" s="62">
        <v>1600</v>
      </c>
      <c r="L220" s="62">
        <v>2400</v>
      </c>
      <c r="M220" s="62">
        <v>3200</v>
      </c>
      <c r="N220" s="62">
        <v>4000</v>
      </c>
      <c r="O220" s="62">
        <v>4800</v>
      </c>
      <c r="P220" s="62">
        <v>5600</v>
      </c>
      <c r="Q220" s="62">
        <v>6400</v>
      </c>
      <c r="R220" s="62">
        <v>7200</v>
      </c>
    </row>
    <row r="221" spans="1:18">
      <c r="A221" s="59">
        <v>79</v>
      </c>
      <c r="B221" t="s">
        <v>2</v>
      </c>
      <c r="C221">
        <f>VLOOKUP(A221,справочник!$A$2:$C$322,3,FALSE)</f>
        <v>84</v>
      </c>
      <c r="D221" t="str">
        <f>IFERROR(VLOOKUP(B221,справочник!$AF$2:$AF$15,1,FALSE),"")</f>
        <v>Абу Махади Мохаммед Ибрагим</v>
      </c>
      <c r="F221" t="s">
        <v>2</v>
      </c>
      <c r="G221" s="62">
        <v>4800</v>
      </c>
      <c r="H221" s="62">
        <v>1600</v>
      </c>
      <c r="I221" s="62">
        <v>2400</v>
      </c>
      <c r="J221" s="62">
        <v>800</v>
      </c>
      <c r="K221" s="62">
        <v>1600</v>
      </c>
      <c r="L221" s="62">
        <v>2400</v>
      </c>
      <c r="M221" s="62">
        <v>3200</v>
      </c>
      <c r="N221" s="62">
        <v>4000</v>
      </c>
      <c r="O221" s="62">
        <v>4800</v>
      </c>
      <c r="P221" s="62">
        <v>5600</v>
      </c>
      <c r="Q221" s="62">
        <v>6400</v>
      </c>
      <c r="R221" s="62">
        <v>7200</v>
      </c>
    </row>
    <row r="222" spans="1:18">
      <c r="A222" s="59">
        <v>74</v>
      </c>
      <c r="B222" t="s">
        <v>218</v>
      </c>
      <c r="C222">
        <f>VLOOKUP(A222,справочник!$A$2:$C$322,3,FALSE)</f>
        <v>81</v>
      </c>
      <c r="D222" t="str">
        <f>IFERROR(VLOOKUP(B222,справочник!$AF$2:$AF$15,1,FALSE),"")</f>
        <v/>
      </c>
      <c r="F222" t="s">
        <v>2</v>
      </c>
      <c r="G222" s="62">
        <v>800</v>
      </c>
      <c r="H222" s="62">
        <v>1600</v>
      </c>
      <c r="I222" s="62">
        <v>2400</v>
      </c>
      <c r="J222" s="62">
        <v>3200</v>
      </c>
      <c r="K222" s="62">
        <v>1600</v>
      </c>
      <c r="L222" s="62">
        <v>2400</v>
      </c>
      <c r="M222" s="62">
        <v>3200</v>
      </c>
      <c r="N222" s="62">
        <v>4000</v>
      </c>
      <c r="O222" s="62">
        <v>4800</v>
      </c>
      <c r="P222" s="62">
        <v>5600</v>
      </c>
      <c r="Q222" s="62">
        <v>6400</v>
      </c>
      <c r="R222" s="62">
        <v>7200</v>
      </c>
    </row>
    <row r="223" spans="1:18">
      <c r="A223" s="59">
        <v>59</v>
      </c>
      <c r="B223" t="s">
        <v>275</v>
      </c>
      <c r="C223">
        <f>VLOOKUP(A223,справочник!$A$2:$C$322,3,FALSE)</f>
        <v>61</v>
      </c>
      <c r="D223" t="str">
        <f>IFERROR(VLOOKUP(B223,справочник!$AF$2:$AF$15,1,FALSE),"")</f>
        <v/>
      </c>
      <c r="F223" t="s">
        <v>181</v>
      </c>
      <c r="G223" s="62">
        <v>-1600</v>
      </c>
      <c r="H223" s="62">
        <v>-800</v>
      </c>
      <c r="I223" s="62">
        <v>0</v>
      </c>
      <c r="J223" s="62">
        <v>800</v>
      </c>
      <c r="K223" s="62">
        <v>1600</v>
      </c>
      <c r="L223" s="62">
        <v>2400</v>
      </c>
      <c r="M223" s="62">
        <v>3200</v>
      </c>
      <c r="N223" s="62">
        <v>4000</v>
      </c>
      <c r="O223" s="62">
        <v>4800</v>
      </c>
      <c r="P223" s="62">
        <v>5600</v>
      </c>
      <c r="Q223" s="62">
        <v>6400</v>
      </c>
      <c r="R223" s="62">
        <v>7200</v>
      </c>
    </row>
    <row r="224" spans="1:18">
      <c r="A224" s="59">
        <v>52</v>
      </c>
      <c r="B224" t="s">
        <v>27</v>
      </c>
      <c r="C224">
        <f>VLOOKUP(A224,справочник!$A$2:$C$322,3,FALSE)</f>
        <v>54</v>
      </c>
      <c r="D224" t="str">
        <f>IFERROR(VLOOKUP(B224,справочник!$AF$2:$AF$15,1,FALSE),"")</f>
        <v/>
      </c>
      <c r="F224" t="s">
        <v>642</v>
      </c>
      <c r="G224" s="62">
        <v>2800</v>
      </c>
      <c r="H224" s="62">
        <v>1600</v>
      </c>
      <c r="I224" s="62">
        <v>1600</v>
      </c>
      <c r="J224" s="62">
        <v>2400</v>
      </c>
      <c r="K224" s="62">
        <v>1600</v>
      </c>
      <c r="L224" s="62">
        <v>2400</v>
      </c>
      <c r="M224" s="62">
        <v>3200</v>
      </c>
      <c r="N224" s="62">
        <v>4000</v>
      </c>
      <c r="O224" s="62">
        <v>4800</v>
      </c>
      <c r="P224" s="62">
        <v>5600</v>
      </c>
      <c r="Q224" s="62">
        <v>6400</v>
      </c>
      <c r="R224" s="62">
        <v>7200</v>
      </c>
    </row>
    <row r="225" spans="1:18">
      <c r="A225" s="59">
        <v>51</v>
      </c>
      <c r="B225" t="s">
        <v>28</v>
      </c>
      <c r="C225">
        <f>VLOOKUP(A225,справочник!$A$2:$C$322,3,FALSE)</f>
        <v>53</v>
      </c>
      <c r="D225" t="str">
        <f>IFERROR(VLOOKUP(B225,справочник!$AF$2:$AF$15,1,FALSE),"")</f>
        <v/>
      </c>
      <c r="F225" t="s">
        <v>642</v>
      </c>
      <c r="G225" s="62">
        <v>2800</v>
      </c>
      <c r="H225" s="62">
        <v>1600</v>
      </c>
      <c r="I225" s="62">
        <v>1600</v>
      </c>
      <c r="J225" s="62">
        <v>2400</v>
      </c>
      <c r="K225" s="62">
        <v>1600</v>
      </c>
      <c r="L225" s="62">
        <v>2400</v>
      </c>
      <c r="M225" s="62">
        <v>3200</v>
      </c>
      <c r="N225" s="62">
        <v>4000</v>
      </c>
      <c r="O225" s="62">
        <v>4800</v>
      </c>
      <c r="P225" s="62">
        <v>5600</v>
      </c>
      <c r="Q225" s="62">
        <v>6400</v>
      </c>
      <c r="R225" s="62">
        <v>7200</v>
      </c>
    </row>
    <row r="226" spans="1:18">
      <c r="A226" s="59">
        <v>34</v>
      </c>
      <c r="B226" t="s">
        <v>157</v>
      </c>
      <c r="C226">
        <f>VLOOKUP(A226,справочник!$A$2:$C$322,3,FALSE)</f>
        <v>34</v>
      </c>
      <c r="D226" t="str">
        <f>IFERROR(VLOOKUP(B226,справочник!$AF$2:$AF$15,1,FALSE),"")</f>
        <v/>
      </c>
      <c r="F226" t="s">
        <v>642</v>
      </c>
      <c r="G226" s="62">
        <v>-2200</v>
      </c>
      <c r="H226" s="62">
        <v>-1400</v>
      </c>
      <c r="I226" s="62">
        <v>-600</v>
      </c>
      <c r="J226" s="62">
        <v>200</v>
      </c>
      <c r="K226" s="62">
        <v>1000</v>
      </c>
      <c r="L226" s="62">
        <v>1800</v>
      </c>
      <c r="M226" s="62">
        <v>2600</v>
      </c>
      <c r="N226" s="62">
        <v>3400</v>
      </c>
      <c r="O226" s="62">
        <v>4200</v>
      </c>
      <c r="P226" s="62">
        <v>5000</v>
      </c>
      <c r="Q226" s="62">
        <v>5800</v>
      </c>
      <c r="R226" s="62">
        <v>6600</v>
      </c>
    </row>
    <row r="227" spans="1:18">
      <c r="A227" s="59">
        <v>33</v>
      </c>
      <c r="B227" t="s">
        <v>198</v>
      </c>
      <c r="C227">
        <f>VLOOKUP(A227,справочник!$A$2:$C$322,3,FALSE)</f>
        <v>33</v>
      </c>
      <c r="D227" t="str">
        <f>IFERROR(VLOOKUP(B227,справочник!$AF$2:$AF$15,1,FALSE),"")</f>
        <v/>
      </c>
      <c r="F227" t="s">
        <v>642</v>
      </c>
      <c r="G227" s="62">
        <v>7800</v>
      </c>
      <c r="H227" s="62">
        <v>8600</v>
      </c>
      <c r="I227" s="62">
        <v>9400</v>
      </c>
      <c r="J227" s="62">
        <v>10200</v>
      </c>
      <c r="K227" s="62">
        <v>950</v>
      </c>
      <c r="L227" s="62">
        <v>1750</v>
      </c>
      <c r="M227" s="62">
        <v>2550</v>
      </c>
      <c r="N227" s="62">
        <v>3350</v>
      </c>
      <c r="O227" s="62">
        <v>4150</v>
      </c>
      <c r="P227" s="62">
        <v>4950</v>
      </c>
      <c r="Q227" s="62">
        <v>5750</v>
      </c>
      <c r="R227" s="62">
        <v>6550</v>
      </c>
    </row>
    <row r="228" spans="1:18">
      <c r="A228" s="59">
        <v>182</v>
      </c>
      <c r="B228" t="s">
        <v>297</v>
      </c>
      <c r="C228">
        <f>VLOOKUP(A228,справочник!$A$2:$C$322,3,FALSE)</f>
        <v>190</v>
      </c>
      <c r="D228" t="str">
        <f>IFERROR(VLOOKUP(B228,справочник!$AF$2:$AF$15,1,FALSE),"")</f>
        <v/>
      </c>
      <c r="F228" t="s">
        <v>247</v>
      </c>
      <c r="G228" s="62">
        <v>6800</v>
      </c>
      <c r="H228" s="62">
        <v>7600</v>
      </c>
      <c r="I228" s="62">
        <v>8400</v>
      </c>
      <c r="J228" s="62">
        <v>9200</v>
      </c>
      <c r="K228" s="62">
        <v>800</v>
      </c>
      <c r="L228" s="62">
        <v>1600</v>
      </c>
      <c r="M228" s="62">
        <v>2400</v>
      </c>
      <c r="N228" s="62">
        <v>3200</v>
      </c>
      <c r="O228" s="62">
        <v>4000</v>
      </c>
      <c r="P228" s="62">
        <v>4800</v>
      </c>
      <c r="Q228" s="62">
        <v>5600</v>
      </c>
      <c r="R228" s="62">
        <v>6400</v>
      </c>
    </row>
    <row r="229" spans="1:18">
      <c r="A229" s="59">
        <v>153</v>
      </c>
      <c r="B229" t="s">
        <v>107</v>
      </c>
      <c r="C229">
        <f>VLOOKUP(A229,справочник!$A$2:$C$322,3,FALSE)</f>
        <v>161</v>
      </c>
      <c r="D229" t="str">
        <f>IFERROR(VLOOKUP(B229,справочник!$AF$2:$AF$15,1,FALSE),"")</f>
        <v/>
      </c>
      <c r="F229" t="s">
        <v>13</v>
      </c>
      <c r="G229" s="62">
        <v>4800</v>
      </c>
      <c r="H229" s="62">
        <v>5600</v>
      </c>
      <c r="I229" s="62">
        <v>6400</v>
      </c>
      <c r="J229" s="62">
        <v>0</v>
      </c>
      <c r="K229" s="62">
        <v>800</v>
      </c>
      <c r="L229" s="62">
        <v>1600</v>
      </c>
      <c r="M229" s="62">
        <v>2400</v>
      </c>
      <c r="N229" s="62">
        <v>3200</v>
      </c>
      <c r="O229" s="62">
        <v>4000</v>
      </c>
      <c r="P229" s="62">
        <v>4800</v>
      </c>
      <c r="Q229" s="62">
        <v>5600</v>
      </c>
      <c r="R229" s="62">
        <v>6400</v>
      </c>
    </row>
    <row r="230" spans="1:18">
      <c r="A230" s="59">
        <v>130</v>
      </c>
      <c r="B230" t="s">
        <v>13</v>
      </c>
      <c r="C230">
        <f>VLOOKUP(A230,справочник!$A$2:$C$322,3,FALSE)</f>
        <v>137</v>
      </c>
      <c r="D230" t="str">
        <f>IFERROR(VLOOKUP(B230,справочник!$AF$2:$AF$15,1,FALSE),"")</f>
        <v>Анциферов Алексей Сергеевич</v>
      </c>
      <c r="F230" t="s">
        <v>641</v>
      </c>
      <c r="G230" s="62">
        <v>800</v>
      </c>
      <c r="H230" s="62">
        <v>800</v>
      </c>
      <c r="I230" s="62">
        <v>1600</v>
      </c>
      <c r="J230" s="62">
        <v>2400</v>
      </c>
      <c r="K230" s="62">
        <v>3200</v>
      </c>
      <c r="L230" s="62">
        <v>1600</v>
      </c>
      <c r="M230" s="62">
        <v>2400</v>
      </c>
      <c r="N230" s="62">
        <v>3200</v>
      </c>
      <c r="O230" s="62">
        <v>4000</v>
      </c>
      <c r="P230" s="62">
        <v>4800</v>
      </c>
      <c r="Q230" s="62">
        <v>5600</v>
      </c>
      <c r="R230" s="62">
        <v>6400</v>
      </c>
    </row>
    <row r="231" spans="1:18">
      <c r="A231" s="59">
        <v>81</v>
      </c>
      <c r="B231" t="s">
        <v>181</v>
      </c>
      <c r="C231">
        <f>VLOOKUP(A231,справочник!$A$2:$C$322,3,FALSE)</f>
        <v>86</v>
      </c>
      <c r="D231" t="str">
        <f>IFERROR(VLOOKUP(B231,справочник!$AF$2:$AF$15,1,FALSE),"")</f>
        <v>Нелюбов Сергей Владимирович</v>
      </c>
      <c r="F231" t="s">
        <v>2</v>
      </c>
      <c r="G231" s="62">
        <v>800</v>
      </c>
      <c r="H231" s="62">
        <v>1600</v>
      </c>
      <c r="I231" s="62">
        <v>-800</v>
      </c>
      <c r="J231" s="62">
        <v>0</v>
      </c>
      <c r="K231" s="62">
        <v>800</v>
      </c>
      <c r="L231" s="62">
        <v>1600</v>
      </c>
      <c r="M231" s="62">
        <v>2400</v>
      </c>
      <c r="N231" s="62">
        <v>3200</v>
      </c>
      <c r="O231" s="62">
        <v>4000</v>
      </c>
      <c r="P231" s="62">
        <v>4800</v>
      </c>
      <c r="Q231" s="62">
        <v>5600</v>
      </c>
      <c r="R231" s="62">
        <v>6400</v>
      </c>
    </row>
    <row r="232" spans="1:18">
      <c r="A232" s="59">
        <v>62</v>
      </c>
      <c r="B232" t="s">
        <v>137</v>
      </c>
      <c r="C232">
        <f>VLOOKUP(A232,справочник!$A$2:$C$322,3,FALSE)</f>
        <v>64</v>
      </c>
      <c r="D232" t="str">
        <f>IFERROR(VLOOKUP(B232,справочник!$AF$2:$AF$15,1,FALSE),"")</f>
        <v/>
      </c>
      <c r="F232" t="s">
        <v>181</v>
      </c>
      <c r="G232" s="62">
        <v>800</v>
      </c>
      <c r="H232" s="62">
        <v>1600</v>
      </c>
      <c r="I232" s="62">
        <v>-800</v>
      </c>
      <c r="J232" s="62">
        <v>0</v>
      </c>
      <c r="K232" s="62">
        <v>800</v>
      </c>
      <c r="L232" s="62">
        <v>1600</v>
      </c>
      <c r="M232" s="62">
        <v>2400</v>
      </c>
      <c r="N232" s="62">
        <v>3200</v>
      </c>
      <c r="O232" s="62">
        <v>4000</v>
      </c>
      <c r="P232" s="62">
        <v>4800</v>
      </c>
      <c r="Q232" s="62">
        <v>5600</v>
      </c>
      <c r="R232" s="62">
        <v>6400</v>
      </c>
    </row>
    <row r="233" spans="1:18">
      <c r="A233" s="59">
        <v>28</v>
      </c>
      <c r="B233" t="s">
        <v>271</v>
      </c>
      <c r="C233">
        <f>VLOOKUP(A233,справочник!$A$2:$C$322,3,FALSE)</f>
        <v>28</v>
      </c>
      <c r="D233" t="str">
        <f>IFERROR(VLOOKUP(B233,справочник!$AF$2:$AF$15,1,FALSE),"")</f>
        <v/>
      </c>
      <c r="F233" t="s">
        <v>90</v>
      </c>
      <c r="G233" s="62">
        <v>3800</v>
      </c>
      <c r="H233" s="62">
        <v>600</v>
      </c>
      <c r="I233" s="62">
        <v>1400</v>
      </c>
      <c r="J233" s="62">
        <v>-200</v>
      </c>
      <c r="K233" s="62">
        <v>600</v>
      </c>
      <c r="L233" s="62">
        <v>1400</v>
      </c>
      <c r="M233" s="62">
        <v>2200</v>
      </c>
      <c r="N233" s="62">
        <v>3000</v>
      </c>
      <c r="O233" s="62">
        <v>3800</v>
      </c>
      <c r="P233" s="62">
        <v>4600</v>
      </c>
      <c r="Q233" s="62">
        <v>5400</v>
      </c>
      <c r="R233" s="62">
        <v>6200</v>
      </c>
    </row>
    <row r="234" spans="1:18">
      <c r="A234" s="59">
        <v>169</v>
      </c>
      <c r="B234" t="s">
        <v>199</v>
      </c>
      <c r="C234">
        <f>VLOOKUP(A234,справочник!$A$2:$C$322,3,FALSE)</f>
        <v>177</v>
      </c>
      <c r="D234" t="str">
        <f>IFERROR(VLOOKUP(B234,справочник!$AF$2:$AF$15,1,FALSE),"")</f>
        <v/>
      </c>
      <c r="F234" t="s">
        <v>13</v>
      </c>
      <c r="G234" s="62">
        <v>4800</v>
      </c>
      <c r="H234" s="62">
        <v>5600</v>
      </c>
      <c r="I234" s="62">
        <v>1000</v>
      </c>
      <c r="J234" s="62">
        <v>1800</v>
      </c>
      <c r="K234" s="62">
        <v>200</v>
      </c>
      <c r="L234" s="62">
        <v>1000</v>
      </c>
      <c r="M234" s="62">
        <v>1800</v>
      </c>
      <c r="N234" s="62">
        <v>2600</v>
      </c>
      <c r="O234" s="62">
        <v>3400</v>
      </c>
      <c r="P234" s="62">
        <v>4200</v>
      </c>
      <c r="Q234" s="62">
        <v>5000</v>
      </c>
      <c r="R234" s="62">
        <v>5800</v>
      </c>
    </row>
    <row r="235" spans="1:18">
      <c r="A235" s="59">
        <v>275</v>
      </c>
      <c r="B235" t="s">
        <v>280</v>
      </c>
      <c r="C235">
        <f>VLOOKUP(A235,справочник!$A$2:$C$322,3,FALSE)</f>
        <v>288</v>
      </c>
      <c r="D235" t="str">
        <f>IFERROR(VLOOKUP(B235,справочник!$AF$2:$AF$15,1,FALSE),"")</f>
        <v/>
      </c>
      <c r="F235" t="s">
        <v>643</v>
      </c>
      <c r="G235" s="62">
        <v>12800</v>
      </c>
      <c r="H235" s="62">
        <v>13600</v>
      </c>
      <c r="I235" s="62">
        <v>14400</v>
      </c>
      <c r="J235" s="62">
        <v>15200</v>
      </c>
      <c r="K235" s="62">
        <v>16000</v>
      </c>
      <c r="L235" s="62">
        <v>800</v>
      </c>
      <c r="M235" s="62">
        <v>1600</v>
      </c>
      <c r="N235" s="62">
        <v>2400</v>
      </c>
      <c r="O235" s="62">
        <v>3200</v>
      </c>
      <c r="P235" s="62">
        <v>4000</v>
      </c>
      <c r="Q235" s="62">
        <v>4800</v>
      </c>
      <c r="R235" s="62">
        <v>5600</v>
      </c>
    </row>
    <row r="236" spans="1:18">
      <c r="A236" s="59">
        <v>273</v>
      </c>
      <c r="B236" t="s">
        <v>159</v>
      </c>
      <c r="C236">
        <f>VLOOKUP(A236,справочник!$A$2:$C$322,3,FALSE)</f>
        <v>286</v>
      </c>
      <c r="D236" t="str">
        <f>IFERROR(VLOOKUP(B236,справочник!$AF$2:$AF$15,1,FALSE),"")</f>
        <v/>
      </c>
      <c r="F236" t="s">
        <v>643</v>
      </c>
      <c r="G236" s="62">
        <v>4800</v>
      </c>
      <c r="H236" s="62">
        <v>5600</v>
      </c>
      <c r="I236" s="62">
        <v>6400</v>
      </c>
      <c r="J236" s="62">
        <v>7200</v>
      </c>
      <c r="K236" s="62">
        <v>8000</v>
      </c>
      <c r="L236" s="62">
        <v>800</v>
      </c>
      <c r="M236" s="62">
        <v>1600</v>
      </c>
      <c r="N236" s="62">
        <v>2400</v>
      </c>
      <c r="O236" s="62">
        <v>3200</v>
      </c>
      <c r="P236" s="62">
        <v>4000</v>
      </c>
      <c r="Q236" s="62">
        <v>4800</v>
      </c>
      <c r="R236" s="62">
        <v>5600</v>
      </c>
    </row>
    <row r="237" spans="1:18">
      <c r="A237" s="59">
        <v>267</v>
      </c>
      <c r="B237" t="s">
        <v>222</v>
      </c>
      <c r="C237">
        <f>VLOOKUP(A237,справочник!$A$2:$C$322,3,FALSE)</f>
        <v>280</v>
      </c>
      <c r="D237" t="str">
        <f>IFERROR(VLOOKUP(B237,справочник!$AF$2:$AF$15,1,FALSE),"")</f>
        <v/>
      </c>
      <c r="F237" t="s">
        <v>146</v>
      </c>
      <c r="G237" s="62">
        <v>4800</v>
      </c>
      <c r="H237" s="62">
        <v>1600</v>
      </c>
      <c r="I237" s="62">
        <v>400</v>
      </c>
      <c r="J237" s="62">
        <v>-800</v>
      </c>
      <c r="K237" s="62">
        <v>0</v>
      </c>
      <c r="L237" s="62">
        <v>800</v>
      </c>
      <c r="M237" s="62">
        <v>1600</v>
      </c>
      <c r="N237" s="62">
        <v>2400</v>
      </c>
      <c r="O237" s="62">
        <v>3200</v>
      </c>
      <c r="P237" s="62">
        <v>4000</v>
      </c>
      <c r="Q237" s="62">
        <v>4800</v>
      </c>
      <c r="R237" s="62">
        <v>5600</v>
      </c>
    </row>
    <row r="238" spans="1:18">
      <c r="A238" s="59">
        <v>245</v>
      </c>
      <c r="B238" t="s">
        <v>34</v>
      </c>
      <c r="C238">
        <f>VLOOKUP(A238,справочник!$A$2:$C$322,3,FALSE)</f>
        <v>256</v>
      </c>
      <c r="D238" t="str">
        <f>IFERROR(VLOOKUP(B238,справочник!$AF$2:$AF$15,1,FALSE),"")</f>
        <v/>
      </c>
      <c r="F238" t="s">
        <v>644</v>
      </c>
      <c r="G238" s="62">
        <v>5800</v>
      </c>
      <c r="H238" s="62">
        <v>6600</v>
      </c>
      <c r="I238" s="62">
        <v>7400</v>
      </c>
      <c r="J238" s="62">
        <v>8200</v>
      </c>
      <c r="K238" s="62">
        <v>9000</v>
      </c>
      <c r="L238" s="62">
        <v>800</v>
      </c>
      <c r="M238" s="62">
        <v>1600</v>
      </c>
      <c r="N238" s="62">
        <v>2400</v>
      </c>
      <c r="O238" s="62">
        <v>3200</v>
      </c>
      <c r="P238" s="62">
        <v>4000</v>
      </c>
      <c r="Q238" s="62">
        <v>4800</v>
      </c>
      <c r="R238" s="62">
        <v>5600</v>
      </c>
    </row>
    <row r="239" spans="1:18">
      <c r="A239" s="59">
        <v>233</v>
      </c>
      <c r="B239" t="s">
        <v>283</v>
      </c>
      <c r="C239">
        <f>VLOOKUP(A239,справочник!$A$2:$C$322,3,FALSE)</f>
        <v>242</v>
      </c>
      <c r="D239" t="str">
        <f>IFERROR(VLOOKUP(B239,справочник!$AF$2:$AF$15,1,FALSE),"")</f>
        <v/>
      </c>
      <c r="F239" t="s">
        <v>644</v>
      </c>
      <c r="G239" s="62">
        <v>3800</v>
      </c>
      <c r="H239" s="62">
        <v>4600</v>
      </c>
      <c r="I239" s="62">
        <v>5400</v>
      </c>
      <c r="J239" s="62">
        <v>6200</v>
      </c>
      <c r="K239" s="62">
        <v>7000</v>
      </c>
      <c r="L239" s="62">
        <v>800</v>
      </c>
      <c r="M239" s="62">
        <v>1600</v>
      </c>
      <c r="N239" s="62">
        <v>2400</v>
      </c>
      <c r="O239" s="62">
        <v>3200</v>
      </c>
      <c r="P239" s="62">
        <v>4000</v>
      </c>
      <c r="Q239" s="62">
        <v>4800</v>
      </c>
      <c r="R239" s="62">
        <v>5600</v>
      </c>
    </row>
    <row r="240" spans="1:18">
      <c r="A240" s="59">
        <v>215</v>
      </c>
      <c r="B240" t="s">
        <v>233</v>
      </c>
      <c r="C240">
        <f>VLOOKUP(A240,справочник!$A$2:$C$322,3,FALSE)</f>
        <v>224</v>
      </c>
      <c r="D240" t="str">
        <f>IFERROR(VLOOKUP(B240,справочник!$AF$2:$AF$15,1,FALSE),"")</f>
        <v/>
      </c>
      <c r="F240" t="s">
        <v>109</v>
      </c>
      <c r="G240" s="62">
        <v>3800</v>
      </c>
      <c r="H240" s="62">
        <v>-2400</v>
      </c>
      <c r="I240" s="62">
        <v>-1600</v>
      </c>
      <c r="J240" s="62">
        <v>-800</v>
      </c>
      <c r="K240" s="62">
        <v>0</v>
      </c>
      <c r="L240" s="62">
        <v>800</v>
      </c>
      <c r="M240" s="62">
        <v>1600</v>
      </c>
      <c r="N240" s="62">
        <v>2400</v>
      </c>
      <c r="O240" s="62">
        <v>3200</v>
      </c>
      <c r="P240" s="62">
        <v>4000</v>
      </c>
      <c r="Q240" s="62">
        <v>4800</v>
      </c>
      <c r="R240" s="62">
        <v>5600</v>
      </c>
    </row>
    <row r="241" spans="1:18">
      <c r="A241" s="59">
        <v>198</v>
      </c>
      <c r="B241" t="s">
        <v>26</v>
      </c>
      <c r="C241">
        <f>VLOOKUP(A241,справочник!$A$2:$C$322,3,FALSE)</f>
        <v>206</v>
      </c>
      <c r="D241" t="str">
        <f>IFERROR(VLOOKUP(B241,справочник!$AF$2:$AF$15,1,FALSE),"")</f>
        <v/>
      </c>
      <c r="F241" t="s">
        <v>37</v>
      </c>
      <c r="G241" s="62">
        <v>800</v>
      </c>
      <c r="H241" s="62">
        <v>1600</v>
      </c>
      <c r="I241" s="62">
        <v>-800</v>
      </c>
      <c r="J241" s="62">
        <v>0</v>
      </c>
      <c r="K241" s="62">
        <v>0</v>
      </c>
      <c r="L241" s="62">
        <v>800</v>
      </c>
      <c r="M241" s="62">
        <v>1600</v>
      </c>
      <c r="N241" s="62">
        <v>2400</v>
      </c>
      <c r="O241" s="62">
        <v>3200</v>
      </c>
      <c r="P241" s="62">
        <v>4000</v>
      </c>
      <c r="Q241" s="62">
        <v>4800</v>
      </c>
      <c r="R241" s="62">
        <v>5600</v>
      </c>
    </row>
    <row r="242" spans="1:18">
      <c r="A242" s="59">
        <v>181</v>
      </c>
      <c r="B242" t="s">
        <v>79</v>
      </c>
      <c r="C242">
        <f>VLOOKUP(A242,справочник!$A$2:$C$322,3,FALSE)</f>
        <v>189</v>
      </c>
      <c r="D242" t="str">
        <f>IFERROR(VLOOKUP(B242,справочник!$AF$2:$AF$15,1,FALSE),"")</f>
        <v/>
      </c>
      <c r="F242" t="s">
        <v>247</v>
      </c>
      <c r="G242" s="62">
        <v>3800</v>
      </c>
      <c r="H242" s="62">
        <v>4600</v>
      </c>
      <c r="I242" s="62">
        <v>5400</v>
      </c>
      <c r="J242" s="62">
        <v>6200</v>
      </c>
      <c r="K242" s="62">
        <v>0</v>
      </c>
      <c r="L242" s="62">
        <v>800</v>
      </c>
      <c r="M242" s="62">
        <v>1600</v>
      </c>
      <c r="N242" s="62">
        <v>2400</v>
      </c>
      <c r="O242" s="62">
        <v>3200</v>
      </c>
      <c r="P242" s="62">
        <v>4000</v>
      </c>
      <c r="Q242" s="62">
        <v>4800</v>
      </c>
      <c r="R242" s="62">
        <v>5600</v>
      </c>
    </row>
    <row r="243" spans="1:18">
      <c r="A243" s="59">
        <v>174</v>
      </c>
      <c r="B243" t="s">
        <v>207</v>
      </c>
      <c r="C243">
        <f>VLOOKUP(A243,справочник!$A$2:$C$322,3,FALSE)</f>
        <v>182</v>
      </c>
      <c r="D243" t="str">
        <f>IFERROR(VLOOKUP(B243,справочник!$AF$2:$AF$15,1,FALSE),"")</f>
        <v/>
      </c>
      <c r="F243" t="s">
        <v>247</v>
      </c>
      <c r="G243" s="62">
        <v>-200</v>
      </c>
      <c r="H243" s="62">
        <v>600</v>
      </c>
      <c r="I243" s="62">
        <v>1400</v>
      </c>
      <c r="J243" s="62">
        <v>2200</v>
      </c>
      <c r="K243" s="62">
        <v>0</v>
      </c>
      <c r="L243" s="62">
        <v>800</v>
      </c>
      <c r="M243" s="62">
        <v>1600</v>
      </c>
      <c r="N243" s="62">
        <v>2400</v>
      </c>
      <c r="O243" s="62">
        <v>3200</v>
      </c>
      <c r="P243" s="62">
        <v>4000</v>
      </c>
      <c r="Q243" s="62">
        <v>4800</v>
      </c>
      <c r="R243" s="62">
        <v>5600</v>
      </c>
    </row>
    <row r="244" spans="1:18">
      <c r="A244" s="59">
        <v>146</v>
      </c>
      <c r="B244" t="s">
        <v>269</v>
      </c>
      <c r="C244">
        <f>VLOOKUP(A244,справочник!$A$2:$C$322,3,FALSE)</f>
        <v>154</v>
      </c>
      <c r="D244" t="str">
        <f>IFERROR(VLOOKUP(B244,справочник!$AF$2:$AF$15,1,FALSE),"")</f>
        <v/>
      </c>
      <c r="F244" t="s">
        <v>641</v>
      </c>
      <c r="G244" s="62">
        <v>22800</v>
      </c>
      <c r="H244" s="62">
        <v>23600</v>
      </c>
      <c r="I244" s="62">
        <v>24400</v>
      </c>
      <c r="J244" s="62">
        <v>25200</v>
      </c>
      <c r="K244" s="62">
        <v>26000</v>
      </c>
      <c r="L244" s="62">
        <v>800</v>
      </c>
      <c r="M244" s="62">
        <v>1600</v>
      </c>
      <c r="N244" s="62">
        <v>2400</v>
      </c>
      <c r="O244" s="62">
        <v>3200</v>
      </c>
      <c r="P244" s="62">
        <v>4000</v>
      </c>
      <c r="Q244" s="62">
        <v>4800</v>
      </c>
      <c r="R244" s="62">
        <v>5600</v>
      </c>
    </row>
    <row r="245" spans="1:18">
      <c r="A245" s="59">
        <v>129</v>
      </c>
      <c r="B245" t="s">
        <v>164</v>
      </c>
      <c r="C245">
        <f>VLOOKUP(A245,справочник!$A$2:$C$322,3,FALSE)</f>
        <v>136</v>
      </c>
      <c r="D245" t="str">
        <f>IFERROR(VLOOKUP(B245,справочник!$AF$2:$AF$15,1,FALSE),"")</f>
        <v/>
      </c>
      <c r="F245" t="s">
        <v>641</v>
      </c>
      <c r="G245" s="62">
        <v>2800</v>
      </c>
      <c r="H245" s="62">
        <v>600</v>
      </c>
      <c r="I245" s="62">
        <v>1400</v>
      </c>
      <c r="J245" s="62">
        <v>-800</v>
      </c>
      <c r="K245" s="62">
        <v>0</v>
      </c>
      <c r="L245" s="62">
        <v>800</v>
      </c>
      <c r="M245" s="62">
        <v>1600</v>
      </c>
      <c r="N245" s="62">
        <v>2400</v>
      </c>
      <c r="O245" s="62">
        <v>3200</v>
      </c>
      <c r="P245" s="62">
        <v>4000</v>
      </c>
      <c r="Q245" s="62">
        <v>4800</v>
      </c>
      <c r="R245" s="62">
        <v>5600</v>
      </c>
    </row>
    <row r="246" spans="1:18">
      <c r="A246" s="59">
        <v>107</v>
      </c>
      <c r="B246" t="s">
        <v>241</v>
      </c>
      <c r="C246">
        <f>VLOOKUP(A246,справочник!$A$2:$C$322,3,FALSE)</f>
        <v>112</v>
      </c>
      <c r="D246" t="str">
        <f>IFERROR(VLOOKUP(B246,справочник!$AF$2:$AF$15,1,FALSE),"")</f>
        <v/>
      </c>
      <c r="F246" t="s">
        <v>645</v>
      </c>
      <c r="G246" s="62">
        <v>4800</v>
      </c>
      <c r="H246" s="62">
        <v>3600</v>
      </c>
      <c r="I246" s="62">
        <v>800</v>
      </c>
      <c r="J246" s="62">
        <v>0</v>
      </c>
      <c r="K246" s="62">
        <v>800</v>
      </c>
      <c r="L246" s="62">
        <v>800</v>
      </c>
      <c r="M246" s="62">
        <v>1600</v>
      </c>
      <c r="N246" s="62">
        <v>2400</v>
      </c>
      <c r="O246" s="62">
        <v>3200</v>
      </c>
      <c r="P246" s="62">
        <v>4000</v>
      </c>
      <c r="Q246" s="62">
        <v>4800</v>
      </c>
      <c r="R246" s="62">
        <v>5600</v>
      </c>
    </row>
    <row r="247" spans="1:18">
      <c r="A247" s="59">
        <v>102</v>
      </c>
      <c r="B247" t="s">
        <v>206</v>
      </c>
      <c r="C247">
        <f>VLOOKUP(A247,справочник!$A$2:$C$322,3,FALSE)</f>
        <v>107</v>
      </c>
      <c r="D247" t="str">
        <f>IFERROR(VLOOKUP(B247,справочник!$AF$2:$AF$15,1,FALSE),"")</f>
        <v/>
      </c>
      <c r="F247" t="s">
        <v>645</v>
      </c>
      <c r="G247" s="62">
        <v>0</v>
      </c>
      <c r="H247" s="62">
        <v>0</v>
      </c>
      <c r="I247" s="62">
        <v>0</v>
      </c>
      <c r="J247" s="62">
        <v>0</v>
      </c>
      <c r="K247" s="62">
        <v>800</v>
      </c>
      <c r="L247" s="62">
        <v>800</v>
      </c>
      <c r="M247" s="62">
        <v>1600</v>
      </c>
      <c r="N247" s="62">
        <v>2400</v>
      </c>
      <c r="O247" s="62">
        <v>3200</v>
      </c>
      <c r="P247" s="62">
        <v>4000</v>
      </c>
      <c r="Q247" s="62">
        <v>4800</v>
      </c>
      <c r="R247" s="62">
        <v>5600</v>
      </c>
    </row>
    <row r="248" spans="1:18">
      <c r="A248" s="59">
        <v>95</v>
      </c>
      <c r="B248" t="s">
        <v>298</v>
      </c>
      <c r="C248">
        <f>VLOOKUP(A248,справочник!$A$2:$C$322,3,FALSE)</f>
        <v>100</v>
      </c>
      <c r="D248" t="str">
        <f>IFERROR(VLOOKUP(B248,справочник!$AF$2:$AF$15,1,FALSE),"")</f>
        <v/>
      </c>
      <c r="F248" t="s">
        <v>2</v>
      </c>
      <c r="G248" s="62">
        <v>5800</v>
      </c>
      <c r="H248" s="62">
        <v>6600</v>
      </c>
      <c r="I248" s="62">
        <v>7400</v>
      </c>
      <c r="J248" s="62">
        <v>8200</v>
      </c>
      <c r="K248" s="62">
        <v>9000</v>
      </c>
      <c r="L248" s="62">
        <v>800</v>
      </c>
      <c r="M248" s="62">
        <v>1600</v>
      </c>
      <c r="N248" s="62">
        <v>2400</v>
      </c>
      <c r="O248" s="62">
        <v>3200</v>
      </c>
      <c r="P248" s="62">
        <v>4000</v>
      </c>
      <c r="Q248" s="62">
        <v>4800</v>
      </c>
      <c r="R248" s="62">
        <v>5600</v>
      </c>
    </row>
    <row r="249" spans="1:18">
      <c r="A249" s="59">
        <v>88</v>
      </c>
      <c r="B249" t="s">
        <v>292</v>
      </c>
      <c r="C249" t="str">
        <f>VLOOKUP(A249,справочник!$A$2:$C$322,3,FALSE)</f>
        <v>97+93</v>
      </c>
      <c r="D249" t="str">
        <f>IFERROR(VLOOKUP(B249,справочник!$AF$2:$AF$15,1,FALSE),"")</f>
        <v/>
      </c>
      <c r="F249" t="s">
        <v>2</v>
      </c>
      <c r="G249" s="62">
        <v>-3200</v>
      </c>
      <c r="H249" s="62">
        <v>-2400</v>
      </c>
      <c r="I249" s="62">
        <v>-1600</v>
      </c>
      <c r="J249" s="62">
        <v>-800</v>
      </c>
      <c r="K249" s="62">
        <v>0</v>
      </c>
      <c r="L249" s="62">
        <v>800</v>
      </c>
      <c r="M249" s="62">
        <v>1600</v>
      </c>
      <c r="N249" s="62">
        <v>2400</v>
      </c>
      <c r="O249" s="62">
        <v>3200</v>
      </c>
      <c r="P249" s="62">
        <v>4000</v>
      </c>
      <c r="Q249" s="62">
        <v>4800</v>
      </c>
      <c r="R249" s="62">
        <v>5600</v>
      </c>
    </row>
    <row r="250" spans="1:18">
      <c r="A250" s="59">
        <v>80</v>
      </c>
      <c r="B250" t="s">
        <v>194</v>
      </c>
      <c r="C250">
        <f>VLOOKUP(A250,справочник!$A$2:$C$322,3,FALSE)</f>
        <v>85</v>
      </c>
      <c r="D250" t="str">
        <f>IFERROR(VLOOKUP(B250,справочник!$AF$2:$AF$15,1,FALSE),"")</f>
        <v/>
      </c>
      <c r="F250" t="s">
        <v>2</v>
      </c>
      <c r="G250" s="62">
        <v>800</v>
      </c>
      <c r="H250" s="62">
        <v>1600</v>
      </c>
      <c r="I250" s="62">
        <v>2400</v>
      </c>
      <c r="J250" s="62">
        <v>3200</v>
      </c>
      <c r="K250" s="62">
        <v>4000</v>
      </c>
      <c r="L250" s="62">
        <v>800</v>
      </c>
      <c r="M250" s="62">
        <v>1600</v>
      </c>
      <c r="N250" s="62">
        <v>2400</v>
      </c>
      <c r="O250" s="62">
        <v>3200</v>
      </c>
      <c r="P250" s="62">
        <v>4000</v>
      </c>
      <c r="Q250" s="62">
        <v>4800</v>
      </c>
      <c r="R250" s="62">
        <v>5600</v>
      </c>
    </row>
    <row r="251" spans="1:18">
      <c r="A251" s="59">
        <v>68</v>
      </c>
      <c r="B251" t="s">
        <v>219</v>
      </c>
      <c r="C251">
        <f>VLOOKUP(A251,справочник!$A$2:$C$322,3,FALSE)</f>
        <v>70</v>
      </c>
      <c r="D251" t="str">
        <f>IFERROR(VLOOKUP(B251,справочник!$AF$2:$AF$15,1,FALSE),"")</f>
        <v/>
      </c>
      <c r="F251" t="s">
        <v>181</v>
      </c>
      <c r="G251" s="62">
        <v>800</v>
      </c>
      <c r="H251" s="62">
        <v>0</v>
      </c>
      <c r="I251" s="62">
        <v>0</v>
      </c>
      <c r="J251" s="62">
        <v>800</v>
      </c>
      <c r="K251" s="62">
        <v>800</v>
      </c>
      <c r="L251" s="62">
        <v>800</v>
      </c>
      <c r="M251" s="62">
        <v>1600</v>
      </c>
      <c r="N251" s="62">
        <v>2400</v>
      </c>
      <c r="O251" s="62">
        <v>3200</v>
      </c>
      <c r="P251" s="62">
        <v>4000</v>
      </c>
      <c r="Q251" s="62">
        <v>4800</v>
      </c>
      <c r="R251" s="62">
        <v>5600</v>
      </c>
    </row>
    <row r="252" spans="1:18">
      <c r="A252" s="59">
        <v>58</v>
      </c>
      <c r="B252" t="s">
        <v>54</v>
      </c>
      <c r="C252">
        <f>VLOOKUP(A252,справочник!$A$2:$C$322,3,FALSE)</f>
        <v>60</v>
      </c>
      <c r="D252" t="str">
        <f>IFERROR(VLOOKUP(B252,справочник!$AF$2:$AF$15,1,FALSE),"")</f>
        <v/>
      </c>
      <c r="F252" t="s">
        <v>642</v>
      </c>
      <c r="G252" s="62">
        <v>4800</v>
      </c>
      <c r="H252" s="62">
        <v>5600</v>
      </c>
      <c r="I252" s="62">
        <v>4000</v>
      </c>
      <c r="J252" s="62">
        <v>4800</v>
      </c>
      <c r="K252" s="62">
        <v>5600</v>
      </c>
      <c r="L252" s="62">
        <v>800</v>
      </c>
      <c r="M252" s="62">
        <v>1600</v>
      </c>
      <c r="N252" s="62">
        <v>2400</v>
      </c>
      <c r="O252" s="62">
        <v>3200</v>
      </c>
      <c r="P252" s="62">
        <v>4000</v>
      </c>
      <c r="Q252" s="62">
        <v>4800</v>
      </c>
      <c r="R252" s="62">
        <v>5600</v>
      </c>
    </row>
    <row r="253" spans="1:18">
      <c r="A253" s="59">
        <v>49</v>
      </c>
      <c r="B253" t="s">
        <v>83</v>
      </c>
      <c r="C253">
        <f>VLOOKUP(A253,справочник!$A$2:$C$322,3,FALSE)</f>
        <v>49</v>
      </c>
      <c r="D253" t="str">
        <f>IFERROR(VLOOKUP(B253,справочник!$AF$2:$AF$15,1,FALSE),"")</f>
        <v/>
      </c>
      <c r="F253" t="s">
        <v>642</v>
      </c>
      <c r="G253" s="62">
        <v>11800</v>
      </c>
      <c r="H253" s="62">
        <v>12600</v>
      </c>
      <c r="I253" s="62">
        <v>13400</v>
      </c>
      <c r="J253" s="62">
        <v>14200</v>
      </c>
      <c r="K253" s="62">
        <v>10200</v>
      </c>
      <c r="L253" s="62">
        <v>800</v>
      </c>
      <c r="M253" s="62">
        <v>1600</v>
      </c>
      <c r="N253" s="62">
        <v>2400</v>
      </c>
      <c r="O253" s="62">
        <v>3200</v>
      </c>
      <c r="P253" s="62">
        <v>4000</v>
      </c>
      <c r="Q253" s="62">
        <v>4800</v>
      </c>
      <c r="R253" s="62">
        <v>5600</v>
      </c>
    </row>
    <row r="254" spans="1:18">
      <c r="A254" s="59">
        <v>29</v>
      </c>
      <c r="B254" t="s">
        <v>270</v>
      </c>
      <c r="C254">
        <f>VLOOKUP(A254,справочник!$A$2:$C$322,3,FALSE)</f>
        <v>29</v>
      </c>
      <c r="D254" t="str">
        <f>IFERROR(VLOOKUP(B254,справочник!$AF$2:$AF$15,1,FALSE),"")</f>
        <v/>
      </c>
      <c r="F254" t="s">
        <v>90</v>
      </c>
      <c r="G254" s="62">
        <v>800</v>
      </c>
      <c r="H254" s="62">
        <v>0</v>
      </c>
      <c r="I254" s="62">
        <v>0</v>
      </c>
      <c r="J254" s="62">
        <v>-800</v>
      </c>
      <c r="K254" s="62">
        <v>0</v>
      </c>
      <c r="L254" s="62">
        <v>800</v>
      </c>
      <c r="M254" s="62">
        <v>1600</v>
      </c>
      <c r="N254" s="62">
        <v>2400</v>
      </c>
      <c r="O254" s="62">
        <v>3200</v>
      </c>
      <c r="P254" s="62">
        <v>4000</v>
      </c>
      <c r="Q254" s="62">
        <v>4800</v>
      </c>
      <c r="R254" s="62">
        <v>5600</v>
      </c>
    </row>
    <row r="255" spans="1:18">
      <c r="A255" s="59">
        <v>19</v>
      </c>
      <c r="B255" t="s">
        <v>237</v>
      </c>
      <c r="C255">
        <f>VLOOKUP(A255,справочник!$A$2:$C$322,3,FALSE)</f>
        <v>19</v>
      </c>
      <c r="D255" t="str">
        <f>IFERROR(VLOOKUP(B255,справочник!$AF$2:$AF$15,1,FALSE),"")</f>
        <v/>
      </c>
      <c r="F255" t="s">
        <v>90</v>
      </c>
      <c r="G255" s="62">
        <v>800</v>
      </c>
      <c r="H255" s="62">
        <v>1600</v>
      </c>
      <c r="I255" s="62">
        <v>2400</v>
      </c>
      <c r="J255" s="62">
        <v>3200</v>
      </c>
      <c r="K255" s="62">
        <v>4000</v>
      </c>
      <c r="L255" s="62">
        <v>800</v>
      </c>
      <c r="M255" s="62">
        <v>1600</v>
      </c>
      <c r="N255" s="62">
        <v>2400</v>
      </c>
      <c r="O255" s="62">
        <v>3200</v>
      </c>
      <c r="P255" s="62">
        <v>4000</v>
      </c>
      <c r="Q255" s="62">
        <v>4800</v>
      </c>
      <c r="R255" s="62">
        <v>5600</v>
      </c>
    </row>
    <row r="256" spans="1:18">
      <c r="A256" s="59">
        <v>86</v>
      </c>
      <c r="B256" t="s">
        <v>47</v>
      </c>
      <c r="C256">
        <f>VLOOKUP(A256,справочник!$A$2:$C$322,3,FALSE)</f>
        <v>91</v>
      </c>
      <c r="D256" t="str">
        <f>IFERROR(VLOOKUP(B256,справочник!$AF$2:$AF$15,1,FALSE),"")</f>
        <v/>
      </c>
      <c r="F256" t="s">
        <v>2</v>
      </c>
      <c r="G256" s="62">
        <v>800</v>
      </c>
      <c r="H256" s="62">
        <v>-400</v>
      </c>
      <c r="I256" s="62">
        <v>400</v>
      </c>
      <c r="J256" s="62">
        <v>200</v>
      </c>
      <c r="K256" s="62">
        <v>1000</v>
      </c>
      <c r="L256" s="62">
        <v>200</v>
      </c>
      <c r="M256" s="62">
        <v>1000</v>
      </c>
      <c r="N256" s="62">
        <v>1800</v>
      </c>
      <c r="O256" s="62">
        <v>2600</v>
      </c>
      <c r="P256" s="62">
        <v>3400</v>
      </c>
      <c r="Q256" s="62">
        <v>4200</v>
      </c>
      <c r="R256" s="62">
        <v>5000</v>
      </c>
    </row>
    <row r="257" spans="1:18">
      <c r="A257" s="59">
        <v>298</v>
      </c>
      <c r="B257" t="s">
        <v>249</v>
      </c>
      <c r="C257">
        <f>VLOOKUP(A257,справочник!$A$2:$C$322,3,FALSE)</f>
        <v>313</v>
      </c>
      <c r="D257" t="str">
        <f>IFERROR(VLOOKUP(B257,справочник!$AF$2:$AF$15,1,FALSE),"")</f>
        <v/>
      </c>
      <c r="F257" t="s">
        <v>103</v>
      </c>
      <c r="G257" s="62">
        <v>800</v>
      </c>
      <c r="H257" s="62">
        <v>-3200</v>
      </c>
      <c r="I257" s="62">
        <v>-2400</v>
      </c>
      <c r="J257" s="62">
        <v>-1600</v>
      </c>
      <c r="K257" s="62">
        <v>-800</v>
      </c>
      <c r="L257" s="62">
        <v>0</v>
      </c>
      <c r="M257" s="62">
        <v>800</v>
      </c>
      <c r="N257" s="62">
        <v>1600</v>
      </c>
      <c r="O257" s="62">
        <v>2400</v>
      </c>
      <c r="P257" s="62">
        <v>3200</v>
      </c>
      <c r="Q257" s="62">
        <v>4000</v>
      </c>
      <c r="R257" s="62">
        <v>4800</v>
      </c>
    </row>
    <row r="258" spans="1:18">
      <c r="A258" s="59">
        <v>258</v>
      </c>
      <c r="B258" t="s">
        <v>223</v>
      </c>
      <c r="C258">
        <f>VLOOKUP(A258,справочник!$A$2:$C$322,3,FALSE)</f>
        <v>271</v>
      </c>
      <c r="D258" t="str">
        <f>IFERROR(VLOOKUP(B258,справочник!$AF$2:$AF$15,1,FALSE),"")</f>
        <v/>
      </c>
      <c r="F258" t="s">
        <v>146</v>
      </c>
      <c r="G258" s="62">
        <v>800</v>
      </c>
      <c r="H258" s="62">
        <v>1600</v>
      </c>
      <c r="I258" s="62">
        <v>2400</v>
      </c>
      <c r="J258" s="62">
        <v>3200</v>
      </c>
      <c r="K258" s="62">
        <v>4000</v>
      </c>
      <c r="L258" s="62">
        <v>0</v>
      </c>
      <c r="M258" s="62">
        <v>800</v>
      </c>
      <c r="N258" s="62">
        <v>1600</v>
      </c>
      <c r="O258" s="62">
        <v>2400</v>
      </c>
      <c r="P258" s="62">
        <v>3200</v>
      </c>
      <c r="Q258" s="62">
        <v>4000</v>
      </c>
      <c r="R258" s="62">
        <v>4800</v>
      </c>
    </row>
    <row r="259" spans="1:18">
      <c r="A259" s="59">
        <v>234</v>
      </c>
      <c r="B259" t="s">
        <v>84</v>
      </c>
      <c r="C259" t="str">
        <f>VLOOKUP(A259,справочник!$A$2:$C$322,3,FALSE)</f>
        <v>243-244</v>
      </c>
      <c r="D259" t="str">
        <f>IFERROR(VLOOKUP(B259,справочник!$AF$2:$AF$15,1,FALSE),"")</f>
        <v/>
      </c>
      <c r="F259" t="e">
        <v>#N/A</v>
      </c>
      <c r="G259" s="62">
        <v>800</v>
      </c>
      <c r="H259" s="62">
        <v>-3200</v>
      </c>
      <c r="I259" s="62">
        <v>-2400</v>
      </c>
      <c r="J259" s="62">
        <v>-1600</v>
      </c>
      <c r="K259" s="62">
        <v>-800</v>
      </c>
      <c r="L259" s="62">
        <v>0</v>
      </c>
      <c r="M259" s="62">
        <v>800</v>
      </c>
      <c r="N259" s="62">
        <v>1600</v>
      </c>
      <c r="O259" s="62">
        <v>2400</v>
      </c>
      <c r="P259" s="62">
        <v>3200</v>
      </c>
      <c r="Q259" s="62">
        <v>4000</v>
      </c>
      <c r="R259" s="62">
        <v>4800</v>
      </c>
    </row>
    <row r="260" spans="1:18">
      <c r="A260" s="59">
        <v>196</v>
      </c>
      <c r="B260" t="s">
        <v>104</v>
      </c>
      <c r="C260">
        <f>VLOOKUP(A260,справочник!$A$2:$C$322,3,FALSE)</f>
        <v>204</v>
      </c>
      <c r="D260" t="str">
        <f>IFERROR(VLOOKUP(B260,справочник!$AF$2:$AF$15,1,FALSE),"")</f>
        <v/>
      </c>
      <c r="F260" t="s">
        <v>37</v>
      </c>
      <c r="G260" s="62">
        <v>800</v>
      </c>
      <c r="H260" s="62">
        <v>1600</v>
      </c>
      <c r="I260" s="62">
        <v>-2400</v>
      </c>
      <c r="J260" s="62">
        <v>-1600</v>
      </c>
      <c r="K260" s="62">
        <v>-800</v>
      </c>
      <c r="L260" s="62">
        <v>0</v>
      </c>
      <c r="M260" s="62">
        <v>800</v>
      </c>
      <c r="N260" s="62">
        <v>1600</v>
      </c>
      <c r="O260" s="62">
        <v>2400</v>
      </c>
      <c r="P260" s="62">
        <v>3200</v>
      </c>
      <c r="Q260" s="62">
        <v>4000</v>
      </c>
      <c r="R260" s="62">
        <v>4800</v>
      </c>
    </row>
    <row r="261" spans="1:18">
      <c r="A261" s="59">
        <v>180</v>
      </c>
      <c r="B261" t="s">
        <v>287</v>
      </c>
      <c r="C261">
        <f>VLOOKUP(A261,справочник!$A$2:$C$322,3,FALSE)</f>
        <v>188</v>
      </c>
      <c r="D261" t="str">
        <f>IFERROR(VLOOKUP(B261,справочник!$AF$2:$AF$15,1,FALSE),"")</f>
        <v/>
      </c>
      <c r="F261" t="s">
        <v>247</v>
      </c>
      <c r="G261" s="62">
        <v>800</v>
      </c>
      <c r="H261" s="62">
        <v>1600</v>
      </c>
      <c r="I261" s="62">
        <v>2400</v>
      </c>
      <c r="J261" s="62">
        <v>3200</v>
      </c>
      <c r="K261" s="62">
        <v>-800</v>
      </c>
      <c r="L261" s="62">
        <v>0</v>
      </c>
      <c r="M261" s="62">
        <v>800</v>
      </c>
      <c r="N261" s="62">
        <v>1600</v>
      </c>
      <c r="O261" s="62">
        <v>2400</v>
      </c>
      <c r="P261" s="62">
        <v>3200</v>
      </c>
      <c r="Q261" s="62">
        <v>4000</v>
      </c>
      <c r="R261" s="62">
        <v>4800</v>
      </c>
    </row>
    <row r="262" spans="1:18">
      <c r="A262" s="59">
        <v>134</v>
      </c>
      <c r="B262" t="s">
        <v>221</v>
      </c>
      <c r="C262">
        <f>VLOOKUP(A262,справочник!$A$2:$C$322,3,FALSE)</f>
        <v>141</v>
      </c>
      <c r="D262" t="str">
        <f>IFERROR(VLOOKUP(B262,справочник!$AF$2:$AF$15,1,FALSE),"")</f>
        <v/>
      </c>
      <c r="F262" t="s">
        <v>641</v>
      </c>
      <c r="G262" s="62">
        <v>800</v>
      </c>
      <c r="H262" s="62">
        <v>-3200</v>
      </c>
      <c r="I262" s="62">
        <v>-2400</v>
      </c>
      <c r="J262" s="62">
        <v>-1600</v>
      </c>
      <c r="K262" s="62">
        <v>-800</v>
      </c>
      <c r="L262" s="62">
        <v>0</v>
      </c>
      <c r="M262" s="62">
        <v>800</v>
      </c>
      <c r="N262" s="62">
        <v>1600</v>
      </c>
      <c r="O262" s="62">
        <v>2400</v>
      </c>
      <c r="P262" s="62">
        <v>3200</v>
      </c>
      <c r="Q262" s="62">
        <v>4000</v>
      </c>
      <c r="R262" s="62">
        <v>4800</v>
      </c>
    </row>
    <row r="263" spans="1:18">
      <c r="A263" s="59">
        <v>120</v>
      </c>
      <c r="B263" t="s">
        <v>177</v>
      </c>
      <c r="C263">
        <f>VLOOKUP(A263,справочник!$A$2:$C$322,3,FALSE)</f>
        <v>125</v>
      </c>
      <c r="D263" t="str">
        <f>IFERROR(VLOOKUP(B263,справочник!$AF$2:$AF$15,1,FALSE),"")</f>
        <v/>
      </c>
      <c r="F263" t="s">
        <v>645</v>
      </c>
      <c r="G263" s="62">
        <v>5800</v>
      </c>
      <c r="H263" s="62">
        <v>0</v>
      </c>
      <c r="I263" s="62">
        <v>-1200</v>
      </c>
      <c r="J263" s="62">
        <v>-400</v>
      </c>
      <c r="K263" s="62">
        <v>400</v>
      </c>
      <c r="L263" s="62">
        <v>0</v>
      </c>
      <c r="M263" s="62">
        <v>800</v>
      </c>
      <c r="N263" s="62">
        <v>1600</v>
      </c>
      <c r="O263" s="62">
        <v>2400</v>
      </c>
      <c r="P263" s="62">
        <v>3200</v>
      </c>
      <c r="Q263" s="62">
        <v>4000</v>
      </c>
      <c r="R263" s="62">
        <v>4800</v>
      </c>
    </row>
    <row r="264" spans="1:18">
      <c r="A264" s="59">
        <v>108</v>
      </c>
      <c r="B264" t="s">
        <v>299</v>
      </c>
      <c r="C264">
        <f>VLOOKUP(A264,справочник!$A$2:$C$322,3,FALSE)</f>
        <v>113</v>
      </c>
      <c r="D264" t="str">
        <f>IFERROR(VLOOKUP(B264,справочник!$AF$2:$AF$15,1,FALSE),"")</f>
        <v/>
      </c>
      <c r="F264" t="s">
        <v>645</v>
      </c>
      <c r="G264" s="62">
        <v>4800</v>
      </c>
      <c r="H264" s="62">
        <v>1600</v>
      </c>
      <c r="I264" s="62">
        <v>0</v>
      </c>
      <c r="J264" s="62">
        <v>800</v>
      </c>
      <c r="K264" s="62">
        <v>1600</v>
      </c>
      <c r="L264" s="62">
        <v>0</v>
      </c>
      <c r="M264" s="62">
        <v>800</v>
      </c>
      <c r="N264" s="62">
        <v>1600</v>
      </c>
      <c r="O264" s="62">
        <v>2400</v>
      </c>
      <c r="P264" s="62">
        <v>3200</v>
      </c>
      <c r="Q264" s="62">
        <v>4000</v>
      </c>
      <c r="R264" s="62">
        <v>4800</v>
      </c>
    </row>
    <row r="265" spans="1:18">
      <c r="A265" s="59">
        <v>90</v>
      </c>
      <c r="B265" t="s">
        <v>44</v>
      </c>
      <c r="C265">
        <f>VLOOKUP(A265,справочник!$A$2:$C$322,3,FALSE)</f>
        <v>95</v>
      </c>
      <c r="D265" t="str">
        <f>IFERROR(VLOOKUP(B265,справочник!$AF$2:$AF$15,1,FALSE),"")</f>
        <v/>
      </c>
      <c r="F265" t="s">
        <v>2</v>
      </c>
      <c r="G265" s="62">
        <v>800</v>
      </c>
      <c r="H265" s="62">
        <v>1600</v>
      </c>
      <c r="I265" s="62">
        <v>2400</v>
      </c>
      <c r="J265" s="62">
        <v>-1600</v>
      </c>
      <c r="K265" s="62">
        <v>-800</v>
      </c>
      <c r="L265" s="62">
        <v>0</v>
      </c>
      <c r="M265" s="62">
        <v>800</v>
      </c>
      <c r="N265" s="62">
        <v>1600</v>
      </c>
      <c r="O265" s="62">
        <v>2400</v>
      </c>
      <c r="P265" s="62">
        <v>3200</v>
      </c>
      <c r="Q265" s="62">
        <v>4000</v>
      </c>
      <c r="R265" s="62">
        <v>4800</v>
      </c>
    </row>
    <row r="266" spans="1:18">
      <c r="A266" s="59">
        <v>85</v>
      </c>
      <c r="B266" t="s">
        <v>184</v>
      </c>
      <c r="C266">
        <f>VLOOKUP(A266,справочник!$A$2:$C$322,3,FALSE)</f>
        <v>90</v>
      </c>
      <c r="D266" t="str">
        <f>IFERROR(VLOOKUP(B266,справочник!$AF$2:$AF$15,1,FALSE),"")</f>
        <v/>
      </c>
      <c r="F266" t="s">
        <v>2</v>
      </c>
      <c r="G266" s="62">
        <v>800</v>
      </c>
      <c r="H266" s="62">
        <v>1600</v>
      </c>
      <c r="I266" s="62">
        <v>2400</v>
      </c>
      <c r="J266" s="62">
        <v>-1600</v>
      </c>
      <c r="K266" s="62">
        <v>-800</v>
      </c>
      <c r="L266" s="62">
        <v>0</v>
      </c>
      <c r="M266" s="62">
        <v>800</v>
      </c>
      <c r="N266" s="62">
        <v>1600</v>
      </c>
      <c r="O266" s="62">
        <v>2400</v>
      </c>
      <c r="P266" s="62">
        <v>3200</v>
      </c>
      <c r="Q266" s="62">
        <v>4000</v>
      </c>
      <c r="R266" s="62">
        <v>4800</v>
      </c>
    </row>
    <row r="267" spans="1:18">
      <c r="A267" s="59">
        <v>84</v>
      </c>
      <c r="B267" t="s">
        <v>291</v>
      </c>
      <c r="C267">
        <f>VLOOKUP(A267,справочник!$A$2:$C$322,3,FALSE)</f>
        <v>89</v>
      </c>
      <c r="D267" t="str">
        <f>IFERROR(VLOOKUP(B267,справочник!$AF$2:$AF$15,1,FALSE),"")</f>
        <v/>
      </c>
      <c r="F267" t="s">
        <v>2</v>
      </c>
      <c r="G267" s="62">
        <v>800</v>
      </c>
      <c r="H267" s="62">
        <v>1600</v>
      </c>
      <c r="I267" s="62">
        <v>2400</v>
      </c>
      <c r="J267" s="62">
        <v>3200</v>
      </c>
      <c r="K267" s="62">
        <v>4000</v>
      </c>
      <c r="L267" s="62">
        <v>0</v>
      </c>
      <c r="M267" s="62">
        <v>800</v>
      </c>
      <c r="N267" s="62">
        <v>1600</v>
      </c>
      <c r="O267" s="62">
        <v>2400</v>
      </c>
      <c r="P267" s="62">
        <v>3200</v>
      </c>
      <c r="Q267" s="62">
        <v>4000</v>
      </c>
      <c r="R267" s="62">
        <v>4800</v>
      </c>
    </row>
    <row r="268" spans="1:18">
      <c r="A268" s="59">
        <v>45</v>
      </c>
      <c r="B268" t="s">
        <v>262</v>
      </c>
      <c r="C268">
        <f>VLOOKUP(A268,справочник!$A$2:$C$322,3,FALSE)</f>
        <v>45</v>
      </c>
      <c r="D268" t="str">
        <f>IFERROR(VLOOKUP(B268,справочник!$AF$2:$AF$15,1,FALSE),"")</f>
        <v/>
      </c>
      <c r="F268" t="s">
        <v>642</v>
      </c>
      <c r="G268" s="62">
        <v>0</v>
      </c>
      <c r="H268" s="62">
        <v>0</v>
      </c>
      <c r="I268" s="62">
        <v>0</v>
      </c>
      <c r="J268" s="62">
        <v>0</v>
      </c>
      <c r="K268" s="62">
        <v>0</v>
      </c>
      <c r="L268" s="62">
        <v>0</v>
      </c>
      <c r="M268" s="62">
        <v>800</v>
      </c>
      <c r="N268" s="62">
        <v>1600</v>
      </c>
      <c r="O268" s="62">
        <v>2400</v>
      </c>
      <c r="P268" s="62">
        <v>3200</v>
      </c>
      <c r="Q268" s="62">
        <v>4000</v>
      </c>
      <c r="R268" s="62">
        <v>4800</v>
      </c>
    </row>
    <row r="269" spans="1:18">
      <c r="A269" s="59">
        <v>32</v>
      </c>
      <c r="B269" t="s">
        <v>82</v>
      </c>
      <c r="C269">
        <f>VLOOKUP(A269,справочник!$A$2:$C$322,3,FALSE)</f>
        <v>32</v>
      </c>
      <c r="D269" t="str">
        <f>IFERROR(VLOOKUP(B269,справочник!$AF$2:$AF$15,1,FALSE),"")</f>
        <v/>
      </c>
      <c r="F269" t="s">
        <v>642</v>
      </c>
      <c r="G269" s="62">
        <v>-1600</v>
      </c>
      <c r="H269" s="62">
        <v>-800</v>
      </c>
      <c r="I269" s="62">
        <v>0</v>
      </c>
      <c r="J269" s="62">
        <v>800</v>
      </c>
      <c r="K269" s="62">
        <v>1600</v>
      </c>
      <c r="L269" s="62">
        <v>0</v>
      </c>
      <c r="M269" s="62">
        <v>800</v>
      </c>
      <c r="N269" s="62">
        <v>1600</v>
      </c>
      <c r="O269" s="62">
        <v>2400</v>
      </c>
      <c r="P269" s="62">
        <v>3200</v>
      </c>
      <c r="Q269" s="62">
        <v>4000</v>
      </c>
      <c r="R269" s="62">
        <v>4800</v>
      </c>
    </row>
    <row r="270" spans="1:18">
      <c r="A270" s="59">
        <v>31</v>
      </c>
      <c r="B270" t="s">
        <v>182</v>
      </c>
      <c r="C270">
        <f>VLOOKUP(A270,справочник!$A$2:$C$322,3,FALSE)</f>
        <v>31</v>
      </c>
      <c r="D270" t="str">
        <f>IFERROR(VLOOKUP(B270,справочник!$AF$2:$AF$15,1,FALSE),"")</f>
        <v/>
      </c>
      <c r="F270" t="s">
        <v>642</v>
      </c>
      <c r="G270" s="62">
        <v>800</v>
      </c>
      <c r="H270" s="62">
        <v>1600</v>
      </c>
      <c r="I270" s="62">
        <v>2400</v>
      </c>
      <c r="J270" s="62">
        <v>800</v>
      </c>
      <c r="K270" s="62">
        <v>-800</v>
      </c>
      <c r="L270" s="62">
        <v>0</v>
      </c>
      <c r="M270" s="62">
        <v>800</v>
      </c>
      <c r="N270" s="62">
        <v>1600</v>
      </c>
      <c r="O270" s="62">
        <v>2400</v>
      </c>
      <c r="P270" s="62">
        <v>3200</v>
      </c>
      <c r="Q270" s="62">
        <v>4000</v>
      </c>
      <c r="R270" s="62">
        <v>4800</v>
      </c>
    </row>
    <row r="271" spans="1:18">
      <c r="A271" s="59">
        <v>15</v>
      </c>
      <c r="B271" t="s">
        <v>303</v>
      </c>
      <c r="C271">
        <f>VLOOKUP(A271,справочник!$A$2:$C$322,3,FALSE)</f>
        <v>15</v>
      </c>
      <c r="D271" t="str">
        <f>IFERROR(VLOOKUP(B271,справочник!$AF$2:$AF$15,1,FALSE),"")</f>
        <v/>
      </c>
      <c r="F271" t="s">
        <v>90</v>
      </c>
      <c r="G271" s="62">
        <v>4800</v>
      </c>
      <c r="H271" s="62">
        <v>1600</v>
      </c>
      <c r="I271" s="62">
        <v>2400</v>
      </c>
      <c r="J271" s="62">
        <v>3200</v>
      </c>
      <c r="K271" s="62">
        <v>4000</v>
      </c>
      <c r="L271" s="62">
        <v>0</v>
      </c>
      <c r="M271" s="62">
        <v>800</v>
      </c>
      <c r="N271" s="62">
        <v>1600</v>
      </c>
      <c r="O271" s="62">
        <v>2400</v>
      </c>
      <c r="P271" s="62">
        <v>3200</v>
      </c>
      <c r="Q271" s="62">
        <v>4000</v>
      </c>
      <c r="R271" s="62">
        <v>4800</v>
      </c>
    </row>
    <row r="272" spans="1:18">
      <c r="A272" s="59">
        <v>290</v>
      </c>
      <c r="B272" t="s">
        <v>180</v>
      </c>
      <c r="C272">
        <f>VLOOKUP(A272,справочник!$A$2:$C$322,3,FALSE)</f>
        <v>303</v>
      </c>
      <c r="D272" t="str">
        <f>IFERROR(VLOOKUP(B272,справочник!$AF$2:$AF$15,1,FALSE),"")</f>
        <v/>
      </c>
      <c r="F272" t="s">
        <v>103</v>
      </c>
      <c r="G272" s="62">
        <v>800</v>
      </c>
      <c r="H272" s="62">
        <v>1600</v>
      </c>
      <c r="I272" s="62">
        <v>2400</v>
      </c>
      <c r="J272" s="62">
        <v>3200</v>
      </c>
      <c r="K272" s="62">
        <v>-1000</v>
      </c>
      <c r="L272" s="62">
        <v>-200</v>
      </c>
      <c r="M272" s="62">
        <v>600</v>
      </c>
      <c r="N272" s="62">
        <v>1400</v>
      </c>
      <c r="O272" s="62">
        <v>2200</v>
      </c>
      <c r="P272" s="62">
        <v>3000</v>
      </c>
      <c r="Q272" s="62">
        <v>3800</v>
      </c>
      <c r="R272" s="62">
        <v>4600</v>
      </c>
    </row>
    <row r="273" spans="1:18">
      <c r="A273" s="59">
        <v>271</v>
      </c>
      <c r="B273" t="s">
        <v>119</v>
      </c>
      <c r="C273">
        <f>VLOOKUP(A273,справочник!$A$2:$C$322,3,FALSE)</f>
        <v>284</v>
      </c>
      <c r="D273" t="str">
        <f>IFERROR(VLOOKUP(B273,справочник!$AF$2:$AF$15,1,FALSE),"")</f>
        <v/>
      </c>
      <c r="F273" t="s">
        <v>643</v>
      </c>
      <c r="G273" s="62">
        <v>800</v>
      </c>
      <c r="H273" s="62">
        <v>1600</v>
      </c>
      <c r="I273" s="62">
        <v>2400</v>
      </c>
      <c r="J273" s="62">
        <v>3200</v>
      </c>
      <c r="K273" s="62">
        <v>4000</v>
      </c>
      <c r="L273" s="62">
        <v>-200</v>
      </c>
      <c r="M273" s="62">
        <v>600</v>
      </c>
      <c r="N273" s="62">
        <v>1400</v>
      </c>
      <c r="O273" s="62">
        <v>2200</v>
      </c>
      <c r="P273" s="62">
        <v>3000</v>
      </c>
      <c r="Q273" s="62">
        <v>3800</v>
      </c>
      <c r="R273" s="62">
        <v>4600</v>
      </c>
    </row>
    <row r="274" spans="1:18">
      <c r="A274" s="59">
        <v>214</v>
      </c>
      <c r="B274" t="s">
        <v>100</v>
      </c>
      <c r="C274">
        <f>VLOOKUP(A274,справочник!$A$2:$C$322,3,FALSE)</f>
        <v>223</v>
      </c>
      <c r="D274" t="str">
        <f>IFERROR(VLOOKUP(B274,справочник!$AF$2:$AF$15,1,FALSE),"")</f>
        <v/>
      </c>
      <c r="F274" t="s">
        <v>109</v>
      </c>
      <c r="G274" s="62">
        <v>800</v>
      </c>
      <c r="H274" s="62">
        <v>-1400</v>
      </c>
      <c r="I274" s="62">
        <v>-600</v>
      </c>
      <c r="J274" s="62">
        <v>200</v>
      </c>
      <c r="K274" s="62">
        <v>1000</v>
      </c>
      <c r="L274" s="62">
        <v>-200</v>
      </c>
      <c r="M274" s="62">
        <v>600</v>
      </c>
      <c r="N274" s="62">
        <v>1400</v>
      </c>
      <c r="O274" s="62">
        <v>2200</v>
      </c>
      <c r="P274" s="62">
        <v>3000</v>
      </c>
      <c r="Q274" s="62">
        <v>3800</v>
      </c>
      <c r="R274" s="62">
        <v>4600</v>
      </c>
    </row>
    <row r="275" spans="1:18">
      <c r="A275" s="59">
        <v>133</v>
      </c>
      <c r="B275" t="s">
        <v>132</v>
      </c>
      <c r="C275">
        <f>VLOOKUP(A275,справочник!$A$2:$C$322,3,FALSE)</f>
        <v>140</v>
      </c>
      <c r="D275" t="str">
        <f>IFERROR(VLOOKUP(B275,справочник!$AF$2:$AF$15,1,FALSE),"")</f>
        <v/>
      </c>
      <c r="F275" t="s">
        <v>641</v>
      </c>
      <c r="G275" s="62">
        <v>800</v>
      </c>
      <c r="H275" s="62">
        <v>600</v>
      </c>
      <c r="I275" s="62">
        <v>400</v>
      </c>
      <c r="J275" s="62">
        <v>200</v>
      </c>
      <c r="K275" s="62">
        <v>0</v>
      </c>
      <c r="L275" s="62">
        <v>-200</v>
      </c>
      <c r="M275" s="62">
        <v>600</v>
      </c>
      <c r="N275" s="62">
        <v>1400</v>
      </c>
      <c r="O275" s="62">
        <v>2200</v>
      </c>
      <c r="P275" s="62">
        <v>3000</v>
      </c>
      <c r="Q275" s="62">
        <v>3800</v>
      </c>
      <c r="R275" s="62">
        <v>4600</v>
      </c>
    </row>
    <row r="276" spans="1:18">
      <c r="A276" s="59">
        <v>103</v>
      </c>
      <c r="B276" t="s">
        <v>279</v>
      </c>
      <c r="C276">
        <f>VLOOKUP(A276,справочник!$A$2:$C$322,3,FALSE)</f>
        <v>108</v>
      </c>
      <c r="D276" t="str">
        <f>IFERROR(VLOOKUP(B276,справочник!$AF$2:$AF$15,1,FALSE),"")</f>
        <v/>
      </c>
      <c r="F276" t="s">
        <v>645</v>
      </c>
      <c r="G276" s="62">
        <v>1800</v>
      </c>
      <c r="H276" s="62">
        <v>2600</v>
      </c>
      <c r="I276" s="62">
        <v>-2600</v>
      </c>
      <c r="J276" s="62">
        <v>-1800</v>
      </c>
      <c r="K276" s="62">
        <v>-1000</v>
      </c>
      <c r="L276" s="62">
        <v>-200</v>
      </c>
      <c r="M276" s="62">
        <v>600</v>
      </c>
      <c r="N276" s="62">
        <v>1400</v>
      </c>
      <c r="O276" s="62">
        <v>2200</v>
      </c>
      <c r="P276" s="62">
        <v>3000</v>
      </c>
      <c r="Q276" s="62">
        <v>3800</v>
      </c>
      <c r="R276" s="62">
        <v>4600</v>
      </c>
    </row>
    <row r="277" spans="1:18">
      <c r="A277" s="59">
        <v>216</v>
      </c>
      <c r="B277" t="s">
        <v>143</v>
      </c>
      <c r="C277">
        <f>VLOOKUP(A277,справочник!$A$2:$C$322,3,FALSE)</f>
        <v>226</v>
      </c>
      <c r="D277" t="str">
        <f>IFERROR(VLOOKUP(B277,справочник!$AF$2:$AF$15,1,FALSE),"")</f>
        <v/>
      </c>
      <c r="F277" t="s">
        <v>109</v>
      </c>
      <c r="G277" s="62">
        <v>800</v>
      </c>
      <c r="H277" s="62">
        <v>-3600</v>
      </c>
      <c r="I277" s="62">
        <v>-2800</v>
      </c>
      <c r="J277" s="62">
        <v>-2000</v>
      </c>
      <c r="K277" s="62">
        <v>-1200</v>
      </c>
      <c r="L277" s="62">
        <v>-400</v>
      </c>
      <c r="M277" s="62">
        <v>400</v>
      </c>
      <c r="N277" s="62">
        <v>1200</v>
      </c>
      <c r="O277" s="62">
        <v>2000</v>
      </c>
      <c r="P277" s="62">
        <v>2800</v>
      </c>
      <c r="Q277" s="62">
        <v>3600</v>
      </c>
      <c r="R277" s="62">
        <v>4400</v>
      </c>
    </row>
    <row r="278" spans="1:18">
      <c r="A278" s="59">
        <v>42</v>
      </c>
      <c r="B278" t="s">
        <v>165</v>
      </c>
      <c r="C278">
        <f>VLOOKUP(A278,справочник!$A$2:$C$322,3,FALSE)</f>
        <v>42</v>
      </c>
      <c r="D278" t="str">
        <f>IFERROR(VLOOKUP(B278,справочник!$AF$2:$AF$15,1,FALSE),"")</f>
        <v/>
      </c>
      <c r="F278" t="s">
        <v>642</v>
      </c>
      <c r="G278" s="62">
        <v>-200</v>
      </c>
      <c r="H278" s="62">
        <v>-800</v>
      </c>
      <c r="I278" s="62">
        <v>0</v>
      </c>
      <c r="J278" s="62">
        <v>-800</v>
      </c>
      <c r="K278" s="62">
        <v>0</v>
      </c>
      <c r="L278" s="62">
        <v>-800</v>
      </c>
      <c r="M278" s="62">
        <v>0</v>
      </c>
      <c r="N278" s="62">
        <v>800</v>
      </c>
      <c r="O278" s="62">
        <v>1600</v>
      </c>
      <c r="P278" s="62">
        <v>2400</v>
      </c>
      <c r="Q278" s="62">
        <v>3200</v>
      </c>
      <c r="R278" s="62">
        <v>4000</v>
      </c>
    </row>
    <row r="279" spans="1:18">
      <c r="A279" s="59">
        <v>203</v>
      </c>
      <c r="B279" t="s">
        <v>5</v>
      </c>
      <c r="C279">
        <f>VLOOKUP(A279,справочник!$A$2:$C$322,3,FALSE)</f>
        <v>213</v>
      </c>
      <c r="D279" t="str">
        <f>IFERROR(VLOOKUP(B279,справочник!$AF$2:$AF$15,1,FALSE),"")</f>
        <v/>
      </c>
      <c r="F279" t="s">
        <v>37</v>
      </c>
      <c r="G279" s="62">
        <v>-800</v>
      </c>
      <c r="H279" s="62">
        <v>0</v>
      </c>
      <c r="I279" s="62">
        <v>800</v>
      </c>
      <c r="J279" s="62">
        <v>1600</v>
      </c>
      <c r="K279" s="62">
        <v>-1800</v>
      </c>
      <c r="L279" s="62">
        <v>-1000</v>
      </c>
      <c r="M279" s="62">
        <v>-200</v>
      </c>
      <c r="N279" s="62">
        <v>600</v>
      </c>
      <c r="O279" s="62">
        <v>1400</v>
      </c>
      <c r="P279" s="62">
        <v>2200</v>
      </c>
      <c r="Q279" s="62">
        <v>3000</v>
      </c>
      <c r="R279" s="62">
        <v>3800</v>
      </c>
    </row>
    <row r="280" spans="1:18">
      <c r="A280" s="59">
        <v>155</v>
      </c>
      <c r="B280" t="s">
        <v>75</v>
      </c>
      <c r="C280">
        <f>VLOOKUP(A280,справочник!$A$2:$C$322,3,FALSE)</f>
        <v>163</v>
      </c>
      <c r="D280" t="str">
        <f>IFERROR(VLOOKUP(B280,справочник!$AF$2:$AF$15,1,FALSE),"")</f>
        <v/>
      </c>
      <c r="F280" t="s">
        <v>13</v>
      </c>
      <c r="G280" s="62">
        <v>-1200</v>
      </c>
      <c r="H280" s="62">
        <v>-1000</v>
      </c>
      <c r="I280" s="62">
        <v>-1800</v>
      </c>
      <c r="J280" s="62">
        <v>-1000</v>
      </c>
      <c r="K280" s="62">
        <v>-1800</v>
      </c>
      <c r="L280" s="62">
        <v>-1000</v>
      </c>
      <c r="M280" s="62">
        <v>-200</v>
      </c>
      <c r="N280" s="62">
        <v>600</v>
      </c>
      <c r="O280" s="62">
        <v>1400</v>
      </c>
      <c r="P280" s="62">
        <v>2200</v>
      </c>
      <c r="Q280" s="62">
        <v>3000</v>
      </c>
      <c r="R280" s="62">
        <v>3800</v>
      </c>
    </row>
    <row r="281" spans="1:18">
      <c r="A281" s="59">
        <v>138</v>
      </c>
      <c r="B281" t="s">
        <v>50</v>
      </c>
      <c r="C281">
        <f>VLOOKUP(A281,справочник!$A$2:$C$322,3,FALSE)</f>
        <v>146</v>
      </c>
      <c r="D281" t="str">
        <f>IFERROR(VLOOKUP(B281,справочник!$AF$2:$AF$15,1,FALSE),"")</f>
        <v/>
      </c>
      <c r="F281" t="s">
        <v>641</v>
      </c>
      <c r="G281" s="62">
        <v>800</v>
      </c>
      <c r="H281" s="62">
        <v>-1400</v>
      </c>
      <c r="I281" s="62">
        <v>-600</v>
      </c>
      <c r="J281" s="62">
        <v>200</v>
      </c>
      <c r="K281" s="62">
        <v>1000</v>
      </c>
      <c r="L281" s="62">
        <v>-1100</v>
      </c>
      <c r="M281" s="62">
        <v>-300</v>
      </c>
      <c r="N281" s="62">
        <v>500</v>
      </c>
      <c r="O281" s="62">
        <v>1300</v>
      </c>
      <c r="P281" s="62">
        <v>2100</v>
      </c>
      <c r="Q281" s="62">
        <v>2900</v>
      </c>
      <c r="R281" s="62">
        <v>3700</v>
      </c>
    </row>
    <row r="282" spans="1:18">
      <c r="A282" s="59">
        <v>312</v>
      </c>
      <c r="B282" t="s">
        <v>213</v>
      </c>
      <c r="C282">
        <v>210</v>
      </c>
      <c r="D282" t="str">
        <f>IFERROR(VLOOKUP(B282,справочник!$AF$2:$AF$15,1,FALSE),"")</f>
        <v/>
      </c>
      <c r="F282" t="s">
        <v>37</v>
      </c>
      <c r="G282" s="62">
        <v>-1200</v>
      </c>
      <c r="H282" s="62">
        <v>-400</v>
      </c>
      <c r="I282" s="62">
        <v>400</v>
      </c>
      <c r="J282" s="62">
        <v>-800</v>
      </c>
      <c r="K282" s="62">
        <v>0</v>
      </c>
      <c r="L282" s="62">
        <v>-1200</v>
      </c>
      <c r="M282" s="62">
        <v>-400</v>
      </c>
      <c r="N282" s="62">
        <v>400</v>
      </c>
      <c r="O282" s="62">
        <v>1200</v>
      </c>
      <c r="P282" s="62">
        <v>2000</v>
      </c>
      <c r="Q282" s="62">
        <v>2800</v>
      </c>
      <c r="R282" s="62">
        <v>3600</v>
      </c>
    </row>
    <row r="283" spans="1:18">
      <c r="A283" s="59">
        <v>219</v>
      </c>
      <c r="B283" t="s">
        <v>36</v>
      </c>
      <c r="C283">
        <f>VLOOKUP(A283,справочник!$A$2:$C$322,3,FALSE)</f>
        <v>228</v>
      </c>
      <c r="D283" t="str">
        <f>IFERROR(VLOOKUP(B283,справочник!$AF$2:$AF$15,1,FALSE),"")</f>
        <v/>
      </c>
      <c r="F283" t="s">
        <v>109</v>
      </c>
      <c r="G283" s="62">
        <v>800</v>
      </c>
      <c r="H283" s="62">
        <v>1600</v>
      </c>
      <c r="I283" s="62">
        <v>-600</v>
      </c>
      <c r="J283" s="62">
        <v>200</v>
      </c>
      <c r="K283" s="62">
        <v>1000</v>
      </c>
      <c r="L283" s="62">
        <v>-1200</v>
      </c>
      <c r="M283" s="62">
        <v>-400</v>
      </c>
      <c r="N283" s="62">
        <v>400</v>
      </c>
      <c r="O283" s="62">
        <v>1200</v>
      </c>
      <c r="P283" s="62">
        <v>2000</v>
      </c>
      <c r="Q283" s="62">
        <v>2800</v>
      </c>
      <c r="R283" s="62">
        <v>3600</v>
      </c>
    </row>
    <row r="284" spans="1:18">
      <c r="A284" s="59">
        <v>168</v>
      </c>
      <c r="B284" t="s">
        <v>290</v>
      </c>
      <c r="C284">
        <f>VLOOKUP(A284,справочник!$A$2:$C$322,3,FALSE)</f>
        <v>176</v>
      </c>
      <c r="D284" t="str">
        <f>IFERROR(VLOOKUP(B284,справочник!$AF$2:$AF$15,1,FALSE),"")</f>
        <v/>
      </c>
      <c r="F284" t="s">
        <v>13</v>
      </c>
      <c r="G284" s="62">
        <v>800</v>
      </c>
      <c r="H284" s="62">
        <v>-400</v>
      </c>
      <c r="I284" s="62">
        <v>400</v>
      </c>
      <c r="J284" s="62">
        <v>-800</v>
      </c>
      <c r="K284" s="62">
        <v>-2000</v>
      </c>
      <c r="L284" s="62">
        <v>-1200</v>
      </c>
      <c r="M284" s="62">
        <v>-400</v>
      </c>
      <c r="N284" s="62">
        <v>400</v>
      </c>
      <c r="O284" s="62">
        <v>1200</v>
      </c>
      <c r="P284" s="62">
        <v>2000</v>
      </c>
      <c r="Q284" s="62">
        <v>2800</v>
      </c>
      <c r="R284" s="62">
        <v>3600</v>
      </c>
    </row>
    <row r="285" spans="1:18">
      <c r="A285" s="59">
        <v>162</v>
      </c>
      <c r="B285" t="s">
        <v>260</v>
      </c>
      <c r="C285">
        <f>VLOOKUP(A285,справочник!$A$2:$C$322,3,FALSE)</f>
        <v>170</v>
      </c>
      <c r="D285" t="str">
        <f>IFERROR(VLOOKUP(B285,справочник!$AF$2:$AF$15,1,FALSE),"")</f>
        <v/>
      </c>
      <c r="F285" t="s">
        <v>13</v>
      </c>
      <c r="G285" s="62">
        <v>6800</v>
      </c>
      <c r="H285" s="62">
        <v>7600</v>
      </c>
      <c r="I285" s="62">
        <v>8400</v>
      </c>
      <c r="J285" s="62">
        <v>9200</v>
      </c>
      <c r="K285" s="62">
        <v>-2000</v>
      </c>
      <c r="L285" s="62">
        <v>-1200</v>
      </c>
      <c r="M285" s="62">
        <v>-400</v>
      </c>
      <c r="N285" s="62">
        <v>400</v>
      </c>
      <c r="O285" s="62">
        <v>1200</v>
      </c>
      <c r="P285" s="62">
        <v>2000</v>
      </c>
      <c r="Q285" s="62">
        <v>2800</v>
      </c>
      <c r="R285" s="62">
        <v>3600</v>
      </c>
    </row>
    <row r="286" spans="1:18">
      <c r="A286" s="59">
        <v>156</v>
      </c>
      <c r="B286" t="s">
        <v>98</v>
      </c>
      <c r="C286">
        <f>VLOOKUP(A286,справочник!$A$2:$C$322,3,FALSE)</f>
        <v>164</v>
      </c>
      <c r="D286" t="str">
        <f>IFERROR(VLOOKUP(B286,справочник!$AF$2:$AF$15,1,FALSE),"")</f>
        <v/>
      </c>
      <c r="F286" t="s">
        <v>13</v>
      </c>
      <c r="G286" s="62">
        <v>3800</v>
      </c>
      <c r="H286" s="62">
        <v>-400</v>
      </c>
      <c r="I286" s="62">
        <v>-600</v>
      </c>
      <c r="J286" s="62">
        <v>-800</v>
      </c>
      <c r="K286" s="62">
        <v>-1000</v>
      </c>
      <c r="L286" s="62">
        <v>-1200</v>
      </c>
      <c r="M286" s="62">
        <v>-400</v>
      </c>
      <c r="N286" s="62">
        <v>400</v>
      </c>
      <c r="O286" s="62">
        <v>1200</v>
      </c>
      <c r="P286" s="62">
        <v>2000</v>
      </c>
      <c r="Q286" s="62">
        <v>2800</v>
      </c>
      <c r="R286" s="62">
        <v>3600</v>
      </c>
    </row>
    <row r="287" spans="1:18">
      <c r="A287" s="59">
        <v>255</v>
      </c>
      <c r="B287" t="s">
        <v>266</v>
      </c>
      <c r="C287">
        <f>VLOOKUP(A287,справочник!$A$2:$C$322,3,FALSE)</f>
        <v>268</v>
      </c>
      <c r="D287" t="str">
        <f>IFERROR(VLOOKUP(B287,справочник!$AF$2:$AF$15,1,FALSE),"")</f>
        <v/>
      </c>
      <c r="F287" t="s">
        <v>146</v>
      </c>
      <c r="G287" s="62">
        <v>800</v>
      </c>
      <c r="H287" s="62">
        <v>1600</v>
      </c>
      <c r="I287" s="62">
        <v>-800</v>
      </c>
      <c r="J287" s="62">
        <v>0</v>
      </c>
      <c r="K287" s="62">
        <v>-2400</v>
      </c>
      <c r="L287" s="62">
        <v>-1600</v>
      </c>
      <c r="M287" s="62">
        <v>-800</v>
      </c>
      <c r="N287" s="62">
        <v>0</v>
      </c>
      <c r="O287" s="62">
        <v>800</v>
      </c>
      <c r="P287" s="62">
        <v>1600</v>
      </c>
      <c r="Q287" s="62">
        <v>2400</v>
      </c>
      <c r="R287" s="62">
        <v>3200</v>
      </c>
    </row>
    <row r="288" spans="1:18">
      <c r="A288" s="59">
        <v>76</v>
      </c>
      <c r="B288" t="s">
        <v>113</v>
      </c>
      <c r="C288">
        <f>VLOOKUP(A288,справочник!$A$2:$C$322,3,FALSE)</f>
        <v>82</v>
      </c>
      <c r="D288" t="str">
        <f>IFERROR(VLOOKUP(B288,справочник!$AF$2:$AF$15,1,FALSE),"")</f>
        <v/>
      </c>
      <c r="F288" t="s">
        <v>2</v>
      </c>
      <c r="G288" s="62">
        <v>-1200</v>
      </c>
      <c r="H288" s="62">
        <v>-2800</v>
      </c>
      <c r="I288" s="62">
        <v>-2000</v>
      </c>
      <c r="J288" s="62">
        <v>-3600</v>
      </c>
      <c r="K288" s="62">
        <v>-2800</v>
      </c>
      <c r="L288" s="62">
        <v>-2000</v>
      </c>
      <c r="M288" s="62">
        <v>-1200</v>
      </c>
      <c r="N288" s="62">
        <v>-400</v>
      </c>
      <c r="O288" s="62">
        <v>400</v>
      </c>
      <c r="P288" s="62">
        <v>1200</v>
      </c>
      <c r="Q288" s="62">
        <v>2000</v>
      </c>
      <c r="R288" s="62">
        <v>2800</v>
      </c>
    </row>
    <row r="289" spans="1:18">
      <c r="A289" s="59">
        <v>25</v>
      </c>
      <c r="B289" t="s">
        <v>49</v>
      </c>
      <c r="C289">
        <f>VLOOKUP(A289,справочник!$A$2:$C$322,3,FALSE)</f>
        <v>25</v>
      </c>
      <c r="D289" t="str">
        <f>IFERROR(VLOOKUP(B289,справочник!$AF$2:$AF$15,1,FALSE),"")</f>
        <v/>
      </c>
      <c r="F289" t="s">
        <v>90</v>
      </c>
      <c r="G289" s="62">
        <v>800</v>
      </c>
      <c r="H289" s="62">
        <v>1600</v>
      </c>
      <c r="I289" s="62">
        <v>-600</v>
      </c>
      <c r="J289" s="62">
        <v>200</v>
      </c>
      <c r="K289" s="62">
        <v>-2000</v>
      </c>
      <c r="L289" s="62">
        <v>-2000</v>
      </c>
      <c r="M289" s="62">
        <v>-1200</v>
      </c>
      <c r="N289" s="62">
        <v>-400</v>
      </c>
      <c r="O289" s="62">
        <v>400</v>
      </c>
      <c r="P289" s="62">
        <v>1200</v>
      </c>
      <c r="Q289" s="62">
        <v>2000</v>
      </c>
      <c r="R289" s="62">
        <v>2800</v>
      </c>
    </row>
    <row r="290" spans="1:18">
      <c r="A290" s="59">
        <v>236</v>
      </c>
      <c r="B290" t="s">
        <v>67</v>
      </c>
      <c r="C290">
        <f>VLOOKUP(A290,справочник!$A$2:$C$322,3,FALSE)</f>
        <v>245</v>
      </c>
      <c r="D290" t="str">
        <f>IFERROR(VLOOKUP(B290,справочник!$AF$2:$AF$15,1,FALSE),"")</f>
        <v/>
      </c>
      <c r="F290" t="s">
        <v>644</v>
      </c>
      <c r="G290" s="62">
        <v>18800</v>
      </c>
      <c r="H290" s="62">
        <v>19600</v>
      </c>
      <c r="I290" s="62">
        <v>20400</v>
      </c>
      <c r="J290" s="62">
        <v>21200</v>
      </c>
      <c r="K290" s="62">
        <v>-3000</v>
      </c>
      <c r="L290" s="62">
        <v>-2200</v>
      </c>
      <c r="M290" s="62">
        <v>-1400</v>
      </c>
      <c r="N290" s="62">
        <v>-600</v>
      </c>
      <c r="O290" s="62">
        <v>200</v>
      </c>
      <c r="P290" s="62">
        <v>1000</v>
      </c>
      <c r="Q290" s="62">
        <v>1800</v>
      </c>
      <c r="R290" s="62">
        <v>2600</v>
      </c>
    </row>
    <row r="291" spans="1:18">
      <c r="A291" s="59">
        <v>222</v>
      </c>
      <c r="B291" t="s">
        <v>109</v>
      </c>
      <c r="C291">
        <f>VLOOKUP(A291,справочник!$A$2:$C$322,3,FALSE)</f>
        <v>231</v>
      </c>
      <c r="D291" t="str">
        <f>IFERROR(VLOOKUP(B291,справочник!$AF$2:$AF$15,1,FALSE),"")</f>
        <v>Карпова Елена Витальевна</v>
      </c>
      <c r="F291" t="s">
        <v>109</v>
      </c>
      <c r="G291" s="62">
        <v>800</v>
      </c>
      <c r="H291" s="62">
        <v>-1600</v>
      </c>
      <c r="I291" s="62">
        <v>-800</v>
      </c>
      <c r="J291" s="62">
        <v>0</v>
      </c>
      <c r="K291" s="62">
        <v>-3200</v>
      </c>
      <c r="L291" s="62">
        <v>-2400</v>
      </c>
      <c r="M291" s="62">
        <v>-1600</v>
      </c>
      <c r="N291" s="62">
        <v>-800</v>
      </c>
      <c r="O291" s="62">
        <v>0</v>
      </c>
      <c r="P291" s="62">
        <v>800</v>
      </c>
      <c r="Q291" s="62">
        <v>1600</v>
      </c>
      <c r="R291" s="62">
        <v>2400</v>
      </c>
    </row>
    <row r="292" spans="1:18">
      <c r="A292" s="59">
        <v>170</v>
      </c>
      <c r="B292" t="s">
        <v>179</v>
      </c>
      <c r="C292">
        <f>VLOOKUP(A292,справочник!$A$2:$C$322,3,FALSE)</f>
        <v>179</v>
      </c>
      <c r="D292" t="str">
        <f>IFERROR(VLOOKUP(B292,справочник!$AF$2:$AF$15,1,FALSE),"")</f>
        <v/>
      </c>
      <c r="F292" t="s">
        <v>13</v>
      </c>
      <c r="G292" s="62">
        <v>-1600</v>
      </c>
      <c r="H292" s="62">
        <v>-800</v>
      </c>
      <c r="I292" s="62">
        <v>-2400</v>
      </c>
      <c r="J292" s="62">
        <v>-1600</v>
      </c>
      <c r="K292" s="62">
        <v>-800</v>
      </c>
      <c r="L292" s="62">
        <v>-2400</v>
      </c>
      <c r="M292" s="62">
        <v>-1600</v>
      </c>
      <c r="N292" s="62">
        <v>-800</v>
      </c>
      <c r="O292" s="62">
        <v>0</v>
      </c>
      <c r="P292" s="62">
        <v>800</v>
      </c>
      <c r="Q292" s="62">
        <v>1600</v>
      </c>
      <c r="R292" s="62">
        <v>2400</v>
      </c>
    </row>
    <row r="293" spans="1:18">
      <c r="A293" s="59">
        <v>55</v>
      </c>
      <c r="B293" t="s">
        <v>306</v>
      </c>
      <c r="C293">
        <f>VLOOKUP(A293,справочник!$A$2:$C$322,3,FALSE)</f>
        <v>57</v>
      </c>
      <c r="D293" t="str">
        <f>IFERROR(VLOOKUP(B293,справочник!$AF$2:$AF$15,1,FALSE),"")</f>
        <v/>
      </c>
      <c r="F293" t="s">
        <v>642</v>
      </c>
      <c r="G293" s="62">
        <v>-3200</v>
      </c>
      <c r="H293" s="62">
        <v>-2400</v>
      </c>
      <c r="I293" s="62">
        <v>-4800</v>
      </c>
      <c r="J293" s="62">
        <v>-4000</v>
      </c>
      <c r="K293" s="62">
        <v>-3200</v>
      </c>
      <c r="L293" s="62">
        <v>-2400</v>
      </c>
      <c r="M293" s="62">
        <v>-1600</v>
      </c>
      <c r="N293" s="62">
        <v>-800</v>
      </c>
      <c r="O293" s="62">
        <v>0</v>
      </c>
      <c r="P293" s="62">
        <v>800</v>
      </c>
      <c r="Q293" s="62">
        <v>1600</v>
      </c>
      <c r="R293" s="62">
        <v>2400</v>
      </c>
    </row>
    <row r="294" spans="1:18">
      <c r="A294" s="59">
        <v>274</v>
      </c>
      <c r="B294" t="s">
        <v>41</v>
      </c>
      <c r="C294">
        <f>VLOOKUP(A294,справочник!$A$2:$C$322,3,FALSE)</f>
        <v>295</v>
      </c>
      <c r="D294" t="str">
        <f>IFERROR(VLOOKUP(B294,справочник!$AF$2:$AF$15,1,FALSE),"")</f>
        <v/>
      </c>
      <c r="F294" t="s">
        <v>643</v>
      </c>
      <c r="G294" s="62">
        <v>20800</v>
      </c>
      <c r="H294" s="62">
        <v>21600</v>
      </c>
      <c r="I294" s="62">
        <v>20800</v>
      </c>
      <c r="J294" s="62">
        <v>21600</v>
      </c>
      <c r="K294" s="62">
        <v>22400</v>
      </c>
      <c r="L294" s="62">
        <v>-3600</v>
      </c>
      <c r="M294" s="62">
        <v>-2800</v>
      </c>
      <c r="N294" s="62">
        <v>-2000</v>
      </c>
      <c r="O294" s="62">
        <v>-1200</v>
      </c>
      <c r="P294" s="62">
        <v>-400</v>
      </c>
      <c r="Q294" s="62">
        <v>400</v>
      </c>
      <c r="R294" s="62">
        <v>1200</v>
      </c>
    </row>
    <row r="295" spans="1:18">
      <c r="A295" s="59">
        <v>243</v>
      </c>
      <c r="B295" t="s">
        <v>146</v>
      </c>
      <c r="C295">
        <f>VLOOKUP(A295,справочник!$A$2:$C$322,3,FALSE)</f>
        <v>254</v>
      </c>
      <c r="D295" t="str">
        <f>IFERROR(VLOOKUP(B295,справочник!$AF$2:$AF$15,1,FALSE),"")</f>
        <v>Лапшин Сергей Николаевич</v>
      </c>
      <c r="F295" t="s">
        <v>644</v>
      </c>
      <c r="G295" s="62">
        <v>1800</v>
      </c>
      <c r="H295" s="62">
        <v>-2200</v>
      </c>
      <c r="I295" s="62">
        <v>-1400</v>
      </c>
      <c r="J295" s="62">
        <v>-600</v>
      </c>
      <c r="K295" s="62">
        <v>200</v>
      </c>
      <c r="L295" s="62">
        <v>-3800</v>
      </c>
      <c r="M295" s="62">
        <v>-3000</v>
      </c>
      <c r="N295" s="62">
        <v>-2200</v>
      </c>
      <c r="O295" s="62">
        <v>-1400</v>
      </c>
      <c r="P295" s="62">
        <v>-600</v>
      </c>
      <c r="Q295" s="62">
        <v>200</v>
      </c>
      <c r="R295" s="62">
        <v>1000</v>
      </c>
    </row>
    <row r="296" spans="1:18">
      <c r="A296" s="59">
        <v>318</v>
      </c>
      <c r="B296" t="s">
        <v>66</v>
      </c>
      <c r="C296">
        <v>71</v>
      </c>
      <c r="D296" t="str">
        <f>IFERROR(VLOOKUP(B296,справочник!$AF$2:$AF$15,1,FALSE),"")</f>
        <v/>
      </c>
      <c r="F296" t="s">
        <v>181</v>
      </c>
      <c r="G296" s="62">
        <v>800</v>
      </c>
      <c r="H296" s="62">
        <v>-3200</v>
      </c>
      <c r="I296" s="62">
        <v>-2400</v>
      </c>
      <c r="J296" s="62">
        <v>-6400</v>
      </c>
      <c r="K296" s="62">
        <v>-5600</v>
      </c>
      <c r="L296" s="62">
        <v>-4800</v>
      </c>
      <c r="M296" s="62">
        <v>-4000</v>
      </c>
      <c r="N296" s="62">
        <v>-3200</v>
      </c>
      <c r="O296" s="62">
        <v>-2400</v>
      </c>
      <c r="P296" s="62">
        <v>-1600</v>
      </c>
      <c r="Q296" s="62">
        <v>-800</v>
      </c>
      <c r="R296" s="62">
        <v>0</v>
      </c>
    </row>
    <row r="297" spans="1:18">
      <c r="A297" s="59">
        <v>294</v>
      </c>
      <c r="B297" t="s">
        <v>57</v>
      </c>
      <c r="C297">
        <f>VLOOKUP(A297,справочник!$A$2:$C$322,3,FALSE)</f>
        <v>309</v>
      </c>
      <c r="D297" t="str">
        <f>IFERROR(VLOOKUP(B297,справочник!$AF$2:$AF$15,1,FALSE),"")</f>
        <v/>
      </c>
      <c r="F297" t="s">
        <v>103</v>
      </c>
      <c r="G297" s="62">
        <v>-8800</v>
      </c>
      <c r="H297" s="62">
        <v>-8000</v>
      </c>
      <c r="I297" s="62">
        <v>-7200</v>
      </c>
      <c r="J297" s="62">
        <v>-6400</v>
      </c>
      <c r="K297" s="62">
        <v>-5600</v>
      </c>
      <c r="L297" s="62">
        <v>-4800</v>
      </c>
      <c r="M297" s="62">
        <v>-4000</v>
      </c>
      <c r="N297" s="62">
        <v>-3200</v>
      </c>
      <c r="O297" s="62">
        <v>-2400</v>
      </c>
      <c r="P297" s="62">
        <v>-1600</v>
      </c>
      <c r="Q297" s="62">
        <v>-800</v>
      </c>
      <c r="R297" s="62">
        <v>0</v>
      </c>
    </row>
    <row r="298" spans="1:18">
      <c r="A298" s="59">
        <v>276</v>
      </c>
      <c r="B298" t="s">
        <v>62</v>
      </c>
      <c r="C298">
        <f>VLOOKUP(A298,справочник!$A$2:$C$322,3,FALSE)</f>
        <v>289</v>
      </c>
      <c r="D298" t="str">
        <f>IFERROR(VLOOKUP(B298,справочник!$AF$2:$AF$15,1,FALSE),"")</f>
        <v/>
      </c>
      <c r="F298" t="s">
        <v>643</v>
      </c>
      <c r="G298" s="62">
        <v>12800</v>
      </c>
      <c r="H298" s="62">
        <v>13600</v>
      </c>
      <c r="I298" s="62">
        <v>14400</v>
      </c>
      <c r="J298" s="62">
        <v>15200</v>
      </c>
      <c r="K298" s="62">
        <v>16000</v>
      </c>
      <c r="L298" s="62">
        <v>-4800</v>
      </c>
      <c r="M298" s="62">
        <v>-4000</v>
      </c>
      <c r="N298" s="62">
        <v>-3200</v>
      </c>
      <c r="O298" s="62">
        <v>-2400</v>
      </c>
      <c r="P298" s="62">
        <v>-1600</v>
      </c>
      <c r="Q298" s="62">
        <v>-800</v>
      </c>
      <c r="R298" s="62">
        <v>0</v>
      </c>
    </row>
    <row r="299" spans="1:18">
      <c r="A299" s="59">
        <v>319</v>
      </c>
      <c r="B299" t="s">
        <v>264</v>
      </c>
      <c r="C299">
        <v>73</v>
      </c>
      <c r="D299" t="str">
        <f>IFERROR(VLOOKUP(B299,справочник!$AF$2:$AF$15,1,FALSE),"")</f>
        <v/>
      </c>
      <c r="F299" t="s">
        <v>181</v>
      </c>
      <c r="G299" s="62">
        <v>800</v>
      </c>
      <c r="H299" s="62">
        <v>-400</v>
      </c>
      <c r="I299" s="62">
        <v>400</v>
      </c>
      <c r="J299" s="62">
        <v>-2800</v>
      </c>
      <c r="K299" s="62">
        <v>-6000</v>
      </c>
      <c r="L299" s="62">
        <v>-5200</v>
      </c>
      <c r="M299" s="62">
        <v>-4400</v>
      </c>
      <c r="N299" s="62">
        <v>-3600</v>
      </c>
      <c r="O299" s="62">
        <v>-2800</v>
      </c>
      <c r="P299" s="62">
        <v>-2000</v>
      </c>
      <c r="Q299" s="62">
        <v>-1200</v>
      </c>
      <c r="R299" s="62">
        <v>-400</v>
      </c>
    </row>
    <row r="300" spans="1:18">
      <c r="A300" s="59">
        <v>23</v>
      </c>
      <c r="B300" t="s">
        <v>289</v>
      </c>
      <c r="C300">
        <f>VLOOKUP(A300,справочник!$A$2:$C$322,3,FALSE)</f>
        <v>23</v>
      </c>
      <c r="D300" t="str">
        <f>IFERROR(VLOOKUP(B300,справочник!$AF$2:$AF$15,1,FALSE),"")</f>
        <v/>
      </c>
      <c r="F300" t="s">
        <v>90</v>
      </c>
      <c r="G300" s="62">
        <v>-10800</v>
      </c>
      <c r="H300" s="62">
        <v>-10000</v>
      </c>
      <c r="I300" s="62">
        <v>-9200</v>
      </c>
      <c r="J300" s="62">
        <v>-8400</v>
      </c>
      <c r="K300" s="62">
        <v>-7600</v>
      </c>
      <c r="L300" s="62">
        <v>-6800</v>
      </c>
      <c r="M300" s="62">
        <v>-6000</v>
      </c>
      <c r="N300" s="62">
        <v>-5200</v>
      </c>
      <c r="O300" s="62">
        <v>-4400</v>
      </c>
      <c r="P300" s="62">
        <v>-3600</v>
      </c>
      <c r="Q300" s="62">
        <v>-2800</v>
      </c>
      <c r="R300" s="62">
        <v>-2000</v>
      </c>
    </row>
    <row r="301" spans="1:18">
      <c r="A301" s="59">
        <v>286</v>
      </c>
      <c r="B301" t="s">
        <v>58</v>
      </c>
      <c r="C301">
        <f>VLOOKUP(A301,справочник!$A$2:$C$322,3,FALSE)</f>
        <v>298</v>
      </c>
      <c r="D301" t="str">
        <f>IFERROR(VLOOKUP(B301,справочник!$AF$2:$AF$15,1,FALSE),"")</f>
        <v/>
      </c>
      <c r="F301" t="s">
        <v>643</v>
      </c>
      <c r="G301" s="62">
        <v>800</v>
      </c>
      <c r="H301" s="62">
        <v>-6400</v>
      </c>
      <c r="I301" s="62">
        <v>-5600</v>
      </c>
      <c r="J301" s="62">
        <v>-4800</v>
      </c>
      <c r="K301" s="62">
        <v>-4000</v>
      </c>
      <c r="L301" s="62">
        <v>-7200</v>
      </c>
      <c r="M301" s="62">
        <v>-6400</v>
      </c>
      <c r="N301" s="62">
        <v>-5600</v>
      </c>
      <c r="O301" s="62">
        <v>-4800</v>
      </c>
      <c r="P301" s="62">
        <v>-4000</v>
      </c>
      <c r="Q301" s="62">
        <v>-3200</v>
      </c>
      <c r="R301" s="62">
        <v>-2400</v>
      </c>
    </row>
    <row r="302" spans="1:18">
      <c r="A302" s="59">
        <v>285</v>
      </c>
      <c r="B302" t="s">
        <v>69</v>
      </c>
      <c r="C302">
        <f>VLOOKUP(A302,справочник!$A$2:$C$322,3,FALSE)</f>
        <v>297</v>
      </c>
      <c r="D302" t="str">
        <f>IFERROR(VLOOKUP(B302,справочник!$AF$2:$AF$15,1,FALSE),"")</f>
        <v/>
      </c>
      <c r="F302" t="s">
        <v>643</v>
      </c>
      <c r="G302" s="62">
        <v>800</v>
      </c>
      <c r="H302" s="62">
        <v>-6400</v>
      </c>
      <c r="I302" s="62">
        <v>-5600</v>
      </c>
      <c r="J302" s="62">
        <v>-4800</v>
      </c>
      <c r="K302" s="62">
        <v>-4000</v>
      </c>
      <c r="L302" s="62">
        <v>-7200</v>
      </c>
      <c r="M302" s="62">
        <v>-6400</v>
      </c>
      <c r="N302" s="62">
        <v>-5600</v>
      </c>
      <c r="O302" s="62">
        <v>-4800</v>
      </c>
      <c r="P302" s="62">
        <v>-4000</v>
      </c>
      <c r="Q302" s="62">
        <v>-3200</v>
      </c>
      <c r="R302" s="62">
        <v>-2400</v>
      </c>
    </row>
    <row r="303" spans="1:18">
      <c r="A303" s="59">
        <v>16</v>
      </c>
      <c r="B303" t="s">
        <v>96</v>
      </c>
      <c r="C303">
        <f>VLOOKUP(A303,справочник!$A$2:$C$322,3,FALSE)</f>
        <v>16</v>
      </c>
      <c r="D303" t="str">
        <f>IFERROR(VLOOKUP(B303,справочник!$AF$2:$AF$15,1,FALSE),"")</f>
        <v/>
      </c>
      <c r="F303" t="s">
        <v>90</v>
      </c>
      <c r="G303" s="62">
        <v>800</v>
      </c>
      <c r="H303" s="62">
        <v>1600</v>
      </c>
      <c r="I303" s="62">
        <v>2400</v>
      </c>
      <c r="J303" s="62">
        <v>3200</v>
      </c>
      <c r="K303" s="62">
        <v>4000</v>
      </c>
      <c r="L303" s="62">
        <v>-7200</v>
      </c>
      <c r="M303" s="62">
        <v>-6400</v>
      </c>
      <c r="N303" s="62">
        <v>-5600</v>
      </c>
      <c r="O303" s="62">
        <v>-4800</v>
      </c>
      <c r="P303" s="62">
        <v>-4000</v>
      </c>
      <c r="Q303" s="62">
        <v>-3200</v>
      </c>
      <c r="R303" s="62">
        <v>-2400</v>
      </c>
    </row>
    <row r="304" spans="1:18">
      <c r="A304" s="59">
        <v>60</v>
      </c>
      <c r="B304" t="s">
        <v>276</v>
      </c>
      <c r="C304">
        <f>VLOOKUP(A304,справочник!$A$2:$C$322,3,FALSE)</f>
        <v>62</v>
      </c>
      <c r="D304" t="str">
        <f>IFERROR(VLOOKUP(B304,справочник!$AF$2:$AF$15,1,FALSE),"")</f>
        <v/>
      </c>
      <c r="F304" t="s">
        <v>181</v>
      </c>
      <c r="G304" s="62">
        <v>-12200</v>
      </c>
      <c r="H304" s="62">
        <v>-11400</v>
      </c>
      <c r="I304" s="62">
        <v>-10600</v>
      </c>
      <c r="J304" s="62">
        <v>-9800</v>
      </c>
      <c r="K304" s="62">
        <v>-9000</v>
      </c>
      <c r="L304" s="62">
        <v>-8200</v>
      </c>
      <c r="M304" s="62">
        <v>-7400</v>
      </c>
      <c r="N304" s="62">
        <v>-6600</v>
      </c>
      <c r="O304" s="62">
        <v>-5800</v>
      </c>
      <c r="P304" s="62">
        <v>-5000</v>
      </c>
      <c r="Q304" s="62">
        <v>-4200</v>
      </c>
      <c r="R304" s="62">
        <v>-3400</v>
      </c>
    </row>
    <row r="305" spans="1:18">
      <c r="A305" s="63">
        <v>320</v>
      </c>
      <c r="B305" s="65" t="s">
        <v>171</v>
      </c>
      <c r="C305">
        <f>VLOOKUP(A305,справочник!$A$2:$C$322,3,FALSE)</f>
        <v>0</v>
      </c>
      <c r="D305" t="str">
        <f>IFERROR(VLOOKUP(B305,справочник!$AF$2:$AF$15,1,FALSE),"")</f>
        <v/>
      </c>
      <c r="F305" t="e">
        <v>#N/A</v>
      </c>
      <c r="G305" s="67">
        <v>800</v>
      </c>
      <c r="H305" s="67">
        <v>1600</v>
      </c>
      <c r="I305" s="67">
        <v>2400</v>
      </c>
      <c r="J305" s="67">
        <v>-10000</v>
      </c>
      <c r="K305" s="67">
        <v>-9200</v>
      </c>
      <c r="L305" s="67">
        <v>-8400</v>
      </c>
      <c r="M305" s="67">
        <v>-7600</v>
      </c>
      <c r="N305" s="67">
        <v>-6800</v>
      </c>
      <c r="O305" s="67">
        <v>-6000</v>
      </c>
      <c r="P305" s="67">
        <v>-5200</v>
      </c>
      <c r="Q305" s="67">
        <v>-4400</v>
      </c>
      <c r="R305" s="67">
        <v>-3600</v>
      </c>
    </row>
  </sheetData>
  <autoFilter ref="A6:R305"/>
  <sortState ref="A4:R302">
    <sortCondition descending="1" ref="M4:M302"/>
  </sortState>
  <conditionalFormatting sqref="M8:M305">
    <cfRule type="cellIs" dxfId="132" priority="1" operator="lessThan">
      <formula>0</formula>
    </cfRule>
    <cfRule type="cellIs" dxfId="131" priority="2" operator="between">
      <formula>5000</formula>
      <formula>10000</formula>
    </cfRule>
    <cfRule type="cellIs" dxfId="130" priority="3" operator="greaterThan">
      <formula>10000</formula>
    </cfRule>
  </conditionalFormatting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2:H49"/>
  <sheetViews>
    <sheetView showGridLines="0" topLeftCell="A20" workbookViewId="0">
      <selection activeCell="A20" sqref="A1:XFD1048576"/>
    </sheetView>
  </sheetViews>
  <sheetFormatPr baseColWidth="10" defaultColWidth="8.83203125" defaultRowHeight="14" x14ac:dyDescent="0"/>
  <cols>
    <col min="1" max="1" width="34.5" bestFit="1" customWidth="1"/>
    <col min="2" max="2" width="39.6640625" bestFit="1" customWidth="1"/>
    <col min="3" max="3" width="40.83203125" customWidth="1"/>
    <col min="4" max="4" width="27.83203125" bestFit="1" customWidth="1"/>
    <col min="5" max="5" width="36.1640625" bestFit="1" customWidth="1"/>
    <col min="6" max="6" width="27.1640625" customWidth="1"/>
    <col min="7" max="7" width="18.1640625" customWidth="1"/>
    <col min="8" max="8" width="19.33203125" customWidth="1"/>
  </cols>
  <sheetData>
    <row r="2" spans="1:4" s="72" customFormat="1">
      <c r="A2" s="72" t="s">
        <v>697</v>
      </c>
    </row>
    <row r="3" spans="1:4">
      <c r="A3" s="82" t="s">
        <v>639</v>
      </c>
      <c r="B3" s="83" t="s">
        <v>617</v>
      </c>
      <c r="C3" s="84" t="s">
        <v>1</v>
      </c>
      <c r="D3" s="84" t="s">
        <v>633</v>
      </c>
    </row>
    <row r="4" spans="1:4">
      <c r="A4" s="41">
        <v>3</v>
      </c>
      <c r="B4" s="41">
        <v>3</v>
      </c>
      <c r="C4" t="s">
        <v>148</v>
      </c>
      <c r="D4" s="62">
        <v>27400</v>
      </c>
    </row>
    <row r="5" spans="1:4">
      <c r="A5" s="41">
        <v>45</v>
      </c>
      <c r="B5" s="41">
        <v>45</v>
      </c>
      <c r="C5" t="s">
        <v>262</v>
      </c>
      <c r="D5" s="62">
        <v>0</v>
      </c>
    </row>
    <row r="6" spans="1:4">
      <c r="A6" s="41">
        <v>68</v>
      </c>
      <c r="B6" s="41">
        <v>66</v>
      </c>
      <c r="C6" t="s">
        <v>91</v>
      </c>
      <c r="D6" s="62">
        <v>8620</v>
      </c>
    </row>
    <row r="7" spans="1:4">
      <c r="A7" s="41">
        <v>84</v>
      </c>
      <c r="B7" s="41">
        <v>79</v>
      </c>
      <c r="C7" t="s">
        <v>2</v>
      </c>
      <c r="D7" s="62">
        <v>4000</v>
      </c>
    </row>
    <row r="8" spans="1:4">
      <c r="A8" s="41">
        <v>86</v>
      </c>
      <c r="B8" s="41">
        <v>81</v>
      </c>
      <c r="C8" t="s">
        <v>181</v>
      </c>
      <c r="D8" s="62">
        <v>0</v>
      </c>
    </row>
    <row r="9" spans="1:4">
      <c r="A9" s="41">
        <v>132</v>
      </c>
      <c r="B9" s="41">
        <v>127</v>
      </c>
      <c r="C9" t="s">
        <v>90</v>
      </c>
      <c r="D9" s="62">
        <v>2400</v>
      </c>
    </row>
    <row r="10" spans="1:4">
      <c r="A10" s="41">
        <v>137</v>
      </c>
      <c r="B10" s="41">
        <v>130</v>
      </c>
      <c r="C10" t="s">
        <v>13</v>
      </c>
      <c r="D10" s="62">
        <v>2400</v>
      </c>
    </row>
    <row r="11" spans="1:4">
      <c r="A11" s="41">
        <v>192</v>
      </c>
      <c r="B11" s="41">
        <v>183</v>
      </c>
      <c r="C11" t="s">
        <v>247</v>
      </c>
      <c r="D11" s="62">
        <v>7757</v>
      </c>
    </row>
    <row r="12" spans="1:4">
      <c r="A12" s="41">
        <v>231</v>
      </c>
      <c r="B12" s="41">
        <v>222</v>
      </c>
      <c r="C12" t="s">
        <v>109</v>
      </c>
      <c r="D12" s="62">
        <v>-800</v>
      </c>
    </row>
    <row r="13" spans="1:4">
      <c r="A13" s="41">
        <v>232</v>
      </c>
      <c r="B13" s="41">
        <v>223</v>
      </c>
      <c r="C13" t="s">
        <v>37</v>
      </c>
      <c r="D13" s="62">
        <v>7400</v>
      </c>
    </row>
    <row r="14" spans="1:4">
      <c r="A14" s="41">
        <v>243</v>
      </c>
      <c r="B14" s="41">
        <v>234</v>
      </c>
      <c r="C14" t="s">
        <v>84</v>
      </c>
      <c r="D14" s="62">
        <v>1600</v>
      </c>
    </row>
    <row r="15" spans="1:4">
      <c r="A15" s="41">
        <v>254</v>
      </c>
      <c r="B15" s="41">
        <v>243</v>
      </c>
      <c r="C15" t="s">
        <v>146</v>
      </c>
      <c r="D15" s="62">
        <v>-2200</v>
      </c>
    </row>
    <row r="16" spans="1:4">
      <c r="A16" s="41">
        <v>303</v>
      </c>
      <c r="B16" s="41">
        <v>290</v>
      </c>
      <c r="C16" t="s">
        <v>180</v>
      </c>
      <c r="D16" s="62">
        <v>1400</v>
      </c>
    </row>
    <row r="17" spans="1:8">
      <c r="A17" s="41">
        <v>310</v>
      </c>
      <c r="B17" s="41">
        <v>295</v>
      </c>
      <c r="C17" t="s">
        <v>103</v>
      </c>
      <c r="D17" s="62">
        <v>8250</v>
      </c>
    </row>
    <row r="18" spans="1:8">
      <c r="A18" s="41">
        <v>133</v>
      </c>
      <c r="B18" s="41">
        <v>310</v>
      </c>
      <c r="C18" t="s">
        <v>239</v>
      </c>
      <c r="D18" s="62">
        <v>21675</v>
      </c>
    </row>
    <row r="19" spans="1:8">
      <c r="A19" s="41"/>
      <c r="B19" s="41"/>
      <c r="D19" s="62">
        <f>SUM(D16:D18,D14,D13,D4:D11)</f>
        <v>92902</v>
      </c>
    </row>
    <row r="21" spans="1:8">
      <c r="A21" t="s">
        <v>700</v>
      </c>
    </row>
    <row r="22" spans="1:8">
      <c r="A22" s="82" t="s">
        <v>640</v>
      </c>
      <c r="B22" s="86" t="s">
        <v>676</v>
      </c>
      <c r="C22" s="82" t="s">
        <v>639</v>
      </c>
      <c r="D22" s="83" t="s">
        <v>617</v>
      </c>
      <c r="E22" s="84" t="s">
        <v>1</v>
      </c>
      <c r="F22" s="84" t="s">
        <v>633</v>
      </c>
      <c r="G22" s="85" t="s">
        <v>695</v>
      </c>
      <c r="H22" s="85" t="s">
        <v>696</v>
      </c>
    </row>
    <row r="23" spans="1:8">
      <c r="A23" t="s">
        <v>90</v>
      </c>
      <c r="B23" t="s">
        <v>647</v>
      </c>
      <c r="C23" s="41">
        <v>3</v>
      </c>
      <c r="D23" s="41">
        <v>3</v>
      </c>
      <c r="E23" t="s">
        <v>148</v>
      </c>
      <c r="F23" s="62">
        <v>27400</v>
      </c>
      <c r="G23" t="s">
        <v>148</v>
      </c>
      <c r="H23" t="s">
        <v>646</v>
      </c>
    </row>
    <row r="24" spans="1:8">
      <c r="A24" t="s">
        <v>90</v>
      </c>
      <c r="B24" t="s">
        <v>652</v>
      </c>
      <c r="C24" s="41">
        <v>14</v>
      </c>
      <c r="D24" s="41">
        <v>7</v>
      </c>
      <c r="E24" t="s">
        <v>14</v>
      </c>
      <c r="F24" s="62">
        <v>45400</v>
      </c>
      <c r="G24" t="s">
        <v>691</v>
      </c>
      <c r="H24" t="s">
        <v>646</v>
      </c>
    </row>
    <row r="25" spans="1:8">
      <c r="A25" t="s">
        <v>90</v>
      </c>
      <c r="B25" t="s">
        <v>649</v>
      </c>
      <c r="C25" s="41">
        <v>11</v>
      </c>
      <c r="D25" s="41">
        <v>11</v>
      </c>
      <c r="E25" t="s">
        <v>30</v>
      </c>
      <c r="F25" s="62">
        <v>18400</v>
      </c>
      <c r="G25" t="s">
        <v>691</v>
      </c>
      <c r="H25" t="s">
        <v>650</v>
      </c>
    </row>
    <row r="26" spans="1:8">
      <c r="A26" t="s">
        <v>90</v>
      </c>
      <c r="B26" t="s">
        <v>651</v>
      </c>
      <c r="C26" s="41">
        <v>12</v>
      </c>
      <c r="D26" s="41">
        <v>12</v>
      </c>
      <c r="E26" t="s">
        <v>94</v>
      </c>
      <c r="F26" s="62">
        <v>28400</v>
      </c>
      <c r="G26" t="s">
        <v>691</v>
      </c>
      <c r="H26" t="s">
        <v>646</v>
      </c>
    </row>
    <row r="27" spans="1:8">
      <c r="A27" t="s">
        <v>642</v>
      </c>
      <c r="B27" t="s">
        <v>656</v>
      </c>
      <c r="C27" s="41">
        <v>43</v>
      </c>
      <c r="D27" s="41">
        <v>43</v>
      </c>
      <c r="E27" t="s">
        <v>48</v>
      </c>
      <c r="F27" s="62">
        <v>25400</v>
      </c>
      <c r="G27" t="s">
        <v>691</v>
      </c>
      <c r="H27" t="s">
        <v>655</v>
      </c>
    </row>
    <row r="28" spans="1:8">
      <c r="A28" t="s">
        <v>247</v>
      </c>
      <c r="B28" t="s">
        <v>664</v>
      </c>
      <c r="C28" s="41">
        <v>197</v>
      </c>
      <c r="D28" s="41">
        <v>188</v>
      </c>
      <c r="E28" t="s">
        <v>35</v>
      </c>
      <c r="F28" s="62">
        <v>40400</v>
      </c>
      <c r="G28" t="s">
        <v>691</v>
      </c>
      <c r="H28" t="s">
        <v>659</v>
      </c>
    </row>
    <row r="29" spans="1:8">
      <c r="A29" t="s">
        <v>247</v>
      </c>
      <c r="B29" t="s">
        <v>665</v>
      </c>
      <c r="C29" s="41">
        <v>198</v>
      </c>
      <c r="D29" s="41">
        <v>190</v>
      </c>
      <c r="E29" t="s">
        <v>130</v>
      </c>
      <c r="F29" s="62">
        <v>21600</v>
      </c>
      <c r="G29" t="s">
        <v>691</v>
      </c>
      <c r="H29" t="s">
        <v>655</v>
      </c>
    </row>
    <row r="30" spans="1:8">
      <c r="A30" t="s">
        <v>37</v>
      </c>
      <c r="B30" t="s">
        <v>678</v>
      </c>
      <c r="C30" s="41">
        <v>216</v>
      </c>
      <c r="D30" s="41">
        <v>206</v>
      </c>
      <c r="E30" t="s">
        <v>45</v>
      </c>
      <c r="F30" s="62">
        <v>15400</v>
      </c>
      <c r="G30" t="s">
        <v>691</v>
      </c>
      <c r="H30" t="s">
        <v>660</v>
      </c>
    </row>
    <row r="31" spans="1:8">
      <c r="A31" t="s">
        <v>109</v>
      </c>
      <c r="B31" t="s">
        <v>666</v>
      </c>
      <c r="C31" s="41">
        <v>227</v>
      </c>
      <c r="D31" s="41">
        <v>218</v>
      </c>
      <c r="E31" t="s">
        <v>176</v>
      </c>
      <c r="F31" s="62">
        <v>14400</v>
      </c>
      <c r="G31" t="s">
        <v>691</v>
      </c>
      <c r="H31" t="s">
        <v>660</v>
      </c>
    </row>
    <row r="32" spans="1:8">
      <c r="A32" t="s">
        <v>146</v>
      </c>
      <c r="B32" t="s">
        <v>667</v>
      </c>
      <c r="C32" s="41">
        <v>278</v>
      </c>
      <c r="D32" s="41">
        <v>265</v>
      </c>
      <c r="E32" s="74" t="s">
        <v>120</v>
      </c>
      <c r="F32" s="62">
        <v>23400</v>
      </c>
      <c r="G32" t="s">
        <v>691</v>
      </c>
      <c r="H32" t="s">
        <v>660</v>
      </c>
    </row>
    <row r="33" spans="1:8">
      <c r="A33" t="s">
        <v>146</v>
      </c>
      <c r="B33" t="s">
        <v>668</v>
      </c>
      <c r="C33" s="41">
        <v>279</v>
      </c>
      <c r="D33" s="41">
        <v>266</v>
      </c>
      <c r="E33" t="s">
        <v>139</v>
      </c>
      <c r="F33" s="62">
        <v>17400</v>
      </c>
      <c r="G33" t="s">
        <v>691</v>
      </c>
      <c r="H33" t="s">
        <v>660</v>
      </c>
    </row>
    <row r="34" spans="1:8">
      <c r="A34" t="s">
        <v>103</v>
      </c>
      <c r="B34" t="s">
        <v>671</v>
      </c>
      <c r="C34" s="41">
        <v>324</v>
      </c>
      <c r="D34" s="41">
        <v>309</v>
      </c>
      <c r="E34" t="s">
        <v>307</v>
      </c>
      <c r="F34" s="62">
        <v>28400</v>
      </c>
      <c r="G34" t="s">
        <v>691</v>
      </c>
      <c r="H34" t="s">
        <v>655</v>
      </c>
    </row>
    <row r="38" spans="1:8">
      <c r="A38" t="s">
        <v>701</v>
      </c>
    </row>
    <row r="39" spans="1:8">
      <c r="A39" s="82" t="s">
        <v>640</v>
      </c>
      <c r="B39" s="86" t="s">
        <v>676</v>
      </c>
      <c r="C39" s="82" t="s">
        <v>639</v>
      </c>
      <c r="D39" s="83" t="s">
        <v>617</v>
      </c>
      <c r="E39" s="84" t="s">
        <v>1</v>
      </c>
      <c r="F39" s="84" t="s">
        <v>633</v>
      </c>
      <c r="G39" s="85" t="s">
        <v>695</v>
      </c>
      <c r="H39" s="85" t="s">
        <v>696</v>
      </c>
    </row>
    <row r="40" spans="1:8">
      <c r="A40" s="84" t="s">
        <v>90</v>
      </c>
      <c r="B40" s="84" t="s">
        <v>653</v>
      </c>
      <c r="C40" s="83">
        <v>26</v>
      </c>
      <c r="D40" s="83">
        <v>26</v>
      </c>
      <c r="E40" s="84" t="s">
        <v>191</v>
      </c>
      <c r="F40" s="87">
        <v>58400</v>
      </c>
      <c r="G40" s="84" t="s">
        <v>691</v>
      </c>
      <c r="H40" s="84" t="s">
        <v>648</v>
      </c>
    </row>
    <row r="41" spans="1:8">
      <c r="A41" s="84" t="s">
        <v>90</v>
      </c>
      <c r="B41" s="84" t="s">
        <v>654</v>
      </c>
      <c r="C41" s="83">
        <v>30</v>
      </c>
      <c r="D41" s="83">
        <v>30</v>
      </c>
      <c r="E41" s="84" t="s">
        <v>117</v>
      </c>
      <c r="F41" s="87">
        <v>53400</v>
      </c>
      <c r="G41" s="84" t="s">
        <v>691</v>
      </c>
      <c r="H41" s="84" t="s">
        <v>694</v>
      </c>
    </row>
    <row r="42" spans="1:8">
      <c r="A42" s="84" t="s">
        <v>642</v>
      </c>
      <c r="B42" s="84" t="s">
        <v>657</v>
      </c>
      <c r="C42" s="83">
        <v>58</v>
      </c>
      <c r="D42" s="83">
        <v>56</v>
      </c>
      <c r="E42" s="84" t="s">
        <v>144</v>
      </c>
      <c r="F42" s="87">
        <v>59400</v>
      </c>
      <c r="G42" s="84" t="s">
        <v>691</v>
      </c>
      <c r="H42" s="84">
        <v>0</v>
      </c>
    </row>
    <row r="43" spans="1:8">
      <c r="A43" s="84" t="s">
        <v>181</v>
      </c>
      <c r="B43" s="84" t="s">
        <v>658</v>
      </c>
      <c r="C43" s="83">
        <v>69</v>
      </c>
      <c r="D43" s="83">
        <v>67</v>
      </c>
      <c r="E43" s="84" t="s">
        <v>230</v>
      </c>
      <c r="F43" s="87">
        <v>50400</v>
      </c>
      <c r="G43" s="84" t="s">
        <v>691</v>
      </c>
      <c r="H43" s="84" t="s">
        <v>698</v>
      </c>
    </row>
    <row r="44" spans="1:8">
      <c r="A44" s="84" t="s">
        <v>641</v>
      </c>
      <c r="B44" s="84" t="s">
        <v>661</v>
      </c>
      <c r="C44" s="83">
        <v>153</v>
      </c>
      <c r="D44" s="83">
        <v>144</v>
      </c>
      <c r="E44" s="84" t="s">
        <v>217</v>
      </c>
      <c r="F44" s="87">
        <v>108400</v>
      </c>
      <c r="G44" s="84" t="s">
        <v>691</v>
      </c>
      <c r="H44" s="84">
        <v>0</v>
      </c>
    </row>
    <row r="45" spans="1:8">
      <c r="A45" s="84" t="s">
        <v>13</v>
      </c>
      <c r="B45" s="84" t="s">
        <v>662</v>
      </c>
      <c r="C45" s="83">
        <v>157</v>
      </c>
      <c r="D45" s="83">
        <v>149</v>
      </c>
      <c r="E45" s="84" t="s">
        <v>116</v>
      </c>
      <c r="F45" s="87">
        <v>53400</v>
      </c>
      <c r="G45" s="84" t="s">
        <v>691</v>
      </c>
      <c r="H45" s="84">
        <v>0</v>
      </c>
    </row>
    <row r="46" spans="1:8">
      <c r="A46" s="84" t="s">
        <v>247</v>
      </c>
      <c r="B46" s="84" t="s">
        <v>663</v>
      </c>
      <c r="C46" s="83">
        <v>181</v>
      </c>
      <c r="D46" s="83">
        <v>173</v>
      </c>
      <c r="E46" s="84" t="s">
        <v>121</v>
      </c>
      <c r="F46" s="87">
        <v>57400</v>
      </c>
      <c r="G46" s="84" t="s">
        <v>691</v>
      </c>
      <c r="H46" s="84">
        <v>0</v>
      </c>
    </row>
    <row r="47" spans="1:8">
      <c r="A47" s="84" t="s">
        <v>37</v>
      </c>
      <c r="B47" s="84">
        <v>0</v>
      </c>
      <c r="C47" s="83">
        <v>208</v>
      </c>
      <c r="D47" s="83">
        <v>199</v>
      </c>
      <c r="E47" s="84" t="s">
        <v>155</v>
      </c>
      <c r="F47" s="87">
        <v>92400</v>
      </c>
      <c r="G47" s="84" t="s">
        <v>691</v>
      </c>
      <c r="H47" s="84" t="s">
        <v>699</v>
      </c>
    </row>
    <row r="48" spans="1:8">
      <c r="A48" s="84" t="s">
        <v>643</v>
      </c>
      <c r="B48" s="84" t="s">
        <v>669</v>
      </c>
      <c r="C48" s="83">
        <v>290</v>
      </c>
      <c r="D48" s="83">
        <v>278</v>
      </c>
      <c r="E48" s="84" t="s">
        <v>231</v>
      </c>
      <c r="F48" s="87">
        <v>54400</v>
      </c>
      <c r="G48" s="84" t="s">
        <v>691</v>
      </c>
      <c r="H48" s="84">
        <v>0</v>
      </c>
    </row>
    <row r="49" spans="1:8">
      <c r="A49" s="84" t="s">
        <v>103</v>
      </c>
      <c r="B49" s="84" t="s">
        <v>670</v>
      </c>
      <c r="C49" s="83">
        <v>311</v>
      </c>
      <c r="D49" s="83">
        <v>296</v>
      </c>
      <c r="E49" s="84" t="s">
        <v>24</v>
      </c>
      <c r="F49" s="87">
        <v>50400</v>
      </c>
      <c r="G49" s="84" t="s">
        <v>691</v>
      </c>
      <c r="H49" s="84">
        <v>0</v>
      </c>
    </row>
  </sheetData>
  <conditionalFormatting sqref="D4">
    <cfRule type="cellIs" dxfId="129" priority="97" operator="lessThan">
      <formula>0</formula>
    </cfRule>
    <cfRule type="cellIs" dxfId="128" priority="98" operator="between">
      <formula>5000</formula>
      <formula>10000</formula>
    </cfRule>
    <cfRule type="cellIs" dxfId="127" priority="99" operator="greaterThan">
      <formula>10000</formula>
    </cfRule>
  </conditionalFormatting>
  <conditionalFormatting sqref="D5">
    <cfRule type="cellIs" dxfId="126" priority="94" operator="lessThan">
      <formula>0</formula>
    </cfRule>
    <cfRule type="cellIs" dxfId="125" priority="95" operator="between">
      <formula>5000</formula>
      <formula>10000</formula>
    </cfRule>
    <cfRule type="cellIs" dxfId="124" priority="96" operator="greaterThan">
      <formula>10000</formula>
    </cfRule>
  </conditionalFormatting>
  <conditionalFormatting sqref="D6">
    <cfRule type="cellIs" dxfId="123" priority="91" operator="lessThan">
      <formula>0</formula>
    </cfRule>
    <cfRule type="cellIs" dxfId="122" priority="92" operator="between">
      <formula>5000</formula>
      <formula>10000</formula>
    </cfRule>
    <cfRule type="cellIs" dxfId="121" priority="93" operator="greaterThan">
      <formula>10000</formula>
    </cfRule>
  </conditionalFormatting>
  <conditionalFormatting sqref="D7">
    <cfRule type="cellIs" dxfId="120" priority="88" operator="lessThan">
      <formula>0</formula>
    </cfRule>
    <cfRule type="cellIs" dxfId="119" priority="89" operator="between">
      <formula>5000</formula>
      <formula>10000</formula>
    </cfRule>
    <cfRule type="cellIs" dxfId="118" priority="90" operator="greaterThan">
      <formula>10000</formula>
    </cfRule>
  </conditionalFormatting>
  <conditionalFormatting sqref="D8">
    <cfRule type="cellIs" dxfId="117" priority="85" operator="lessThan">
      <formula>0</formula>
    </cfRule>
    <cfRule type="cellIs" dxfId="116" priority="86" operator="between">
      <formula>5000</formula>
      <formula>10000</formula>
    </cfRule>
    <cfRule type="cellIs" dxfId="115" priority="87" operator="greaterThan">
      <formula>10000</formula>
    </cfRule>
  </conditionalFormatting>
  <conditionalFormatting sqref="D9">
    <cfRule type="cellIs" dxfId="114" priority="82" operator="lessThan">
      <formula>0</formula>
    </cfRule>
    <cfRule type="cellIs" dxfId="113" priority="83" operator="between">
      <formula>5000</formula>
      <formula>10000</formula>
    </cfRule>
    <cfRule type="cellIs" dxfId="112" priority="84" operator="greaterThan">
      <formula>10000</formula>
    </cfRule>
  </conditionalFormatting>
  <conditionalFormatting sqref="D10">
    <cfRule type="cellIs" dxfId="111" priority="79" operator="lessThan">
      <formula>0</formula>
    </cfRule>
    <cfRule type="cellIs" dxfId="110" priority="80" operator="between">
      <formula>5000</formula>
      <formula>10000</formula>
    </cfRule>
    <cfRule type="cellIs" dxfId="109" priority="81" operator="greaterThan">
      <formula>10000</formula>
    </cfRule>
  </conditionalFormatting>
  <conditionalFormatting sqref="D11">
    <cfRule type="cellIs" dxfId="108" priority="76" operator="lessThan">
      <formula>0</formula>
    </cfRule>
    <cfRule type="cellIs" dxfId="107" priority="77" operator="between">
      <formula>5000</formula>
      <formula>10000</formula>
    </cfRule>
    <cfRule type="cellIs" dxfId="106" priority="78" operator="greaterThan">
      <formula>10000</formula>
    </cfRule>
  </conditionalFormatting>
  <conditionalFormatting sqref="D12:D13">
    <cfRule type="cellIs" dxfId="105" priority="73" operator="lessThan">
      <formula>0</formula>
    </cfRule>
    <cfRule type="cellIs" dxfId="104" priority="74" operator="between">
      <formula>5000</formula>
      <formula>10000</formula>
    </cfRule>
    <cfRule type="cellIs" dxfId="103" priority="75" operator="greaterThan">
      <formula>10000</formula>
    </cfRule>
  </conditionalFormatting>
  <conditionalFormatting sqref="D14">
    <cfRule type="cellIs" dxfId="102" priority="70" operator="lessThan">
      <formula>0</formula>
    </cfRule>
    <cfRule type="cellIs" dxfId="101" priority="71" operator="between">
      <formula>5000</formula>
      <formula>10000</formula>
    </cfRule>
    <cfRule type="cellIs" dxfId="100" priority="72" operator="greaterThan">
      <formula>10000</formula>
    </cfRule>
  </conditionalFormatting>
  <conditionalFormatting sqref="D15">
    <cfRule type="cellIs" dxfId="99" priority="67" operator="lessThan">
      <formula>0</formula>
    </cfRule>
    <cfRule type="cellIs" dxfId="98" priority="68" operator="between">
      <formula>5000</formula>
      <formula>10000</formula>
    </cfRule>
    <cfRule type="cellIs" dxfId="97" priority="69" operator="greaterThan">
      <formula>10000</formula>
    </cfRule>
  </conditionalFormatting>
  <conditionalFormatting sqref="D16">
    <cfRule type="cellIs" dxfId="96" priority="64" operator="lessThan">
      <formula>0</formula>
    </cfRule>
    <cfRule type="cellIs" dxfId="95" priority="65" operator="between">
      <formula>5000</formula>
      <formula>10000</formula>
    </cfRule>
    <cfRule type="cellIs" dxfId="94" priority="66" operator="greaterThan">
      <formula>10000</formula>
    </cfRule>
  </conditionalFormatting>
  <conditionalFormatting sqref="D17">
    <cfRule type="cellIs" dxfId="93" priority="61" operator="lessThan">
      <formula>0</formula>
    </cfRule>
    <cfRule type="cellIs" dxfId="92" priority="62" operator="between">
      <formula>5000</formula>
      <formula>10000</formula>
    </cfRule>
    <cfRule type="cellIs" dxfId="91" priority="63" operator="greaterThan">
      <formula>10000</formula>
    </cfRule>
  </conditionalFormatting>
  <conditionalFormatting sqref="D18">
    <cfRule type="cellIs" dxfId="90" priority="58" operator="lessThan">
      <formula>0</formula>
    </cfRule>
    <cfRule type="cellIs" dxfId="89" priority="59" operator="between">
      <formula>5000</formula>
      <formula>10000</formula>
    </cfRule>
    <cfRule type="cellIs" dxfId="88" priority="60" operator="greaterThan">
      <formula>10000</formula>
    </cfRule>
  </conditionalFormatting>
  <conditionalFormatting sqref="F23">
    <cfRule type="cellIs" dxfId="87" priority="55" operator="lessThan">
      <formula>0</formula>
    </cfRule>
    <cfRule type="cellIs" dxfId="86" priority="56" operator="between">
      <formula>5000</formula>
      <formula>10000</formula>
    </cfRule>
    <cfRule type="cellIs" dxfId="85" priority="57" operator="greaterThan">
      <formula>10000</formula>
    </cfRule>
  </conditionalFormatting>
  <conditionalFormatting sqref="F24">
    <cfRule type="cellIs" dxfId="84" priority="52" operator="lessThan">
      <formula>0</formula>
    </cfRule>
    <cfRule type="cellIs" dxfId="83" priority="53" operator="between">
      <formula>5000</formula>
      <formula>10000</formula>
    </cfRule>
    <cfRule type="cellIs" dxfId="82" priority="54" operator="greaterThan">
      <formula>10000</formula>
    </cfRule>
  </conditionalFormatting>
  <conditionalFormatting sqref="F25:F26">
    <cfRule type="cellIs" dxfId="81" priority="49" operator="lessThan">
      <formula>0</formula>
    </cfRule>
    <cfRule type="cellIs" dxfId="80" priority="50" operator="between">
      <formula>5000</formula>
      <formula>10000</formula>
    </cfRule>
    <cfRule type="cellIs" dxfId="79" priority="51" operator="greaterThan">
      <formula>10000</formula>
    </cfRule>
  </conditionalFormatting>
  <conditionalFormatting sqref="F27">
    <cfRule type="cellIs" dxfId="78" priority="46" operator="lessThan">
      <formula>0</formula>
    </cfRule>
    <cfRule type="cellIs" dxfId="77" priority="47" operator="between">
      <formula>5000</formula>
      <formula>10000</formula>
    </cfRule>
    <cfRule type="cellIs" dxfId="76" priority="48" operator="greaterThan">
      <formula>10000</formula>
    </cfRule>
  </conditionalFormatting>
  <conditionalFormatting sqref="F28:F29">
    <cfRule type="cellIs" dxfId="75" priority="43" operator="lessThan">
      <formula>0</formula>
    </cfRule>
    <cfRule type="cellIs" dxfId="74" priority="44" operator="between">
      <formula>5000</formula>
      <formula>10000</formula>
    </cfRule>
    <cfRule type="cellIs" dxfId="73" priority="45" operator="greaterThan">
      <formula>10000</formula>
    </cfRule>
  </conditionalFormatting>
  <conditionalFormatting sqref="F30">
    <cfRule type="cellIs" dxfId="72" priority="40" operator="lessThan">
      <formula>0</formula>
    </cfRule>
    <cfRule type="cellIs" dxfId="71" priority="41" operator="between">
      <formula>5000</formula>
      <formula>10000</formula>
    </cfRule>
    <cfRule type="cellIs" dxfId="70" priority="42" operator="greaterThan">
      <formula>10000</formula>
    </cfRule>
  </conditionalFormatting>
  <conditionalFormatting sqref="F31">
    <cfRule type="cellIs" dxfId="69" priority="37" operator="lessThan">
      <formula>0</formula>
    </cfRule>
    <cfRule type="cellIs" dxfId="68" priority="38" operator="between">
      <formula>5000</formula>
      <formula>10000</formula>
    </cfRule>
    <cfRule type="cellIs" dxfId="67" priority="39" operator="greaterThan">
      <formula>10000</formula>
    </cfRule>
  </conditionalFormatting>
  <conditionalFormatting sqref="F32:F33">
    <cfRule type="cellIs" dxfId="66" priority="34" operator="lessThan">
      <formula>0</formula>
    </cfRule>
    <cfRule type="cellIs" dxfId="65" priority="35" operator="between">
      <formula>5000</formula>
      <formula>10000</formula>
    </cfRule>
    <cfRule type="cellIs" dxfId="64" priority="36" operator="greaterThan">
      <formula>10000</formula>
    </cfRule>
  </conditionalFormatting>
  <conditionalFormatting sqref="F34">
    <cfRule type="cellIs" dxfId="63" priority="31" operator="lessThan">
      <formula>0</formula>
    </cfRule>
    <cfRule type="cellIs" dxfId="62" priority="32" operator="between">
      <formula>5000</formula>
      <formula>10000</formula>
    </cfRule>
    <cfRule type="cellIs" dxfId="61" priority="33" operator="greaterThan">
      <formula>10000</formula>
    </cfRule>
  </conditionalFormatting>
  <conditionalFormatting sqref="F40">
    <cfRule type="cellIs" dxfId="60" priority="28" operator="lessThan">
      <formula>0</formula>
    </cfRule>
    <cfRule type="cellIs" dxfId="59" priority="29" operator="between">
      <formula>5000</formula>
      <formula>10000</formula>
    </cfRule>
    <cfRule type="cellIs" dxfId="58" priority="30" operator="greaterThan">
      <formula>10000</formula>
    </cfRule>
  </conditionalFormatting>
  <conditionalFormatting sqref="F41">
    <cfRule type="cellIs" dxfId="57" priority="25" operator="lessThan">
      <formula>0</formula>
    </cfRule>
    <cfRule type="cellIs" dxfId="56" priority="26" operator="between">
      <formula>5000</formula>
      <formula>10000</formula>
    </cfRule>
    <cfRule type="cellIs" dxfId="55" priority="27" operator="greaterThan">
      <formula>10000</formula>
    </cfRule>
  </conditionalFormatting>
  <conditionalFormatting sqref="F42">
    <cfRule type="cellIs" dxfId="54" priority="22" operator="lessThan">
      <formula>0</formula>
    </cfRule>
    <cfRule type="cellIs" dxfId="53" priority="23" operator="between">
      <formula>5000</formula>
      <formula>10000</formula>
    </cfRule>
    <cfRule type="cellIs" dxfId="52" priority="24" operator="greaterThan">
      <formula>10000</formula>
    </cfRule>
  </conditionalFormatting>
  <conditionalFormatting sqref="F43">
    <cfRule type="cellIs" dxfId="51" priority="19" operator="lessThan">
      <formula>0</formula>
    </cfRule>
    <cfRule type="cellIs" dxfId="50" priority="20" operator="between">
      <formula>5000</formula>
      <formula>10000</formula>
    </cfRule>
    <cfRule type="cellIs" dxfId="49" priority="21" operator="greaterThan">
      <formula>10000</formula>
    </cfRule>
  </conditionalFormatting>
  <conditionalFormatting sqref="F44">
    <cfRule type="cellIs" dxfId="48" priority="16" operator="lessThan">
      <formula>0</formula>
    </cfRule>
    <cfRule type="cellIs" dxfId="47" priority="17" operator="between">
      <formula>5000</formula>
      <formula>10000</formula>
    </cfRule>
    <cfRule type="cellIs" dxfId="46" priority="18" operator="greaterThan">
      <formula>10000</formula>
    </cfRule>
  </conditionalFormatting>
  <conditionalFormatting sqref="F45">
    <cfRule type="cellIs" dxfId="45" priority="13" operator="lessThan">
      <formula>0</formula>
    </cfRule>
    <cfRule type="cellIs" dxfId="44" priority="14" operator="between">
      <formula>5000</formula>
      <formula>10000</formula>
    </cfRule>
    <cfRule type="cellIs" dxfId="43" priority="15" operator="greaterThan">
      <formula>10000</formula>
    </cfRule>
  </conditionalFormatting>
  <conditionalFormatting sqref="F46">
    <cfRule type="cellIs" dxfId="42" priority="10" operator="lessThan">
      <formula>0</formula>
    </cfRule>
    <cfRule type="cellIs" dxfId="41" priority="11" operator="between">
      <formula>5000</formula>
      <formula>10000</formula>
    </cfRule>
    <cfRule type="cellIs" dxfId="40" priority="12" operator="greaterThan">
      <formula>10000</formula>
    </cfRule>
  </conditionalFormatting>
  <conditionalFormatting sqref="F47">
    <cfRule type="cellIs" dxfId="39" priority="7" operator="lessThan">
      <formula>0</formula>
    </cfRule>
    <cfRule type="cellIs" dxfId="38" priority="8" operator="between">
      <formula>5000</formula>
      <formula>10000</formula>
    </cfRule>
    <cfRule type="cellIs" dxfId="37" priority="9" operator="greaterThan">
      <formula>10000</formula>
    </cfRule>
  </conditionalFormatting>
  <conditionalFormatting sqref="F48">
    <cfRule type="cellIs" dxfId="36" priority="4" operator="lessThan">
      <formula>0</formula>
    </cfRule>
    <cfRule type="cellIs" dxfId="35" priority="5" operator="between">
      <formula>5000</formula>
      <formula>10000</formula>
    </cfRule>
    <cfRule type="cellIs" dxfId="34" priority="6" operator="greaterThan">
      <formula>10000</formula>
    </cfRule>
  </conditionalFormatting>
  <conditionalFormatting sqref="F49">
    <cfRule type="cellIs" dxfId="33" priority="1" operator="lessThan">
      <formula>0</formula>
    </cfRule>
    <cfRule type="cellIs" dxfId="32" priority="2" operator="between">
      <formula>5000</formula>
      <formula>10000</formula>
    </cfRule>
    <cfRule type="cellIs" dxfId="31" priority="3" operator="greaterThan">
      <formula>10000</formula>
    </cfRule>
  </conditionalFormatting>
  <pageMargins left="0.7" right="0.7" top="0.75" bottom="0.75" header="0.3" footer="0.3"/>
  <pageSetup paperSize="9" orientation="portrait"/>
  <legacyDrawing r:id="rId1"/>
  <tableParts count="3">
    <tablePart r:id="rId2"/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 enableFormatConditionsCalculation="0">
    <tabColor rgb="FFFFFF00"/>
  </sheetPr>
  <dimension ref="A1:Z327"/>
  <sheetViews>
    <sheetView workbookViewId="0">
      <pane xSplit="5" ySplit="4" topLeftCell="M54" activePane="bottomRight" state="frozen"/>
      <selection activeCell="D89" sqref="D89"/>
      <selection pane="topRight" activeCell="D89" sqref="D89"/>
      <selection pane="bottomLeft" activeCell="D89" sqref="D89"/>
      <selection pane="bottomRight" activeCell="X328" sqref="X328"/>
    </sheetView>
  </sheetViews>
  <sheetFormatPr baseColWidth="10" defaultColWidth="8.83203125" defaultRowHeight="14" x14ac:dyDescent="0"/>
  <cols>
    <col min="2" max="2" width="16.83203125" customWidth="1"/>
    <col min="3" max="3" width="15.1640625" style="25" customWidth="1"/>
    <col min="4" max="4" width="37.5" style="25" customWidth="1"/>
    <col min="5" max="5" width="20.5" style="25" customWidth="1"/>
    <col min="6" max="6" width="18.1640625" style="25" customWidth="1"/>
    <col min="7" max="7" width="15.5" style="25" customWidth="1"/>
    <col min="8" max="8" width="13.5" style="27" customWidth="1"/>
    <col min="9" max="9" width="19.5" style="25" customWidth="1"/>
    <col min="10" max="10" width="22" style="27" customWidth="1"/>
    <col min="11" max="11" width="12.83203125" style="27" customWidth="1"/>
    <col min="12" max="25" width="13.83203125" style="27" customWidth="1"/>
    <col min="26" max="26" width="11.6640625" customWidth="1"/>
  </cols>
  <sheetData>
    <row r="1" spans="1:26">
      <c r="C1" s="12" t="s">
        <v>310</v>
      </c>
      <c r="D1" s="12"/>
      <c r="E1" s="12"/>
      <c r="F1" s="12"/>
      <c r="G1" s="12"/>
      <c r="H1" s="13"/>
      <c r="I1" s="1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6">
      <c r="C2" s="12" t="s">
        <v>311</v>
      </c>
      <c r="D2" s="12"/>
      <c r="E2" s="12"/>
      <c r="F2" s="12"/>
      <c r="G2" s="12"/>
      <c r="H2" s="13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6">
      <c r="C3" s="204" t="s">
        <v>0</v>
      </c>
      <c r="D3" s="206" t="s">
        <v>1</v>
      </c>
      <c r="E3" s="206" t="s">
        <v>312</v>
      </c>
      <c r="F3" s="1"/>
      <c r="G3" s="1"/>
      <c r="H3" s="207" t="s">
        <v>313</v>
      </c>
      <c r="I3" s="207"/>
      <c r="J3" s="207"/>
      <c r="K3" s="207"/>
      <c r="L3" s="207"/>
      <c r="M3">
        <f>COUNTA(M5:M326)</f>
        <v>291</v>
      </c>
      <c r="N3">
        <f t="shared" ref="N3:X3" si="0">COUNTA(N5:N326)</f>
        <v>291</v>
      </c>
      <c r="O3">
        <f t="shared" si="0"/>
        <v>291</v>
      </c>
      <c r="P3">
        <f t="shared" si="0"/>
        <v>291</v>
      </c>
      <c r="Q3">
        <f t="shared" si="0"/>
        <v>291</v>
      </c>
      <c r="R3">
        <f t="shared" si="0"/>
        <v>291</v>
      </c>
      <c r="S3">
        <f t="shared" si="0"/>
        <v>291</v>
      </c>
      <c r="T3">
        <f t="shared" si="0"/>
        <v>291</v>
      </c>
      <c r="U3">
        <f t="shared" si="0"/>
        <v>291</v>
      </c>
      <c r="V3">
        <f t="shared" si="0"/>
        <v>291</v>
      </c>
      <c r="W3">
        <f t="shared" si="0"/>
        <v>291</v>
      </c>
      <c r="X3">
        <f t="shared" si="0"/>
        <v>291</v>
      </c>
      <c r="Y3"/>
    </row>
    <row r="4" spans="1:26" ht="60">
      <c r="A4" s="41" t="s">
        <v>617</v>
      </c>
      <c r="B4" t="s">
        <v>622</v>
      </c>
      <c r="C4" s="205"/>
      <c r="D4" s="206"/>
      <c r="E4" s="206"/>
      <c r="F4" s="1" t="s">
        <v>314</v>
      </c>
      <c r="G4" s="1" t="s">
        <v>315</v>
      </c>
      <c r="H4" s="1" t="s">
        <v>316</v>
      </c>
      <c r="I4" s="1" t="s">
        <v>317</v>
      </c>
      <c r="J4" s="14" t="s">
        <v>318</v>
      </c>
      <c r="K4" s="14" t="s">
        <v>319</v>
      </c>
      <c r="L4" s="15" t="s">
        <v>320</v>
      </c>
      <c r="M4" s="28">
        <v>42370</v>
      </c>
      <c r="N4" s="28">
        <v>42401</v>
      </c>
      <c r="O4" s="28">
        <v>42430</v>
      </c>
      <c r="P4" s="28">
        <v>42461</v>
      </c>
      <c r="Q4" s="28">
        <v>42491</v>
      </c>
      <c r="R4" s="28">
        <v>42522</v>
      </c>
      <c r="S4" s="28">
        <v>42552</v>
      </c>
      <c r="T4" s="28">
        <v>42583</v>
      </c>
      <c r="U4" s="28">
        <v>42614</v>
      </c>
      <c r="V4" s="28">
        <v>42644</v>
      </c>
      <c r="W4" s="28">
        <v>42675</v>
      </c>
      <c r="X4" s="28">
        <v>42705</v>
      </c>
      <c r="Y4" s="15" t="s">
        <v>616</v>
      </c>
      <c r="Z4" s="15" t="s">
        <v>624</v>
      </c>
    </row>
    <row r="5" spans="1:26" hidden="1">
      <c r="A5" s="41">
        <f>VLOOKUP(B5,справочник!$B$2:$E$322,4,FALSE)</f>
        <v>79</v>
      </c>
      <c r="B5" t="str">
        <f>CONCATENATE(C5,D5)</f>
        <v>84Абу Махади Мохаммед Ибрагим</v>
      </c>
      <c r="C5" s="1">
        <v>84</v>
      </c>
      <c r="D5" s="2" t="s">
        <v>2</v>
      </c>
      <c r="E5" s="1" t="s">
        <v>321</v>
      </c>
      <c r="F5" s="16">
        <v>40716</v>
      </c>
      <c r="G5" s="16">
        <v>40725</v>
      </c>
      <c r="H5" s="17">
        <f t="shared" ref="H5:H17" si="1">INT(($H$327-G5)/30)</f>
        <v>54</v>
      </c>
      <c r="I5" s="1">
        <f t="shared" ref="I5:I67" si="2">H5*1000</f>
        <v>54000</v>
      </c>
      <c r="J5" s="17">
        <f>49000+1000</f>
        <v>50000</v>
      </c>
      <c r="K5" s="17"/>
      <c r="L5" s="30">
        <f t="shared" ref="L5:L29" si="3">I5-J5-K5</f>
        <v>4000</v>
      </c>
      <c r="M5" s="31">
        <v>800</v>
      </c>
      <c r="N5" s="31">
        <v>800</v>
      </c>
      <c r="O5" s="31">
        <v>800</v>
      </c>
      <c r="P5" s="31">
        <v>800</v>
      </c>
      <c r="Q5" s="31">
        <v>800</v>
      </c>
      <c r="R5" s="31">
        <v>800</v>
      </c>
      <c r="S5" s="31">
        <v>800</v>
      </c>
      <c r="T5" s="31">
        <v>800</v>
      </c>
      <c r="U5" s="31">
        <v>800</v>
      </c>
      <c r="V5" s="31">
        <v>800</v>
      </c>
      <c r="W5" s="31">
        <v>800</v>
      </c>
      <c r="X5" s="31">
        <v>800</v>
      </c>
      <c r="Y5" s="30">
        <f>SUM(L5:X5)</f>
        <v>13600</v>
      </c>
      <c r="Z5">
        <f>VLOOKUP(A5,справочник!$E$2:$F$322,2,FALSE)</f>
        <v>0</v>
      </c>
    </row>
    <row r="6" spans="1:26" hidden="1">
      <c r="A6" s="41">
        <f>VLOOKUP(B6,справочник!$B$2:$E$322,4,FALSE)</f>
        <v>35</v>
      </c>
      <c r="B6" t="str">
        <f t="shared" ref="B6:B69" si="4">CONCATENATE(C6,D6)</f>
        <v>35Абушаев Роман Шамильевич</v>
      </c>
      <c r="C6" s="1">
        <v>35</v>
      </c>
      <c r="D6" s="2" t="s">
        <v>3</v>
      </c>
      <c r="E6" s="1" t="s">
        <v>322</v>
      </c>
      <c r="F6" s="16">
        <v>40970</v>
      </c>
      <c r="G6" s="16">
        <v>40969</v>
      </c>
      <c r="H6" s="17">
        <f t="shared" si="1"/>
        <v>46</v>
      </c>
      <c r="I6" s="1">
        <f t="shared" si="2"/>
        <v>46000</v>
      </c>
      <c r="J6" s="17">
        <v>30000</v>
      </c>
      <c r="K6" s="17"/>
      <c r="L6" s="30">
        <f t="shared" si="3"/>
        <v>16000</v>
      </c>
      <c r="M6" s="31">
        <v>800</v>
      </c>
      <c r="N6" s="31">
        <v>800</v>
      </c>
      <c r="O6" s="31">
        <v>800</v>
      </c>
      <c r="P6" s="31">
        <v>800</v>
      </c>
      <c r="Q6" s="31">
        <v>800</v>
      </c>
      <c r="R6" s="31">
        <v>800</v>
      </c>
      <c r="S6" s="31">
        <v>800</v>
      </c>
      <c r="T6" s="31">
        <v>800</v>
      </c>
      <c r="U6" s="31">
        <v>800</v>
      </c>
      <c r="V6" s="31">
        <v>800</v>
      </c>
      <c r="W6" s="31">
        <v>800</v>
      </c>
      <c r="X6" s="31">
        <v>800</v>
      </c>
      <c r="Y6" s="30">
        <f t="shared" ref="Y6:Y69" si="5">SUM(L6:X6)</f>
        <v>25600</v>
      </c>
      <c r="Z6">
        <f>VLOOKUP(A6,справочник!$E$2:$F$322,2,FALSE)</f>
        <v>0</v>
      </c>
    </row>
    <row r="7" spans="1:26" hidden="1">
      <c r="A7" s="41">
        <f>VLOOKUP(B7,справочник!$B$2:$E$322,4,FALSE)</f>
        <v>260</v>
      </c>
      <c r="B7" t="str">
        <f t="shared" si="4"/>
        <v>273Аксенов Дмитрий Викторович</v>
      </c>
      <c r="C7" s="1">
        <v>273</v>
      </c>
      <c r="D7" s="2" t="s">
        <v>4</v>
      </c>
      <c r="E7" s="1" t="s">
        <v>323</v>
      </c>
      <c r="F7" s="16">
        <v>41540</v>
      </c>
      <c r="G7" s="16">
        <v>41548</v>
      </c>
      <c r="H7" s="17">
        <f t="shared" si="1"/>
        <v>27</v>
      </c>
      <c r="I7" s="1">
        <f t="shared" si="2"/>
        <v>27000</v>
      </c>
      <c r="J7" s="17">
        <v>19000</v>
      </c>
      <c r="K7" s="17"/>
      <c r="L7" s="30">
        <f t="shared" si="3"/>
        <v>8000</v>
      </c>
      <c r="M7" s="31">
        <v>800</v>
      </c>
      <c r="N7" s="31">
        <v>800</v>
      </c>
      <c r="O7" s="31">
        <v>800</v>
      </c>
      <c r="P7" s="31">
        <v>800</v>
      </c>
      <c r="Q7" s="31">
        <v>800</v>
      </c>
      <c r="R7" s="31">
        <v>800</v>
      </c>
      <c r="S7" s="31">
        <v>800</v>
      </c>
      <c r="T7" s="31">
        <v>800</v>
      </c>
      <c r="U7" s="31">
        <v>800</v>
      </c>
      <c r="V7" s="31">
        <v>800</v>
      </c>
      <c r="W7" s="31">
        <v>800</v>
      </c>
      <c r="X7" s="31">
        <v>800</v>
      </c>
      <c r="Y7" s="30">
        <f t="shared" si="5"/>
        <v>17600</v>
      </c>
      <c r="Z7">
        <f>VLOOKUP(A7,справочник!$E$2:$F$322,2,FALSE)</f>
        <v>0</v>
      </c>
    </row>
    <row r="8" spans="1:26" hidden="1">
      <c r="A8" s="41">
        <f>VLOOKUP(B8,справочник!$B$2:$E$322,4,FALSE)</f>
        <v>203</v>
      </c>
      <c r="B8" t="str">
        <f t="shared" si="4"/>
        <v>213Александров Владимир Александрович</v>
      </c>
      <c r="C8" s="1">
        <v>213</v>
      </c>
      <c r="D8" s="2" t="s">
        <v>5</v>
      </c>
      <c r="E8" s="1" t="s">
        <v>324</v>
      </c>
      <c r="F8" s="16">
        <v>41520</v>
      </c>
      <c r="G8" s="16">
        <v>41548</v>
      </c>
      <c r="H8" s="17">
        <f t="shared" si="1"/>
        <v>27</v>
      </c>
      <c r="I8" s="1">
        <f t="shared" si="2"/>
        <v>27000</v>
      </c>
      <c r="J8" s="17">
        <v>26000</v>
      </c>
      <c r="K8" s="17"/>
      <c r="L8" s="30">
        <f t="shared" si="3"/>
        <v>1000</v>
      </c>
      <c r="M8" s="31">
        <v>800</v>
      </c>
      <c r="N8" s="31">
        <v>800</v>
      </c>
      <c r="O8" s="31">
        <v>800</v>
      </c>
      <c r="P8" s="31">
        <v>800</v>
      </c>
      <c r="Q8" s="31">
        <v>800</v>
      </c>
      <c r="R8" s="31">
        <v>800</v>
      </c>
      <c r="S8" s="31">
        <v>800</v>
      </c>
      <c r="T8" s="31">
        <v>800</v>
      </c>
      <c r="U8" s="31">
        <v>800</v>
      </c>
      <c r="V8" s="31">
        <v>800</v>
      </c>
      <c r="W8" s="31">
        <v>800</v>
      </c>
      <c r="X8" s="31">
        <v>800</v>
      </c>
      <c r="Y8" s="30">
        <f t="shared" si="5"/>
        <v>10600</v>
      </c>
      <c r="Z8">
        <f>VLOOKUP(A8,справочник!$E$2:$F$322,2,FALSE)</f>
        <v>0</v>
      </c>
    </row>
    <row r="9" spans="1:26" hidden="1">
      <c r="A9" s="41">
        <f>VLOOKUP(B9,справочник!$B$2:$E$322,4,FALSE)</f>
        <v>316</v>
      </c>
      <c r="B9" t="str">
        <f t="shared" si="4"/>
        <v>306-307Алексеев Андрей Олегович</v>
      </c>
      <c r="C9" s="1" t="s">
        <v>6</v>
      </c>
      <c r="D9" s="2" t="s">
        <v>7</v>
      </c>
      <c r="E9" s="1" t="s">
        <v>325</v>
      </c>
      <c r="F9" s="19">
        <v>40893</v>
      </c>
      <c r="G9" s="19">
        <v>40878</v>
      </c>
      <c r="H9" s="20">
        <f t="shared" si="1"/>
        <v>49</v>
      </c>
      <c r="I9" s="5">
        <f t="shared" si="2"/>
        <v>49000</v>
      </c>
      <c r="J9" s="20">
        <f>30000+1000+1000</f>
        <v>32000</v>
      </c>
      <c r="K9" s="20"/>
      <c r="L9" s="32">
        <f t="shared" si="3"/>
        <v>17000</v>
      </c>
      <c r="M9" s="31">
        <v>800</v>
      </c>
      <c r="N9" s="31">
        <v>800</v>
      </c>
      <c r="O9" s="31">
        <v>800</v>
      </c>
      <c r="P9" s="31">
        <v>800</v>
      </c>
      <c r="Q9" s="31">
        <v>800</v>
      </c>
      <c r="R9" s="31">
        <v>800</v>
      </c>
      <c r="S9" s="31">
        <v>800</v>
      </c>
      <c r="T9" s="31">
        <v>800</v>
      </c>
      <c r="U9" s="31">
        <v>800</v>
      </c>
      <c r="V9" s="31">
        <v>800</v>
      </c>
      <c r="W9" s="31">
        <v>800</v>
      </c>
      <c r="X9" s="31">
        <v>800</v>
      </c>
      <c r="Y9" s="30">
        <f t="shared" si="5"/>
        <v>26600</v>
      </c>
      <c r="Z9">
        <f>VLOOKUP(A9,справочник!$E$2:$F$322,2,FALSE)</f>
        <v>0</v>
      </c>
    </row>
    <row r="10" spans="1:26" hidden="1">
      <c r="A10" s="41">
        <f>VLOOKUP(B10,справочник!$B$2:$E$322,4,FALSE)</f>
        <v>232</v>
      </c>
      <c r="B10" t="str">
        <f t="shared" si="4"/>
        <v xml:space="preserve">241Амплеева Мария Александровна </v>
      </c>
      <c r="C10" s="1">
        <v>241</v>
      </c>
      <c r="D10" s="2" t="s">
        <v>8</v>
      </c>
      <c r="E10" s="1" t="s">
        <v>326</v>
      </c>
      <c r="F10" s="16">
        <v>41429</v>
      </c>
      <c r="G10" s="16">
        <v>41456</v>
      </c>
      <c r="H10" s="17">
        <f t="shared" si="1"/>
        <v>30</v>
      </c>
      <c r="I10" s="1">
        <f t="shared" si="2"/>
        <v>30000</v>
      </c>
      <c r="J10" s="17">
        <v>6000</v>
      </c>
      <c r="K10" s="17"/>
      <c r="L10" s="30">
        <f t="shared" si="3"/>
        <v>24000</v>
      </c>
      <c r="M10" s="31">
        <v>800</v>
      </c>
      <c r="N10" s="31">
        <v>800</v>
      </c>
      <c r="O10" s="31">
        <v>800</v>
      </c>
      <c r="P10" s="31">
        <v>800</v>
      </c>
      <c r="Q10" s="31">
        <v>800</v>
      </c>
      <c r="R10" s="31">
        <v>800</v>
      </c>
      <c r="S10" s="31">
        <v>800</v>
      </c>
      <c r="T10" s="31">
        <v>800</v>
      </c>
      <c r="U10" s="31">
        <v>800</v>
      </c>
      <c r="V10" s="31">
        <v>800</v>
      </c>
      <c r="W10" s="31">
        <v>800</v>
      </c>
      <c r="X10" s="31">
        <v>800</v>
      </c>
      <c r="Y10" s="30">
        <f t="shared" si="5"/>
        <v>33600</v>
      </c>
      <c r="Z10">
        <f>VLOOKUP(A10,справочник!$E$2:$F$322,2,FALSE)</f>
        <v>0</v>
      </c>
    </row>
    <row r="11" spans="1:26" hidden="1">
      <c r="A11" s="41">
        <f>VLOOKUP(B11,справочник!$B$2:$E$322,4,FALSE)</f>
        <v>277</v>
      </c>
      <c r="B11" t="str">
        <f t="shared" si="4"/>
        <v>290Андреева Любовь Ивановна(у Севастьянова)</v>
      </c>
      <c r="C11" s="1">
        <v>290</v>
      </c>
      <c r="D11" s="2" t="s">
        <v>9</v>
      </c>
      <c r="E11" s="1"/>
      <c r="F11" s="16">
        <v>41827</v>
      </c>
      <c r="G11" s="16">
        <v>41821</v>
      </c>
      <c r="H11" s="17">
        <f t="shared" si="1"/>
        <v>18</v>
      </c>
      <c r="I11" s="1">
        <f t="shared" si="2"/>
        <v>18000</v>
      </c>
      <c r="J11" s="17">
        <v>20000</v>
      </c>
      <c r="K11" s="17"/>
      <c r="L11" s="30">
        <f t="shared" si="3"/>
        <v>-2000</v>
      </c>
      <c r="M11" s="31">
        <v>800</v>
      </c>
      <c r="N11" s="31">
        <v>800</v>
      </c>
      <c r="O11" s="31">
        <v>800</v>
      </c>
      <c r="P11" s="31">
        <v>800</v>
      </c>
      <c r="Q11" s="31">
        <v>800</v>
      </c>
      <c r="R11" s="31">
        <v>800</v>
      </c>
      <c r="S11" s="31">
        <v>800</v>
      </c>
      <c r="T11" s="31">
        <v>800</v>
      </c>
      <c r="U11" s="31">
        <v>800</v>
      </c>
      <c r="V11" s="31">
        <v>800</v>
      </c>
      <c r="W11" s="31">
        <v>800</v>
      </c>
      <c r="X11" s="31">
        <v>800</v>
      </c>
      <c r="Y11" s="30">
        <f t="shared" si="5"/>
        <v>7600</v>
      </c>
      <c r="Z11">
        <f>VLOOKUP(A11,справочник!$E$2:$F$322,2,FALSE)</f>
        <v>0</v>
      </c>
    </row>
    <row r="12" spans="1:26" hidden="1">
      <c r="A12" s="41">
        <f>VLOOKUP(B12,справочник!$B$2:$E$322,4,FALSE)</f>
        <v>221</v>
      </c>
      <c r="B12" t="str">
        <f t="shared" si="4"/>
        <v>230Анисимова (Корнеева) Татьяна Николаевна</v>
      </c>
      <c r="C12" s="1">
        <v>230</v>
      </c>
      <c r="D12" s="2" t="s">
        <v>10</v>
      </c>
      <c r="E12" s="1"/>
      <c r="F12" s="16">
        <v>41912</v>
      </c>
      <c r="G12" s="16">
        <v>41913</v>
      </c>
      <c r="H12" s="17">
        <f t="shared" si="1"/>
        <v>15</v>
      </c>
      <c r="I12" s="1">
        <f t="shared" si="2"/>
        <v>15000</v>
      </c>
      <c r="J12" s="17">
        <v>1000</v>
      </c>
      <c r="K12" s="17"/>
      <c r="L12" s="30">
        <f t="shared" si="3"/>
        <v>14000</v>
      </c>
      <c r="M12" s="31">
        <v>800</v>
      </c>
      <c r="N12" s="31">
        <v>800</v>
      </c>
      <c r="O12" s="31">
        <v>800</v>
      </c>
      <c r="P12" s="31">
        <v>800</v>
      </c>
      <c r="Q12" s="31">
        <v>800</v>
      </c>
      <c r="R12" s="31">
        <v>800</v>
      </c>
      <c r="S12" s="31">
        <v>800</v>
      </c>
      <c r="T12" s="31">
        <v>800</v>
      </c>
      <c r="U12" s="31">
        <v>800</v>
      </c>
      <c r="V12" s="31">
        <v>800</v>
      </c>
      <c r="W12" s="31">
        <v>800</v>
      </c>
      <c r="X12" s="31">
        <v>800</v>
      </c>
      <c r="Y12" s="30">
        <f t="shared" si="5"/>
        <v>23600</v>
      </c>
      <c r="Z12">
        <f>VLOOKUP(A12,справочник!$E$2:$F$322,2,FALSE)</f>
        <v>0</v>
      </c>
    </row>
    <row r="13" spans="1:26" hidden="1">
      <c r="A13" s="41">
        <f>VLOOKUP(B13,справочник!$B$2:$E$322,4,FALSE)</f>
        <v>259</v>
      </c>
      <c r="B13" t="str">
        <f t="shared" si="4"/>
        <v>272Анисимова Елена Анатольевна</v>
      </c>
      <c r="C13" s="1">
        <v>272</v>
      </c>
      <c r="D13" s="2" t="s">
        <v>11</v>
      </c>
      <c r="E13" s="1" t="s">
        <v>327</v>
      </c>
      <c r="F13" s="16">
        <v>41457</v>
      </c>
      <c r="G13" s="16">
        <v>41487</v>
      </c>
      <c r="H13" s="17">
        <f t="shared" si="1"/>
        <v>29</v>
      </c>
      <c r="I13" s="1">
        <f t="shared" si="2"/>
        <v>29000</v>
      </c>
      <c r="J13" s="17">
        <v>25000</v>
      </c>
      <c r="K13" s="17"/>
      <c r="L13" s="30">
        <f t="shared" si="3"/>
        <v>4000</v>
      </c>
      <c r="M13" s="31">
        <v>800</v>
      </c>
      <c r="N13" s="31">
        <v>800</v>
      </c>
      <c r="O13" s="31">
        <v>800</v>
      </c>
      <c r="P13" s="31">
        <v>800</v>
      </c>
      <c r="Q13" s="31">
        <v>800</v>
      </c>
      <c r="R13" s="31">
        <v>800</v>
      </c>
      <c r="S13" s="31">
        <v>800</v>
      </c>
      <c r="T13" s="31">
        <v>800</v>
      </c>
      <c r="U13" s="31">
        <v>800</v>
      </c>
      <c r="V13" s="31">
        <v>800</v>
      </c>
      <c r="W13" s="31">
        <v>800</v>
      </c>
      <c r="X13" s="31">
        <v>800</v>
      </c>
      <c r="Y13" s="30">
        <f t="shared" si="5"/>
        <v>13600</v>
      </c>
      <c r="Z13">
        <f>VLOOKUP(A13,справочник!$E$2:$F$322,2,FALSE)</f>
        <v>0</v>
      </c>
    </row>
    <row r="14" spans="1:26" hidden="1">
      <c r="A14" s="41">
        <f>VLOOKUP(B14,справочник!$B$2:$E$322,4,FALSE)</f>
        <v>109</v>
      </c>
      <c r="B14" t="str">
        <f t="shared" si="4"/>
        <v>114Антипова Жанна Михайловна</v>
      </c>
      <c r="C14" s="1">
        <v>114</v>
      </c>
      <c r="D14" s="2" t="s">
        <v>12</v>
      </c>
      <c r="E14" s="1" t="s">
        <v>328</v>
      </c>
      <c r="F14" s="16">
        <v>41414</v>
      </c>
      <c r="G14" s="16">
        <v>41426</v>
      </c>
      <c r="H14" s="17">
        <f t="shared" si="1"/>
        <v>31</v>
      </c>
      <c r="I14" s="1">
        <f t="shared" si="2"/>
        <v>31000</v>
      </c>
      <c r="J14" s="17">
        <v>10000</v>
      </c>
      <c r="K14" s="17"/>
      <c r="L14" s="30">
        <f t="shared" si="3"/>
        <v>21000</v>
      </c>
      <c r="M14" s="31">
        <v>800</v>
      </c>
      <c r="N14" s="31">
        <v>800</v>
      </c>
      <c r="O14" s="31">
        <v>800</v>
      </c>
      <c r="P14" s="31">
        <v>800</v>
      </c>
      <c r="Q14" s="31">
        <v>800</v>
      </c>
      <c r="R14" s="31">
        <v>800</v>
      </c>
      <c r="S14" s="31">
        <v>800</v>
      </c>
      <c r="T14" s="31">
        <v>800</v>
      </c>
      <c r="U14" s="31">
        <v>800</v>
      </c>
      <c r="V14" s="31">
        <v>800</v>
      </c>
      <c r="W14" s="31">
        <v>800</v>
      </c>
      <c r="X14" s="31">
        <v>800</v>
      </c>
      <c r="Y14" s="30">
        <f t="shared" si="5"/>
        <v>30600</v>
      </c>
      <c r="Z14">
        <f>VLOOKUP(A14,справочник!$E$2:$F$322,2,FALSE)</f>
        <v>0</v>
      </c>
    </row>
    <row r="15" spans="1:26" hidden="1">
      <c r="A15" s="41">
        <f>VLOOKUP(B15,справочник!$B$2:$E$322,4,FALSE)</f>
        <v>130</v>
      </c>
      <c r="B15" t="str">
        <f t="shared" si="4"/>
        <v>137Анциферов Алексей Сергеевич</v>
      </c>
      <c r="C15" s="1">
        <v>137</v>
      </c>
      <c r="D15" s="2" t="s">
        <v>13</v>
      </c>
      <c r="E15" s="1" t="s">
        <v>329</v>
      </c>
      <c r="F15" s="16">
        <v>40841</v>
      </c>
      <c r="G15" s="16">
        <v>40848</v>
      </c>
      <c r="H15" s="17">
        <f t="shared" si="1"/>
        <v>50</v>
      </c>
      <c r="I15" s="1">
        <f t="shared" si="2"/>
        <v>50000</v>
      </c>
      <c r="J15" s="17">
        <f>44000+1000</f>
        <v>45000</v>
      </c>
      <c r="K15" s="17">
        <v>5000</v>
      </c>
      <c r="L15" s="30">
        <f t="shared" si="3"/>
        <v>0</v>
      </c>
      <c r="M15" s="31">
        <v>800</v>
      </c>
      <c r="N15" s="31">
        <v>800</v>
      </c>
      <c r="O15" s="31">
        <v>800</v>
      </c>
      <c r="P15" s="31">
        <v>800</v>
      </c>
      <c r="Q15" s="31">
        <v>800</v>
      </c>
      <c r="R15" s="31">
        <v>800</v>
      </c>
      <c r="S15" s="31">
        <v>800</v>
      </c>
      <c r="T15" s="31">
        <v>800</v>
      </c>
      <c r="U15" s="31">
        <v>800</v>
      </c>
      <c r="V15" s="31">
        <v>800</v>
      </c>
      <c r="W15" s="31">
        <v>800</v>
      </c>
      <c r="X15" s="31">
        <v>800</v>
      </c>
      <c r="Y15" s="30">
        <f t="shared" si="5"/>
        <v>9600</v>
      </c>
      <c r="Z15">
        <f>VLOOKUP(A15,справочник!$E$2:$F$322,2,FALSE)</f>
        <v>0</v>
      </c>
    </row>
    <row r="16" spans="1:26" hidden="1">
      <c r="A16" s="41">
        <f>VLOOKUP(B16,справочник!$B$2:$E$322,4,FALSE)</f>
        <v>7</v>
      </c>
      <c r="B16" t="str">
        <f t="shared" si="4"/>
        <v>7Артемьев Сергей Иванович</v>
      </c>
      <c r="C16" s="1">
        <v>7</v>
      </c>
      <c r="D16" s="2" t="s">
        <v>14</v>
      </c>
      <c r="E16" s="1" t="s">
        <v>330</v>
      </c>
      <c r="F16" s="16">
        <v>41467</v>
      </c>
      <c r="G16" s="16">
        <v>41518</v>
      </c>
      <c r="H16" s="17">
        <f t="shared" si="1"/>
        <v>28</v>
      </c>
      <c r="I16" s="1">
        <f t="shared" si="2"/>
        <v>28000</v>
      </c>
      <c r="J16" s="17"/>
      <c r="K16" s="17"/>
      <c r="L16" s="30">
        <f t="shared" si="3"/>
        <v>28000</v>
      </c>
      <c r="M16" s="31">
        <v>800</v>
      </c>
      <c r="N16" s="31">
        <v>800</v>
      </c>
      <c r="O16" s="31">
        <v>800</v>
      </c>
      <c r="P16" s="31">
        <v>800</v>
      </c>
      <c r="Q16" s="31">
        <v>800</v>
      </c>
      <c r="R16" s="31">
        <v>800</v>
      </c>
      <c r="S16" s="31">
        <v>800</v>
      </c>
      <c r="T16" s="31">
        <v>800</v>
      </c>
      <c r="U16" s="31">
        <v>800</v>
      </c>
      <c r="V16" s="31">
        <v>800</v>
      </c>
      <c r="W16" s="31">
        <v>800</v>
      </c>
      <c r="X16" s="31">
        <v>800</v>
      </c>
      <c r="Y16" s="30">
        <f t="shared" si="5"/>
        <v>37600</v>
      </c>
      <c r="Z16">
        <f>VLOOKUP(A16,справочник!$E$2:$F$322,2,FALSE)</f>
        <v>1</v>
      </c>
    </row>
    <row r="17" spans="1:26" hidden="1">
      <c r="A17" s="41">
        <f>VLOOKUP(B17,справочник!$B$2:$E$322,4,FALSE)</f>
        <v>7</v>
      </c>
      <c r="B17" t="str">
        <f t="shared" si="4"/>
        <v>14Артемьев Сергей Иванович</v>
      </c>
      <c r="C17" s="1">
        <v>14</v>
      </c>
      <c r="D17" s="2" t="s">
        <v>14</v>
      </c>
      <c r="E17" s="1" t="s">
        <v>331</v>
      </c>
      <c r="F17" s="16">
        <v>41204</v>
      </c>
      <c r="G17" s="16">
        <v>41214</v>
      </c>
      <c r="H17" s="17">
        <f t="shared" si="1"/>
        <v>38</v>
      </c>
      <c r="I17" s="1">
        <f t="shared" si="2"/>
        <v>38000</v>
      </c>
      <c r="J17" s="17">
        <v>27000</v>
      </c>
      <c r="K17" s="17"/>
      <c r="L17" s="30">
        <f t="shared" si="3"/>
        <v>11000</v>
      </c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0">
        <f t="shared" si="5"/>
        <v>11000</v>
      </c>
      <c r="Z17">
        <f>VLOOKUP(A17,справочник!$E$2:$F$322,2,FALSE)</f>
        <v>1</v>
      </c>
    </row>
    <row r="18" spans="1:26" hidden="1">
      <c r="A18" s="41">
        <f>VLOOKUP(B18,справочник!$B$2:$E$322,4,FALSE)</f>
        <v>193</v>
      </c>
      <c r="B18" t="str">
        <f t="shared" si="4"/>
        <v>201Асташкин Павел Александрович(продал???)</v>
      </c>
      <c r="C18" s="1">
        <v>201</v>
      </c>
      <c r="D18" s="2" t="s">
        <v>15</v>
      </c>
      <c r="E18" s="1" t="s">
        <v>332</v>
      </c>
      <c r="F18" s="1"/>
      <c r="G18" s="1"/>
      <c r="H18" s="17"/>
      <c r="I18" s="1">
        <f t="shared" si="2"/>
        <v>0</v>
      </c>
      <c r="J18" s="17"/>
      <c r="K18" s="17"/>
      <c r="L18" s="30">
        <f t="shared" si="3"/>
        <v>0</v>
      </c>
      <c r="M18" s="31">
        <v>800</v>
      </c>
      <c r="N18" s="31">
        <v>800</v>
      </c>
      <c r="O18" s="31">
        <v>800</v>
      </c>
      <c r="P18" s="31">
        <v>800</v>
      </c>
      <c r="Q18" s="31">
        <v>800</v>
      </c>
      <c r="R18" s="31">
        <v>800</v>
      </c>
      <c r="S18" s="31">
        <v>800</v>
      </c>
      <c r="T18" s="31">
        <v>800</v>
      </c>
      <c r="U18" s="31">
        <v>800</v>
      </c>
      <c r="V18" s="31">
        <v>800</v>
      </c>
      <c r="W18" s="31">
        <v>800</v>
      </c>
      <c r="X18" s="31">
        <v>800</v>
      </c>
      <c r="Y18" s="30">
        <f t="shared" si="5"/>
        <v>9600</v>
      </c>
      <c r="Z18">
        <f>VLOOKUP(A18,справочник!$E$2:$F$322,2,FALSE)</f>
        <v>0</v>
      </c>
    </row>
    <row r="19" spans="1:26" hidden="1">
      <c r="A19" s="41">
        <f>VLOOKUP(B19,справочник!$B$2:$E$322,4,FALSE)</f>
        <v>178</v>
      </c>
      <c r="B19" t="str">
        <f t="shared" si="4"/>
        <v>186Афанасьева Злата Сергеевна</v>
      </c>
      <c r="C19" s="1">
        <v>186</v>
      </c>
      <c r="D19" s="2" t="s">
        <v>16</v>
      </c>
      <c r="E19" s="1" t="s">
        <v>333</v>
      </c>
      <c r="F19" s="16">
        <v>41898</v>
      </c>
      <c r="G19" s="16">
        <v>41944</v>
      </c>
      <c r="H19" s="17">
        <f>INT(($H$327-G19)/30)</f>
        <v>14</v>
      </c>
      <c r="I19" s="1">
        <f t="shared" si="2"/>
        <v>14000</v>
      </c>
      <c r="J19" s="17">
        <v>1000</v>
      </c>
      <c r="K19" s="17"/>
      <c r="L19" s="30">
        <f t="shared" si="3"/>
        <v>13000</v>
      </c>
      <c r="M19" s="31">
        <v>800</v>
      </c>
      <c r="N19" s="31">
        <v>800</v>
      </c>
      <c r="O19" s="31">
        <v>800</v>
      </c>
      <c r="P19" s="31">
        <v>800</v>
      </c>
      <c r="Q19" s="31">
        <v>800</v>
      </c>
      <c r="R19" s="31">
        <v>800</v>
      </c>
      <c r="S19" s="31">
        <v>800</v>
      </c>
      <c r="T19" s="31">
        <v>800</v>
      </c>
      <c r="U19" s="31">
        <v>800</v>
      </c>
      <c r="V19" s="31">
        <v>800</v>
      </c>
      <c r="W19" s="31">
        <v>800</v>
      </c>
      <c r="X19" s="31">
        <v>800</v>
      </c>
      <c r="Y19" s="30">
        <f t="shared" si="5"/>
        <v>22600</v>
      </c>
      <c r="Z19">
        <f>VLOOKUP(A19,справочник!$E$2:$F$322,2,FALSE)</f>
        <v>0</v>
      </c>
    </row>
    <row r="20" spans="1:26" hidden="1">
      <c r="A20" s="41">
        <f>VLOOKUP(B20,справочник!$B$2:$E$322,4,FALSE)</f>
        <v>119</v>
      </c>
      <c r="B20" t="str">
        <f t="shared" si="4"/>
        <v>124Афян Сасун Аркадиевич</v>
      </c>
      <c r="C20" s="1">
        <v>124</v>
      </c>
      <c r="D20" s="2" t="s">
        <v>17</v>
      </c>
      <c r="E20" s="1" t="s">
        <v>334</v>
      </c>
      <c r="F20" s="16">
        <v>41401</v>
      </c>
      <c r="G20" s="16">
        <v>41426</v>
      </c>
      <c r="H20" s="17">
        <f>INT(($H$327-G20)/30)</f>
        <v>31</v>
      </c>
      <c r="I20" s="1">
        <f t="shared" si="2"/>
        <v>31000</v>
      </c>
      <c r="J20" s="17">
        <v>11000</v>
      </c>
      <c r="K20" s="17"/>
      <c r="L20" s="30">
        <f t="shared" si="3"/>
        <v>20000</v>
      </c>
      <c r="M20" s="31">
        <v>800</v>
      </c>
      <c r="N20" s="31">
        <v>800</v>
      </c>
      <c r="O20" s="31">
        <v>800</v>
      </c>
      <c r="P20" s="31">
        <v>800</v>
      </c>
      <c r="Q20" s="31">
        <v>800</v>
      </c>
      <c r="R20" s="31">
        <v>800</v>
      </c>
      <c r="S20" s="31">
        <v>800</v>
      </c>
      <c r="T20" s="31">
        <v>800</v>
      </c>
      <c r="U20" s="31">
        <v>800</v>
      </c>
      <c r="V20" s="31">
        <v>800</v>
      </c>
      <c r="W20" s="31">
        <v>800</v>
      </c>
      <c r="X20" s="31">
        <v>800</v>
      </c>
      <c r="Y20" s="30">
        <f t="shared" si="5"/>
        <v>29600</v>
      </c>
      <c r="Z20">
        <f>VLOOKUP(A20,справочник!$E$2:$F$322,2,FALSE)</f>
        <v>0</v>
      </c>
    </row>
    <row r="21" spans="1:26" hidden="1">
      <c r="A21" s="41">
        <f>VLOOKUP(B21,справочник!$B$2:$E$322,4,FALSE)</f>
        <v>293</v>
      </c>
      <c r="B21" t="str">
        <f t="shared" si="4"/>
        <v>308Ахромеев Андрей Владимирович</v>
      </c>
      <c r="C21" s="1">
        <v>308</v>
      </c>
      <c r="D21" s="2" t="s">
        <v>18</v>
      </c>
      <c r="E21" s="1" t="s">
        <v>335</v>
      </c>
      <c r="F21" s="16">
        <v>40928</v>
      </c>
      <c r="G21" s="16">
        <v>40909</v>
      </c>
      <c r="H21" s="17">
        <f>INT(($H$327-G21)/30)</f>
        <v>48</v>
      </c>
      <c r="I21" s="1">
        <f t="shared" si="2"/>
        <v>48000</v>
      </c>
      <c r="J21" s="17">
        <f>11500+24500</f>
        <v>36000</v>
      </c>
      <c r="K21" s="17"/>
      <c r="L21" s="30">
        <f t="shared" si="3"/>
        <v>12000</v>
      </c>
      <c r="M21" s="31">
        <v>800</v>
      </c>
      <c r="N21" s="31">
        <v>800</v>
      </c>
      <c r="O21" s="31">
        <v>800</v>
      </c>
      <c r="P21" s="31">
        <v>800</v>
      </c>
      <c r="Q21" s="31">
        <v>800</v>
      </c>
      <c r="R21" s="31">
        <v>800</v>
      </c>
      <c r="S21" s="31">
        <v>800</v>
      </c>
      <c r="T21" s="31">
        <v>800</v>
      </c>
      <c r="U21" s="31">
        <v>800</v>
      </c>
      <c r="V21" s="31">
        <v>800</v>
      </c>
      <c r="W21" s="31">
        <v>800</v>
      </c>
      <c r="X21" s="31">
        <v>800</v>
      </c>
      <c r="Y21" s="30">
        <f t="shared" si="5"/>
        <v>21600</v>
      </c>
      <c r="Z21">
        <f>VLOOKUP(A21,справочник!$E$2:$F$322,2,FALSE)</f>
        <v>0</v>
      </c>
    </row>
    <row r="22" spans="1:26" hidden="1">
      <c r="A22" s="41">
        <f>VLOOKUP(B22,справочник!$B$2:$E$322,4,FALSE)</f>
        <v>191</v>
      </c>
      <c r="B22" t="str">
        <f t="shared" si="4"/>
        <v>199Бадирьян Тамара Викторовна</v>
      </c>
      <c r="C22" s="1">
        <v>199</v>
      </c>
      <c r="D22" s="2" t="s">
        <v>19</v>
      </c>
      <c r="E22" s="1" t="s">
        <v>336</v>
      </c>
      <c r="F22" s="1"/>
      <c r="G22" s="1"/>
      <c r="H22" s="17"/>
      <c r="I22" s="1">
        <f t="shared" si="2"/>
        <v>0</v>
      </c>
      <c r="J22" s="17"/>
      <c r="K22" s="17"/>
      <c r="L22" s="30">
        <f t="shared" si="3"/>
        <v>0</v>
      </c>
      <c r="M22" s="31">
        <v>800</v>
      </c>
      <c r="N22" s="31">
        <v>800</v>
      </c>
      <c r="O22" s="31">
        <v>800</v>
      </c>
      <c r="P22" s="31">
        <v>800</v>
      </c>
      <c r="Q22" s="31">
        <v>800</v>
      </c>
      <c r="R22" s="31">
        <v>800</v>
      </c>
      <c r="S22" s="31">
        <v>800</v>
      </c>
      <c r="T22" s="31">
        <v>800</v>
      </c>
      <c r="U22" s="31">
        <v>800</v>
      </c>
      <c r="V22" s="31">
        <v>800</v>
      </c>
      <c r="W22" s="31">
        <v>800</v>
      </c>
      <c r="X22" s="31">
        <v>800</v>
      </c>
      <c r="Y22" s="30">
        <f t="shared" si="5"/>
        <v>9600</v>
      </c>
      <c r="Z22">
        <f>VLOOKUP(A22,справочник!$E$2:$F$322,2,FALSE)</f>
        <v>0</v>
      </c>
    </row>
    <row r="23" spans="1:26" ht="24" hidden="1">
      <c r="A23" s="41">
        <f>VLOOKUP(B23,справочник!$B$2:$E$322,4,FALSE)</f>
        <v>249</v>
      </c>
      <c r="B23" t="str">
        <f t="shared" si="4"/>
        <v>260Байбикова Рузалия Равилевна / Байбикова Руфия Равилевна</v>
      </c>
      <c r="C23" s="1">
        <v>260</v>
      </c>
      <c r="D23" s="2" t="s">
        <v>20</v>
      </c>
      <c r="E23" s="1" t="s">
        <v>337</v>
      </c>
      <c r="F23" s="16">
        <v>41604</v>
      </c>
      <c r="G23" s="16">
        <v>41609</v>
      </c>
      <c r="H23" s="17">
        <f t="shared" ref="H23:H74" si="6">INT(($H$327-G23)/30)</f>
        <v>25</v>
      </c>
      <c r="I23" s="1">
        <f t="shared" si="2"/>
        <v>25000</v>
      </c>
      <c r="J23" s="17">
        <f>1000</f>
        <v>1000</v>
      </c>
      <c r="K23" s="17"/>
      <c r="L23" s="30">
        <f t="shared" si="3"/>
        <v>24000</v>
      </c>
      <c r="M23" s="31">
        <v>800</v>
      </c>
      <c r="N23" s="31">
        <v>800</v>
      </c>
      <c r="O23" s="31">
        <v>800</v>
      </c>
      <c r="P23" s="31">
        <v>800</v>
      </c>
      <c r="Q23" s="31">
        <v>800</v>
      </c>
      <c r="R23" s="31">
        <v>800</v>
      </c>
      <c r="S23" s="31">
        <v>800</v>
      </c>
      <c r="T23" s="31">
        <v>800</v>
      </c>
      <c r="U23" s="31">
        <v>800</v>
      </c>
      <c r="V23" s="31">
        <v>800</v>
      </c>
      <c r="W23" s="31">
        <v>800</v>
      </c>
      <c r="X23" s="31">
        <v>800</v>
      </c>
      <c r="Y23" s="30">
        <f t="shared" si="5"/>
        <v>33600</v>
      </c>
      <c r="Z23">
        <f>VLOOKUP(A23,справочник!$E$2:$F$322,2,FALSE)</f>
        <v>0</v>
      </c>
    </row>
    <row r="24" spans="1:26" hidden="1">
      <c r="A24" s="41">
        <f>VLOOKUP(B24,справочник!$B$2:$E$322,4,FALSE)</f>
        <v>72</v>
      </c>
      <c r="B24" t="str">
        <f t="shared" si="4"/>
        <v>78Лещёва Ольга Владимировна</v>
      </c>
      <c r="C24" s="1">
        <v>78</v>
      </c>
      <c r="D24" s="2" t="s">
        <v>21</v>
      </c>
      <c r="E24" s="1" t="s">
        <v>338</v>
      </c>
      <c r="F24" s="16">
        <v>40793</v>
      </c>
      <c r="G24" s="16">
        <v>40787</v>
      </c>
      <c r="H24" s="17">
        <f t="shared" si="6"/>
        <v>52</v>
      </c>
      <c r="I24" s="1">
        <f t="shared" si="2"/>
        <v>52000</v>
      </c>
      <c r="J24" s="17">
        <f>19000+1500+2500+23000</f>
        <v>46000</v>
      </c>
      <c r="K24" s="17"/>
      <c r="L24" s="30">
        <f t="shared" si="3"/>
        <v>6000</v>
      </c>
      <c r="M24" s="31">
        <v>800</v>
      </c>
      <c r="N24" s="31">
        <v>800</v>
      </c>
      <c r="O24" s="31">
        <v>800</v>
      </c>
      <c r="P24" s="31">
        <v>800</v>
      </c>
      <c r="Q24" s="31">
        <v>800</v>
      </c>
      <c r="R24" s="31">
        <v>800</v>
      </c>
      <c r="S24" s="31">
        <v>800</v>
      </c>
      <c r="T24" s="31">
        <v>800</v>
      </c>
      <c r="U24" s="31">
        <v>800</v>
      </c>
      <c r="V24" s="31">
        <v>800</v>
      </c>
      <c r="W24" s="31">
        <v>800</v>
      </c>
      <c r="X24" s="31">
        <v>800</v>
      </c>
      <c r="Y24" s="30">
        <f t="shared" si="5"/>
        <v>15600</v>
      </c>
      <c r="Z24">
        <f>VLOOKUP(A24,справочник!$E$2:$F$322,2,FALSE)</f>
        <v>0</v>
      </c>
    </row>
    <row r="25" spans="1:26" hidden="1">
      <c r="A25" s="41">
        <f>VLOOKUP(B25,справочник!$B$2:$E$322,4,FALSE)</f>
        <v>125</v>
      </c>
      <c r="B25" t="str">
        <f t="shared" si="4"/>
        <v>130Безбородова Людмила Михайловна</v>
      </c>
      <c r="C25" s="1">
        <v>130</v>
      </c>
      <c r="D25" s="2" t="s">
        <v>22</v>
      </c>
      <c r="E25" s="1" t="s">
        <v>339</v>
      </c>
      <c r="F25" s="16">
        <v>41948</v>
      </c>
      <c r="G25" s="16">
        <v>41974</v>
      </c>
      <c r="H25" s="17">
        <f t="shared" si="6"/>
        <v>13</v>
      </c>
      <c r="I25" s="1">
        <f t="shared" si="2"/>
        <v>13000</v>
      </c>
      <c r="J25" s="17">
        <v>8000</v>
      </c>
      <c r="K25" s="17"/>
      <c r="L25" s="30">
        <f t="shared" si="3"/>
        <v>5000</v>
      </c>
      <c r="M25" s="31">
        <v>800</v>
      </c>
      <c r="N25" s="31">
        <v>800</v>
      </c>
      <c r="O25" s="31">
        <v>800</v>
      </c>
      <c r="P25" s="31">
        <v>800</v>
      </c>
      <c r="Q25" s="31">
        <v>800</v>
      </c>
      <c r="R25" s="31">
        <v>800</v>
      </c>
      <c r="S25" s="31">
        <v>800</v>
      </c>
      <c r="T25" s="31">
        <v>800</v>
      </c>
      <c r="U25" s="31">
        <v>800</v>
      </c>
      <c r="V25" s="31">
        <v>800</v>
      </c>
      <c r="W25" s="31">
        <v>800</v>
      </c>
      <c r="X25" s="31">
        <v>800</v>
      </c>
      <c r="Y25" s="30">
        <f t="shared" si="5"/>
        <v>14600</v>
      </c>
      <c r="Z25">
        <f>VLOOKUP(A25,справочник!$E$2:$F$322,2,FALSE)</f>
        <v>0</v>
      </c>
    </row>
    <row r="26" spans="1:26" hidden="1">
      <c r="A26" s="41">
        <f>VLOOKUP(B26,справочник!$B$2:$E$322,4,FALSE)</f>
        <v>229</v>
      </c>
      <c r="B26" t="str">
        <f t="shared" si="4"/>
        <v>238Безменова Татьяна Игоревна</v>
      </c>
      <c r="C26" s="1">
        <v>238</v>
      </c>
      <c r="D26" s="2" t="s">
        <v>23</v>
      </c>
      <c r="E26" s="1" t="s">
        <v>340</v>
      </c>
      <c r="F26" s="16">
        <v>41373</v>
      </c>
      <c r="G26" s="16">
        <v>41395</v>
      </c>
      <c r="H26" s="17">
        <f t="shared" si="6"/>
        <v>32</v>
      </c>
      <c r="I26" s="1">
        <f t="shared" si="2"/>
        <v>32000</v>
      </c>
      <c r="J26" s="17">
        <v>9000</v>
      </c>
      <c r="K26" s="17"/>
      <c r="L26" s="30">
        <f t="shared" si="3"/>
        <v>23000</v>
      </c>
      <c r="M26" s="31">
        <v>800</v>
      </c>
      <c r="N26" s="31">
        <v>800</v>
      </c>
      <c r="O26" s="31">
        <v>800</v>
      </c>
      <c r="P26" s="31">
        <v>800</v>
      </c>
      <c r="Q26" s="31">
        <v>800</v>
      </c>
      <c r="R26" s="31">
        <v>800</v>
      </c>
      <c r="S26" s="31">
        <v>800</v>
      </c>
      <c r="T26" s="31">
        <v>800</v>
      </c>
      <c r="U26" s="31">
        <v>800</v>
      </c>
      <c r="V26" s="31">
        <v>800</v>
      </c>
      <c r="W26" s="31">
        <v>800</v>
      </c>
      <c r="X26" s="31">
        <v>800</v>
      </c>
      <c r="Y26" s="30">
        <f t="shared" si="5"/>
        <v>32600</v>
      </c>
      <c r="Z26">
        <f>VLOOKUP(A26,справочник!$E$2:$F$322,2,FALSE)</f>
        <v>0</v>
      </c>
    </row>
    <row r="27" spans="1:26" hidden="1">
      <c r="A27" s="41">
        <f>VLOOKUP(B27,справочник!$B$2:$E$322,4,FALSE)</f>
        <v>296</v>
      </c>
      <c r="B27" t="str">
        <f t="shared" si="4"/>
        <v>311Бекмансурова Динара Василевна</v>
      </c>
      <c r="C27" s="1">
        <v>311</v>
      </c>
      <c r="D27" s="2" t="s">
        <v>24</v>
      </c>
      <c r="E27" s="1" t="s">
        <v>341</v>
      </c>
      <c r="F27" s="16">
        <v>41008</v>
      </c>
      <c r="G27" s="16">
        <v>41000</v>
      </c>
      <c r="H27" s="17">
        <f t="shared" si="6"/>
        <v>45</v>
      </c>
      <c r="I27" s="1">
        <f t="shared" si="2"/>
        <v>45000</v>
      </c>
      <c r="J27" s="17">
        <v>1000</v>
      </c>
      <c r="K27" s="17"/>
      <c r="L27" s="30">
        <f t="shared" si="3"/>
        <v>44000</v>
      </c>
      <c r="M27" s="31">
        <v>800</v>
      </c>
      <c r="N27" s="31">
        <v>800</v>
      </c>
      <c r="O27" s="31">
        <v>800</v>
      </c>
      <c r="P27" s="31">
        <v>800</v>
      </c>
      <c r="Q27" s="31">
        <v>800</v>
      </c>
      <c r="R27" s="31">
        <v>800</v>
      </c>
      <c r="S27" s="31">
        <v>800</v>
      </c>
      <c r="T27" s="31">
        <v>800</v>
      </c>
      <c r="U27" s="31">
        <v>800</v>
      </c>
      <c r="V27" s="31">
        <v>800</v>
      </c>
      <c r="W27" s="31">
        <v>800</v>
      </c>
      <c r="X27" s="31">
        <v>800</v>
      </c>
      <c r="Y27" s="30">
        <f t="shared" si="5"/>
        <v>53600</v>
      </c>
      <c r="Z27">
        <f>VLOOKUP(A27,справочник!$E$2:$F$322,2,FALSE)</f>
        <v>0</v>
      </c>
    </row>
    <row r="28" spans="1:26" hidden="1">
      <c r="A28" s="41">
        <f>VLOOKUP(B28,справочник!$B$2:$E$322,4,FALSE)</f>
        <v>281</v>
      </c>
      <c r="B28" t="str">
        <f t="shared" si="4"/>
        <v xml:space="preserve">293Белов Семён Иванович          </v>
      </c>
      <c r="C28" s="1">
        <v>293</v>
      </c>
      <c r="D28" s="2" t="s">
        <v>25</v>
      </c>
      <c r="E28" s="1" t="s">
        <v>342</v>
      </c>
      <c r="F28" s="16">
        <v>41766</v>
      </c>
      <c r="G28" s="16">
        <v>41791</v>
      </c>
      <c r="H28" s="17">
        <f t="shared" si="6"/>
        <v>19</v>
      </c>
      <c r="I28" s="1">
        <f t="shared" si="2"/>
        <v>19000</v>
      </c>
      <c r="J28" s="17">
        <v>1000</v>
      </c>
      <c r="K28" s="17"/>
      <c r="L28" s="30">
        <f t="shared" si="3"/>
        <v>18000</v>
      </c>
      <c r="M28" s="31">
        <v>800</v>
      </c>
      <c r="N28" s="31">
        <v>800</v>
      </c>
      <c r="O28" s="31">
        <v>800</v>
      </c>
      <c r="P28" s="31">
        <v>800</v>
      </c>
      <c r="Q28" s="31">
        <v>800</v>
      </c>
      <c r="R28" s="31">
        <v>800</v>
      </c>
      <c r="S28" s="31">
        <v>800</v>
      </c>
      <c r="T28" s="31">
        <v>800</v>
      </c>
      <c r="U28" s="31">
        <v>800</v>
      </c>
      <c r="V28" s="31">
        <v>800</v>
      </c>
      <c r="W28" s="31">
        <v>800</v>
      </c>
      <c r="X28" s="31">
        <v>800</v>
      </c>
      <c r="Y28" s="30">
        <f t="shared" si="5"/>
        <v>27600</v>
      </c>
      <c r="Z28">
        <f>VLOOKUP(A28,справочник!$E$2:$F$322,2,FALSE)</f>
        <v>0</v>
      </c>
    </row>
    <row r="29" spans="1:26" hidden="1">
      <c r="A29" s="41">
        <f>VLOOKUP(B29,справочник!$B$2:$E$322,4,FALSE)</f>
        <v>198</v>
      </c>
      <c r="B29" t="str">
        <f t="shared" si="4"/>
        <v>206Белоглазова Людмила Ивановна</v>
      </c>
      <c r="C29" s="1">
        <v>206</v>
      </c>
      <c r="D29" s="2" t="s">
        <v>26</v>
      </c>
      <c r="E29" s="1" t="s">
        <v>343</v>
      </c>
      <c r="F29" s="16">
        <v>40816</v>
      </c>
      <c r="G29" s="16">
        <v>40787</v>
      </c>
      <c r="H29" s="17">
        <f t="shared" si="6"/>
        <v>52</v>
      </c>
      <c r="I29" s="1">
        <f t="shared" si="2"/>
        <v>52000</v>
      </c>
      <c r="J29" s="17">
        <f>50000+1000</f>
        <v>51000</v>
      </c>
      <c r="K29" s="17">
        <v>1000</v>
      </c>
      <c r="L29" s="30">
        <f t="shared" si="3"/>
        <v>0</v>
      </c>
      <c r="M29" s="31">
        <v>800</v>
      </c>
      <c r="N29" s="31">
        <v>800</v>
      </c>
      <c r="O29" s="31">
        <v>800</v>
      </c>
      <c r="P29" s="31">
        <v>800</v>
      </c>
      <c r="Q29" s="31">
        <v>800</v>
      </c>
      <c r="R29" s="31">
        <v>800</v>
      </c>
      <c r="S29" s="31">
        <v>800</v>
      </c>
      <c r="T29" s="31">
        <v>800</v>
      </c>
      <c r="U29" s="31">
        <v>800</v>
      </c>
      <c r="V29" s="31">
        <v>800</v>
      </c>
      <c r="W29" s="31">
        <v>800</v>
      </c>
      <c r="X29" s="31">
        <v>800</v>
      </c>
      <c r="Y29" s="30">
        <f t="shared" si="5"/>
        <v>9600</v>
      </c>
      <c r="Z29">
        <f>VLOOKUP(A29,справочник!$E$2:$F$322,2,FALSE)</f>
        <v>0</v>
      </c>
    </row>
    <row r="30" spans="1:26" hidden="1">
      <c r="A30" s="41">
        <f>VLOOKUP(B30,справочник!$B$2:$E$322,4,FALSE)</f>
        <v>52</v>
      </c>
      <c r="B30" t="str">
        <f t="shared" si="4"/>
        <v>54Бельская Светлана Александровна (Владимир)</v>
      </c>
      <c r="C30" s="1">
        <v>54</v>
      </c>
      <c r="D30" s="2" t="s">
        <v>27</v>
      </c>
      <c r="E30" s="1" t="s">
        <v>344</v>
      </c>
      <c r="F30" s="16">
        <v>41016</v>
      </c>
      <c r="G30" s="16">
        <v>41000</v>
      </c>
      <c r="H30" s="17">
        <f t="shared" si="6"/>
        <v>45</v>
      </c>
      <c r="I30" s="1">
        <f t="shared" si="2"/>
        <v>45000</v>
      </c>
      <c r="J30" s="17">
        <v>40000</v>
      </c>
      <c r="K30" s="17">
        <v>5000</v>
      </c>
      <c r="L30" s="30">
        <v>5000</v>
      </c>
      <c r="M30" s="31">
        <v>800</v>
      </c>
      <c r="N30" s="31">
        <v>800</v>
      </c>
      <c r="O30" s="31">
        <v>800</v>
      </c>
      <c r="P30" s="31">
        <v>800</v>
      </c>
      <c r="Q30" s="31">
        <v>800</v>
      </c>
      <c r="R30" s="31">
        <v>800</v>
      </c>
      <c r="S30" s="31">
        <v>800</v>
      </c>
      <c r="T30" s="31">
        <v>800</v>
      </c>
      <c r="U30" s="31">
        <v>800</v>
      </c>
      <c r="V30" s="31">
        <v>800</v>
      </c>
      <c r="W30" s="31">
        <v>800</v>
      </c>
      <c r="X30" s="31">
        <v>800</v>
      </c>
      <c r="Y30" s="30">
        <f t="shared" si="5"/>
        <v>14600</v>
      </c>
      <c r="Z30">
        <f>VLOOKUP(A30,справочник!$E$2:$F$322,2,FALSE)</f>
        <v>0</v>
      </c>
    </row>
    <row r="31" spans="1:26" hidden="1">
      <c r="A31" s="41">
        <f>VLOOKUP(B31,справочник!$B$2:$E$322,4,FALSE)</f>
        <v>51</v>
      </c>
      <c r="B31" t="str">
        <f t="shared" si="4"/>
        <v>53Бельский Владимир Владимирович (Светлана)</v>
      </c>
      <c r="C31" s="1">
        <v>53</v>
      </c>
      <c r="D31" s="2" t="s">
        <v>28</v>
      </c>
      <c r="E31" s="1" t="s">
        <v>345</v>
      </c>
      <c r="F31" s="16">
        <v>41016</v>
      </c>
      <c r="G31" s="16">
        <v>41000</v>
      </c>
      <c r="H31" s="17">
        <f t="shared" si="6"/>
        <v>45</v>
      </c>
      <c r="I31" s="1">
        <f t="shared" si="2"/>
        <v>45000</v>
      </c>
      <c r="J31" s="17">
        <v>28000</v>
      </c>
      <c r="K31" s="17">
        <v>7000</v>
      </c>
      <c r="L31" s="30">
        <v>5000</v>
      </c>
      <c r="M31" s="31">
        <v>800</v>
      </c>
      <c r="N31" s="31">
        <v>800</v>
      </c>
      <c r="O31" s="31">
        <v>800</v>
      </c>
      <c r="P31" s="31">
        <v>800</v>
      </c>
      <c r="Q31" s="31">
        <v>800</v>
      </c>
      <c r="R31" s="31">
        <v>800</v>
      </c>
      <c r="S31" s="31">
        <v>800</v>
      </c>
      <c r="T31" s="31">
        <v>800</v>
      </c>
      <c r="U31" s="31">
        <v>800</v>
      </c>
      <c r="V31" s="31">
        <v>800</v>
      </c>
      <c r="W31" s="31">
        <v>800</v>
      </c>
      <c r="X31" s="31">
        <v>800</v>
      </c>
      <c r="Y31" s="30">
        <f t="shared" si="5"/>
        <v>14600</v>
      </c>
      <c r="Z31">
        <f>VLOOKUP(A31,справочник!$E$2:$F$322,2,FALSE)</f>
        <v>0</v>
      </c>
    </row>
    <row r="32" spans="1:26" hidden="1">
      <c r="A32" s="41">
        <f>VLOOKUP(B32,справочник!$B$2:$E$322,4,FALSE)</f>
        <v>136</v>
      </c>
      <c r="B32" t="str">
        <f t="shared" si="4"/>
        <v>144Беляков Виктор Михайлович</v>
      </c>
      <c r="C32" s="1">
        <v>144</v>
      </c>
      <c r="D32" s="2" t="s">
        <v>29</v>
      </c>
      <c r="E32" s="1" t="s">
        <v>346</v>
      </c>
      <c r="F32" s="16">
        <v>41204</v>
      </c>
      <c r="G32" s="16">
        <v>41214</v>
      </c>
      <c r="H32" s="17">
        <f t="shared" si="6"/>
        <v>38</v>
      </c>
      <c r="I32" s="1">
        <f t="shared" si="2"/>
        <v>38000</v>
      </c>
      <c r="J32" s="17">
        <v>28000</v>
      </c>
      <c r="K32" s="17"/>
      <c r="L32" s="30">
        <f t="shared" ref="L32:L95" si="7">I32-J32-K32</f>
        <v>10000</v>
      </c>
      <c r="M32" s="31">
        <v>800</v>
      </c>
      <c r="N32" s="31">
        <v>800</v>
      </c>
      <c r="O32" s="31">
        <v>800</v>
      </c>
      <c r="P32" s="31">
        <v>800</v>
      </c>
      <c r="Q32" s="31">
        <v>800</v>
      </c>
      <c r="R32" s="31">
        <v>800</v>
      </c>
      <c r="S32" s="31">
        <v>800</v>
      </c>
      <c r="T32" s="31">
        <v>800</v>
      </c>
      <c r="U32" s="31">
        <v>800</v>
      </c>
      <c r="V32" s="31">
        <v>800</v>
      </c>
      <c r="W32" s="31">
        <v>800</v>
      </c>
      <c r="X32" s="31">
        <v>800</v>
      </c>
      <c r="Y32" s="30">
        <f t="shared" si="5"/>
        <v>19600</v>
      </c>
      <c r="Z32">
        <f>VLOOKUP(A32,справочник!$E$2:$F$322,2,FALSE)</f>
        <v>0</v>
      </c>
    </row>
    <row r="33" spans="1:26" hidden="1">
      <c r="A33" s="41">
        <f>VLOOKUP(B33,справочник!$B$2:$E$322,4,FALSE)</f>
        <v>11</v>
      </c>
      <c r="B33" t="str">
        <f t="shared" si="4"/>
        <v>11Бенгя Владимир Михайлович (Диана)</v>
      </c>
      <c r="C33" s="1">
        <v>11</v>
      </c>
      <c r="D33" s="2" t="s">
        <v>30</v>
      </c>
      <c r="E33" s="1" t="s">
        <v>347</v>
      </c>
      <c r="F33" s="16">
        <v>41204</v>
      </c>
      <c r="G33" s="16">
        <v>41214</v>
      </c>
      <c r="H33" s="17">
        <f t="shared" si="6"/>
        <v>38</v>
      </c>
      <c r="I33" s="1">
        <f t="shared" si="2"/>
        <v>38000</v>
      </c>
      <c r="J33" s="17">
        <v>26000</v>
      </c>
      <c r="K33" s="17"/>
      <c r="L33" s="30">
        <f t="shared" si="7"/>
        <v>12000</v>
      </c>
      <c r="M33" s="31">
        <v>800</v>
      </c>
      <c r="N33" s="31">
        <v>800</v>
      </c>
      <c r="O33" s="31">
        <v>800</v>
      </c>
      <c r="P33" s="31">
        <v>800</v>
      </c>
      <c r="Q33" s="31">
        <v>800</v>
      </c>
      <c r="R33" s="31">
        <v>800</v>
      </c>
      <c r="S33" s="31">
        <v>800</v>
      </c>
      <c r="T33" s="31">
        <v>800</v>
      </c>
      <c r="U33" s="31">
        <v>800</v>
      </c>
      <c r="V33" s="31">
        <v>800</v>
      </c>
      <c r="W33" s="31">
        <v>800</v>
      </c>
      <c r="X33" s="31">
        <v>800</v>
      </c>
      <c r="Y33" s="30">
        <f t="shared" si="5"/>
        <v>21600</v>
      </c>
      <c r="Z33">
        <f>VLOOKUP(A33,справочник!$E$2:$F$322,2,FALSE)</f>
        <v>0</v>
      </c>
    </row>
    <row r="34" spans="1:26" hidden="1">
      <c r="A34" s="41">
        <f>VLOOKUP(B34,справочник!$B$2:$E$322,4,FALSE)</f>
        <v>114</v>
      </c>
      <c r="B34" t="str">
        <f t="shared" si="4"/>
        <v>119Беспаленко Зинаида Александровна</v>
      </c>
      <c r="C34" s="1">
        <v>119</v>
      </c>
      <c r="D34" s="2" t="s">
        <v>31</v>
      </c>
      <c r="E34" s="1" t="s">
        <v>348</v>
      </c>
      <c r="F34" s="16">
        <v>41262</v>
      </c>
      <c r="G34" s="16">
        <v>41275</v>
      </c>
      <c r="H34" s="17">
        <f t="shared" si="6"/>
        <v>36</v>
      </c>
      <c r="I34" s="1">
        <f t="shared" si="2"/>
        <v>36000</v>
      </c>
      <c r="J34" s="17">
        <v>1000</v>
      </c>
      <c r="K34" s="17"/>
      <c r="L34" s="30">
        <f t="shared" si="7"/>
        <v>35000</v>
      </c>
      <c r="M34" s="31">
        <v>800</v>
      </c>
      <c r="N34" s="31">
        <v>800</v>
      </c>
      <c r="O34" s="31">
        <v>800</v>
      </c>
      <c r="P34" s="31">
        <v>800</v>
      </c>
      <c r="Q34" s="31">
        <v>800</v>
      </c>
      <c r="R34" s="31">
        <v>800</v>
      </c>
      <c r="S34" s="31">
        <v>800</v>
      </c>
      <c r="T34" s="31">
        <v>800</v>
      </c>
      <c r="U34" s="31">
        <v>800</v>
      </c>
      <c r="V34" s="31">
        <v>800</v>
      </c>
      <c r="W34" s="31">
        <v>800</v>
      </c>
      <c r="X34" s="31">
        <v>800</v>
      </c>
      <c r="Y34" s="30">
        <f t="shared" si="5"/>
        <v>44600</v>
      </c>
      <c r="Z34">
        <f>VLOOKUP(A34,справочник!$E$2:$F$322,2,FALSE)</f>
        <v>0</v>
      </c>
    </row>
    <row r="35" spans="1:26" hidden="1">
      <c r="A35" s="41">
        <f>VLOOKUP(B35,справочник!$B$2:$E$322,4,FALSE)</f>
        <v>151</v>
      </c>
      <c r="B35" t="str">
        <f t="shared" si="4"/>
        <v>159Бирюков Александр Сергеевич</v>
      </c>
      <c r="C35" s="1">
        <v>159</v>
      </c>
      <c r="D35" s="2" t="s">
        <v>32</v>
      </c>
      <c r="E35" s="1" t="s">
        <v>349</v>
      </c>
      <c r="F35" s="16">
        <v>41121</v>
      </c>
      <c r="G35" s="16">
        <v>41122</v>
      </c>
      <c r="H35" s="17">
        <f t="shared" si="6"/>
        <v>41</v>
      </c>
      <c r="I35" s="1">
        <f t="shared" si="2"/>
        <v>41000</v>
      </c>
      <c r="J35" s="17">
        <v>17000</v>
      </c>
      <c r="K35" s="17"/>
      <c r="L35" s="30">
        <f t="shared" si="7"/>
        <v>24000</v>
      </c>
      <c r="M35" s="31">
        <v>800</v>
      </c>
      <c r="N35" s="31">
        <v>800</v>
      </c>
      <c r="O35" s="31">
        <v>800</v>
      </c>
      <c r="P35" s="31">
        <v>800</v>
      </c>
      <c r="Q35" s="31">
        <v>800</v>
      </c>
      <c r="R35" s="31">
        <v>800</v>
      </c>
      <c r="S35" s="31">
        <v>800</v>
      </c>
      <c r="T35" s="31">
        <v>800</v>
      </c>
      <c r="U35" s="31">
        <v>800</v>
      </c>
      <c r="V35" s="31">
        <v>800</v>
      </c>
      <c r="W35" s="31">
        <v>800</v>
      </c>
      <c r="X35" s="31">
        <v>800</v>
      </c>
      <c r="Y35" s="30">
        <f t="shared" si="5"/>
        <v>33600</v>
      </c>
      <c r="Z35">
        <f>VLOOKUP(A35,справочник!$E$2:$F$322,2,FALSE)</f>
        <v>0</v>
      </c>
    </row>
    <row r="36" spans="1:26" hidden="1">
      <c r="A36" s="41">
        <f>VLOOKUP(B36,справочник!$B$2:$E$322,4,FALSE)</f>
        <v>142</v>
      </c>
      <c r="B36" t="str">
        <f t="shared" si="4"/>
        <v>150Блинков Анатолий Сергеевич</v>
      </c>
      <c r="C36" s="1">
        <v>150</v>
      </c>
      <c r="D36" s="2" t="s">
        <v>33</v>
      </c>
      <c r="E36" s="1" t="s">
        <v>350</v>
      </c>
      <c r="F36" s="16">
        <v>40771</v>
      </c>
      <c r="G36" s="16">
        <v>40787</v>
      </c>
      <c r="H36" s="17">
        <f t="shared" si="6"/>
        <v>52</v>
      </c>
      <c r="I36" s="1">
        <f t="shared" si="2"/>
        <v>52000</v>
      </c>
      <c r="J36" s="17">
        <f>32000+1000</f>
        <v>33000</v>
      </c>
      <c r="K36" s="17">
        <v>19000</v>
      </c>
      <c r="L36" s="30">
        <f t="shared" si="7"/>
        <v>0</v>
      </c>
      <c r="M36" s="31">
        <v>800</v>
      </c>
      <c r="N36" s="31">
        <v>800</v>
      </c>
      <c r="O36" s="31">
        <v>800</v>
      </c>
      <c r="P36" s="31">
        <v>800</v>
      </c>
      <c r="Q36" s="31">
        <v>800</v>
      </c>
      <c r="R36" s="31">
        <v>800</v>
      </c>
      <c r="S36" s="31">
        <v>800</v>
      </c>
      <c r="T36" s="31">
        <v>800</v>
      </c>
      <c r="U36" s="31">
        <v>800</v>
      </c>
      <c r="V36" s="31">
        <v>800</v>
      </c>
      <c r="W36" s="31">
        <v>800</v>
      </c>
      <c r="X36" s="31">
        <v>800</v>
      </c>
      <c r="Y36" s="30">
        <f t="shared" si="5"/>
        <v>9600</v>
      </c>
      <c r="Z36">
        <f>VLOOKUP(A36,справочник!$E$2:$F$322,2,FALSE)</f>
        <v>0</v>
      </c>
    </row>
    <row r="37" spans="1:26" hidden="1">
      <c r="A37" s="41">
        <f>VLOOKUP(B37,справочник!$B$2:$E$322,4,FALSE)</f>
        <v>245</v>
      </c>
      <c r="B37" t="str">
        <f t="shared" si="4"/>
        <v>256Бондарев Станислав Дмитриевич</v>
      </c>
      <c r="C37" s="1">
        <v>256</v>
      </c>
      <c r="D37" s="2" t="s">
        <v>34</v>
      </c>
      <c r="E37" s="1" t="s">
        <v>351</v>
      </c>
      <c r="F37" s="16">
        <v>41930</v>
      </c>
      <c r="G37" s="16">
        <v>41944</v>
      </c>
      <c r="H37" s="17">
        <f t="shared" si="6"/>
        <v>14</v>
      </c>
      <c r="I37" s="1">
        <f t="shared" si="2"/>
        <v>14000</v>
      </c>
      <c r="J37" s="17">
        <v>9000</v>
      </c>
      <c r="K37" s="17"/>
      <c r="L37" s="30">
        <f t="shared" si="7"/>
        <v>5000</v>
      </c>
      <c r="M37" s="31">
        <v>800</v>
      </c>
      <c r="N37" s="31">
        <v>800</v>
      </c>
      <c r="O37" s="31">
        <v>800</v>
      </c>
      <c r="P37" s="31">
        <v>800</v>
      </c>
      <c r="Q37" s="31">
        <v>800</v>
      </c>
      <c r="R37" s="31">
        <v>800</v>
      </c>
      <c r="S37" s="31">
        <v>800</v>
      </c>
      <c r="T37" s="31">
        <v>800</v>
      </c>
      <c r="U37" s="31">
        <v>800</v>
      </c>
      <c r="V37" s="31">
        <v>800</v>
      </c>
      <c r="W37" s="31">
        <v>800</v>
      </c>
      <c r="X37" s="31">
        <v>800</v>
      </c>
      <c r="Y37" s="30">
        <f t="shared" si="5"/>
        <v>14600</v>
      </c>
      <c r="Z37">
        <f>VLOOKUP(A37,справочник!$E$2:$F$322,2,FALSE)</f>
        <v>0</v>
      </c>
    </row>
    <row r="38" spans="1:26" hidden="1">
      <c r="A38" s="41">
        <f>VLOOKUP(B38,справочник!$B$2:$E$322,4,FALSE)</f>
        <v>188</v>
      </c>
      <c r="B38" t="str">
        <f t="shared" si="4"/>
        <v>196Бондаренко Владимир Иванович</v>
      </c>
      <c r="C38" s="1">
        <v>196</v>
      </c>
      <c r="D38" s="2" t="s">
        <v>35</v>
      </c>
      <c r="E38" s="1" t="s">
        <v>352</v>
      </c>
      <c r="F38" s="19">
        <v>41674</v>
      </c>
      <c r="G38" s="19">
        <v>41699</v>
      </c>
      <c r="H38" s="20">
        <f t="shared" si="6"/>
        <v>22</v>
      </c>
      <c r="I38" s="5">
        <f t="shared" si="2"/>
        <v>22000</v>
      </c>
      <c r="J38" s="20">
        <v>10000</v>
      </c>
      <c r="K38" s="20"/>
      <c r="L38" s="32">
        <f t="shared" si="7"/>
        <v>12000</v>
      </c>
      <c r="M38" s="31">
        <v>800</v>
      </c>
      <c r="N38" s="31">
        <v>800</v>
      </c>
      <c r="O38" s="31">
        <v>800</v>
      </c>
      <c r="P38" s="31">
        <v>800</v>
      </c>
      <c r="Q38" s="31">
        <v>800</v>
      </c>
      <c r="R38" s="31">
        <v>800</v>
      </c>
      <c r="S38" s="31">
        <v>800</v>
      </c>
      <c r="T38" s="31">
        <v>800</v>
      </c>
      <c r="U38" s="31">
        <v>800</v>
      </c>
      <c r="V38" s="31">
        <v>800</v>
      </c>
      <c r="W38" s="31">
        <v>800</v>
      </c>
      <c r="X38" s="31">
        <v>800</v>
      </c>
      <c r="Y38" s="30">
        <f t="shared" si="5"/>
        <v>21600</v>
      </c>
      <c r="Z38">
        <f>VLOOKUP(A38,справочник!$E$2:$F$322,2,FALSE)</f>
        <v>1</v>
      </c>
    </row>
    <row r="39" spans="1:26" hidden="1">
      <c r="A39" s="41">
        <f>VLOOKUP(B39,справочник!$B$2:$E$322,4,FALSE)</f>
        <v>188</v>
      </c>
      <c r="B39" t="str">
        <f t="shared" si="4"/>
        <v>197Бондаренко Владимир Иванович</v>
      </c>
      <c r="C39" s="1">
        <v>197</v>
      </c>
      <c r="D39" s="2" t="s">
        <v>35</v>
      </c>
      <c r="E39" s="1"/>
      <c r="F39" s="19">
        <v>41674</v>
      </c>
      <c r="G39" s="19">
        <v>41699</v>
      </c>
      <c r="H39" s="20">
        <f t="shared" si="6"/>
        <v>22</v>
      </c>
      <c r="I39" s="5">
        <f t="shared" si="2"/>
        <v>22000</v>
      </c>
      <c r="J39" s="20"/>
      <c r="K39" s="20"/>
      <c r="L39" s="32">
        <f t="shared" si="7"/>
        <v>22000</v>
      </c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0">
        <f t="shared" si="5"/>
        <v>22000</v>
      </c>
      <c r="Z39">
        <f>VLOOKUP(A39,справочник!$E$2:$F$322,2,FALSE)</f>
        <v>1</v>
      </c>
    </row>
    <row r="40" spans="1:26" hidden="1">
      <c r="A40" s="41">
        <f>VLOOKUP(B40,справочник!$B$2:$E$322,4,FALSE)</f>
        <v>219</v>
      </c>
      <c r="B40" t="str">
        <f t="shared" si="4"/>
        <v>228Бондарь Василий Дмитриевич</v>
      </c>
      <c r="C40" s="1">
        <v>228</v>
      </c>
      <c r="D40" s="2" t="s">
        <v>36</v>
      </c>
      <c r="E40" s="1" t="s">
        <v>353</v>
      </c>
      <c r="F40" s="16">
        <v>41848</v>
      </c>
      <c r="G40" s="16">
        <v>41883</v>
      </c>
      <c r="H40" s="17">
        <f t="shared" si="6"/>
        <v>16</v>
      </c>
      <c r="I40" s="1">
        <f t="shared" si="2"/>
        <v>16000</v>
      </c>
      <c r="J40" s="17">
        <v>13000</v>
      </c>
      <c r="K40" s="17">
        <v>3000</v>
      </c>
      <c r="L40" s="30">
        <f t="shared" si="7"/>
        <v>0</v>
      </c>
      <c r="M40" s="31">
        <v>800</v>
      </c>
      <c r="N40" s="31">
        <v>800</v>
      </c>
      <c r="O40" s="31">
        <v>800</v>
      </c>
      <c r="P40" s="31">
        <v>800</v>
      </c>
      <c r="Q40" s="31">
        <v>800</v>
      </c>
      <c r="R40" s="31">
        <v>800</v>
      </c>
      <c r="S40" s="31">
        <v>800</v>
      </c>
      <c r="T40" s="31">
        <v>800</v>
      </c>
      <c r="U40" s="31">
        <v>800</v>
      </c>
      <c r="V40" s="31">
        <v>800</v>
      </c>
      <c r="W40" s="31">
        <v>800</v>
      </c>
      <c r="X40" s="31">
        <v>800</v>
      </c>
      <c r="Y40" s="30">
        <f t="shared" si="5"/>
        <v>9600</v>
      </c>
      <c r="Z40">
        <f>VLOOKUP(A40,справочник!$E$2:$F$322,2,FALSE)</f>
        <v>0</v>
      </c>
    </row>
    <row r="41" spans="1:26" hidden="1">
      <c r="A41" s="41">
        <f>VLOOKUP(B41,справочник!$B$2:$E$322,4,FALSE)</f>
        <v>223</v>
      </c>
      <c r="B41" t="str">
        <f t="shared" si="4"/>
        <v>232Борисов Олег Александрович</v>
      </c>
      <c r="C41" s="1">
        <v>232</v>
      </c>
      <c r="D41" s="2" t="s">
        <v>37</v>
      </c>
      <c r="E41" s="1" t="s">
        <v>354</v>
      </c>
      <c r="F41" s="16">
        <v>40955</v>
      </c>
      <c r="G41" s="16">
        <v>40940</v>
      </c>
      <c r="H41" s="17">
        <f t="shared" si="6"/>
        <v>47</v>
      </c>
      <c r="I41" s="1">
        <f t="shared" si="2"/>
        <v>47000</v>
      </c>
      <c r="J41" s="17">
        <v>1000</v>
      </c>
      <c r="K41" s="17">
        <v>45000</v>
      </c>
      <c r="L41" s="30">
        <f t="shared" si="7"/>
        <v>1000</v>
      </c>
      <c r="M41" s="31">
        <v>800</v>
      </c>
      <c r="N41" s="31">
        <v>800</v>
      </c>
      <c r="O41" s="31">
        <v>800</v>
      </c>
      <c r="P41" s="31">
        <v>800</v>
      </c>
      <c r="Q41" s="31">
        <v>800</v>
      </c>
      <c r="R41" s="31">
        <v>800</v>
      </c>
      <c r="S41" s="31">
        <v>800</v>
      </c>
      <c r="T41" s="31">
        <v>800</v>
      </c>
      <c r="U41" s="31">
        <v>800</v>
      </c>
      <c r="V41" s="31">
        <v>800</v>
      </c>
      <c r="W41" s="31">
        <v>800</v>
      </c>
      <c r="X41" s="31">
        <v>800</v>
      </c>
      <c r="Y41" s="30">
        <f t="shared" si="5"/>
        <v>10600</v>
      </c>
      <c r="Z41">
        <f>VLOOKUP(A41,справочник!$E$2:$F$322,2,FALSE)</f>
        <v>0</v>
      </c>
    </row>
    <row r="42" spans="1:26" hidden="1">
      <c r="A42" s="41">
        <f>VLOOKUP(B42,справочник!$B$2:$E$322,4,FALSE)</f>
        <v>137</v>
      </c>
      <c r="B42" t="str">
        <f t="shared" si="4"/>
        <v>145Бранцова Татьяна Валерьевна</v>
      </c>
      <c r="C42" s="1">
        <v>145</v>
      </c>
      <c r="D42" s="2" t="s">
        <v>38</v>
      </c>
      <c r="E42" s="1" t="s">
        <v>355</v>
      </c>
      <c r="F42" s="16">
        <v>41030</v>
      </c>
      <c r="G42" s="16">
        <v>41030</v>
      </c>
      <c r="H42" s="17">
        <f t="shared" si="6"/>
        <v>44</v>
      </c>
      <c r="I42" s="1">
        <f t="shared" si="2"/>
        <v>44000</v>
      </c>
      <c r="J42" s="17">
        <v>44000</v>
      </c>
      <c r="K42" s="17"/>
      <c r="L42" s="30">
        <f t="shared" si="7"/>
        <v>0</v>
      </c>
      <c r="M42" s="31">
        <v>800</v>
      </c>
      <c r="N42" s="31">
        <v>800</v>
      </c>
      <c r="O42" s="31">
        <v>800</v>
      </c>
      <c r="P42" s="31">
        <v>800</v>
      </c>
      <c r="Q42" s="31">
        <v>800</v>
      </c>
      <c r="R42" s="31">
        <v>800</v>
      </c>
      <c r="S42" s="31">
        <v>800</v>
      </c>
      <c r="T42" s="31">
        <v>800</v>
      </c>
      <c r="U42" s="31">
        <v>800</v>
      </c>
      <c r="V42" s="31">
        <v>800</v>
      </c>
      <c r="W42" s="31">
        <v>800</v>
      </c>
      <c r="X42" s="31">
        <v>800</v>
      </c>
      <c r="Y42" s="30">
        <f t="shared" si="5"/>
        <v>9600</v>
      </c>
      <c r="Z42">
        <f>VLOOKUP(A42,справочник!$E$2:$F$322,2,FALSE)</f>
        <v>0</v>
      </c>
    </row>
    <row r="43" spans="1:26" hidden="1">
      <c r="A43" s="41">
        <f>VLOOKUP(B43,справочник!$B$2:$E$322,4,FALSE)</f>
        <v>105</v>
      </c>
      <c r="B43" t="str">
        <f t="shared" si="4"/>
        <v>110Брылёв Андрей Вячеславович</v>
      </c>
      <c r="C43" s="1">
        <v>110</v>
      </c>
      <c r="D43" s="2" t="s">
        <v>39</v>
      </c>
      <c r="E43" s="1" t="s">
        <v>356</v>
      </c>
      <c r="F43" s="16">
        <v>40925</v>
      </c>
      <c r="G43" s="16">
        <v>40909</v>
      </c>
      <c r="H43" s="17">
        <f t="shared" si="6"/>
        <v>48</v>
      </c>
      <c r="I43" s="1">
        <f t="shared" si="2"/>
        <v>48000</v>
      </c>
      <c r="J43" s="17">
        <v>28000</v>
      </c>
      <c r="K43" s="17"/>
      <c r="L43" s="30">
        <f t="shared" si="7"/>
        <v>20000</v>
      </c>
      <c r="M43" s="31">
        <v>800</v>
      </c>
      <c r="N43" s="31">
        <v>800</v>
      </c>
      <c r="O43" s="31">
        <v>800</v>
      </c>
      <c r="P43" s="31">
        <v>800</v>
      </c>
      <c r="Q43" s="31">
        <v>800</v>
      </c>
      <c r="R43" s="31">
        <v>800</v>
      </c>
      <c r="S43" s="31">
        <v>800</v>
      </c>
      <c r="T43" s="31">
        <v>800</v>
      </c>
      <c r="U43" s="31">
        <v>800</v>
      </c>
      <c r="V43" s="31">
        <v>800</v>
      </c>
      <c r="W43" s="31">
        <v>800</v>
      </c>
      <c r="X43" s="31">
        <v>800</v>
      </c>
      <c r="Y43" s="30">
        <f t="shared" si="5"/>
        <v>29600</v>
      </c>
      <c r="Z43">
        <f>VLOOKUP(A43,справочник!$E$2:$F$322,2,FALSE)</f>
        <v>0</v>
      </c>
    </row>
    <row r="44" spans="1:26" hidden="1">
      <c r="A44" s="41">
        <f>VLOOKUP(B44,справочник!$B$2:$E$322,4,FALSE)</f>
        <v>98</v>
      </c>
      <c r="B44" t="str">
        <f t="shared" si="4"/>
        <v>103Бугрова Вероника Артуровна</v>
      </c>
      <c r="C44" s="1">
        <v>103</v>
      </c>
      <c r="D44" s="2" t="s">
        <v>40</v>
      </c>
      <c r="E44" s="1" t="s">
        <v>357</v>
      </c>
      <c r="F44" s="16">
        <v>40897</v>
      </c>
      <c r="G44" s="16">
        <v>40878</v>
      </c>
      <c r="H44" s="17">
        <f t="shared" si="6"/>
        <v>49</v>
      </c>
      <c r="I44" s="1">
        <f t="shared" si="2"/>
        <v>49000</v>
      </c>
      <c r="J44" s="17">
        <f>29000+1000</f>
        <v>30000</v>
      </c>
      <c r="K44" s="17"/>
      <c r="L44" s="30">
        <f t="shared" si="7"/>
        <v>19000</v>
      </c>
      <c r="M44" s="31">
        <v>800</v>
      </c>
      <c r="N44" s="31">
        <v>800</v>
      </c>
      <c r="O44" s="31">
        <v>800</v>
      </c>
      <c r="P44" s="31">
        <v>800</v>
      </c>
      <c r="Q44" s="31">
        <v>800</v>
      </c>
      <c r="R44" s="31">
        <v>800</v>
      </c>
      <c r="S44" s="31">
        <v>800</v>
      </c>
      <c r="T44" s="31">
        <v>800</v>
      </c>
      <c r="U44" s="31">
        <v>800</v>
      </c>
      <c r="V44" s="31">
        <v>800</v>
      </c>
      <c r="W44" s="31">
        <v>800</v>
      </c>
      <c r="X44" s="31">
        <v>800</v>
      </c>
      <c r="Y44" s="30">
        <f t="shared" si="5"/>
        <v>28600</v>
      </c>
      <c r="Z44">
        <f>VLOOKUP(A44,справочник!$E$2:$F$322,2,FALSE)</f>
        <v>0</v>
      </c>
    </row>
    <row r="45" spans="1:26" hidden="1">
      <c r="A45" s="41">
        <f>VLOOKUP(B45,справочник!$B$2:$E$322,4,FALSE)</f>
        <v>274</v>
      </c>
      <c r="B45" t="str">
        <f t="shared" si="4"/>
        <v>287Будаев Андрей Анатольевич</v>
      </c>
      <c r="C45" s="1">
        <v>287</v>
      </c>
      <c r="D45" s="2" t="s">
        <v>41</v>
      </c>
      <c r="E45" s="5"/>
      <c r="F45" s="19">
        <v>42023</v>
      </c>
      <c r="G45" s="19">
        <v>42036</v>
      </c>
      <c r="H45" s="20">
        <f t="shared" si="6"/>
        <v>11</v>
      </c>
      <c r="I45" s="5">
        <f t="shared" si="2"/>
        <v>11000</v>
      </c>
      <c r="J45" s="20">
        <v>2000</v>
      </c>
      <c r="K45" s="20"/>
      <c r="L45" s="32">
        <f t="shared" si="7"/>
        <v>9000</v>
      </c>
      <c r="M45" s="31">
        <v>800</v>
      </c>
      <c r="N45" s="31">
        <v>800</v>
      </c>
      <c r="O45" s="31">
        <v>800</v>
      </c>
      <c r="P45" s="31">
        <v>800</v>
      </c>
      <c r="Q45" s="31">
        <v>800</v>
      </c>
      <c r="R45" s="31">
        <v>800</v>
      </c>
      <c r="S45" s="31">
        <v>800</v>
      </c>
      <c r="T45" s="31">
        <v>800</v>
      </c>
      <c r="U45" s="31">
        <v>800</v>
      </c>
      <c r="V45" s="31">
        <v>800</v>
      </c>
      <c r="W45" s="31">
        <v>800</v>
      </c>
      <c r="X45" s="31">
        <v>800</v>
      </c>
      <c r="Y45" s="30">
        <f t="shared" si="5"/>
        <v>18600</v>
      </c>
      <c r="Z45">
        <f>VLOOKUP(A45,справочник!$E$2:$F$322,2,FALSE)</f>
        <v>1</v>
      </c>
    </row>
    <row r="46" spans="1:26" hidden="1">
      <c r="A46" s="41">
        <f>VLOOKUP(B46,справочник!$B$2:$E$322,4,FALSE)</f>
        <v>274</v>
      </c>
      <c r="B46" t="str">
        <f t="shared" si="4"/>
        <v>295Будаев Андрей Анатольевич</v>
      </c>
      <c r="C46" s="1">
        <v>295</v>
      </c>
      <c r="D46" s="2" t="s">
        <v>41</v>
      </c>
      <c r="E46" s="5"/>
      <c r="F46" s="19">
        <v>42023</v>
      </c>
      <c r="G46" s="19">
        <v>42036</v>
      </c>
      <c r="H46" s="20">
        <f t="shared" si="6"/>
        <v>11</v>
      </c>
      <c r="I46" s="5">
        <f t="shared" si="2"/>
        <v>11000</v>
      </c>
      <c r="J46" s="20"/>
      <c r="K46" s="20"/>
      <c r="L46" s="32">
        <f t="shared" si="7"/>
        <v>11000</v>
      </c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0">
        <f t="shared" si="5"/>
        <v>11000</v>
      </c>
      <c r="Z46">
        <f>VLOOKUP(A46,справочник!$E$2:$F$322,2,FALSE)</f>
        <v>1</v>
      </c>
    </row>
    <row r="47" spans="1:26" hidden="1">
      <c r="A47" s="41">
        <f>VLOOKUP(B47,справочник!$B$2:$E$322,4,FALSE)</f>
        <v>175</v>
      </c>
      <c r="B47" t="str">
        <f t="shared" si="4"/>
        <v>183Буланова Лилия Михайловна</v>
      </c>
      <c r="C47" s="1">
        <v>183</v>
      </c>
      <c r="D47" s="2" t="s">
        <v>42</v>
      </c>
      <c r="E47" s="1" t="s">
        <v>358</v>
      </c>
      <c r="F47" s="19">
        <v>41865</v>
      </c>
      <c r="G47" s="19">
        <v>41883</v>
      </c>
      <c r="H47" s="20">
        <f t="shared" si="6"/>
        <v>16</v>
      </c>
      <c r="I47" s="5">
        <f t="shared" si="2"/>
        <v>16000</v>
      </c>
      <c r="J47" s="20"/>
      <c r="K47" s="20"/>
      <c r="L47" s="32">
        <f t="shared" si="7"/>
        <v>16000</v>
      </c>
      <c r="M47" s="31">
        <v>800</v>
      </c>
      <c r="N47" s="31">
        <v>800</v>
      </c>
      <c r="O47" s="31">
        <v>800</v>
      </c>
      <c r="P47" s="31">
        <v>800</v>
      </c>
      <c r="Q47" s="31">
        <v>800</v>
      </c>
      <c r="R47" s="31">
        <v>800</v>
      </c>
      <c r="S47" s="31">
        <v>800</v>
      </c>
      <c r="T47" s="31">
        <v>800</v>
      </c>
      <c r="U47" s="31">
        <v>800</v>
      </c>
      <c r="V47" s="31">
        <v>800</v>
      </c>
      <c r="W47" s="31">
        <v>800</v>
      </c>
      <c r="X47" s="31">
        <v>800</v>
      </c>
      <c r="Y47" s="30">
        <f t="shared" si="5"/>
        <v>25600</v>
      </c>
      <c r="Z47">
        <f>VLOOKUP(A47,справочник!$E$2:$F$322,2,FALSE)</f>
        <v>1</v>
      </c>
    </row>
    <row r="48" spans="1:26" hidden="1">
      <c r="A48" s="41">
        <f>VLOOKUP(B48,справочник!$B$2:$E$322,4,FALSE)</f>
        <v>175</v>
      </c>
      <c r="B48" t="str">
        <f t="shared" si="4"/>
        <v>187Буланова Лилия Михайловна</v>
      </c>
      <c r="C48" s="1">
        <v>187</v>
      </c>
      <c r="D48" s="2" t="s">
        <v>42</v>
      </c>
      <c r="E48" s="1" t="s">
        <v>359</v>
      </c>
      <c r="F48" s="19">
        <v>41865</v>
      </c>
      <c r="G48" s="19">
        <v>41883</v>
      </c>
      <c r="H48" s="20">
        <f t="shared" si="6"/>
        <v>16</v>
      </c>
      <c r="I48" s="5">
        <f t="shared" si="2"/>
        <v>16000</v>
      </c>
      <c r="J48" s="20"/>
      <c r="K48" s="20"/>
      <c r="L48" s="32">
        <f t="shared" si="7"/>
        <v>16000</v>
      </c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0">
        <f t="shared" si="5"/>
        <v>16000</v>
      </c>
      <c r="Z48">
        <f>VLOOKUP(A48,справочник!$E$2:$F$322,2,FALSE)</f>
        <v>1</v>
      </c>
    </row>
    <row r="49" spans="1:26" hidden="1">
      <c r="A49" s="41">
        <f>VLOOKUP(B49,справочник!$B$2:$E$322,4,FALSE)</f>
        <v>303</v>
      </c>
      <c r="B49" t="str">
        <f t="shared" si="4"/>
        <v>318Бурдух Юрие</v>
      </c>
      <c r="C49" s="1">
        <v>318</v>
      </c>
      <c r="D49" s="2" t="s">
        <v>43</v>
      </c>
      <c r="E49" s="1" t="s">
        <v>360</v>
      </c>
      <c r="F49" s="19">
        <v>42002</v>
      </c>
      <c r="G49" s="19">
        <v>42005</v>
      </c>
      <c r="H49" s="20">
        <f t="shared" si="6"/>
        <v>12</v>
      </c>
      <c r="I49" s="5">
        <f t="shared" si="2"/>
        <v>12000</v>
      </c>
      <c r="J49" s="20"/>
      <c r="K49" s="20"/>
      <c r="L49" s="32">
        <f t="shared" si="7"/>
        <v>12000</v>
      </c>
      <c r="M49" s="31">
        <v>800</v>
      </c>
      <c r="N49" s="31">
        <v>800</v>
      </c>
      <c r="O49" s="31">
        <v>800</v>
      </c>
      <c r="P49" s="31">
        <v>800</v>
      </c>
      <c r="Q49" s="31">
        <v>800</v>
      </c>
      <c r="R49" s="31">
        <v>800</v>
      </c>
      <c r="S49" s="31">
        <v>800</v>
      </c>
      <c r="T49" s="31">
        <v>800</v>
      </c>
      <c r="U49" s="31">
        <v>800</v>
      </c>
      <c r="V49" s="31">
        <v>800</v>
      </c>
      <c r="W49" s="31">
        <v>800</v>
      </c>
      <c r="X49" s="31">
        <v>800</v>
      </c>
      <c r="Y49" s="30">
        <f t="shared" si="5"/>
        <v>21600</v>
      </c>
      <c r="Z49">
        <f>VLOOKUP(A49,справочник!$E$2:$F$322,2,FALSE)</f>
        <v>1</v>
      </c>
    </row>
    <row r="50" spans="1:26" hidden="1">
      <c r="A50" s="41">
        <f>VLOOKUP(B50,справочник!$B$2:$E$322,4,FALSE)</f>
        <v>303</v>
      </c>
      <c r="B50" t="str">
        <f t="shared" si="4"/>
        <v>319Бурдух Юрие</v>
      </c>
      <c r="C50" s="1">
        <v>319</v>
      </c>
      <c r="D50" s="2" t="s">
        <v>43</v>
      </c>
      <c r="E50" s="1" t="s">
        <v>361</v>
      </c>
      <c r="F50" s="19">
        <v>42002</v>
      </c>
      <c r="G50" s="19">
        <v>42005</v>
      </c>
      <c r="H50" s="20">
        <f t="shared" si="6"/>
        <v>12</v>
      </c>
      <c r="I50" s="5">
        <f t="shared" si="2"/>
        <v>12000</v>
      </c>
      <c r="J50" s="20"/>
      <c r="K50" s="20"/>
      <c r="L50" s="32">
        <f t="shared" si="7"/>
        <v>12000</v>
      </c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0">
        <f t="shared" si="5"/>
        <v>12000</v>
      </c>
      <c r="Z50">
        <f>VLOOKUP(A50,справочник!$E$2:$F$322,2,FALSE)</f>
        <v>1</v>
      </c>
    </row>
    <row r="51" spans="1:26" hidden="1">
      <c r="A51" s="41">
        <f>VLOOKUP(B51,справочник!$B$2:$E$322,4,FALSE)</f>
        <v>90</v>
      </c>
      <c r="B51" t="str">
        <f t="shared" si="4"/>
        <v>95Быданцева Нина Юрьевна</v>
      </c>
      <c r="C51" s="1">
        <v>95</v>
      </c>
      <c r="D51" s="2" t="s">
        <v>44</v>
      </c>
      <c r="E51" s="1" t="s">
        <v>362</v>
      </c>
      <c r="F51" s="16">
        <v>40795</v>
      </c>
      <c r="G51" s="16">
        <v>40787</v>
      </c>
      <c r="H51" s="17">
        <f t="shared" si="6"/>
        <v>52</v>
      </c>
      <c r="I51" s="1">
        <f t="shared" si="2"/>
        <v>52000</v>
      </c>
      <c r="J51" s="17">
        <f>36000+4000+12000</f>
        <v>52000</v>
      </c>
      <c r="K51" s="17"/>
      <c r="L51" s="30">
        <f t="shared" si="7"/>
        <v>0</v>
      </c>
      <c r="M51" s="31">
        <v>800</v>
      </c>
      <c r="N51" s="31">
        <v>800</v>
      </c>
      <c r="O51" s="31">
        <v>800</v>
      </c>
      <c r="P51" s="31">
        <v>800</v>
      </c>
      <c r="Q51" s="31">
        <v>800</v>
      </c>
      <c r="R51" s="31">
        <v>800</v>
      </c>
      <c r="S51" s="31">
        <v>800</v>
      </c>
      <c r="T51" s="31">
        <v>800</v>
      </c>
      <c r="U51" s="31">
        <v>800</v>
      </c>
      <c r="V51" s="31">
        <v>800</v>
      </c>
      <c r="W51" s="31">
        <v>800</v>
      </c>
      <c r="X51" s="31">
        <v>800</v>
      </c>
      <c r="Y51" s="30">
        <f t="shared" si="5"/>
        <v>9600</v>
      </c>
      <c r="Z51">
        <f>VLOOKUP(A51,справочник!$E$2:$F$322,2,FALSE)</f>
        <v>0</v>
      </c>
    </row>
    <row r="52" spans="1:26" hidden="1">
      <c r="A52" s="41">
        <f>VLOOKUP(B52,справочник!$B$2:$E$322,4,FALSE)</f>
        <v>206</v>
      </c>
      <c r="B52" t="str">
        <f t="shared" si="4"/>
        <v>216Валеев Артур Рашидович</v>
      </c>
      <c r="C52" s="1">
        <v>216</v>
      </c>
      <c r="D52" s="2" t="s">
        <v>45</v>
      </c>
      <c r="E52" s="1" t="s">
        <v>363</v>
      </c>
      <c r="F52" s="16">
        <v>40953</v>
      </c>
      <c r="G52" s="16">
        <v>40940</v>
      </c>
      <c r="H52" s="17">
        <f t="shared" si="6"/>
        <v>47</v>
      </c>
      <c r="I52" s="1">
        <f t="shared" si="2"/>
        <v>47000</v>
      </c>
      <c r="J52" s="17">
        <v>38000</v>
      </c>
      <c r="K52" s="17"/>
      <c r="L52" s="30">
        <f t="shared" si="7"/>
        <v>9000</v>
      </c>
      <c r="M52" s="31">
        <v>800</v>
      </c>
      <c r="N52" s="31">
        <v>800</v>
      </c>
      <c r="O52" s="31">
        <v>800</v>
      </c>
      <c r="P52" s="31">
        <v>800</v>
      </c>
      <c r="Q52" s="31">
        <v>800</v>
      </c>
      <c r="R52" s="31">
        <v>800</v>
      </c>
      <c r="S52" s="31">
        <v>800</v>
      </c>
      <c r="T52" s="31">
        <v>800</v>
      </c>
      <c r="U52" s="31">
        <v>800</v>
      </c>
      <c r="V52" s="31">
        <v>800</v>
      </c>
      <c r="W52" s="31">
        <v>800</v>
      </c>
      <c r="X52" s="31">
        <v>800</v>
      </c>
      <c r="Y52" s="30">
        <f t="shared" si="5"/>
        <v>18600</v>
      </c>
      <c r="Z52">
        <f>VLOOKUP(A52,справочник!$E$2:$F$322,2,FALSE)</f>
        <v>0</v>
      </c>
    </row>
    <row r="53" spans="1:26" hidden="1">
      <c r="A53" s="41">
        <f>VLOOKUP(B53,справочник!$B$2:$E$322,4,FALSE)</f>
        <v>101</v>
      </c>
      <c r="B53" t="str">
        <f t="shared" si="4"/>
        <v>106Васильев Николай Владимирович</v>
      </c>
      <c r="C53" s="1">
        <v>106</v>
      </c>
      <c r="D53" s="2" t="s">
        <v>46</v>
      </c>
      <c r="E53" s="1" t="s">
        <v>364</v>
      </c>
      <c r="F53" s="16">
        <v>40816</v>
      </c>
      <c r="G53" s="16">
        <v>40787</v>
      </c>
      <c r="H53" s="17">
        <f t="shared" si="6"/>
        <v>52</v>
      </c>
      <c r="I53" s="1">
        <f t="shared" si="2"/>
        <v>52000</v>
      </c>
      <c r="J53" s="17">
        <f>42000+1000</f>
        <v>43000</v>
      </c>
      <c r="K53" s="17"/>
      <c r="L53" s="30">
        <f t="shared" si="7"/>
        <v>9000</v>
      </c>
      <c r="M53" s="31">
        <v>800</v>
      </c>
      <c r="N53" s="31">
        <v>800</v>
      </c>
      <c r="O53" s="31">
        <v>800</v>
      </c>
      <c r="P53" s="31">
        <v>800</v>
      </c>
      <c r="Q53" s="31">
        <v>800</v>
      </c>
      <c r="R53" s="31">
        <v>800</v>
      </c>
      <c r="S53" s="31">
        <v>800</v>
      </c>
      <c r="T53" s="31">
        <v>800</v>
      </c>
      <c r="U53" s="31">
        <v>800</v>
      </c>
      <c r="V53" s="31">
        <v>800</v>
      </c>
      <c r="W53" s="31">
        <v>800</v>
      </c>
      <c r="X53" s="31">
        <v>800</v>
      </c>
      <c r="Y53" s="30">
        <f t="shared" si="5"/>
        <v>18600</v>
      </c>
      <c r="Z53">
        <f>VLOOKUP(A53,справочник!$E$2:$F$322,2,FALSE)</f>
        <v>0</v>
      </c>
    </row>
    <row r="54" spans="1:26">
      <c r="A54" s="41">
        <f>VLOOKUP(B54,справочник!$B$2:$E$322,4,FALSE)</f>
        <v>86</v>
      </c>
      <c r="B54" t="str">
        <f t="shared" si="4"/>
        <v>91Васильева Ольга Александровна</v>
      </c>
      <c r="C54" s="1">
        <v>91</v>
      </c>
      <c r="D54" s="2" t="s">
        <v>47</v>
      </c>
      <c r="E54" s="1" t="s">
        <v>365</v>
      </c>
      <c r="F54" s="16">
        <v>40847</v>
      </c>
      <c r="G54" s="16">
        <v>40848</v>
      </c>
      <c r="H54" s="17">
        <f t="shared" si="6"/>
        <v>50</v>
      </c>
      <c r="I54" s="1">
        <f t="shared" si="2"/>
        <v>50000</v>
      </c>
      <c r="J54" s="17">
        <f>34000+13000</f>
        <v>47000</v>
      </c>
      <c r="K54" s="17">
        <v>4000</v>
      </c>
      <c r="L54" s="30">
        <f t="shared" si="7"/>
        <v>-1000</v>
      </c>
      <c r="M54" s="31">
        <v>800</v>
      </c>
      <c r="N54" s="31">
        <v>800</v>
      </c>
      <c r="O54" s="31">
        <v>800</v>
      </c>
      <c r="P54" s="31">
        <v>800</v>
      </c>
      <c r="Q54" s="31">
        <v>800</v>
      </c>
      <c r="R54" s="31">
        <v>800</v>
      </c>
      <c r="S54" s="31">
        <v>800</v>
      </c>
      <c r="T54" s="31">
        <v>800</v>
      </c>
      <c r="U54" s="31">
        <v>800</v>
      </c>
      <c r="V54" s="31">
        <v>800</v>
      </c>
      <c r="W54" s="31">
        <v>800</v>
      </c>
      <c r="X54" s="31">
        <v>800</v>
      </c>
      <c r="Y54" s="30">
        <f t="shared" si="5"/>
        <v>8600</v>
      </c>
      <c r="Z54">
        <f>VLOOKUP(A54,справочник!$E$2:$F$322,2,FALSE)</f>
        <v>0</v>
      </c>
    </row>
    <row r="55" spans="1:26" hidden="1">
      <c r="A55" s="41">
        <f>VLOOKUP(B55,справочник!$B$2:$E$322,4,FALSE)</f>
        <v>43</v>
      </c>
      <c r="B55" t="str">
        <f t="shared" si="4"/>
        <v>43Васильцова Елена Владимировна</v>
      </c>
      <c r="C55" s="1">
        <v>43</v>
      </c>
      <c r="D55" s="2" t="s">
        <v>48</v>
      </c>
      <c r="E55" s="1" t="s">
        <v>366</v>
      </c>
      <c r="F55" s="16">
        <v>40786</v>
      </c>
      <c r="G55" s="16">
        <v>40787</v>
      </c>
      <c r="H55" s="17">
        <f t="shared" si="6"/>
        <v>52</v>
      </c>
      <c r="I55" s="1">
        <f t="shared" si="2"/>
        <v>52000</v>
      </c>
      <c r="J55" s="17">
        <f>27000+2000</f>
        <v>29000</v>
      </c>
      <c r="K55" s="17"/>
      <c r="L55" s="30">
        <f t="shared" si="7"/>
        <v>23000</v>
      </c>
      <c r="M55" s="31">
        <v>800</v>
      </c>
      <c r="N55" s="31">
        <v>800</v>
      </c>
      <c r="O55" s="31">
        <v>800</v>
      </c>
      <c r="P55" s="31">
        <v>800</v>
      </c>
      <c r="Q55" s="31">
        <v>800</v>
      </c>
      <c r="R55" s="31">
        <v>800</v>
      </c>
      <c r="S55" s="31">
        <v>800</v>
      </c>
      <c r="T55" s="31">
        <v>800</v>
      </c>
      <c r="U55" s="31">
        <v>800</v>
      </c>
      <c r="V55" s="31">
        <v>800</v>
      </c>
      <c r="W55" s="31">
        <v>800</v>
      </c>
      <c r="X55" s="31">
        <v>800</v>
      </c>
      <c r="Y55" s="30">
        <f t="shared" si="5"/>
        <v>32600</v>
      </c>
      <c r="Z55">
        <f>VLOOKUP(A55,справочник!$E$2:$F$322,2,FALSE)</f>
        <v>0</v>
      </c>
    </row>
    <row r="56" spans="1:26" hidden="1">
      <c r="A56" s="41">
        <f>VLOOKUP(B56,справочник!$B$2:$E$322,4,FALSE)</f>
        <v>25</v>
      </c>
      <c r="B56" t="str">
        <f t="shared" si="4"/>
        <v>25Вершинина Елена Анатольевна</v>
      </c>
      <c r="C56" s="1">
        <v>25</v>
      </c>
      <c r="D56" s="2" t="s">
        <v>49</v>
      </c>
      <c r="E56" s="1" t="s">
        <v>367</v>
      </c>
      <c r="F56" s="16">
        <v>40955</v>
      </c>
      <c r="G56" s="16">
        <v>40940</v>
      </c>
      <c r="H56" s="17">
        <f t="shared" si="6"/>
        <v>47</v>
      </c>
      <c r="I56" s="1">
        <f t="shared" si="2"/>
        <v>47000</v>
      </c>
      <c r="J56" s="17">
        <f>33000+11000</f>
        <v>44000</v>
      </c>
      <c r="K56" s="17">
        <v>3000</v>
      </c>
      <c r="L56" s="30">
        <f t="shared" si="7"/>
        <v>0</v>
      </c>
      <c r="M56" s="31">
        <v>800</v>
      </c>
      <c r="N56" s="31">
        <v>800</v>
      </c>
      <c r="O56" s="31">
        <v>800</v>
      </c>
      <c r="P56" s="31">
        <v>800</v>
      </c>
      <c r="Q56" s="31">
        <v>800</v>
      </c>
      <c r="R56" s="31">
        <v>800</v>
      </c>
      <c r="S56" s="31">
        <v>800</v>
      </c>
      <c r="T56" s="31">
        <v>800</v>
      </c>
      <c r="U56" s="31">
        <v>800</v>
      </c>
      <c r="V56" s="31">
        <v>800</v>
      </c>
      <c r="W56" s="31">
        <v>800</v>
      </c>
      <c r="X56" s="31">
        <v>800</v>
      </c>
      <c r="Y56" s="30">
        <f t="shared" si="5"/>
        <v>9600</v>
      </c>
      <c r="Z56">
        <f>VLOOKUP(A56,справочник!$E$2:$F$322,2,FALSE)</f>
        <v>0</v>
      </c>
    </row>
    <row r="57" spans="1:26" hidden="1">
      <c r="A57" s="41">
        <f>VLOOKUP(B57,справочник!$B$2:$E$322,4,FALSE)</f>
        <v>138</v>
      </c>
      <c r="B57" t="str">
        <f t="shared" si="4"/>
        <v>146Виноградова Наталья Дмитриевна (Николай)</v>
      </c>
      <c r="C57" s="1">
        <v>146</v>
      </c>
      <c r="D57" s="2" t="s">
        <v>50</v>
      </c>
      <c r="E57" s="1" t="s">
        <v>368</v>
      </c>
      <c r="F57" s="16">
        <v>40784</v>
      </c>
      <c r="G57" s="16">
        <v>40756</v>
      </c>
      <c r="H57" s="17">
        <f t="shared" si="6"/>
        <v>53</v>
      </c>
      <c r="I57" s="1">
        <f t="shared" si="2"/>
        <v>53000</v>
      </c>
      <c r="J57" s="17">
        <f>53000</f>
        <v>53000</v>
      </c>
      <c r="K57" s="17"/>
      <c r="L57" s="30">
        <f t="shared" si="7"/>
        <v>0</v>
      </c>
      <c r="M57" s="31">
        <v>800</v>
      </c>
      <c r="N57" s="31">
        <v>800</v>
      </c>
      <c r="O57" s="31">
        <v>800</v>
      </c>
      <c r="P57" s="31">
        <v>800</v>
      </c>
      <c r="Q57" s="31">
        <v>800</v>
      </c>
      <c r="R57" s="31">
        <v>800</v>
      </c>
      <c r="S57" s="31">
        <v>800</v>
      </c>
      <c r="T57" s="31">
        <v>800</v>
      </c>
      <c r="U57" s="31">
        <v>800</v>
      </c>
      <c r="V57" s="31">
        <v>800</v>
      </c>
      <c r="W57" s="31">
        <v>800</v>
      </c>
      <c r="X57" s="31">
        <v>800</v>
      </c>
      <c r="Y57" s="30">
        <f t="shared" si="5"/>
        <v>9600</v>
      </c>
      <c r="Z57">
        <f>VLOOKUP(A57,справочник!$E$2:$F$322,2,FALSE)</f>
        <v>0</v>
      </c>
    </row>
    <row r="58" spans="1:26" hidden="1">
      <c r="A58" s="41">
        <f>VLOOKUP(B58,справочник!$B$2:$E$322,4,FALSE)</f>
        <v>228</v>
      </c>
      <c r="B58" t="str">
        <f t="shared" si="4"/>
        <v>237Виртилецкий Денис Вячеславович</v>
      </c>
      <c r="C58" s="1">
        <v>237</v>
      </c>
      <c r="D58" s="2" t="s">
        <v>51</v>
      </c>
      <c r="E58" s="1" t="s">
        <v>369</v>
      </c>
      <c r="F58" s="16">
        <v>41703</v>
      </c>
      <c r="G58" s="16">
        <v>41730</v>
      </c>
      <c r="H58" s="17">
        <f t="shared" si="6"/>
        <v>21</v>
      </c>
      <c r="I58" s="1">
        <f t="shared" si="2"/>
        <v>21000</v>
      </c>
      <c r="J58" s="17"/>
      <c r="K58" s="17"/>
      <c r="L58" s="30">
        <f t="shared" si="7"/>
        <v>21000</v>
      </c>
      <c r="M58" s="31">
        <v>800</v>
      </c>
      <c r="N58" s="31">
        <v>800</v>
      </c>
      <c r="O58" s="31">
        <v>800</v>
      </c>
      <c r="P58" s="31">
        <v>800</v>
      </c>
      <c r="Q58" s="31">
        <v>800</v>
      </c>
      <c r="R58" s="31">
        <v>800</v>
      </c>
      <c r="S58" s="31">
        <v>800</v>
      </c>
      <c r="T58" s="31">
        <v>800</v>
      </c>
      <c r="U58" s="31">
        <v>800</v>
      </c>
      <c r="V58" s="31">
        <v>800</v>
      </c>
      <c r="W58" s="31">
        <v>800</v>
      </c>
      <c r="X58" s="31">
        <v>800</v>
      </c>
      <c r="Y58" s="30">
        <f t="shared" si="5"/>
        <v>30600</v>
      </c>
      <c r="Z58">
        <f>VLOOKUP(A58,справочник!$E$2:$F$322,2,FALSE)</f>
        <v>0</v>
      </c>
    </row>
    <row r="59" spans="1:26" hidden="1">
      <c r="A59" s="41">
        <f>VLOOKUP(B59,справочник!$B$2:$E$322,4,FALSE)</f>
        <v>37</v>
      </c>
      <c r="B59" t="str">
        <f t="shared" si="4"/>
        <v>37Водянова Ольга Александровна</v>
      </c>
      <c r="C59" s="1">
        <v>37</v>
      </c>
      <c r="D59" s="2" t="s">
        <v>52</v>
      </c>
      <c r="E59" s="1" t="s">
        <v>370</v>
      </c>
      <c r="F59" s="16">
        <v>40795</v>
      </c>
      <c r="G59" s="16">
        <v>40787</v>
      </c>
      <c r="H59" s="17">
        <f t="shared" si="6"/>
        <v>52</v>
      </c>
      <c r="I59" s="1">
        <f t="shared" si="2"/>
        <v>52000</v>
      </c>
      <c r="J59" s="17">
        <f>48000+4000</f>
        <v>52000</v>
      </c>
      <c r="K59" s="17"/>
      <c r="L59" s="30">
        <f t="shared" si="7"/>
        <v>0</v>
      </c>
      <c r="M59" s="31">
        <v>800</v>
      </c>
      <c r="N59" s="31">
        <v>800</v>
      </c>
      <c r="O59" s="31">
        <v>800</v>
      </c>
      <c r="P59" s="31">
        <v>800</v>
      </c>
      <c r="Q59" s="31">
        <v>800</v>
      </c>
      <c r="R59" s="31">
        <v>800</v>
      </c>
      <c r="S59" s="31">
        <v>800</v>
      </c>
      <c r="T59" s="31">
        <v>800</v>
      </c>
      <c r="U59" s="31">
        <v>800</v>
      </c>
      <c r="V59" s="31">
        <v>800</v>
      </c>
      <c r="W59" s="31">
        <v>800</v>
      </c>
      <c r="X59" s="31">
        <v>800</v>
      </c>
      <c r="Y59" s="30">
        <f t="shared" si="5"/>
        <v>9600</v>
      </c>
      <c r="Z59">
        <f>VLOOKUP(A59,справочник!$E$2:$F$322,2,FALSE)</f>
        <v>0</v>
      </c>
    </row>
    <row r="60" spans="1:26" hidden="1">
      <c r="A60" s="41">
        <f>VLOOKUP(B60,справочник!$B$2:$E$322,4,FALSE)</f>
        <v>126</v>
      </c>
      <c r="B60" t="str">
        <f t="shared" si="4"/>
        <v>131Волгушев Дмитрий Геннадиевич</v>
      </c>
      <c r="C60" s="1">
        <v>131</v>
      </c>
      <c r="D60" s="2" t="s">
        <v>53</v>
      </c>
      <c r="E60" s="1" t="s">
        <v>371</v>
      </c>
      <c r="F60" s="16">
        <v>41183</v>
      </c>
      <c r="G60" s="16">
        <v>41244</v>
      </c>
      <c r="H60" s="17">
        <f t="shared" si="6"/>
        <v>37</v>
      </c>
      <c r="I60" s="1">
        <f t="shared" si="2"/>
        <v>37000</v>
      </c>
      <c r="J60" s="17">
        <f>24000</f>
        <v>24000</v>
      </c>
      <c r="K60" s="17">
        <v>13000</v>
      </c>
      <c r="L60" s="30">
        <f t="shared" si="7"/>
        <v>0</v>
      </c>
      <c r="M60" s="31">
        <v>800</v>
      </c>
      <c r="N60" s="31">
        <v>800</v>
      </c>
      <c r="O60" s="31">
        <v>800</v>
      </c>
      <c r="P60" s="31">
        <v>800</v>
      </c>
      <c r="Q60" s="31">
        <v>800</v>
      </c>
      <c r="R60" s="31">
        <v>800</v>
      </c>
      <c r="S60" s="31">
        <v>800</v>
      </c>
      <c r="T60" s="31">
        <v>800</v>
      </c>
      <c r="U60" s="31">
        <v>800</v>
      </c>
      <c r="V60" s="31">
        <v>800</v>
      </c>
      <c r="W60" s="31">
        <v>800</v>
      </c>
      <c r="X60" s="31">
        <v>800</v>
      </c>
      <c r="Y60" s="30">
        <f t="shared" si="5"/>
        <v>9600</v>
      </c>
      <c r="Z60">
        <f>VLOOKUP(A60,справочник!$E$2:$F$322,2,FALSE)</f>
        <v>0</v>
      </c>
    </row>
    <row r="61" spans="1:26" hidden="1">
      <c r="A61" s="41">
        <f>VLOOKUP(B61,справочник!$B$2:$E$322,4,FALSE)</f>
        <v>58</v>
      </c>
      <c r="B61" t="str">
        <f t="shared" si="4"/>
        <v>60Володина Инна Александровна</v>
      </c>
      <c r="C61" s="1">
        <v>60</v>
      </c>
      <c r="D61" s="2" t="s">
        <v>54</v>
      </c>
      <c r="E61" s="1" t="s">
        <v>372</v>
      </c>
      <c r="F61" s="16">
        <v>41303</v>
      </c>
      <c r="G61" s="16">
        <v>41306</v>
      </c>
      <c r="H61" s="17">
        <f t="shared" si="6"/>
        <v>35</v>
      </c>
      <c r="I61" s="1">
        <f t="shared" si="2"/>
        <v>35000</v>
      </c>
      <c r="J61" s="17">
        <f>31000</f>
        <v>31000</v>
      </c>
      <c r="K61" s="17"/>
      <c r="L61" s="30">
        <f t="shared" si="7"/>
        <v>4000</v>
      </c>
      <c r="M61" s="31">
        <v>800</v>
      </c>
      <c r="N61" s="31">
        <v>800</v>
      </c>
      <c r="O61" s="31">
        <v>800</v>
      </c>
      <c r="P61" s="31">
        <v>800</v>
      </c>
      <c r="Q61" s="31">
        <v>800</v>
      </c>
      <c r="R61" s="31">
        <v>800</v>
      </c>
      <c r="S61" s="31">
        <v>800</v>
      </c>
      <c r="T61" s="31">
        <v>800</v>
      </c>
      <c r="U61" s="31">
        <v>800</v>
      </c>
      <c r="V61" s="31">
        <v>800</v>
      </c>
      <c r="W61" s="31">
        <v>800</v>
      </c>
      <c r="X61" s="31">
        <v>800</v>
      </c>
      <c r="Y61" s="30">
        <f t="shared" si="5"/>
        <v>13600</v>
      </c>
      <c r="Z61">
        <f>VLOOKUP(A61,справочник!$E$2:$F$322,2,FALSE)</f>
        <v>0</v>
      </c>
    </row>
    <row r="62" spans="1:26" hidden="1">
      <c r="A62" s="41">
        <f>VLOOKUP(B62,справочник!$B$2:$E$322,4,FALSE)</f>
        <v>117</v>
      </c>
      <c r="B62" t="str">
        <f t="shared" si="4"/>
        <v>122Вольский Андрей Юрьевич</v>
      </c>
      <c r="C62" s="1">
        <v>122</v>
      </c>
      <c r="D62" s="2" t="s">
        <v>55</v>
      </c>
      <c r="E62" s="1" t="s">
        <v>373</v>
      </c>
      <c r="F62" s="16">
        <v>41407</v>
      </c>
      <c r="G62" s="16">
        <v>41426</v>
      </c>
      <c r="H62" s="17">
        <f t="shared" si="6"/>
        <v>31</v>
      </c>
      <c r="I62" s="1">
        <f t="shared" si="2"/>
        <v>31000</v>
      </c>
      <c r="J62" s="17">
        <f>12000</f>
        <v>12000</v>
      </c>
      <c r="K62" s="17"/>
      <c r="L62" s="30">
        <f t="shared" si="7"/>
        <v>19000</v>
      </c>
      <c r="M62" s="31">
        <v>800</v>
      </c>
      <c r="N62" s="31">
        <v>800</v>
      </c>
      <c r="O62" s="31">
        <v>800</v>
      </c>
      <c r="P62" s="31">
        <v>800</v>
      </c>
      <c r="Q62" s="31">
        <v>800</v>
      </c>
      <c r="R62" s="31">
        <v>800</v>
      </c>
      <c r="S62" s="31">
        <v>800</v>
      </c>
      <c r="T62" s="31">
        <v>800</v>
      </c>
      <c r="U62" s="31">
        <v>800</v>
      </c>
      <c r="V62" s="31">
        <v>800</v>
      </c>
      <c r="W62" s="31">
        <v>800</v>
      </c>
      <c r="X62" s="31">
        <v>800</v>
      </c>
      <c r="Y62" s="30">
        <f t="shared" si="5"/>
        <v>28600</v>
      </c>
      <c r="Z62">
        <f>VLOOKUP(A62,справочник!$E$2:$F$322,2,FALSE)</f>
        <v>0</v>
      </c>
    </row>
    <row r="63" spans="1:26" hidden="1">
      <c r="A63" s="41">
        <f>VLOOKUP(B63,справочник!$B$2:$E$322,4,FALSE)</f>
        <v>61</v>
      </c>
      <c r="B63" t="str">
        <f t="shared" si="4"/>
        <v>63Высоких Антон Маркович</v>
      </c>
      <c r="C63" s="1">
        <v>63</v>
      </c>
      <c r="D63" s="2" t="s">
        <v>56</v>
      </c>
      <c r="E63" s="1" t="s">
        <v>374</v>
      </c>
      <c r="F63" s="16">
        <v>40921</v>
      </c>
      <c r="G63" s="16">
        <v>40909</v>
      </c>
      <c r="H63" s="17">
        <f t="shared" si="6"/>
        <v>48</v>
      </c>
      <c r="I63" s="1">
        <f t="shared" si="2"/>
        <v>48000</v>
      </c>
      <c r="J63" s="17">
        <f>27000</f>
        <v>27000</v>
      </c>
      <c r="K63" s="17"/>
      <c r="L63" s="30">
        <f t="shared" si="7"/>
        <v>21000</v>
      </c>
      <c r="M63" s="31">
        <v>800</v>
      </c>
      <c r="N63" s="31">
        <v>800</v>
      </c>
      <c r="O63" s="31">
        <v>800</v>
      </c>
      <c r="P63" s="31">
        <v>800</v>
      </c>
      <c r="Q63" s="31">
        <v>800</v>
      </c>
      <c r="R63" s="31">
        <v>800</v>
      </c>
      <c r="S63" s="31">
        <v>800</v>
      </c>
      <c r="T63" s="31">
        <v>800</v>
      </c>
      <c r="U63" s="31">
        <v>800</v>
      </c>
      <c r="V63" s="31">
        <v>800</v>
      </c>
      <c r="W63" s="31">
        <v>800</v>
      </c>
      <c r="X63" s="31">
        <v>800</v>
      </c>
      <c r="Y63" s="30">
        <f t="shared" si="5"/>
        <v>30600</v>
      </c>
      <c r="Z63">
        <f>VLOOKUP(A63,справочник!$E$2:$F$322,2,FALSE)</f>
        <v>0</v>
      </c>
    </row>
    <row r="64" spans="1:26" hidden="1">
      <c r="A64" s="41">
        <f>VLOOKUP(B64,справочник!$B$2:$E$322,4,FALSE)</f>
        <v>294</v>
      </c>
      <c r="B64" t="str">
        <f t="shared" si="4"/>
        <v>309Гайкова (Дьякова) Мария Викторовна</v>
      </c>
      <c r="C64" s="1">
        <v>309</v>
      </c>
      <c r="D64" s="2" t="s">
        <v>57</v>
      </c>
      <c r="E64" s="1" t="s">
        <v>375</v>
      </c>
      <c r="F64" s="16">
        <v>40953</v>
      </c>
      <c r="G64" s="16">
        <v>40940</v>
      </c>
      <c r="H64" s="17">
        <f t="shared" si="6"/>
        <v>47</v>
      </c>
      <c r="I64" s="1">
        <f t="shared" si="2"/>
        <v>47000</v>
      </c>
      <c r="J64" s="17">
        <v>47000</v>
      </c>
      <c r="K64" s="17"/>
      <c r="L64" s="30">
        <f t="shared" si="7"/>
        <v>0</v>
      </c>
      <c r="M64" s="31">
        <v>800</v>
      </c>
      <c r="N64" s="31">
        <v>800</v>
      </c>
      <c r="O64" s="31">
        <v>800</v>
      </c>
      <c r="P64" s="31">
        <v>800</v>
      </c>
      <c r="Q64" s="31">
        <v>800</v>
      </c>
      <c r="R64" s="31">
        <v>800</v>
      </c>
      <c r="S64" s="31">
        <v>800</v>
      </c>
      <c r="T64" s="31">
        <v>800</v>
      </c>
      <c r="U64" s="31">
        <v>800</v>
      </c>
      <c r="V64" s="31">
        <v>800</v>
      </c>
      <c r="W64" s="31">
        <v>800</v>
      </c>
      <c r="X64" s="31">
        <v>800</v>
      </c>
      <c r="Y64" s="30">
        <f t="shared" si="5"/>
        <v>9600</v>
      </c>
      <c r="Z64">
        <f>VLOOKUP(A64,справочник!$E$2:$F$322,2,FALSE)</f>
        <v>0</v>
      </c>
    </row>
    <row r="65" spans="1:26" hidden="1">
      <c r="A65" s="41">
        <f>VLOOKUP(B65,справочник!$B$2:$E$322,4,FALSE)</f>
        <v>286</v>
      </c>
      <c r="B65" t="str">
        <f t="shared" si="4"/>
        <v>298Ганин Александр Борисович</v>
      </c>
      <c r="C65" s="1">
        <v>298</v>
      </c>
      <c r="D65" s="2" t="s">
        <v>58</v>
      </c>
      <c r="E65" s="1" t="s">
        <v>376</v>
      </c>
      <c r="F65" s="16">
        <v>41791</v>
      </c>
      <c r="G65" s="16">
        <v>41791</v>
      </c>
      <c r="H65" s="17">
        <f t="shared" si="6"/>
        <v>19</v>
      </c>
      <c r="I65" s="1">
        <f t="shared" si="2"/>
        <v>19000</v>
      </c>
      <c r="J65" s="17">
        <v>19000</v>
      </c>
      <c r="K65" s="17"/>
      <c r="L65" s="30">
        <f t="shared" si="7"/>
        <v>0</v>
      </c>
      <c r="M65" s="31">
        <v>800</v>
      </c>
      <c r="N65" s="31">
        <v>800</v>
      </c>
      <c r="O65" s="31">
        <v>800</v>
      </c>
      <c r="P65" s="31">
        <v>800</v>
      </c>
      <c r="Q65" s="31">
        <v>800</v>
      </c>
      <c r="R65" s="31">
        <v>800</v>
      </c>
      <c r="S65" s="31">
        <v>800</v>
      </c>
      <c r="T65" s="31">
        <v>800</v>
      </c>
      <c r="U65" s="31">
        <v>800</v>
      </c>
      <c r="V65" s="31">
        <v>800</v>
      </c>
      <c r="W65" s="31">
        <v>800</v>
      </c>
      <c r="X65" s="31">
        <v>800</v>
      </c>
      <c r="Y65" s="30">
        <f t="shared" si="5"/>
        <v>9600</v>
      </c>
      <c r="Z65">
        <f>VLOOKUP(A65,справочник!$E$2:$F$322,2,FALSE)</f>
        <v>0</v>
      </c>
    </row>
    <row r="66" spans="1:26" hidden="1">
      <c r="A66" s="41">
        <f>VLOOKUP(B66,справочник!$B$2:$E$322,4,FALSE)</f>
        <v>64</v>
      </c>
      <c r="B66" t="str">
        <f t="shared" si="4"/>
        <v>66Горбунов Владимир Александрович</v>
      </c>
      <c r="C66" s="1">
        <v>66</v>
      </c>
      <c r="D66" s="2" t="s">
        <v>59</v>
      </c>
      <c r="E66" s="1" t="s">
        <v>377</v>
      </c>
      <c r="F66" s="16">
        <v>40772</v>
      </c>
      <c r="G66" s="16">
        <v>40756</v>
      </c>
      <c r="H66" s="17">
        <f t="shared" si="6"/>
        <v>53</v>
      </c>
      <c r="I66" s="1">
        <f t="shared" si="2"/>
        <v>53000</v>
      </c>
      <c r="J66" s="17">
        <f>1000+45000</f>
        <v>46000</v>
      </c>
      <c r="K66" s="17"/>
      <c r="L66" s="30">
        <f t="shared" si="7"/>
        <v>7000</v>
      </c>
      <c r="M66" s="31">
        <v>800</v>
      </c>
      <c r="N66" s="31">
        <v>800</v>
      </c>
      <c r="O66" s="31">
        <v>800</v>
      </c>
      <c r="P66" s="31">
        <v>800</v>
      </c>
      <c r="Q66" s="31">
        <v>800</v>
      </c>
      <c r="R66" s="31">
        <v>800</v>
      </c>
      <c r="S66" s="31">
        <v>800</v>
      </c>
      <c r="T66" s="31">
        <v>800</v>
      </c>
      <c r="U66" s="31">
        <v>800</v>
      </c>
      <c r="V66" s="31">
        <v>800</v>
      </c>
      <c r="W66" s="31">
        <v>800</v>
      </c>
      <c r="X66" s="31">
        <v>800</v>
      </c>
      <c r="Y66" s="30">
        <f t="shared" si="5"/>
        <v>16600</v>
      </c>
      <c r="Z66">
        <f>VLOOKUP(A66,справочник!$E$2:$F$322,2,FALSE)</f>
        <v>0</v>
      </c>
    </row>
    <row r="67" spans="1:26" hidden="1">
      <c r="A67" s="41">
        <f>VLOOKUP(B67,справочник!$B$2:$E$322,4,FALSE)</f>
        <v>94</v>
      </c>
      <c r="B67" t="str">
        <f t="shared" si="4"/>
        <v>99Горбунов Максим Николаевич</v>
      </c>
      <c r="C67" s="1">
        <v>99</v>
      </c>
      <c r="D67" s="2" t="s">
        <v>60</v>
      </c>
      <c r="E67" s="1" t="s">
        <v>378</v>
      </c>
      <c r="F67" s="16">
        <v>40774</v>
      </c>
      <c r="G67" s="16">
        <v>40756</v>
      </c>
      <c r="H67" s="17">
        <f t="shared" si="6"/>
        <v>53</v>
      </c>
      <c r="I67" s="1">
        <f t="shared" si="2"/>
        <v>53000</v>
      </c>
      <c r="J67" s="17">
        <f>42000+5000</f>
        <v>47000</v>
      </c>
      <c r="K67" s="17"/>
      <c r="L67" s="30">
        <f t="shared" si="7"/>
        <v>6000</v>
      </c>
      <c r="M67" s="31">
        <v>800</v>
      </c>
      <c r="N67" s="31">
        <v>800</v>
      </c>
      <c r="O67" s="31">
        <v>800</v>
      </c>
      <c r="P67" s="31">
        <v>800</v>
      </c>
      <c r="Q67" s="31">
        <v>800</v>
      </c>
      <c r="R67" s="31">
        <v>800</v>
      </c>
      <c r="S67" s="31">
        <v>800</v>
      </c>
      <c r="T67" s="31">
        <v>800</v>
      </c>
      <c r="U67" s="31">
        <v>800</v>
      </c>
      <c r="V67" s="31">
        <v>800</v>
      </c>
      <c r="W67" s="31">
        <v>800</v>
      </c>
      <c r="X67" s="31">
        <v>800</v>
      </c>
      <c r="Y67" s="30">
        <f t="shared" si="5"/>
        <v>15600</v>
      </c>
      <c r="Z67">
        <f>VLOOKUP(A67,справочник!$E$2:$F$322,2,FALSE)</f>
        <v>0</v>
      </c>
    </row>
    <row r="68" spans="1:26" hidden="1">
      <c r="A68" s="41">
        <f>VLOOKUP(B68,справочник!$B$2:$E$322,4,FALSE)</f>
        <v>39</v>
      </c>
      <c r="B68" t="str">
        <f t="shared" si="4"/>
        <v>39Гордейчик Игорь Борисович</v>
      </c>
      <c r="C68" s="1">
        <v>39</v>
      </c>
      <c r="D68" s="2" t="s">
        <v>61</v>
      </c>
      <c r="E68" s="1" t="s">
        <v>379</v>
      </c>
      <c r="F68" s="16">
        <v>40698</v>
      </c>
      <c r="G68" s="16">
        <v>40695</v>
      </c>
      <c r="H68" s="17">
        <f t="shared" si="6"/>
        <v>55</v>
      </c>
      <c r="I68" s="1">
        <f>H68*1000</f>
        <v>55000</v>
      </c>
      <c r="J68" s="17">
        <f>1000+42000</f>
        <v>43000</v>
      </c>
      <c r="K68" s="17"/>
      <c r="L68" s="30">
        <f t="shared" si="7"/>
        <v>12000</v>
      </c>
      <c r="M68" s="31">
        <v>800</v>
      </c>
      <c r="N68" s="31">
        <v>800</v>
      </c>
      <c r="O68" s="31">
        <v>800</v>
      </c>
      <c r="P68" s="31">
        <v>800</v>
      </c>
      <c r="Q68" s="31">
        <v>800</v>
      </c>
      <c r="R68" s="31">
        <v>800</v>
      </c>
      <c r="S68" s="31">
        <v>800</v>
      </c>
      <c r="T68" s="31">
        <v>800</v>
      </c>
      <c r="U68" s="31">
        <v>800</v>
      </c>
      <c r="V68" s="31">
        <v>800</v>
      </c>
      <c r="W68" s="31">
        <v>800</v>
      </c>
      <c r="X68" s="31">
        <v>800</v>
      </c>
      <c r="Y68" s="30">
        <f t="shared" si="5"/>
        <v>21600</v>
      </c>
      <c r="Z68">
        <f>VLOOKUP(A68,справочник!$E$2:$F$322,2,FALSE)</f>
        <v>0</v>
      </c>
    </row>
    <row r="69" spans="1:26" hidden="1">
      <c r="A69" s="41">
        <f>VLOOKUP(B69,справочник!$B$2:$E$322,4,FALSE)</f>
        <v>276</v>
      </c>
      <c r="B69" t="str">
        <f t="shared" si="4"/>
        <v>289Горянов Михаил Андреевич</v>
      </c>
      <c r="C69" s="1">
        <v>289</v>
      </c>
      <c r="D69" s="2" t="s">
        <v>62</v>
      </c>
      <c r="E69" s="1" t="s">
        <v>380</v>
      </c>
      <c r="F69" s="16">
        <v>40890</v>
      </c>
      <c r="G69" s="16">
        <v>40878</v>
      </c>
      <c r="H69" s="17">
        <f t="shared" si="6"/>
        <v>49</v>
      </c>
      <c r="I69" s="1">
        <f>H69*1000</f>
        <v>49000</v>
      </c>
      <c r="J69" s="17">
        <f>1000+36000</f>
        <v>37000</v>
      </c>
      <c r="K69" s="17"/>
      <c r="L69" s="30">
        <f t="shared" si="7"/>
        <v>12000</v>
      </c>
      <c r="M69" s="31">
        <v>800</v>
      </c>
      <c r="N69" s="31">
        <v>800</v>
      </c>
      <c r="O69" s="31">
        <v>800</v>
      </c>
      <c r="P69" s="31">
        <v>800</v>
      </c>
      <c r="Q69" s="31">
        <v>800</v>
      </c>
      <c r="R69" s="31">
        <v>800</v>
      </c>
      <c r="S69" s="31">
        <v>800</v>
      </c>
      <c r="T69" s="31">
        <v>800</v>
      </c>
      <c r="U69" s="31">
        <v>800</v>
      </c>
      <c r="V69" s="31">
        <v>800</v>
      </c>
      <c r="W69" s="31">
        <v>800</v>
      </c>
      <c r="X69" s="31">
        <v>800</v>
      </c>
      <c r="Y69" s="30">
        <f t="shared" si="5"/>
        <v>21600</v>
      </c>
      <c r="Z69">
        <f>VLOOKUP(A69,справочник!$E$2:$F$322,2,FALSE)</f>
        <v>0</v>
      </c>
    </row>
    <row r="70" spans="1:26" hidden="1">
      <c r="A70" s="41">
        <f>VLOOKUP(B70,справочник!$B$2:$E$322,4,FALSE)</f>
        <v>148</v>
      </c>
      <c r="B70" t="str">
        <f t="shared" ref="B70:B133" si="8">CONCATENATE(C70,D70)</f>
        <v>156Горячев Дмитрий Николаевич</v>
      </c>
      <c r="C70" s="1">
        <v>156</v>
      </c>
      <c r="D70" s="2" t="s">
        <v>63</v>
      </c>
      <c r="E70" s="1" t="s">
        <v>381</v>
      </c>
      <c r="F70" s="16">
        <v>41008</v>
      </c>
      <c r="G70" s="16">
        <v>41000</v>
      </c>
      <c r="H70" s="17">
        <f t="shared" si="6"/>
        <v>45</v>
      </c>
      <c r="I70" s="1">
        <f>H70*1000</f>
        <v>45000</v>
      </c>
      <c r="J70" s="17">
        <f>12000</f>
        <v>12000</v>
      </c>
      <c r="K70" s="17"/>
      <c r="L70" s="30">
        <f t="shared" si="7"/>
        <v>33000</v>
      </c>
      <c r="M70" s="31">
        <v>800</v>
      </c>
      <c r="N70" s="31">
        <v>800</v>
      </c>
      <c r="O70" s="31">
        <v>800</v>
      </c>
      <c r="P70" s="31">
        <v>800</v>
      </c>
      <c r="Q70" s="31">
        <v>800</v>
      </c>
      <c r="R70" s="31">
        <v>800</v>
      </c>
      <c r="S70" s="31">
        <v>800</v>
      </c>
      <c r="T70" s="31">
        <v>800</v>
      </c>
      <c r="U70" s="31">
        <v>800</v>
      </c>
      <c r="V70" s="31">
        <v>800</v>
      </c>
      <c r="W70" s="31">
        <v>800</v>
      </c>
      <c r="X70" s="31">
        <v>800</v>
      </c>
      <c r="Y70" s="30">
        <f t="shared" ref="Y70:Y132" si="9">SUM(L70:X70)</f>
        <v>42600</v>
      </c>
      <c r="Z70">
        <f>VLOOKUP(A70,справочник!$E$2:$F$322,2,FALSE)</f>
        <v>0</v>
      </c>
    </row>
    <row r="71" spans="1:26" hidden="1">
      <c r="A71" s="41">
        <f>VLOOKUP(B71,справочник!$B$2:$E$322,4,FALSE)</f>
        <v>308</v>
      </c>
      <c r="B71" t="str">
        <f t="shared" si="8"/>
        <v>323Губарева Татьяна Григорьевна</v>
      </c>
      <c r="C71" s="1">
        <v>323</v>
      </c>
      <c r="D71" s="2" t="s">
        <v>64</v>
      </c>
      <c r="E71" s="1" t="s">
        <v>382</v>
      </c>
      <c r="F71" s="16">
        <v>42025</v>
      </c>
      <c r="G71" s="16">
        <v>42036</v>
      </c>
      <c r="H71" s="17">
        <f t="shared" si="6"/>
        <v>11</v>
      </c>
      <c r="I71" s="1">
        <f>H71*1000</f>
        <v>11000</v>
      </c>
      <c r="J71" s="17">
        <v>3000</v>
      </c>
      <c r="K71" s="17"/>
      <c r="L71" s="30">
        <f t="shared" si="7"/>
        <v>8000</v>
      </c>
      <c r="M71" s="31">
        <v>800</v>
      </c>
      <c r="N71" s="31">
        <v>800</v>
      </c>
      <c r="O71" s="31">
        <v>800</v>
      </c>
      <c r="P71" s="31">
        <v>800</v>
      </c>
      <c r="Q71" s="31">
        <v>800</v>
      </c>
      <c r="R71" s="31">
        <v>800</v>
      </c>
      <c r="S71" s="31">
        <v>800</v>
      </c>
      <c r="T71" s="31">
        <v>800</v>
      </c>
      <c r="U71" s="31">
        <v>800</v>
      </c>
      <c r="V71" s="31">
        <v>800</v>
      </c>
      <c r="W71" s="31">
        <v>800</v>
      </c>
      <c r="X71" s="31">
        <v>800</v>
      </c>
      <c r="Y71" s="30">
        <f t="shared" si="9"/>
        <v>17600</v>
      </c>
      <c r="Z71">
        <f>VLOOKUP(A71,справочник!$E$2:$F$322,2,FALSE)</f>
        <v>0</v>
      </c>
    </row>
    <row r="72" spans="1:26" hidden="1">
      <c r="A72" s="41">
        <f>VLOOKUP(B72,справочник!$B$2:$E$322,4,FALSE)</f>
        <v>318</v>
      </c>
      <c r="B72" t="str">
        <f t="shared" si="8"/>
        <v>71-72Гусева Светлана Григорьевна</v>
      </c>
      <c r="C72" s="1" t="s">
        <v>65</v>
      </c>
      <c r="D72" s="2" t="s">
        <v>66</v>
      </c>
      <c r="E72" s="1" t="s">
        <v>383</v>
      </c>
      <c r="F72" s="16">
        <v>40694</v>
      </c>
      <c r="G72" s="16">
        <v>40725</v>
      </c>
      <c r="H72" s="17">
        <f t="shared" si="6"/>
        <v>54</v>
      </c>
      <c r="I72" s="1">
        <f>H72*1000*2</f>
        <v>108000</v>
      </c>
      <c r="J72" s="17">
        <f>2000+102000</f>
        <v>104000</v>
      </c>
      <c r="K72" s="17">
        <v>4000</v>
      </c>
      <c r="L72" s="33">
        <f t="shared" si="7"/>
        <v>0</v>
      </c>
      <c r="M72" s="31">
        <v>800</v>
      </c>
      <c r="N72" s="31">
        <v>800</v>
      </c>
      <c r="O72" s="31">
        <v>800</v>
      </c>
      <c r="P72" s="31">
        <v>800</v>
      </c>
      <c r="Q72" s="31">
        <v>800</v>
      </c>
      <c r="R72" s="31">
        <v>800</v>
      </c>
      <c r="S72" s="31">
        <v>800</v>
      </c>
      <c r="T72" s="31">
        <v>800</v>
      </c>
      <c r="U72" s="31">
        <v>800</v>
      </c>
      <c r="V72" s="31">
        <v>800</v>
      </c>
      <c r="W72" s="31">
        <v>800</v>
      </c>
      <c r="X72" s="31">
        <v>800</v>
      </c>
      <c r="Y72" s="30">
        <f t="shared" si="9"/>
        <v>9600</v>
      </c>
      <c r="Z72">
        <f>VLOOKUP(A72,справочник!$E$2:$F$322,2,FALSE)</f>
        <v>0</v>
      </c>
    </row>
    <row r="73" spans="1:26" hidden="1">
      <c r="A73" s="41">
        <f>VLOOKUP(B73,справочник!$B$2:$E$322,4,FALSE)</f>
        <v>236</v>
      </c>
      <c r="B73" t="str">
        <f t="shared" si="8"/>
        <v>245Давыдова Анна Сергеевна</v>
      </c>
      <c r="C73" s="1">
        <v>245</v>
      </c>
      <c r="D73" s="2" t="s">
        <v>67</v>
      </c>
      <c r="E73" s="1" t="s">
        <v>384</v>
      </c>
      <c r="F73" s="16">
        <v>40945</v>
      </c>
      <c r="G73" s="16">
        <v>40940</v>
      </c>
      <c r="H73" s="17">
        <f t="shared" si="6"/>
        <v>47</v>
      </c>
      <c r="I73" s="1">
        <f>H73*1000</f>
        <v>47000</v>
      </c>
      <c r="J73" s="17">
        <f>18000+11000</f>
        <v>29000</v>
      </c>
      <c r="K73" s="17"/>
      <c r="L73" s="30">
        <f t="shared" si="7"/>
        <v>18000</v>
      </c>
      <c r="M73" s="31">
        <v>800</v>
      </c>
      <c r="N73" s="31">
        <v>800</v>
      </c>
      <c r="O73" s="31">
        <v>800</v>
      </c>
      <c r="P73" s="31">
        <v>800</v>
      </c>
      <c r="Q73" s="31">
        <v>800</v>
      </c>
      <c r="R73" s="31">
        <v>800</v>
      </c>
      <c r="S73" s="31">
        <v>800</v>
      </c>
      <c r="T73" s="31">
        <v>800</v>
      </c>
      <c r="U73" s="31">
        <v>800</v>
      </c>
      <c r="V73" s="31">
        <v>800</v>
      </c>
      <c r="W73" s="31">
        <v>800</v>
      </c>
      <c r="X73" s="31">
        <v>800</v>
      </c>
      <c r="Y73" s="30">
        <f t="shared" si="9"/>
        <v>27600</v>
      </c>
      <c r="Z73">
        <f>VLOOKUP(A73,справочник!$E$2:$F$322,2,FALSE)</f>
        <v>0</v>
      </c>
    </row>
    <row r="74" spans="1:26" hidden="1">
      <c r="A74" s="41">
        <f>VLOOKUP(B74,справочник!$B$2:$E$322,4,FALSE)</f>
        <v>226</v>
      </c>
      <c r="B74" t="str">
        <f t="shared" si="8"/>
        <v xml:space="preserve">235Данильянц Юрий Константинович   </v>
      </c>
      <c r="C74" s="1">
        <v>235</v>
      </c>
      <c r="D74" s="2" t="s">
        <v>68</v>
      </c>
      <c r="E74" s="1" t="s">
        <v>385</v>
      </c>
      <c r="F74" s="16">
        <v>41739</v>
      </c>
      <c r="G74" s="16">
        <v>41760</v>
      </c>
      <c r="H74" s="17">
        <f t="shared" si="6"/>
        <v>20</v>
      </c>
      <c r="I74" s="1">
        <f>H74*1000</f>
        <v>20000</v>
      </c>
      <c r="J74" s="17"/>
      <c r="K74" s="17"/>
      <c r="L74" s="30">
        <f t="shared" si="7"/>
        <v>20000</v>
      </c>
      <c r="M74" s="31">
        <v>800</v>
      </c>
      <c r="N74" s="31">
        <v>800</v>
      </c>
      <c r="O74" s="31">
        <v>800</v>
      </c>
      <c r="P74" s="31">
        <v>800</v>
      </c>
      <c r="Q74" s="31">
        <v>800</v>
      </c>
      <c r="R74" s="31">
        <v>800</v>
      </c>
      <c r="S74" s="31">
        <v>800</v>
      </c>
      <c r="T74" s="31">
        <v>800</v>
      </c>
      <c r="U74" s="31">
        <v>800</v>
      </c>
      <c r="V74" s="31">
        <v>800</v>
      </c>
      <c r="W74" s="31">
        <v>800</v>
      </c>
      <c r="X74" s="31">
        <v>800</v>
      </c>
      <c r="Y74" s="30">
        <f t="shared" si="9"/>
        <v>29600</v>
      </c>
      <c r="Z74">
        <f>VLOOKUP(A74,справочник!$E$2:$F$322,2,FALSE)</f>
        <v>0</v>
      </c>
    </row>
    <row r="75" spans="1:26" hidden="1">
      <c r="A75" s="41">
        <f>VLOOKUP(B75,справочник!$B$2:$E$322,4,FALSE)</f>
        <v>285</v>
      </c>
      <c r="B75" t="str">
        <f t="shared" si="8"/>
        <v>297Даточный Алексей Валерьевич</v>
      </c>
      <c r="C75" s="1">
        <v>297</v>
      </c>
      <c r="D75" s="2" t="s">
        <v>69</v>
      </c>
      <c r="E75" s="1" t="s">
        <v>386</v>
      </c>
      <c r="F75" s="1"/>
      <c r="G75" s="1"/>
      <c r="H75" s="17"/>
      <c r="I75" s="1">
        <v>19000</v>
      </c>
      <c r="J75" s="17">
        <v>19000</v>
      </c>
      <c r="K75" s="17"/>
      <c r="L75" s="30">
        <f t="shared" si="7"/>
        <v>0</v>
      </c>
      <c r="M75" s="31">
        <v>800</v>
      </c>
      <c r="N75" s="31">
        <v>800</v>
      </c>
      <c r="O75" s="31">
        <v>800</v>
      </c>
      <c r="P75" s="31">
        <v>800</v>
      </c>
      <c r="Q75" s="31">
        <v>800</v>
      </c>
      <c r="R75" s="31">
        <v>800</v>
      </c>
      <c r="S75" s="31">
        <v>800</v>
      </c>
      <c r="T75" s="31">
        <v>800</v>
      </c>
      <c r="U75" s="31">
        <v>800</v>
      </c>
      <c r="V75" s="31">
        <v>800</v>
      </c>
      <c r="W75" s="31">
        <v>800</v>
      </c>
      <c r="X75" s="31">
        <v>800</v>
      </c>
      <c r="Y75" s="30">
        <f t="shared" si="9"/>
        <v>9600</v>
      </c>
      <c r="Z75">
        <f>VLOOKUP(A75,справочник!$E$2:$F$322,2,FALSE)</f>
        <v>0</v>
      </c>
    </row>
    <row r="76" spans="1:26" hidden="1">
      <c r="A76" s="41">
        <f>VLOOKUP(B76,справочник!$B$2:$E$322,4,FALSE)</f>
        <v>24</v>
      </c>
      <c r="B76" t="str">
        <f t="shared" si="8"/>
        <v>24Двойрина Юлия Владимировна</v>
      </c>
      <c r="C76" s="1">
        <v>24</v>
      </c>
      <c r="D76" s="2" t="s">
        <v>70</v>
      </c>
      <c r="E76" s="1" t="s">
        <v>387</v>
      </c>
      <c r="F76" s="16">
        <v>41141</v>
      </c>
      <c r="G76" s="16">
        <v>41153</v>
      </c>
      <c r="H76" s="17">
        <f t="shared" ref="H76:H89" si="10">INT(($H$327-G76)/30)</f>
        <v>40</v>
      </c>
      <c r="I76" s="1">
        <f t="shared" ref="I76:I139" si="11">H76*1000</f>
        <v>40000</v>
      </c>
      <c r="J76" s="17">
        <v>30000</v>
      </c>
      <c r="K76" s="17"/>
      <c r="L76" s="30">
        <f t="shared" si="7"/>
        <v>10000</v>
      </c>
      <c r="M76" s="31">
        <v>800</v>
      </c>
      <c r="N76" s="31">
        <v>800</v>
      </c>
      <c r="O76" s="31">
        <v>800</v>
      </c>
      <c r="P76" s="31">
        <v>800</v>
      </c>
      <c r="Q76" s="31">
        <v>800</v>
      </c>
      <c r="R76" s="31">
        <v>800</v>
      </c>
      <c r="S76" s="31">
        <v>800</v>
      </c>
      <c r="T76" s="31">
        <v>800</v>
      </c>
      <c r="U76" s="31">
        <v>800</v>
      </c>
      <c r="V76" s="31">
        <v>800</v>
      </c>
      <c r="W76" s="31">
        <v>800</v>
      </c>
      <c r="X76" s="31">
        <v>800</v>
      </c>
      <c r="Y76" s="30">
        <f t="shared" si="9"/>
        <v>19600</v>
      </c>
      <c r="Z76">
        <f>VLOOKUP(A76,справочник!$E$2:$F$322,2,FALSE)</f>
        <v>0</v>
      </c>
    </row>
    <row r="77" spans="1:26" hidden="1">
      <c r="A77" s="41">
        <f>VLOOKUP(B77,справочник!$B$2:$E$322,4,FALSE)</f>
        <v>50</v>
      </c>
      <c r="B77" t="str">
        <f t="shared" si="8"/>
        <v>50Денисов Дмитрий Алексеевич</v>
      </c>
      <c r="C77" s="1">
        <v>50</v>
      </c>
      <c r="D77" s="2" t="s">
        <v>71</v>
      </c>
      <c r="E77" s="1" t="s">
        <v>388</v>
      </c>
      <c r="F77" s="16">
        <v>40793</v>
      </c>
      <c r="G77" s="16">
        <v>40787</v>
      </c>
      <c r="H77" s="17">
        <f t="shared" si="10"/>
        <v>52</v>
      </c>
      <c r="I77" s="1">
        <f t="shared" si="11"/>
        <v>52000</v>
      </c>
      <c r="J77" s="17">
        <f>1000+41000</f>
        <v>42000</v>
      </c>
      <c r="K77" s="17"/>
      <c r="L77" s="30">
        <f t="shared" si="7"/>
        <v>10000</v>
      </c>
      <c r="M77" s="31">
        <v>800</v>
      </c>
      <c r="N77" s="31">
        <v>800</v>
      </c>
      <c r="O77" s="31">
        <v>800</v>
      </c>
      <c r="P77" s="31">
        <v>800</v>
      </c>
      <c r="Q77" s="31">
        <v>800</v>
      </c>
      <c r="R77" s="31">
        <v>800</v>
      </c>
      <c r="S77" s="31">
        <v>800</v>
      </c>
      <c r="T77" s="31">
        <v>800</v>
      </c>
      <c r="U77" s="31">
        <v>800</v>
      </c>
      <c r="V77" s="31">
        <v>800</v>
      </c>
      <c r="W77" s="31">
        <v>800</v>
      </c>
      <c r="X77" s="31">
        <v>800</v>
      </c>
      <c r="Y77" s="30">
        <f t="shared" si="9"/>
        <v>19600</v>
      </c>
      <c r="Z77">
        <f>VLOOKUP(A77,справочник!$E$2:$F$322,2,FALSE)</f>
        <v>0</v>
      </c>
    </row>
    <row r="78" spans="1:26" hidden="1">
      <c r="A78" s="41">
        <f>VLOOKUP(B78,справочник!$B$2:$E$322,4,FALSE)</f>
        <v>122</v>
      </c>
      <c r="B78" t="str">
        <f t="shared" si="8"/>
        <v>127Денисов Сергей Александрович</v>
      </c>
      <c r="C78" s="1">
        <v>127</v>
      </c>
      <c r="D78" s="2" t="s">
        <v>72</v>
      </c>
      <c r="E78" s="1" t="s">
        <v>389</v>
      </c>
      <c r="F78" s="16">
        <v>40938</v>
      </c>
      <c r="G78" s="16">
        <v>40940</v>
      </c>
      <c r="H78" s="17">
        <f t="shared" si="10"/>
        <v>47</v>
      </c>
      <c r="I78" s="1">
        <f t="shared" si="11"/>
        <v>47000</v>
      </c>
      <c r="J78" s="17">
        <v>37000</v>
      </c>
      <c r="K78" s="73">
        <v>10000</v>
      </c>
      <c r="L78" s="30">
        <f t="shared" si="7"/>
        <v>0</v>
      </c>
      <c r="M78" s="31">
        <v>800</v>
      </c>
      <c r="N78" s="31">
        <v>800</v>
      </c>
      <c r="O78" s="31">
        <v>800</v>
      </c>
      <c r="P78" s="31">
        <v>800</v>
      </c>
      <c r="Q78" s="31">
        <v>800</v>
      </c>
      <c r="R78" s="31">
        <v>800</v>
      </c>
      <c r="S78" s="31">
        <v>800</v>
      </c>
      <c r="T78" s="31">
        <v>800</v>
      </c>
      <c r="U78" s="31">
        <v>800</v>
      </c>
      <c r="V78" s="31">
        <v>800</v>
      </c>
      <c r="W78" s="31">
        <v>800</v>
      </c>
      <c r="X78" s="31">
        <v>800</v>
      </c>
      <c r="Y78" s="30">
        <f t="shared" si="9"/>
        <v>9600</v>
      </c>
      <c r="Z78">
        <f>VLOOKUP(A78,справочник!$E$2:$F$322,2,FALSE)</f>
        <v>0</v>
      </c>
    </row>
    <row r="79" spans="1:26" hidden="1">
      <c r="A79" s="41">
        <f>VLOOKUP(B79,справочник!$B$2:$E$322,4,FALSE)</f>
        <v>301</v>
      </c>
      <c r="B79" t="str">
        <f t="shared" si="8"/>
        <v>316Десюкова Марина Александровна</v>
      </c>
      <c r="C79" s="1">
        <v>316</v>
      </c>
      <c r="D79" s="2" t="s">
        <v>73</v>
      </c>
      <c r="E79" s="1" t="s">
        <v>390</v>
      </c>
      <c r="F79" s="16">
        <v>41969</v>
      </c>
      <c r="G79" s="16">
        <v>41974</v>
      </c>
      <c r="H79" s="17">
        <f t="shared" si="10"/>
        <v>13</v>
      </c>
      <c r="I79" s="1">
        <f t="shared" si="11"/>
        <v>13000</v>
      </c>
      <c r="J79" s="17">
        <v>1000</v>
      </c>
      <c r="K79" s="17"/>
      <c r="L79" s="30">
        <f t="shared" si="7"/>
        <v>12000</v>
      </c>
      <c r="M79" s="31">
        <v>800</v>
      </c>
      <c r="N79" s="31">
        <v>800</v>
      </c>
      <c r="O79" s="31">
        <v>800</v>
      </c>
      <c r="P79" s="31">
        <v>800</v>
      </c>
      <c r="Q79" s="31">
        <v>800</v>
      </c>
      <c r="R79" s="31">
        <v>800</v>
      </c>
      <c r="S79" s="31">
        <v>800</v>
      </c>
      <c r="T79" s="31">
        <v>800</v>
      </c>
      <c r="U79" s="31">
        <v>800</v>
      </c>
      <c r="V79" s="31">
        <v>800</v>
      </c>
      <c r="W79" s="31">
        <v>800</v>
      </c>
      <c r="X79" s="31">
        <v>800</v>
      </c>
      <c r="Y79" s="30">
        <f t="shared" si="9"/>
        <v>21600</v>
      </c>
      <c r="Z79">
        <f>VLOOKUP(A79,справочник!$E$2:$F$322,2,FALSE)</f>
        <v>0</v>
      </c>
    </row>
    <row r="80" spans="1:26" hidden="1">
      <c r="A80" s="41">
        <f>VLOOKUP(B80,справочник!$B$2:$E$322,4,FALSE)</f>
        <v>18</v>
      </c>
      <c r="B80" t="str">
        <f t="shared" si="8"/>
        <v>18Дидушко Денис Васильевич (Василий)</v>
      </c>
      <c r="C80" s="1">
        <v>18</v>
      </c>
      <c r="D80" s="2" t="s">
        <v>74</v>
      </c>
      <c r="E80" s="1" t="s">
        <v>391</v>
      </c>
      <c r="F80" s="16">
        <v>41429</v>
      </c>
      <c r="G80" s="16">
        <v>41487</v>
      </c>
      <c r="H80" s="17">
        <f t="shared" si="10"/>
        <v>29</v>
      </c>
      <c r="I80" s="1">
        <f t="shared" si="11"/>
        <v>29000</v>
      </c>
      <c r="J80" s="17">
        <v>29000</v>
      </c>
      <c r="K80" s="17"/>
      <c r="L80" s="30">
        <f t="shared" si="7"/>
        <v>0</v>
      </c>
      <c r="M80" s="31">
        <v>800</v>
      </c>
      <c r="N80" s="31">
        <v>800</v>
      </c>
      <c r="O80" s="31">
        <v>800</v>
      </c>
      <c r="P80" s="31">
        <v>800</v>
      </c>
      <c r="Q80" s="31">
        <v>800</v>
      </c>
      <c r="R80" s="31">
        <v>800</v>
      </c>
      <c r="S80" s="31">
        <v>800</v>
      </c>
      <c r="T80" s="31">
        <v>800</v>
      </c>
      <c r="U80" s="31">
        <v>800</v>
      </c>
      <c r="V80" s="31">
        <v>800</v>
      </c>
      <c r="W80" s="31">
        <v>800</v>
      </c>
      <c r="X80" s="31">
        <v>800</v>
      </c>
      <c r="Y80" s="30">
        <f t="shared" si="9"/>
        <v>9600</v>
      </c>
      <c r="Z80">
        <f>VLOOKUP(A80,справочник!$E$2:$F$322,2,FALSE)</f>
        <v>0</v>
      </c>
    </row>
    <row r="81" spans="1:26" hidden="1">
      <c r="A81" s="41">
        <f>VLOOKUP(B81,справочник!$B$2:$E$322,4,FALSE)</f>
        <v>155</v>
      </c>
      <c r="B81" t="str">
        <f t="shared" si="8"/>
        <v>163Дорошенко Владимир Алексеевич</v>
      </c>
      <c r="C81" s="1">
        <v>163</v>
      </c>
      <c r="D81" s="2" t="s">
        <v>75</v>
      </c>
      <c r="E81" s="1" t="s">
        <v>392</v>
      </c>
      <c r="F81" s="16">
        <v>41491</v>
      </c>
      <c r="G81" s="16">
        <v>41518</v>
      </c>
      <c r="H81" s="17">
        <f t="shared" si="10"/>
        <v>28</v>
      </c>
      <c r="I81" s="1">
        <f t="shared" si="11"/>
        <v>28000</v>
      </c>
      <c r="J81" s="17">
        <v>28000</v>
      </c>
      <c r="K81" s="17">
        <v>2000</v>
      </c>
      <c r="L81" s="30">
        <f t="shared" si="7"/>
        <v>-2000</v>
      </c>
      <c r="M81" s="31">
        <v>800</v>
      </c>
      <c r="N81" s="31">
        <v>800</v>
      </c>
      <c r="O81" s="31">
        <v>800</v>
      </c>
      <c r="P81" s="31">
        <v>800</v>
      </c>
      <c r="Q81" s="31">
        <v>800</v>
      </c>
      <c r="R81" s="31">
        <v>800</v>
      </c>
      <c r="S81" s="31">
        <v>800</v>
      </c>
      <c r="T81" s="31">
        <v>800</v>
      </c>
      <c r="U81" s="31">
        <v>800</v>
      </c>
      <c r="V81" s="31">
        <v>800</v>
      </c>
      <c r="W81" s="31">
        <v>800</v>
      </c>
      <c r="X81" s="31">
        <v>800</v>
      </c>
      <c r="Y81" s="30">
        <f t="shared" si="9"/>
        <v>7600</v>
      </c>
      <c r="Z81">
        <f>VLOOKUP(A81,справочник!$E$2:$F$322,2,FALSE)</f>
        <v>0</v>
      </c>
    </row>
    <row r="82" spans="1:26" hidden="1">
      <c r="A82" s="41">
        <f>VLOOKUP(B82,справочник!$B$2:$E$322,4,FALSE)</f>
        <v>44</v>
      </c>
      <c r="B82" t="str">
        <f t="shared" si="8"/>
        <v>44Дубов Александр Сергеевич</v>
      </c>
      <c r="C82" s="1">
        <v>44</v>
      </c>
      <c r="D82" s="2" t="s">
        <v>76</v>
      </c>
      <c r="E82" s="23" t="s">
        <v>338</v>
      </c>
      <c r="F82" s="24">
        <v>41100</v>
      </c>
      <c r="G82" s="24">
        <v>41091</v>
      </c>
      <c r="H82" s="17">
        <f t="shared" si="10"/>
        <v>42</v>
      </c>
      <c r="I82" s="1">
        <f t="shared" si="11"/>
        <v>42000</v>
      </c>
      <c r="J82" s="17">
        <f>21000+6000</f>
        <v>27000</v>
      </c>
      <c r="K82" s="17">
        <v>13000</v>
      </c>
      <c r="L82" s="30">
        <f t="shared" si="7"/>
        <v>2000</v>
      </c>
      <c r="M82" s="31">
        <v>800</v>
      </c>
      <c r="N82" s="31">
        <v>800</v>
      </c>
      <c r="O82" s="31">
        <v>800</v>
      </c>
      <c r="P82" s="31">
        <v>800</v>
      </c>
      <c r="Q82" s="31">
        <v>800</v>
      </c>
      <c r="R82" s="31">
        <v>800</v>
      </c>
      <c r="S82" s="31">
        <v>800</v>
      </c>
      <c r="T82" s="31">
        <v>800</v>
      </c>
      <c r="U82" s="31">
        <v>800</v>
      </c>
      <c r="V82" s="31">
        <v>800</v>
      </c>
      <c r="W82" s="31">
        <v>800</v>
      </c>
      <c r="X82" s="31">
        <v>800</v>
      </c>
      <c r="Y82" s="30">
        <f t="shared" si="9"/>
        <v>11600</v>
      </c>
      <c r="Z82">
        <f>VLOOKUP(A82,справочник!$E$2:$F$322,2,FALSE)</f>
        <v>0</v>
      </c>
    </row>
    <row r="83" spans="1:26" hidden="1">
      <c r="A83" s="41">
        <f>VLOOKUP(B83,справочник!$B$2:$E$322,4,FALSE)</f>
        <v>132</v>
      </c>
      <c r="B83" t="str">
        <f t="shared" si="8"/>
        <v>139Евглевская Ольга Борисовна</v>
      </c>
      <c r="C83" s="1">
        <v>139</v>
      </c>
      <c r="D83" s="2" t="s">
        <v>77</v>
      </c>
      <c r="E83" s="1" t="s">
        <v>393</v>
      </c>
      <c r="F83" s="16">
        <v>40690</v>
      </c>
      <c r="G83" s="16">
        <v>40695</v>
      </c>
      <c r="H83" s="17">
        <f t="shared" si="10"/>
        <v>55</v>
      </c>
      <c r="I83" s="1">
        <f t="shared" si="11"/>
        <v>55000</v>
      </c>
      <c r="J83" s="17">
        <f>41000+1000</f>
        <v>42000</v>
      </c>
      <c r="K83" s="17"/>
      <c r="L83" s="30">
        <f t="shared" si="7"/>
        <v>13000</v>
      </c>
      <c r="M83" s="31">
        <v>800</v>
      </c>
      <c r="N83" s="31">
        <v>800</v>
      </c>
      <c r="O83" s="31">
        <v>800</v>
      </c>
      <c r="P83" s="31">
        <v>800</v>
      </c>
      <c r="Q83" s="31">
        <v>800</v>
      </c>
      <c r="R83" s="31">
        <v>800</v>
      </c>
      <c r="S83" s="31">
        <v>800</v>
      </c>
      <c r="T83" s="31">
        <v>800</v>
      </c>
      <c r="U83" s="31">
        <v>800</v>
      </c>
      <c r="V83" s="31">
        <v>800</v>
      </c>
      <c r="W83" s="31">
        <v>800</v>
      </c>
      <c r="X83" s="31">
        <v>800</v>
      </c>
      <c r="Y83" s="30">
        <f t="shared" si="9"/>
        <v>22600</v>
      </c>
      <c r="Z83">
        <f>VLOOKUP(A83,справочник!$E$2:$F$322,2,FALSE)</f>
        <v>0</v>
      </c>
    </row>
    <row r="84" spans="1:26" hidden="1">
      <c r="A84" s="41">
        <f>VLOOKUP(B84,справочник!$B$2:$E$322,4,FALSE)</f>
        <v>159</v>
      </c>
      <c r="B84" t="str">
        <f t="shared" si="8"/>
        <v>167Евсеев Александр Сергеевич</v>
      </c>
      <c r="C84" s="1">
        <v>167</v>
      </c>
      <c r="D84" s="2" t="s">
        <v>78</v>
      </c>
      <c r="E84" s="1" t="s">
        <v>394</v>
      </c>
      <c r="F84" s="16">
        <v>41044</v>
      </c>
      <c r="G84" s="16">
        <v>41030</v>
      </c>
      <c r="H84" s="17">
        <f t="shared" si="10"/>
        <v>44</v>
      </c>
      <c r="I84" s="1">
        <f t="shared" si="11"/>
        <v>44000</v>
      </c>
      <c r="J84" s="17">
        <f>32000</f>
        <v>32000</v>
      </c>
      <c r="K84" s="17"/>
      <c r="L84" s="30">
        <f t="shared" si="7"/>
        <v>12000</v>
      </c>
      <c r="M84" s="31">
        <v>800</v>
      </c>
      <c r="N84" s="31">
        <v>800</v>
      </c>
      <c r="O84" s="31">
        <v>800</v>
      </c>
      <c r="P84" s="31">
        <v>800</v>
      </c>
      <c r="Q84" s="31">
        <v>800</v>
      </c>
      <c r="R84" s="31">
        <v>800</v>
      </c>
      <c r="S84" s="31">
        <v>800</v>
      </c>
      <c r="T84" s="31">
        <v>800</v>
      </c>
      <c r="U84" s="31">
        <v>800</v>
      </c>
      <c r="V84" s="31">
        <v>800</v>
      </c>
      <c r="W84" s="31">
        <v>800</v>
      </c>
      <c r="X84" s="31">
        <v>800</v>
      </c>
      <c r="Y84" s="30">
        <f t="shared" si="9"/>
        <v>21600</v>
      </c>
      <c r="Z84">
        <f>VLOOKUP(A84,справочник!$E$2:$F$322,2,FALSE)</f>
        <v>0</v>
      </c>
    </row>
    <row r="85" spans="1:26" hidden="1">
      <c r="A85" s="41">
        <f>VLOOKUP(B85,справочник!$B$2:$E$322,4,FALSE)</f>
        <v>181</v>
      </c>
      <c r="B85" t="str">
        <f t="shared" si="8"/>
        <v xml:space="preserve">189Елисеев Сергей Вячеславович          </v>
      </c>
      <c r="C85" s="1">
        <v>189</v>
      </c>
      <c r="D85" s="2" t="s">
        <v>79</v>
      </c>
      <c r="E85" s="1" t="s">
        <v>395</v>
      </c>
      <c r="F85" s="16">
        <v>41734</v>
      </c>
      <c r="G85" s="16">
        <v>41760</v>
      </c>
      <c r="H85" s="17">
        <f t="shared" si="10"/>
        <v>20</v>
      </c>
      <c r="I85" s="1">
        <f t="shared" si="11"/>
        <v>20000</v>
      </c>
      <c r="J85" s="17">
        <v>17000</v>
      </c>
      <c r="K85" s="17"/>
      <c r="L85" s="30">
        <f t="shared" si="7"/>
        <v>3000</v>
      </c>
      <c r="M85" s="31">
        <v>800</v>
      </c>
      <c r="N85" s="31">
        <v>800</v>
      </c>
      <c r="O85" s="31">
        <v>800</v>
      </c>
      <c r="P85" s="31">
        <v>800</v>
      </c>
      <c r="Q85" s="31">
        <v>800</v>
      </c>
      <c r="R85" s="31">
        <v>800</v>
      </c>
      <c r="S85" s="31">
        <v>800</v>
      </c>
      <c r="T85" s="31">
        <v>800</v>
      </c>
      <c r="U85" s="31">
        <v>800</v>
      </c>
      <c r="V85" s="31">
        <v>800</v>
      </c>
      <c r="W85" s="31">
        <v>800</v>
      </c>
      <c r="X85" s="31">
        <v>800</v>
      </c>
      <c r="Y85" s="30">
        <f t="shared" si="9"/>
        <v>12600</v>
      </c>
      <c r="Z85">
        <f>VLOOKUP(A85,справочник!$E$2:$F$322,2,FALSE)</f>
        <v>0</v>
      </c>
    </row>
    <row r="86" spans="1:26" hidden="1">
      <c r="A86" s="41">
        <f>VLOOKUP(B86,справочник!$B$2:$E$322,4,FALSE)</f>
        <v>284</v>
      </c>
      <c r="B86" t="str">
        <f t="shared" si="8"/>
        <v>296Епанчинцева Людмила Филипповна</v>
      </c>
      <c r="C86" s="1">
        <v>296</v>
      </c>
      <c r="D86" s="2" t="s">
        <v>80</v>
      </c>
      <c r="E86" s="1" t="s">
        <v>396</v>
      </c>
      <c r="F86" s="16">
        <v>41549</v>
      </c>
      <c r="G86" s="16">
        <v>41579</v>
      </c>
      <c r="H86" s="17">
        <f t="shared" si="10"/>
        <v>26</v>
      </c>
      <c r="I86" s="1">
        <f t="shared" si="11"/>
        <v>26000</v>
      </c>
      <c r="J86" s="17">
        <f>12000</f>
        <v>12000</v>
      </c>
      <c r="K86" s="17">
        <v>5000</v>
      </c>
      <c r="L86" s="30">
        <f t="shared" si="7"/>
        <v>9000</v>
      </c>
      <c r="M86" s="31">
        <v>800</v>
      </c>
      <c r="N86" s="31">
        <v>800</v>
      </c>
      <c r="O86" s="31">
        <v>800</v>
      </c>
      <c r="P86" s="31">
        <v>800</v>
      </c>
      <c r="Q86" s="31">
        <v>800</v>
      </c>
      <c r="R86" s="31">
        <v>800</v>
      </c>
      <c r="S86" s="31">
        <v>800</v>
      </c>
      <c r="T86" s="31">
        <v>800</v>
      </c>
      <c r="U86" s="31">
        <v>800</v>
      </c>
      <c r="V86" s="31">
        <v>800</v>
      </c>
      <c r="W86" s="31">
        <v>800</v>
      </c>
      <c r="X86" s="31">
        <v>800</v>
      </c>
      <c r="Y86" s="30">
        <f t="shared" si="9"/>
        <v>18600</v>
      </c>
      <c r="Z86">
        <f>VLOOKUP(A86,справочник!$E$2:$F$322,2,FALSE)</f>
        <v>0</v>
      </c>
    </row>
    <row r="87" spans="1:26" hidden="1">
      <c r="A87" s="41">
        <f>VLOOKUP(B87,справочник!$B$2:$E$322,4,FALSE)</f>
        <v>264</v>
      </c>
      <c r="B87" t="str">
        <f t="shared" si="8"/>
        <v>277Еременко Виктор Александрович (Валентина)</v>
      </c>
      <c r="C87" s="1">
        <v>277</v>
      </c>
      <c r="D87" s="2" t="s">
        <v>81</v>
      </c>
      <c r="E87" s="1" t="s">
        <v>397</v>
      </c>
      <c r="F87" s="16">
        <v>41093</v>
      </c>
      <c r="G87" s="16">
        <v>41091</v>
      </c>
      <c r="H87" s="17">
        <f t="shared" si="10"/>
        <v>42</v>
      </c>
      <c r="I87" s="1">
        <f t="shared" si="11"/>
        <v>42000</v>
      </c>
      <c r="J87" s="17">
        <f>38000</f>
        <v>38000</v>
      </c>
      <c r="K87" s="17"/>
      <c r="L87" s="30">
        <f t="shared" si="7"/>
        <v>4000</v>
      </c>
      <c r="M87" s="31">
        <v>800</v>
      </c>
      <c r="N87" s="31">
        <v>800</v>
      </c>
      <c r="O87" s="31">
        <v>800</v>
      </c>
      <c r="P87" s="31">
        <v>800</v>
      </c>
      <c r="Q87" s="31">
        <v>800</v>
      </c>
      <c r="R87" s="31">
        <v>800</v>
      </c>
      <c r="S87" s="31">
        <v>800</v>
      </c>
      <c r="T87" s="31">
        <v>800</v>
      </c>
      <c r="U87" s="31">
        <v>800</v>
      </c>
      <c r="V87" s="31">
        <v>800</v>
      </c>
      <c r="W87" s="31">
        <v>800</v>
      </c>
      <c r="X87" s="31">
        <v>800</v>
      </c>
      <c r="Y87" s="30">
        <f t="shared" si="9"/>
        <v>13600</v>
      </c>
      <c r="Z87">
        <f>VLOOKUP(A87,справочник!$E$2:$F$322,2,FALSE)</f>
        <v>0</v>
      </c>
    </row>
    <row r="88" spans="1:26" hidden="1">
      <c r="A88" s="41">
        <f>VLOOKUP(B88,справочник!$B$2:$E$322,4,FALSE)</f>
        <v>32</v>
      </c>
      <c r="B88" t="str">
        <f t="shared" si="8"/>
        <v>32Ермакова Татьяна Викторовна</v>
      </c>
      <c r="C88" s="1">
        <v>32</v>
      </c>
      <c r="D88" s="2" t="s">
        <v>82</v>
      </c>
      <c r="E88" s="1" t="s">
        <v>398</v>
      </c>
      <c r="F88" s="16">
        <v>40695</v>
      </c>
      <c r="G88" s="16">
        <v>40695</v>
      </c>
      <c r="H88" s="17">
        <f t="shared" si="10"/>
        <v>55</v>
      </c>
      <c r="I88" s="1">
        <f t="shared" si="11"/>
        <v>55000</v>
      </c>
      <c r="J88" s="17">
        <f>7000+48000</f>
        <v>55000</v>
      </c>
      <c r="K88" s="17"/>
      <c r="L88" s="30">
        <f t="shared" si="7"/>
        <v>0</v>
      </c>
      <c r="M88" s="31">
        <v>800</v>
      </c>
      <c r="N88" s="31">
        <v>800</v>
      </c>
      <c r="O88" s="31">
        <v>800</v>
      </c>
      <c r="P88" s="31">
        <v>800</v>
      </c>
      <c r="Q88" s="31">
        <v>800</v>
      </c>
      <c r="R88" s="31">
        <v>800</v>
      </c>
      <c r="S88" s="31">
        <v>800</v>
      </c>
      <c r="T88" s="31">
        <v>800</v>
      </c>
      <c r="U88" s="31">
        <v>800</v>
      </c>
      <c r="V88" s="31">
        <v>800</v>
      </c>
      <c r="W88" s="31">
        <v>800</v>
      </c>
      <c r="X88" s="31">
        <v>800</v>
      </c>
      <c r="Y88" s="30">
        <f t="shared" si="9"/>
        <v>9600</v>
      </c>
      <c r="Z88">
        <f>VLOOKUP(A88,справочник!$E$2:$F$322,2,FALSE)</f>
        <v>0</v>
      </c>
    </row>
    <row r="89" spans="1:26" hidden="1">
      <c r="A89" s="41">
        <f>VLOOKUP(B89,справочник!$B$2:$E$322,4,FALSE)</f>
        <v>49</v>
      </c>
      <c r="B89" t="str">
        <f t="shared" si="8"/>
        <v>49Ермолаева Виктория Александровна</v>
      </c>
      <c r="C89" s="1">
        <v>49</v>
      </c>
      <c r="D89" s="2" t="s">
        <v>83</v>
      </c>
      <c r="E89" s="1" t="s">
        <v>399</v>
      </c>
      <c r="F89" s="16">
        <v>40729</v>
      </c>
      <c r="G89" s="16">
        <v>40756</v>
      </c>
      <c r="H89" s="17">
        <f t="shared" si="10"/>
        <v>53</v>
      </c>
      <c r="I89" s="1">
        <f t="shared" si="11"/>
        <v>53000</v>
      </c>
      <c r="J89" s="17">
        <f>42000</f>
        <v>42000</v>
      </c>
      <c r="K89" s="17"/>
      <c r="L89" s="30">
        <f t="shared" si="7"/>
        <v>11000</v>
      </c>
      <c r="M89" s="31">
        <v>800</v>
      </c>
      <c r="N89" s="31">
        <v>800</v>
      </c>
      <c r="O89" s="31">
        <v>800</v>
      </c>
      <c r="P89" s="31">
        <v>800</v>
      </c>
      <c r="Q89" s="31">
        <v>800</v>
      </c>
      <c r="R89" s="31">
        <v>800</v>
      </c>
      <c r="S89" s="31">
        <v>800</v>
      </c>
      <c r="T89" s="31">
        <v>800</v>
      </c>
      <c r="U89" s="31">
        <v>800</v>
      </c>
      <c r="V89" s="31">
        <v>800</v>
      </c>
      <c r="W89" s="31">
        <v>800</v>
      </c>
      <c r="X89" s="31">
        <v>800</v>
      </c>
      <c r="Y89" s="30">
        <f t="shared" si="9"/>
        <v>20600</v>
      </c>
      <c r="Z89">
        <f>VLOOKUP(A89,справочник!$E$2:$F$322,2,FALSE)</f>
        <v>0</v>
      </c>
    </row>
    <row r="90" spans="1:26" hidden="1">
      <c r="A90" s="41">
        <f>VLOOKUP(B90,справочник!$B$2:$E$322,4,FALSE)</f>
        <v>234</v>
      </c>
      <c r="B90" t="str">
        <f t="shared" si="8"/>
        <v>243Ермошина Татьяна Евгеньевна (Владимир)</v>
      </c>
      <c r="C90" s="1">
        <v>243</v>
      </c>
      <c r="D90" s="2" t="s">
        <v>84</v>
      </c>
      <c r="E90" s="5" t="s">
        <v>400</v>
      </c>
      <c r="F90" s="19">
        <v>41248</v>
      </c>
      <c r="G90" s="19">
        <v>41365</v>
      </c>
      <c r="H90" s="20">
        <v>3</v>
      </c>
      <c r="I90" s="5">
        <f t="shared" si="11"/>
        <v>3000</v>
      </c>
      <c r="J90" s="20"/>
      <c r="K90" s="20">
        <v>3000</v>
      </c>
      <c r="L90" s="32">
        <f t="shared" si="7"/>
        <v>0</v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0">
        <f t="shared" si="9"/>
        <v>0</v>
      </c>
      <c r="Z90">
        <f>VLOOKUP(A90,справочник!$E$2:$F$322,2,FALSE)</f>
        <v>1</v>
      </c>
    </row>
    <row r="91" spans="1:26" hidden="1">
      <c r="A91" s="41">
        <f>VLOOKUP(B91,справочник!$B$2:$E$322,4,FALSE)</f>
        <v>234</v>
      </c>
      <c r="B91" t="str">
        <f t="shared" si="8"/>
        <v>244Ермошина Татьяна Евгеньевна (Владимир)</v>
      </c>
      <c r="C91" s="1">
        <v>244</v>
      </c>
      <c r="D91" s="2" t="s">
        <v>84</v>
      </c>
      <c r="E91" s="5"/>
      <c r="F91" s="19">
        <v>41248</v>
      </c>
      <c r="G91" s="19">
        <v>41365</v>
      </c>
      <c r="H91" s="20">
        <v>3</v>
      </c>
      <c r="I91" s="5">
        <f t="shared" si="11"/>
        <v>3000</v>
      </c>
      <c r="J91" s="20"/>
      <c r="K91" s="20">
        <v>3000</v>
      </c>
      <c r="L91" s="32">
        <f t="shared" si="7"/>
        <v>0</v>
      </c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0">
        <f t="shared" si="9"/>
        <v>0</v>
      </c>
      <c r="Z91">
        <f>VLOOKUP(A91,справочник!$E$2:$F$322,2,FALSE)</f>
        <v>1</v>
      </c>
    </row>
    <row r="92" spans="1:26" hidden="1">
      <c r="A92" s="41">
        <f>VLOOKUP(B92,справочник!$B$2:$E$322,4,FALSE)</f>
        <v>234</v>
      </c>
      <c r="B92" t="str">
        <f t="shared" si="8"/>
        <v>243-244Ермошина Татьяна Евгеньевна (Владимир)</v>
      </c>
      <c r="C92" s="1" t="s">
        <v>85</v>
      </c>
      <c r="D92" s="2" t="s">
        <v>84</v>
      </c>
      <c r="E92" s="5"/>
      <c r="F92" s="19">
        <v>41456</v>
      </c>
      <c r="G92" s="19">
        <v>41456</v>
      </c>
      <c r="H92" s="20">
        <f t="shared" ref="H92:H119" si="12">INT(($H$327-G92)/30)</f>
        <v>30</v>
      </c>
      <c r="I92" s="5">
        <f t="shared" si="11"/>
        <v>30000</v>
      </c>
      <c r="J92" s="20"/>
      <c r="K92" s="20">
        <v>30000</v>
      </c>
      <c r="L92" s="32">
        <f t="shared" si="7"/>
        <v>0</v>
      </c>
      <c r="M92" s="31">
        <v>800</v>
      </c>
      <c r="N92" s="31">
        <v>800</v>
      </c>
      <c r="O92" s="31">
        <v>800</v>
      </c>
      <c r="P92" s="31">
        <v>800</v>
      </c>
      <c r="Q92" s="31">
        <v>800</v>
      </c>
      <c r="R92" s="31">
        <v>800</v>
      </c>
      <c r="S92" s="31">
        <v>800</v>
      </c>
      <c r="T92" s="31">
        <v>800</v>
      </c>
      <c r="U92" s="31">
        <v>800</v>
      </c>
      <c r="V92" s="31">
        <v>800</v>
      </c>
      <c r="W92" s="31">
        <v>800</v>
      </c>
      <c r="X92" s="31">
        <v>800</v>
      </c>
      <c r="Y92" s="30">
        <f t="shared" si="9"/>
        <v>9600</v>
      </c>
      <c r="Z92">
        <f>VLOOKUP(A92,справочник!$E$2:$F$322,2,FALSE)</f>
        <v>1</v>
      </c>
    </row>
    <row r="93" spans="1:26" hidden="1">
      <c r="A93" s="41">
        <f>VLOOKUP(B93,справочник!$B$2:$E$322,4,FALSE)</f>
        <v>254</v>
      </c>
      <c r="B93" t="str">
        <f t="shared" si="8"/>
        <v>267Ершова Виктория Львовна</v>
      </c>
      <c r="C93" s="1">
        <v>267</v>
      </c>
      <c r="D93" s="2" t="s">
        <v>86</v>
      </c>
      <c r="E93" s="1" t="s">
        <v>401</v>
      </c>
      <c r="F93" s="16">
        <v>40953</v>
      </c>
      <c r="G93" s="16">
        <v>40940</v>
      </c>
      <c r="H93" s="17">
        <f t="shared" si="12"/>
        <v>47</v>
      </c>
      <c r="I93" s="1">
        <f t="shared" si="11"/>
        <v>47000</v>
      </c>
      <c r="J93" s="17">
        <f>39000+5000</f>
        <v>44000</v>
      </c>
      <c r="K93" s="17"/>
      <c r="L93" s="30">
        <f t="shared" si="7"/>
        <v>3000</v>
      </c>
      <c r="M93" s="31">
        <v>800</v>
      </c>
      <c r="N93" s="31">
        <v>800</v>
      </c>
      <c r="O93" s="31">
        <v>800</v>
      </c>
      <c r="P93" s="31">
        <v>800</v>
      </c>
      <c r="Q93" s="31">
        <v>800</v>
      </c>
      <c r="R93" s="31">
        <v>800</v>
      </c>
      <c r="S93" s="31">
        <v>800</v>
      </c>
      <c r="T93" s="31">
        <v>800</v>
      </c>
      <c r="U93" s="31">
        <v>800</v>
      </c>
      <c r="V93" s="31">
        <v>800</v>
      </c>
      <c r="W93" s="31">
        <v>800</v>
      </c>
      <c r="X93" s="31">
        <v>800</v>
      </c>
      <c r="Y93" s="30">
        <f t="shared" si="9"/>
        <v>12600</v>
      </c>
      <c r="Z93">
        <f>VLOOKUP(A93,справочник!$E$2:$F$322,2,FALSE)</f>
        <v>0</v>
      </c>
    </row>
    <row r="94" spans="1:26" hidden="1">
      <c r="A94" s="41">
        <f>VLOOKUP(B94,справочник!$B$2:$E$322,4,FALSE)</f>
        <v>230</v>
      </c>
      <c r="B94" t="str">
        <f t="shared" si="8"/>
        <v>239Жарикова Светлана Юрьевна</v>
      </c>
      <c r="C94" s="1">
        <v>239</v>
      </c>
      <c r="D94" s="2" t="s">
        <v>87</v>
      </c>
      <c r="E94" s="5" t="s">
        <v>402</v>
      </c>
      <c r="F94" s="19">
        <v>41590</v>
      </c>
      <c r="G94" s="19">
        <v>41579</v>
      </c>
      <c r="H94" s="20">
        <f t="shared" si="12"/>
        <v>26</v>
      </c>
      <c r="I94" s="5">
        <f t="shared" si="11"/>
        <v>26000</v>
      </c>
      <c r="J94" s="20">
        <v>26000</v>
      </c>
      <c r="K94" s="20"/>
      <c r="L94" s="32">
        <f t="shared" si="7"/>
        <v>0</v>
      </c>
      <c r="M94" s="31">
        <v>800</v>
      </c>
      <c r="N94" s="31">
        <v>800</v>
      </c>
      <c r="O94" s="31">
        <v>800</v>
      </c>
      <c r="P94" s="31">
        <v>800</v>
      </c>
      <c r="Q94" s="31">
        <v>800</v>
      </c>
      <c r="R94" s="31">
        <v>800</v>
      </c>
      <c r="S94" s="31">
        <v>800</v>
      </c>
      <c r="T94" s="31">
        <v>800</v>
      </c>
      <c r="U94" s="31">
        <v>800</v>
      </c>
      <c r="V94" s="31">
        <v>800</v>
      </c>
      <c r="W94" s="31">
        <v>800</v>
      </c>
      <c r="X94" s="31">
        <v>800</v>
      </c>
      <c r="Y94" s="30">
        <f t="shared" si="9"/>
        <v>9600</v>
      </c>
      <c r="Z94">
        <f>VLOOKUP(A94,справочник!$E$2:$F$322,2,FALSE)</f>
        <v>1</v>
      </c>
    </row>
    <row r="95" spans="1:26" hidden="1">
      <c r="A95" s="41">
        <f>VLOOKUP(B95,справочник!$B$2:$E$322,4,FALSE)</f>
        <v>230</v>
      </c>
      <c r="B95" t="str">
        <f t="shared" si="8"/>
        <v>257Жарикова Светлана Юрьевна</v>
      </c>
      <c r="C95" s="1">
        <v>257</v>
      </c>
      <c r="D95" s="2" t="s">
        <v>87</v>
      </c>
      <c r="E95" s="5" t="s">
        <v>403</v>
      </c>
      <c r="F95" s="19">
        <v>41882</v>
      </c>
      <c r="G95" s="19">
        <v>41944</v>
      </c>
      <c r="H95" s="20">
        <f t="shared" si="12"/>
        <v>14</v>
      </c>
      <c r="I95" s="5">
        <f t="shared" si="11"/>
        <v>14000</v>
      </c>
      <c r="J95" s="20">
        <v>0</v>
      </c>
      <c r="K95" s="20">
        <v>4000</v>
      </c>
      <c r="L95" s="32">
        <f t="shared" si="7"/>
        <v>10000</v>
      </c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0">
        <f t="shared" si="9"/>
        <v>10000</v>
      </c>
      <c r="Z95">
        <f>VLOOKUP(A95,справочник!$E$2:$F$322,2,FALSE)</f>
        <v>1</v>
      </c>
    </row>
    <row r="96" spans="1:26" hidden="1">
      <c r="A96" s="41">
        <f>VLOOKUP(B96,справочник!$B$2:$E$322,4,FALSE)</f>
        <v>4</v>
      </c>
      <c r="B96" t="str">
        <f t="shared" si="8"/>
        <v>4Жигунов Юрий Александрович</v>
      </c>
      <c r="C96" s="1">
        <v>4</v>
      </c>
      <c r="D96" s="2" t="s">
        <v>88</v>
      </c>
      <c r="E96" s="1" t="s">
        <v>404</v>
      </c>
      <c r="F96" s="16">
        <v>41436</v>
      </c>
      <c r="G96" s="16">
        <v>41456</v>
      </c>
      <c r="H96" s="17">
        <f t="shared" si="12"/>
        <v>30</v>
      </c>
      <c r="I96" s="1">
        <f t="shared" si="11"/>
        <v>30000</v>
      </c>
      <c r="J96" s="17">
        <v>27000</v>
      </c>
      <c r="K96" s="17"/>
      <c r="L96" s="30">
        <f t="shared" ref="L96:L132" si="13">I96-J96-K96</f>
        <v>3000</v>
      </c>
      <c r="M96" s="31">
        <v>800</v>
      </c>
      <c r="N96" s="31">
        <v>800</v>
      </c>
      <c r="O96" s="31">
        <v>800</v>
      </c>
      <c r="P96" s="31">
        <v>800</v>
      </c>
      <c r="Q96" s="31">
        <v>800</v>
      </c>
      <c r="R96" s="31">
        <v>800</v>
      </c>
      <c r="S96" s="31">
        <v>800</v>
      </c>
      <c r="T96" s="31">
        <v>800</v>
      </c>
      <c r="U96" s="31">
        <v>800</v>
      </c>
      <c r="V96" s="31">
        <v>800</v>
      </c>
      <c r="W96" s="31">
        <v>800</v>
      </c>
      <c r="X96" s="31">
        <v>800</v>
      </c>
      <c r="Y96" s="30">
        <f t="shared" si="9"/>
        <v>12600</v>
      </c>
      <c r="Z96">
        <f>VLOOKUP(A96,справочник!$E$2:$F$322,2,FALSE)</f>
        <v>0</v>
      </c>
    </row>
    <row r="97" spans="1:26" hidden="1">
      <c r="A97" s="41">
        <f>VLOOKUP(B97,справочник!$B$2:$E$322,4,FALSE)</f>
        <v>213</v>
      </c>
      <c r="B97" t="str">
        <f t="shared" si="8"/>
        <v>222Жирная Татьяна Сергеевна</v>
      </c>
      <c r="C97" s="1">
        <v>222</v>
      </c>
      <c r="D97" s="2" t="s">
        <v>89</v>
      </c>
      <c r="E97" s="1" t="s">
        <v>405</v>
      </c>
      <c r="F97" s="16">
        <v>41766</v>
      </c>
      <c r="G97" s="16">
        <v>41791</v>
      </c>
      <c r="H97" s="17">
        <f t="shared" si="12"/>
        <v>19</v>
      </c>
      <c r="I97" s="1">
        <f t="shared" si="11"/>
        <v>19000</v>
      </c>
      <c r="J97" s="17">
        <v>500</v>
      </c>
      <c r="K97" s="17"/>
      <c r="L97" s="30">
        <f t="shared" si="13"/>
        <v>18500</v>
      </c>
      <c r="M97" s="31">
        <v>800</v>
      </c>
      <c r="N97" s="31">
        <v>800</v>
      </c>
      <c r="O97" s="31">
        <v>800</v>
      </c>
      <c r="P97" s="31">
        <v>800</v>
      </c>
      <c r="Q97" s="31">
        <v>800</v>
      </c>
      <c r="R97" s="31">
        <v>800</v>
      </c>
      <c r="S97" s="31">
        <v>800</v>
      </c>
      <c r="T97" s="31">
        <v>800</v>
      </c>
      <c r="U97" s="31">
        <v>800</v>
      </c>
      <c r="V97" s="31">
        <v>800</v>
      </c>
      <c r="W97" s="31">
        <v>800</v>
      </c>
      <c r="X97" s="31">
        <v>800</v>
      </c>
      <c r="Y97" s="30">
        <f t="shared" si="9"/>
        <v>28100</v>
      </c>
      <c r="Z97">
        <f>VLOOKUP(A97,справочник!$E$2:$F$322,2,FALSE)</f>
        <v>0</v>
      </c>
    </row>
    <row r="98" spans="1:26" hidden="1">
      <c r="A98" s="41">
        <f>VLOOKUP(B98,справочник!$B$2:$E$322,4,FALSE)</f>
        <v>127</v>
      </c>
      <c r="B98" t="str">
        <f t="shared" si="8"/>
        <v>132Жохова Елена Сергеевна</v>
      </c>
      <c r="C98" s="1">
        <v>132</v>
      </c>
      <c r="D98" s="2" t="s">
        <v>90</v>
      </c>
      <c r="E98" s="1" t="s">
        <v>406</v>
      </c>
      <c r="F98" s="16">
        <v>40701</v>
      </c>
      <c r="G98" s="16">
        <v>40695</v>
      </c>
      <c r="H98" s="17">
        <f t="shared" si="12"/>
        <v>55</v>
      </c>
      <c r="I98" s="1">
        <f t="shared" si="11"/>
        <v>55000</v>
      </c>
      <c r="J98" s="17">
        <f>36000+7000</f>
        <v>43000</v>
      </c>
      <c r="K98" s="17"/>
      <c r="L98" s="30">
        <v>0</v>
      </c>
      <c r="M98" s="31">
        <v>800</v>
      </c>
      <c r="N98" s="31">
        <v>800</v>
      </c>
      <c r="O98" s="31">
        <v>800</v>
      </c>
      <c r="P98" s="31">
        <v>800</v>
      </c>
      <c r="Q98" s="31">
        <v>800</v>
      </c>
      <c r="R98" s="31">
        <v>800</v>
      </c>
      <c r="S98" s="31">
        <v>800</v>
      </c>
      <c r="T98" s="31">
        <v>800</v>
      </c>
      <c r="U98" s="31">
        <v>800</v>
      </c>
      <c r="V98" s="31">
        <v>800</v>
      </c>
      <c r="W98" s="31">
        <v>800</v>
      </c>
      <c r="X98" s="31">
        <v>800</v>
      </c>
      <c r="Y98" s="30">
        <f t="shared" si="9"/>
        <v>9600</v>
      </c>
      <c r="Z98">
        <f>VLOOKUP(A98,справочник!$E$2:$F$322,2,FALSE)</f>
        <v>0</v>
      </c>
    </row>
    <row r="99" spans="1:26" hidden="1">
      <c r="A99" s="41">
        <f>VLOOKUP(B99,справочник!$B$2:$E$322,4,FALSE)</f>
        <v>66</v>
      </c>
      <c r="B99" t="str">
        <f t="shared" si="8"/>
        <v>68Заборская Светлана Анатольевна (Андрей)</v>
      </c>
      <c r="C99" s="1">
        <v>68</v>
      </c>
      <c r="D99" s="2" t="s">
        <v>91</v>
      </c>
      <c r="E99" s="1" t="s">
        <v>407</v>
      </c>
      <c r="F99" s="16">
        <v>41100</v>
      </c>
      <c r="G99" s="16">
        <v>41091</v>
      </c>
      <c r="H99" s="17">
        <f t="shared" si="12"/>
        <v>42</v>
      </c>
      <c r="I99" s="1">
        <f t="shared" si="11"/>
        <v>42000</v>
      </c>
      <c r="J99" s="17">
        <v>39780</v>
      </c>
      <c r="K99" s="17"/>
      <c r="L99" s="30">
        <f t="shared" si="13"/>
        <v>2220</v>
      </c>
      <c r="M99" s="31">
        <v>800</v>
      </c>
      <c r="N99" s="31">
        <v>800</v>
      </c>
      <c r="O99" s="31">
        <v>800</v>
      </c>
      <c r="P99" s="31">
        <v>800</v>
      </c>
      <c r="Q99" s="31">
        <v>800</v>
      </c>
      <c r="R99" s="31">
        <v>800</v>
      </c>
      <c r="S99" s="31">
        <v>800</v>
      </c>
      <c r="T99" s="31">
        <v>800</v>
      </c>
      <c r="U99" s="31">
        <v>800</v>
      </c>
      <c r="V99" s="31">
        <v>800</v>
      </c>
      <c r="W99" s="31">
        <v>800</v>
      </c>
      <c r="X99" s="31">
        <v>800</v>
      </c>
      <c r="Y99" s="30">
        <f t="shared" si="9"/>
        <v>11820</v>
      </c>
      <c r="Z99">
        <f>VLOOKUP(A99,справочник!$E$2:$F$322,2,FALSE)</f>
        <v>0</v>
      </c>
    </row>
    <row r="100" spans="1:26" hidden="1">
      <c r="A100" s="41">
        <f>VLOOKUP(B100,справочник!$B$2:$E$322,4,FALSE)</f>
        <v>36</v>
      </c>
      <c r="B100" t="str">
        <f t="shared" si="8"/>
        <v>36Закревская Марина Владимировна</v>
      </c>
      <c r="C100" s="1">
        <v>36</v>
      </c>
      <c r="D100" s="2" t="s">
        <v>92</v>
      </c>
      <c r="E100" s="1" t="s">
        <v>408</v>
      </c>
      <c r="F100" s="16">
        <v>40736</v>
      </c>
      <c r="G100" s="16">
        <v>40756</v>
      </c>
      <c r="H100" s="17">
        <f t="shared" si="12"/>
        <v>53</v>
      </c>
      <c r="I100" s="1">
        <f t="shared" si="11"/>
        <v>53000</v>
      </c>
      <c r="J100" s="17">
        <f>42000+1000</f>
        <v>43000</v>
      </c>
      <c r="K100" s="17"/>
      <c r="L100" s="30">
        <f t="shared" si="13"/>
        <v>10000</v>
      </c>
      <c r="M100" s="31">
        <v>800</v>
      </c>
      <c r="N100" s="31">
        <v>800</v>
      </c>
      <c r="O100" s="31">
        <v>800</v>
      </c>
      <c r="P100" s="31">
        <v>800</v>
      </c>
      <c r="Q100" s="31">
        <v>800</v>
      </c>
      <c r="R100" s="31">
        <v>800</v>
      </c>
      <c r="S100" s="31">
        <v>800</v>
      </c>
      <c r="T100" s="31">
        <v>800</v>
      </c>
      <c r="U100" s="31">
        <v>800</v>
      </c>
      <c r="V100" s="31">
        <v>800</v>
      </c>
      <c r="W100" s="31">
        <v>800</v>
      </c>
      <c r="X100" s="31">
        <v>800</v>
      </c>
      <c r="Y100" s="30">
        <f t="shared" si="9"/>
        <v>19600</v>
      </c>
      <c r="Z100">
        <f>VLOOKUP(A100,справочник!$E$2:$F$322,2,FALSE)</f>
        <v>0</v>
      </c>
    </row>
    <row r="101" spans="1:26" hidden="1">
      <c r="A101" s="41">
        <f>VLOOKUP(B101,справочник!$B$2:$E$322,4,FALSE)</f>
        <v>38</v>
      </c>
      <c r="B101" t="str">
        <f t="shared" si="8"/>
        <v>255Заручинский Вячеслав Владимирович</v>
      </c>
      <c r="C101" s="1">
        <v>255</v>
      </c>
      <c r="D101" s="2" t="s">
        <v>93</v>
      </c>
      <c r="E101" s="5" t="s">
        <v>409</v>
      </c>
      <c r="F101" s="19">
        <v>40770</v>
      </c>
      <c r="G101" s="19">
        <v>40787</v>
      </c>
      <c r="H101" s="20">
        <f t="shared" si="12"/>
        <v>52</v>
      </c>
      <c r="I101" s="5">
        <f t="shared" si="11"/>
        <v>52000</v>
      </c>
      <c r="J101" s="20">
        <f>5000+18000+29000</f>
        <v>52000</v>
      </c>
      <c r="K101" s="20"/>
      <c r="L101" s="32">
        <f t="shared" si="13"/>
        <v>0</v>
      </c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0">
        <f t="shared" si="9"/>
        <v>0</v>
      </c>
      <c r="Z101">
        <f>VLOOKUP(A101,справочник!$E$2:$F$322,2,FALSE)</f>
        <v>1</v>
      </c>
    </row>
    <row r="102" spans="1:26" hidden="1">
      <c r="A102" s="41">
        <f>VLOOKUP(B102,справочник!$B$2:$E$322,4,FALSE)</f>
        <v>38</v>
      </c>
      <c r="B102" t="str">
        <f t="shared" si="8"/>
        <v>38Заручинский Вячеслав Владимирович</v>
      </c>
      <c r="C102" s="1">
        <v>38</v>
      </c>
      <c r="D102" s="2" t="s">
        <v>93</v>
      </c>
      <c r="E102" s="5" t="s">
        <v>410</v>
      </c>
      <c r="F102" s="19">
        <v>41100</v>
      </c>
      <c r="G102" s="19">
        <v>41091</v>
      </c>
      <c r="H102" s="20">
        <f t="shared" si="12"/>
        <v>42</v>
      </c>
      <c r="I102" s="5">
        <f t="shared" si="11"/>
        <v>42000</v>
      </c>
      <c r="J102" s="20">
        <v>35000</v>
      </c>
      <c r="K102" s="20"/>
      <c r="L102" s="32">
        <f t="shared" si="13"/>
        <v>7000</v>
      </c>
      <c r="M102" s="31">
        <v>800</v>
      </c>
      <c r="N102" s="31">
        <v>800</v>
      </c>
      <c r="O102" s="31">
        <v>800</v>
      </c>
      <c r="P102" s="31">
        <v>800</v>
      </c>
      <c r="Q102" s="31">
        <v>800</v>
      </c>
      <c r="R102" s="31">
        <v>800</v>
      </c>
      <c r="S102" s="31">
        <v>800</v>
      </c>
      <c r="T102" s="31">
        <v>800</v>
      </c>
      <c r="U102" s="31">
        <v>800</v>
      </c>
      <c r="V102" s="31">
        <v>800</v>
      </c>
      <c r="W102" s="31">
        <v>800</v>
      </c>
      <c r="X102" s="31">
        <v>800</v>
      </c>
      <c r="Y102" s="30">
        <f t="shared" si="9"/>
        <v>16600</v>
      </c>
      <c r="Z102">
        <f>VLOOKUP(A102,справочник!$E$2:$F$322,2,FALSE)</f>
        <v>1</v>
      </c>
    </row>
    <row r="103" spans="1:26" hidden="1">
      <c r="A103" s="41">
        <f>VLOOKUP(B103,справочник!$B$2:$E$322,4,FALSE)</f>
        <v>12</v>
      </c>
      <c r="B103" t="str">
        <f t="shared" si="8"/>
        <v>12Захаренкова Светлана Евгеньевна</v>
      </c>
      <c r="C103" s="1">
        <v>12</v>
      </c>
      <c r="D103" s="2" t="s">
        <v>94</v>
      </c>
      <c r="E103" s="1" t="s">
        <v>411</v>
      </c>
      <c r="F103" s="16">
        <v>41414</v>
      </c>
      <c r="G103" s="16">
        <v>41426</v>
      </c>
      <c r="H103" s="17">
        <f t="shared" si="12"/>
        <v>31</v>
      </c>
      <c r="I103" s="1">
        <f t="shared" si="11"/>
        <v>31000</v>
      </c>
      <c r="J103" s="17">
        <v>5000</v>
      </c>
      <c r="K103" s="17"/>
      <c r="L103" s="30">
        <f t="shared" si="13"/>
        <v>26000</v>
      </c>
      <c r="M103" s="31">
        <v>800</v>
      </c>
      <c r="N103" s="31">
        <v>800</v>
      </c>
      <c r="O103" s="31">
        <v>800</v>
      </c>
      <c r="P103" s="31">
        <v>800</v>
      </c>
      <c r="Q103" s="31">
        <v>800</v>
      </c>
      <c r="R103" s="31">
        <v>800</v>
      </c>
      <c r="S103" s="31">
        <v>800</v>
      </c>
      <c r="T103" s="31">
        <v>800</v>
      </c>
      <c r="U103" s="31">
        <v>800</v>
      </c>
      <c r="V103" s="31">
        <v>800</v>
      </c>
      <c r="W103" s="31">
        <v>800</v>
      </c>
      <c r="X103" s="31">
        <v>800</v>
      </c>
      <c r="Y103" s="30">
        <f t="shared" si="9"/>
        <v>35600</v>
      </c>
      <c r="Z103">
        <f>VLOOKUP(A103,справочник!$E$2:$F$322,2,FALSE)</f>
        <v>0</v>
      </c>
    </row>
    <row r="104" spans="1:26" hidden="1">
      <c r="A104" s="41">
        <f>VLOOKUP(B104,справочник!$B$2:$E$322,4,FALSE)</f>
        <v>63</v>
      </c>
      <c r="B104" t="str">
        <f t="shared" si="8"/>
        <v>65Захаров Михаил Сергеевич</v>
      </c>
      <c r="C104" s="1">
        <v>65</v>
      </c>
      <c r="D104" s="2" t="s">
        <v>95</v>
      </c>
      <c r="E104" s="1" t="s">
        <v>412</v>
      </c>
      <c r="F104" s="16">
        <v>41513</v>
      </c>
      <c r="G104" s="16">
        <v>41518</v>
      </c>
      <c r="H104" s="17">
        <f t="shared" si="12"/>
        <v>28</v>
      </c>
      <c r="I104" s="1">
        <f t="shared" si="11"/>
        <v>28000</v>
      </c>
      <c r="J104" s="17">
        <v>0</v>
      </c>
      <c r="K104" s="17"/>
      <c r="L104" s="30">
        <f t="shared" si="13"/>
        <v>28000</v>
      </c>
      <c r="M104" s="31">
        <v>800</v>
      </c>
      <c r="N104" s="31">
        <v>800</v>
      </c>
      <c r="O104" s="31">
        <v>800</v>
      </c>
      <c r="P104" s="31">
        <v>800</v>
      </c>
      <c r="Q104" s="31">
        <v>800</v>
      </c>
      <c r="R104" s="31">
        <v>800</v>
      </c>
      <c r="S104" s="31">
        <v>800</v>
      </c>
      <c r="T104" s="31">
        <v>800</v>
      </c>
      <c r="U104" s="31">
        <v>800</v>
      </c>
      <c r="V104" s="31">
        <v>800</v>
      </c>
      <c r="W104" s="31">
        <v>800</v>
      </c>
      <c r="X104" s="31">
        <v>800</v>
      </c>
      <c r="Y104" s="30">
        <f t="shared" si="9"/>
        <v>37600</v>
      </c>
      <c r="Z104">
        <f>VLOOKUP(A104,справочник!$E$2:$F$322,2,FALSE)</f>
        <v>0</v>
      </c>
    </row>
    <row r="105" spans="1:26" hidden="1">
      <c r="A105" s="41">
        <f>VLOOKUP(B105,справочник!$B$2:$E$322,4,FALSE)</f>
        <v>16</v>
      </c>
      <c r="B105" t="str">
        <f t="shared" si="8"/>
        <v>16Захарова Людмила Захаровна</v>
      </c>
      <c r="C105" s="1">
        <v>16</v>
      </c>
      <c r="D105" s="2" t="s">
        <v>96</v>
      </c>
      <c r="E105" s="1" t="s">
        <v>413</v>
      </c>
      <c r="F105" s="16">
        <v>41254</v>
      </c>
      <c r="G105" s="16">
        <v>41275</v>
      </c>
      <c r="H105" s="17">
        <f t="shared" si="12"/>
        <v>36</v>
      </c>
      <c r="I105" s="1">
        <f t="shared" si="11"/>
        <v>36000</v>
      </c>
      <c r="J105" s="17">
        <v>36000</v>
      </c>
      <c r="K105" s="17"/>
      <c r="L105" s="30">
        <f t="shared" si="13"/>
        <v>0</v>
      </c>
      <c r="M105" s="31">
        <v>800</v>
      </c>
      <c r="N105" s="31">
        <v>800</v>
      </c>
      <c r="O105" s="31">
        <v>800</v>
      </c>
      <c r="P105" s="31">
        <v>800</v>
      </c>
      <c r="Q105" s="31">
        <v>800</v>
      </c>
      <c r="R105" s="31">
        <v>800</v>
      </c>
      <c r="S105" s="31">
        <v>800</v>
      </c>
      <c r="T105" s="31">
        <v>800</v>
      </c>
      <c r="U105" s="31">
        <v>800</v>
      </c>
      <c r="V105" s="31">
        <v>800</v>
      </c>
      <c r="W105" s="31">
        <v>800</v>
      </c>
      <c r="X105" s="31">
        <v>800</v>
      </c>
      <c r="Y105" s="30">
        <f t="shared" si="9"/>
        <v>9600</v>
      </c>
      <c r="Z105">
        <f>VLOOKUP(A105,справочник!$E$2:$F$322,2,FALSE)</f>
        <v>0</v>
      </c>
    </row>
    <row r="106" spans="1:26" hidden="1">
      <c r="A106" s="41">
        <f>VLOOKUP(B106,справочник!$B$2:$E$322,4,FALSE)</f>
        <v>121</v>
      </c>
      <c r="B106" t="str">
        <f t="shared" si="8"/>
        <v>126Зиннатов Рафаэль Шакурович</v>
      </c>
      <c r="C106" s="1">
        <v>126</v>
      </c>
      <c r="D106" s="2" t="s">
        <v>97</v>
      </c>
      <c r="E106" s="1" t="s">
        <v>414</v>
      </c>
      <c r="F106" s="16">
        <v>41190</v>
      </c>
      <c r="G106" s="16">
        <v>41214</v>
      </c>
      <c r="H106" s="17">
        <f t="shared" si="12"/>
        <v>38</v>
      </c>
      <c r="I106" s="1">
        <f t="shared" si="11"/>
        <v>38000</v>
      </c>
      <c r="J106" s="17">
        <v>32000</v>
      </c>
      <c r="K106" s="17"/>
      <c r="L106" s="30">
        <f t="shared" si="13"/>
        <v>6000</v>
      </c>
      <c r="M106" s="31">
        <v>800</v>
      </c>
      <c r="N106" s="31">
        <v>800</v>
      </c>
      <c r="O106" s="31">
        <v>800</v>
      </c>
      <c r="P106" s="31">
        <v>800</v>
      </c>
      <c r="Q106" s="31">
        <v>800</v>
      </c>
      <c r="R106" s="31">
        <v>800</v>
      </c>
      <c r="S106" s="31">
        <v>800</v>
      </c>
      <c r="T106" s="31">
        <v>800</v>
      </c>
      <c r="U106" s="31">
        <v>800</v>
      </c>
      <c r="V106" s="31">
        <v>800</v>
      </c>
      <c r="W106" s="31">
        <v>800</v>
      </c>
      <c r="X106" s="31">
        <v>800</v>
      </c>
      <c r="Y106" s="30">
        <f t="shared" si="9"/>
        <v>15600</v>
      </c>
      <c r="Z106">
        <f>VLOOKUP(A106,справочник!$E$2:$F$322,2,FALSE)</f>
        <v>0</v>
      </c>
    </row>
    <row r="107" spans="1:26" hidden="1">
      <c r="A107" s="41">
        <f>VLOOKUP(B107,справочник!$B$2:$E$322,4,FALSE)</f>
        <v>156</v>
      </c>
      <c r="B107" t="str">
        <f t="shared" si="8"/>
        <v>164Иваненко Петр Олегович</v>
      </c>
      <c r="C107" s="1">
        <v>164</v>
      </c>
      <c r="D107" s="2" t="s">
        <v>98</v>
      </c>
      <c r="E107" s="1" t="s">
        <v>415</v>
      </c>
      <c r="F107" s="16">
        <v>41394</v>
      </c>
      <c r="G107" s="16">
        <v>41426</v>
      </c>
      <c r="H107" s="17">
        <f t="shared" si="12"/>
        <v>31</v>
      </c>
      <c r="I107" s="1">
        <f t="shared" si="11"/>
        <v>31000</v>
      </c>
      <c r="J107" s="17">
        <v>28000</v>
      </c>
      <c r="K107" s="17"/>
      <c r="L107" s="30">
        <f t="shared" si="13"/>
        <v>3000</v>
      </c>
      <c r="M107" s="31">
        <v>800</v>
      </c>
      <c r="N107" s="31">
        <v>800</v>
      </c>
      <c r="O107" s="31">
        <v>800</v>
      </c>
      <c r="P107" s="31">
        <v>800</v>
      </c>
      <c r="Q107" s="31">
        <v>800</v>
      </c>
      <c r="R107" s="31">
        <v>800</v>
      </c>
      <c r="S107" s="31">
        <v>800</v>
      </c>
      <c r="T107" s="31">
        <v>800</v>
      </c>
      <c r="U107" s="31">
        <v>800</v>
      </c>
      <c r="V107" s="31">
        <v>800</v>
      </c>
      <c r="W107" s="31">
        <v>800</v>
      </c>
      <c r="X107" s="31">
        <v>800</v>
      </c>
      <c r="Y107" s="30">
        <f t="shared" si="9"/>
        <v>12600</v>
      </c>
      <c r="Z107">
        <f>VLOOKUP(A107,справочник!$E$2:$F$322,2,FALSE)</f>
        <v>0</v>
      </c>
    </row>
    <row r="108" spans="1:26" hidden="1">
      <c r="A108" s="41">
        <f>VLOOKUP(B108,справочник!$B$2:$E$322,4,FALSE)</f>
        <v>5</v>
      </c>
      <c r="B108" t="str">
        <f t="shared" si="8"/>
        <v>5Иванов Владимир Николаевич</v>
      </c>
      <c r="C108" s="1">
        <v>5</v>
      </c>
      <c r="D108" s="2" t="s">
        <v>99</v>
      </c>
      <c r="E108" s="1" t="s">
        <v>416</v>
      </c>
      <c r="F108" s="16">
        <v>41071</v>
      </c>
      <c r="G108" s="16">
        <v>41061</v>
      </c>
      <c r="H108" s="17">
        <f t="shared" si="12"/>
        <v>43</v>
      </c>
      <c r="I108" s="1">
        <f t="shared" si="11"/>
        <v>43000</v>
      </c>
      <c r="J108" s="17">
        <f>32000</f>
        <v>32000</v>
      </c>
      <c r="K108" s="17"/>
      <c r="L108" s="30">
        <f t="shared" si="13"/>
        <v>11000</v>
      </c>
      <c r="M108" s="31">
        <v>800</v>
      </c>
      <c r="N108" s="31">
        <v>800</v>
      </c>
      <c r="O108" s="31">
        <v>800</v>
      </c>
      <c r="P108" s="31">
        <v>800</v>
      </c>
      <c r="Q108" s="31">
        <v>800</v>
      </c>
      <c r="R108" s="31">
        <v>800</v>
      </c>
      <c r="S108" s="31">
        <v>800</v>
      </c>
      <c r="T108" s="31">
        <v>800</v>
      </c>
      <c r="U108" s="31">
        <v>800</v>
      </c>
      <c r="V108" s="31">
        <v>800</v>
      </c>
      <c r="W108" s="31">
        <v>800</v>
      </c>
      <c r="X108" s="31">
        <v>800</v>
      </c>
      <c r="Y108" s="30">
        <f t="shared" si="9"/>
        <v>20600</v>
      </c>
      <c r="Z108">
        <f>VLOOKUP(A108,справочник!$E$2:$F$322,2,FALSE)</f>
        <v>0</v>
      </c>
    </row>
    <row r="109" spans="1:26" hidden="1">
      <c r="A109" s="41">
        <f>VLOOKUP(B109,справочник!$B$2:$E$322,4,FALSE)</f>
        <v>214</v>
      </c>
      <c r="B109" t="str">
        <f t="shared" si="8"/>
        <v>223Иванов Денис Сильвестрович</v>
      </c>
      <c r="C109" s="1">
        <v>223</v>
      </c>
      <c r="D109" s="2" t="s">
        <v>100</v>
      </c>
      <c r="E109" s="1" t="s">
        <v>417</v>
      </c>
      <c r="F109" s="16">
        <v>41807</v>
      </c>
      <c r="G109" s="16">
        <v>41791</v>
      </c>
      <c r="H109" s="17">
        <f t="shared" si="12"/>
        <v>19</v>
      </c>
      <c r="I109" s="1">
        <f t="shared" si="11"/>
        <v>19000</v>
      </c>
      <c r="J109" s="17">
        <v>19000</v>
      </c>
      <c r="K109" s="17"/>
      <c r="L109" s="30">
        <f t="shared" si="13"/>
        <v>0</v>
      </c>
      <c r="M109" s="31">
        <v>800</v>
      </c>
      <c r="N109" s="31">
        <v>800</v>
      </c>
      <c r="O109" s="31">
        <v>800</v>
      </c>
      <c r="P109" s="31">
        <v>800</v>
      </c>
      <c r="Q109" s="31">
        <v>800</v>
      </c>
      <c r="R109" s="31">
        <v>800</v>
      </c>
      <c r="S109" s="31">
        <v>800</v>
      </c>
      <c r="T109" s="31">
        <v>800</v>
      </c>
      <c r="U109" s="31">
        <v>800</v>
      </c>
      <c r="V109" s="31">
        <v>800</v>
      </c>
      <c r="W109" s="31">
        <v>800</v>
      </c>
      <c r="X109" s="31">
        <v>800</v>
      </c>
      <c r="Y109" s="30">
        <f t="shared" si="9"/>
        <v>9600</v>
      </c>
      <c r="Z109">
        <f>VLOOKUP(A109,справочник!$E$2:$F$322,2,FALSE)</f>
        <v>0</v>
      </c>
    </row>
    <row r="110" spans="1:26" hidden="1">
      <c r="A110" s="41">
        <f>VLOOKUP(B110,справочник!$B$2:$E$322,4,FALSE)</f>
        <v>279</v>
      </c>
      <c r="B110" t="str">
        <f t="shared" si="8"/>
        <v>291Иванова Светлана Сергеевна</v>
      </c>
      <c r="C110" s="1">
        <v>291</v>
      </c>
      <c r="D110" s="2" t="s">
        <v>101</v>
      </c>
      <c r="E110" s="1" t="s">
        <v>418</v>
      </c>
      <c r="F110" s="16">
        <v>40890</v>
      </c>
      <c r="G110" s="16">
        <v>40878</v>
      </c>
      <c r="H110" s="17">
        <f t="shared" si="12"/>
        <v>49</v>
      </c>
      <c r="I110" s="1">
        <f t="shared" si="11"/>
        <v>49000</v>
      </c>
      <c r="J110" s="17">
        <f>42000+1000</f>
        <v>43000</v>
      </c>
      <c r="K110" s="17"/>
      <c r="L110" s="30">
        <f t="shared" si="13"/>
        <v>6000</v>
      </c>
      <c r="M110" s="31">
        <v>800</v>
      </c>
      <c r="N110" s="31">
        <v>800</v>
      </c>
      <c r="O110" s="31">
        <v>800</v>
      </c>
      <c r="P110" s="31">
        <v>800</v>
      </c>
      <c r="Q110" s="31">
        <v>800</v>
      </c>
      <c r="R110" s="31">
        <v>800</v>
      </c>
      <c r="S110" s="31">
        <v>800</v>
      </c>
      <c r="T110" s="31">
        <v>800</v>
      </c>
      <c r="U110" s="31">
        <v>800</v>
      </c>
      <c r="V110" s="31">
        <v>800</v>
      </c>
      <c r="W110" s="31">
        <v>800</v>
      </c>
      <c r="X110" s="31">
        <v>800</v>
      </c>
      <c r="Y110" s="30">
        <f t="shared" si="9"/>
        <v>15600</v>
      </c>
      <c r="Z110">
        <f>VLOOKUP(A110,справочник!$E$2:$F$322,2,FALSE)</f>
        <v>0</v>
      </c>
    </row>
    <row r="111" spans="1:26" hidden="1">
      <c r="A111" s="41">
        <f>VLOOKUP(B111,справочник!$B$2:$E$322,4,FALSE)</f>
        <v>197</v>
      </c>
      <c r="B111" t="str">
        <f t="shared" si="8"/>
        <v>205Иванова Татьяна Викторовна</v>
      </c>
      <c r="C111" s="1">
        <v>205</v>
      </c>
      <c r="D111" s="2" t="s">
        <v>102</v>
      </c>
      <c r="E111" s="1" t="s">
        <v>419</v>
      </c>
      <c r="F111" s="16">
        <v>40862</v>
      </c>
      <c r="G111" s="16">
        <v>40848</v>
      </c>
      <c r="H111" s="17">
        <f t="shared" si="12"/>
        <v>50</v>
      </c>
      <c r="I111" s="1">
        <f t="shared" si="11"/>
        <v>50000</v>
      </c>
      <c r="J111" s="17">
        <v>49000</v>
      </c>
      <c r="K111" s="17"/>
      <c r="L111" s="30">
        <f t="shared" si="13"/>
        <v>1000</v>
      </c>
      <c r="M111" s="31">
        <v>800</v>
      </c>
      <c r="N111" s="31">
        <v>800</v>
      </c>
      <c r="O111" s="31">
        <v>800</v>
      </c>
      <c r="P111" s="31">
        <v>800</v>
      </c>
      <c r="Q111" s="31">
        <v>800</v>
      </c>
      <c r="R111" s="31">
        <v>800</v>
      </c>
      <c r="S111" s="31">
        <v>800</v>
      </c>
      <c r="T111" s="31">
        <v>800</v>
      </c>
      <c r="U111" s="31">
        <v>800</v>
      </c>
      <c r="V111" s="31">
        <v>800</v>
      </c>
      <c r="W111" s="31">
        <v>800</v>
      </c>
      <c r="X111" s="31">
        <v>800</v>
      </c>
      <c r="Y111" s="30">
        <f t="shared" si="9"/>
        <v>10600</v>
      </c>
      <c r="Z111">
        <f>VLOOKUP(A111,справочник!$E$2:$F$322,2,FALSE)</f>
        <v>0</v>
      </c>
    </row>
    <row r="112" spans="1:26" hidden="1">
      <c r="A112" s="41">
        <f>VLOOKUP(B112,справочник!$B$2:$E$322,4,FALSE)</f>
        <v>295</v>
      </c>
      <c r="B112" t="str">
        <f t="shared" si="8"/>
        <v>310Измайлов Михаил Михайлович</v>
      </c>
      <c r="C112" s="1">
        <v>310</v>
      </c>
      <c r="D112" s="2" t="s">
        <v>103</v>
      </c>
      <c r="E112" s="1" t="s">
        <v>420</v>
      </c>
      <c r="F112" s="16">
        <v>41994</v>
      </c>
      <c r="G112" s="16">
        <v>42005</v>
      </c>
      <c r="H112" s="17">
        <f t="shared" si="12"/>
        <v>12</v>
      </c>
      <c r="I112" s="1">
        <f t="shared" si="11"/>
        <v>12000</v>
      </c>
      <c r="J112" s="17"/>
      <c r="K112" s="17"/>
      <c r="L112" s="30">
        <f t="shared" si="13"/>
        <v>12000</v>
      </c>
      <c r="M112" s="31">
        <v>800</v>
      </c>
      <c r="N112" s="31">
        <v>800</v>
      </c>
      <c r="O112" s="31">
        <v>800</v>
      </c>
      <c r="P112" s="31">
        <v>800</v>
      </c>
      <c r="Q112" s="31">
        <v>800</v>
      </c>
      <c r="R112" s="31">
        <v>800</v>
      </c>
      <c r="S112" s="31">
        <v>800</v>
      </c>
      <c r="T112" s="31">
        <v>800</v>
      </c>
      <c r="U112" s="31">
        <v>800</v>
      </c>
      <c r="V112" s="31">
        <v>800</v>
      </c>
      <c r="W112" s="31">
        <v>800</v>
      </c>
      <c r="X112" s="31">
        <v>800</v>
      </c>
      <c r="Y112" s="30">
        <f t="shared" si="9"/>
        <v>21600</v>
      </c>
      <c r="Z112">
        <f>VLOOKUP(A112,справочник!$E$2:$F$322,2,FALSE)</f>
        <v>0</v>
      </c>
    </row>
    <row r="113" spans="1:26" hidden="1">
      <c r="A113" s="41">
        <f>VLOOKUP(B113,справочник!$B$2:$E$322,4,FALSE)</f>
        <v>196</v>
      </c>
      <c r="B113" t="str">
        <f t="shared" si="8"/>
        <v>204Казарин Сергей Викторович</v>
      </c>
      <c r="C113" s="1">
        <v>204</v>
      </c>
      <c r="D113" s="2" t="s">
        <v>104</v>
      </c>
      <c r="E113" s="1" t="s">
        <v>421</v>
      </c>
      <c r="F113" s="16">
        <v>40945</v>
      </c>
      <c r="G113" s="16">
        <v>40969</v>
      </c>
      <c r="H113" s="17">
        <f t="shared" si="12"/>
        <v>46</v>
      </c>
      <c r="I113" s="1">
        <f t="shared" si="11"/>
        <v>46000</v>
      </c>
      <c r="J113" s="17">
        <f>46000</f>
        <v>46000</v>
      </c>
      <c r="K113" s="17"/>
      <c r="L113" s="30">
        <f t="shared" si="13"/>
        <v>0</v>
      </c>
      <c r="M113" s="31">
        <v>800</v>
      </c>
      <c r="N113" s="31">
        <v>800</v>
      </c>
      <c r="O113" s="31">
        <v>800</v>
      </c>
      <c r="P113" s="31">
        <v>800</v>
      </c>
      <c r="Q113" s="31">
        <v>800</v>
      </c>
      <c r="R113" s="31">
        <v>800</v>
      </c>
      <c r="S113" s="31">
        <v>800</v>
      </c>
      <c r="T113" s="31">
        <v>800</v>
      </c>
      <c r="U113" s="31">
        <v>800</v>
      </c>
      <c r="V113" s="31">
        <v>800</v>
      </c>
      <c r="W113" s="31">
        <v>800</v>
      </c>
      <c r="X113" s="31">
        <v>800</v>
      </c>
      <c r="Y113" s="30">
        <f t="shared" si="9"/>
        <v>9600</v>
      </c>
      <c r="Z113">
        <f>VLOOKUP(A113,справочник!$E$2:$F$322,2,FALSE)</f>
        <v>0</v>
      </c>
    </row>
    <row r="114" spans="1:26" ht="24" hidden="1">
      <c r="A114" s="41">
        <f>VLOOKUP(B114,справочник!$B$2:$E$322,4,FALSE)</f>
        <v>124</v>
      </c>
      <c r="B114" t="str">
        <f t="shared" si="8"/>
        <v>129Казымов Горхмаз Гамид/Лавренчук Александр Владиславович</v>
      </c>
      <c r="C114" s="1">
        <v>129</v>
      </c>
      <c r="D114" s="2" t="s">
        <v>105</v>
      </c>
      <c r="E114" s="1" t="s">
        <v>422</v>
      </c>
      <c r="F114" s="16">
        <v>41580</v>
      </c>
      <c r="G114" s="16">
        <v>41609</v>
      </c>
      <c r="H114" s="17">
        <f t="shared" si="12"/>
        <v>25</v>
      </c>
      <c r="I114" s="1">
        <f t="shared" si="11"/>
        <v>25000</v>
      </c>
      <c r="J114" s="17">
        <f>5000+1500+5000</f>
        <v>11500</v>
      </c>
      <c r="K114" s="17"/>
      <c r="L114" s="30">
        <f t="shared" si="13"/>
        <v>13500</v>
      </c>
      <c r="M114" s="31">
        <v>800</v>
      </c>
      <c r="N114" s="31">
        <v>800</v>
      </c>
      <c r="O114" s="31">
        <v>800</v>
      </c>
      <c r="P114" s="31">
        <v>800</v>
      </c>
      <c r="Q114" s="31">
        <v>800</v>
      </c>
      <c r="R114" s="31">
        <v>800</v>
      </c>
      <c r="S114" s="31">
        <v>800</v>
      </c>
      <c r="T114" s="31">
        <v>800</v>
      </c>
      <c r="U114" s="31">
        <v>800</v>
      </c>
      <c r="V114" s="31">
        <v>800</v>
      </c>
      <c r="W114" s="31">
        <v>800</v>
      </c>
      <c r="X114" s="31">
        <v>800</v>
      </c>
      <c r="Y114" s="30">
        <f t="shared" si="9"/>
        <v>23100</v>
      </c>
      <c r="Z114">
        <f>VLOOKUP(A114,справочник!$E$2:$F$322,2,FALSE)</f>
        <v>0</v>
      </c>
    </row>
    <row r="115" spans="1:26" hidden="1">
      <c r="A115" s="41">
        <f>VLOOKUP(B115,справочник!$B$2:$E$322,4,FALSE)</f>
        <v>250</v>
      </c>
      <c r="B115" t="str">
        <f t="shared" si="8"/>
        <v>261Каляникова Наталья Сергеевна</v>
      </c>
      <c r="C115" s="1">
        <v>261</v>
      </c>
      <c r="D115" s="2" t="s">
        <v>106</v>
      </c>
      <c r="E115" s="1" t="s">
        <v>423</v>
      </c>
      <c r="F115" s="16">
        <v>41498</v>
      </c>
      <c r="G115" s="16">
        <v>41518</v>
      </c>
      <c r="H115" s="17">
        <f t="shared" si="12"/>
        <v>28</v>
      </c>
      <c r="I115" s="1">
        <f t="shared" si="11"/>
        <v>28000</v>
      </c>
      <c r="J115" s="17">
        <v>13000</v>
      </c>
      <c r="K115" s="17">
        <v>1000</v>
      </c>
      <c r="L115" s="30">
        <f t="shared" si="13"/>
        <v>14000</v>
      </c>
      <c r="M115" s="31">
        <v>800</v>
      </c>
      <c r="N115" s="31">
        <v>800</v>
      </c>
      <c r="O115" s="31">
        <v>800</v>
      </c>
      <c r="P115" s="31">
        <v>800</v>
      </c>
      <c r="Q115" s="31">
        <v>800</v>
      </c>
      <c r="R115" s="31">
        <v>800</v>
      </c>
      <c r="S115" s="31">
        <v>800</v>
      </c>
      <c r="T115" s="31">
        <v>800</v>
      </c>
      <c r="U115" s="31">
        <v>800</v>
      </c>
      <c r="V115" s="31">
        <v>800</v>
      </c>
      <c r="W115" s="31">
        <v>800</v>
      </c>
      <c r="X115" s="31">
        <v>800</v>
      </c>
      <c r="Y115" s="30">
        <f t="shared" si="9"/>
        <v>23600</v>
      </c>
      <c r="Z115">
        <f>VLOOKUP(A115,справочник!$E$2:$F$322,2,FALSE)</f>
        <v>0</v>
      </c>
    </row>
    <row r="116" spans="1:26" hidden="1">
      <c r="A116" s="41">
        <f>VLOOKUP(B116,справочник!$B$2:$E$322,4,FALSE)</f>
        <v>153</v>
      </c>
      <c r="B116" t="str">
        <f t="shared" si="8"/>
        <v>161Канышкина Юлия Юрьевна</v>
      </c>
      <c r="C116" s="1">
        <v>161</v>
      </c>
      <c r="D116" s="2" t="s">
        <v>107</v>
      </c>
      <c r="E116" s="1" t="s">
        <v>424</v>
      </c>
      <c r="F116" s="16">
        <v>40994</v>
      </c>
      <c r="G116" s="16">
        <v>41000</v>
      </c>
      <c r="H116" s="17">
        <f t="shared" si="12"/>
        <v>45</v>
      </c>
      <c r="I116" s="1">
        <f t="shared" si="11"/>
        <v>45000</v>
      </c>
      <c r="J116" s="17">
        <v>41000</v>
      </c>
      <c r="K116" s="17"/>
      <c r="L116" s="30">
        <f t="shared" si="13"/>
        <v>4000</v>
      </c>
      <c r="M116" s="31">
        <v>800</v>
      </c>
      <c r="N116" s="31">
        <v>800</v>
      </c>
      <c r="O116" s="31">
        <v>800</v>
      </c>
      <c r="P116" s="31">
        <v>800</v>
      </c>
      <c r="Q116" s="31">
        <v>800</v>
      </c>
      <c r="R116" s="31">
        <v>800</v>
      </c>
      <c r="S116" s="31">
        <v>800</v>
      </c>
      <c r="T116" s="31">
        <v>800</v>
      </c>
      <c r="U116" s="31">
        <v>800</v>
      </c>
      <c r="V116" s="31">
        <v>800</v>
      </c>
      <c r="W116" s="31">
        <v>800</v>
      </c>
      <c r="X116" s="31">
        <v>800</v>
      </c>
      <c r="Y116" s="30">
        <f t="shared" si="9"/>
        <v>13600</v>
      </c>
      <c r="Z116">
        <f>VLOOKUP(A116,справочник!$E$2:$F$322,2,FALSE)</f>
        <v>0</v>
      </c>
    </row>
    <row r="117" spans="1:26" hidden="1">
      <c r="A117" s="41">
        <f>VLOOKUP(B117,справочник!$B$2:$E$322,4,FALSE)</f>
        <v>106</v>
      </c>
      <c r="B117" t="str">
        <f t="shared" si="8"/>
        <v>111Карпекина Лилия Рафаэльевна</v>
      </c>
      <c r="C117" s="1">
        <v>111</v>
      </c>
      <c r="D117" s="2" t="s">
        <v>108</v>
      </c>
      <c r="E117" s="1" t="s">
        <v>425</v>
      </c>
      <c r="F117" s="16">
        <v>41463</v>
      </c>
      <c r="G117" s="16">
        <v>41282</v>
      </c>
      <c r="H117" s="17">
        <f t="shared" si="12"/>
        <v>36</v>
      </c>
      <c r="I117" s="1">
        <f t="shared" si="11"/>
        <v>36000</v>
      </c>
      <c r="J117" s="17">
        <v>1000</v>
      </c>
      <c r="K117" s="17"/>
      <c r="L117" s="30">
        <f t="shared" si="13"/>
        <v>35000</v>
      </c>
      <c r="M117" s="31">
        <v>800</v>
      </c>
      <c r="N117" s="31">
        <v>800</v>
      </c>
      <c r="O117" s="31">
        <v>800</v>
      </c>
      <c r="P117" s="31">
        <v>800</v>
      </c>
      <c r="Q117" s="31">
        <v>800</v>
      </c>
      <c r="R117" s="31">
        <v>800</v>
      </c>
      <c r="S117" s="31">
        <v>800</v>
      </c>
      <c r="T117" s="31">
        <v>800</v>
      </c>
      <c r="U117" s="31">
        <v>800</v>
      </c>
      <c r="V117" s="31">
        <v>800</v>
      </c>
      <c r="W117" s="31">
        <v>800</v>
      </c>
      <c r="X117" s="31">
        <v>800</v>
      </c>
      <c r="Y117" s="30">
        <f t="shared" si="9"/>
        <v>44600</v>
      </c>
      <c r="Z117">
        <f>VLOOKUP(A117,справочник!$E$2:$F$322,2,FALSE)</f>
        <v>0</v>
      </c>
    </row>
    <row r="118" spans="1:26" hidden="1">
      <c r="A118" s="41">
        <f>VLOOKUP(B118,справочник!$B$2:$E$322,4,FALSE)</f>
        <v>222</v>
      </c>
      <c r="B118" t="str">
        <f t="shared" si="8"/>
        <v>231Карпова Елена Витальевна</v>
      </c>
      <c r="C118" s="1">
        <v>231</v>
      </c>
      <c r="D118" s="2" t="s">
        <v>109</v>
      </c>
      <c r="E118" s="1" t="s">
        <v>426</v>
      </c>
      <c r="F118" s="16">
        <v>41429</v>
      </c>
      <c r="G118" s="16">
        <v>41456</v>
      </c>
      <c r="H118" s="17">
        <f t="shared" si="12"/>
        <v>30</v>
      </c>
      <c r="I118" s="1">
        <f t="shared" si="11"/>
        <v>30000</v>
      </c>
      <c r="J118" s="17">
        <v>25000</v>
      </c>
      <c r="K118" s="17">
        <v>5000</v>
      </c>
      <c r="L118" s="30">
        <f t="shared" si="13"/>
        <v>0</v>
      </c>
      <c r="M118" s="31">
        <v>800</v>
      </c>
      <c r="N118" s="31">
        <v>800</v>
      </c>
      <c r="O118" s="31">
        <v>800</v>
      </c>
      <c r="P118" s="31">
        <v>800</v>
      </c>
      <c r="Q118" s="31">
        <v>800</v>
      </c>
      <c r="R118" s="31">
        <v>800</v>
      </c>
      <c r="S118" s="31">
        <v>800</v>
      </c>
      <c r="T118" s="31">
        <v>800</v>
      </c>
      <c r="U118" s="31">
        <v>800</v>
      </c>
      <c r="V118" s="31">
        <v>800</v>
      </c>
      <c r="W118" s="31">
        <v>800</v>
      </c>
      <c r="X118" s="31">
        <v>800</v>
      </c>
      <c r="Y118" s="30">
        <f t="shared" si="9"/>
        <v>9600</v>
      </c>
      <c r="Z118">
        <f>VLOOKUP(A118,справочник!$E$2:$F$322,2,FALSE)</f>
        <v>0</v>
      </c>
    </row>
    <row r="119" spans="1:26" hidden="1">
      <c r="A119" s="41">
        <f>VLOOKUP(B119,справочник!$B$2:$E$322,4,FALSE)</f>
        <v>208</v>
      </c>
      <c r="B119" t="str">
        <f t="shared" si="8"/>
        <v>218Катушкин Роман Юрьевич</v>
      </c>
      <c r="C119" s="1">
        <v>218</v>
      </c>
      <c r="D119" s="2" t="s">
        <v>110</v>
      </c>
      <c r="E119" s="1" t="s">
        <v>427</v>
      </c>
      <c r="F119" s="16">
        <v>41052</v>
      </c>
      <c r="G119" s="16">
        <v>41061</v>
      </c>
      <c r="H119" s="17">
        <f t="shared" si="12"/>
        <v>43</v>
      </c>
      <c r="I119" s="1">
        <f t="shared" si="11"/>
        <v>43000</v>
      </c>
      <c r="J119" s="17">
        <f>40500</f>
        <v>40500</v>
      </c>
      <c r="K119" s="17"/>
      <c r="L119" s="30">
        <f t="shared" si="13"/>
        <v>2500</v>
      </c>
      <c r="M119" s="31">
        <v>800</v>
      </c>
      <c r="N119" s="31">
        <v>800</v>
      </c>
      <c r="O119" s="31">
        <v>800</v>
      </c>
      <c r="P119" s="31">
        <v>800</v>
      </c>
      <c r="Q119" s="31">
        <v>800</v>
      </c>
      <c r="R119" s="31">
        <v>800</v>
      </c>
      <c r="S119" s="31">
        <v>800</v>
      </c>
      <c r="T119" s="31">
        <v>800</v>
      </c>
      <c r="U119" s="31">
        <v>800</v>
      </c>
      <c r="V119" s="31">
        <v>800</v>
      </c>
      <c r="W119" s="31">
        <v>800</v>
      </c>
      <c r="X119" s="31">
        <v>800</v>
      </c>
      <c r="Y119" s="30">
        <f t="shared" si="9"/>
        <v>12100</v>
      </c>
      <c r="Z119">
        <f>VLOOKUP(A119,справочник!$E$2:$F$322,2,FALSE)</f>
        <v>0</v>
      </c>
    </row>
    <row r="120" spans="1:26" ht="24" hidden="1">
      <c r="A120" s="41">
        <f>VLOOKUP(B120,справочник!$B$2:$E$322,4,FALSE)</f>
        <v>207</v>
      </c>
      <c r="B120" t="str">
        <f t="shared" si="8"/>
        <v>217Катушкин Роман Юрьевич//Валеев Артур Рашидович</v>
      </c>
      <c r="C120" s="1">
        <v>217</v>
      </c>
      <c r="D120" s="2" t="s">
        <v>111</v>
      </c>
      <c r="E120" s="1"/>
      <c r="F120" s="1"/>
      <c r="G120" s="1"/>
      <c r="H120" s="17"/>
      <c r="I120" s="1">
        <f t="shared" si="11"/>
        <v>0</v>
      </c>
      <c r="J120" s="17"/>
      <c r="K120" s="17"/>
      <c r="L120" s="30">
        <f t="shared" si="13"/>
        <v>0</v>
      </c>
      <c r="M120" s="31">
        <v>800</v>
      </c>
      <c r="N120" s="31">
        <v>800</v>
      </c>
      <c r="O120" s="31">
        <v>800</v>
      </c>
      <c r="P120" s="31">
        <v>800</v>
      </c>
      <c r="Q120" s="31">
        <v>800</v>
      </c>
      <c r="R120" s="31">
        <v>800</v>
      </c>
      <c r="S120" s="31">
        <v>800</v>
      </c>
      <c r="T120" s="31">
        <v>800</v>
      </c>
      <c r="U120" s="31">
        <v>800</v>
      </c>
      <c r="V120" s="31">
        <v>800</v>
      </c>
      <c r="W120" s="31">
        <v>800</v>
      </c>
      <c r="X120" s="31">
        <v>800</v>
      </c>
      <c r="Y120" s="30">
        <f t="shared" si="9"/>
        <v>9600</v>
      </c>
      <c r="Z120">
        <f>VLOOKUP(A120,справочник!$E$2:$F$322,2,FALSE)</f>
        <v>0</v>
      </c>
    </row>
    <row r="121" spans="1:26" hidden="1">
      <c r="A121" s="41">
        <f>VLOOKUP(B121,справочник!$B$2:$E$322,4,FALSE)</f>
        <v>231</v>
      </c>
      <c r="B121" t="str">
        <f t="shared" si="8"/>
        <v>240Кашичкин Александр Борисович</v>
      </c>
      <c r="C121" s="1">
        <v>240</v>
      </c>
      <c r="D121" s="2" t="s">
        <v>112</v>
      </c>
      <c r="E121" s="1" t="s">
        <v>428</v>
      </c>
      <c r="F121" s="16">
        <v>41357</v>
      </c>
      <c r="G121" s="16">
        <v>41365</v>
      </c>
      <c r="H121" s="17">
        <f t="shared" ref="H121:H132" si="14">INT(($H$327-G121)/30)</f>
        <v>33</v>
      </c>
      <c r="I121" s="1">
        <f t="shared" si="11"/>
        <v>33000</v>
      </c>
      <c r="J121" s="17">
        <v>28000</v>
      </c>
      <c r="K121" s="17"/>
      <c r="L121" s="30">
        <f t="shared" si="13"/>
        <v>5000</v>
      </c>
      <c r="M121" s="31">
        <v>800</v>
      </c>
      <c r="N121" s="31">
        <v>800</v>
      </c>
      <c r="O121" s="31">
        <v>800</v>
      </c>
      <c r="P121" s="31">
        <v>800</v>
      </c>
      <c r="Q121" s="31">
        <v>800</v>
      </c>
      <c r="R121" s="31">
        <v>800</v>
      </c>
      <c r="S121" s="31">
        <v>800</v>
      </c>
      <c r="T121" s="31">
        <v>800</v>
      </c>
      <c r="U121" s="31">
        <v>800</v>
      </c>
      <c r="V121" s="31">
        <v>800</v>
      </c>
      <c r="W121" s="31">
        <v>800</v>
      </c>
      <c r="X121" s="31">
        <v>800</v>
      </c>
      <c r="Y121" s="30">
        <f t="shared" si="9"/>
        <v>14600</v>
      </c>
      <c r="Z121">
        <f>VLOOKUP(A121,справочник!$E$2:$F$322,2,FALSE)</f>
        <v>0</v>
      </c>
    </row>
    <row r="122" spans="1:26" hidden="1">
      <c r="A122" s="41">
        <f>VLOOKUP(B122,справочник!$B$2:$E$322,4,FALSE)</f>
        <v>76</v>
      </c>
      <c r="B122" t="str">
        <f t="shared" si="8"/>
        <v>82Киеня Валентина Александровна (Анатолий)</v>
      </c>
      <c r="C122" s="1">
        <v>82</v>
      </c>
      <c r="D122" s="2" t="s">
        <v>113</v>
      </c>
      <c r="E122" s="1" t="s">
        <v>429</v>
      </c>
      <c r="F122" s="16">
        <v>40682</v>
      </c>
      <c r="G122" s="16">
        <v>40695</v>
      </c>
      <c r="H122" s="17">
        <f t="shared" si="14"/>
        <v>55</v>
      </c>
      <c r="I122" s="1">
        <f t="shared" si="11"/>
        <v>55000</v>
      </c>
      <c r="J122" s="17">
        <v>54000</v>
      </c>
      <c r="K122" s="17">
        <v>3000</v>
      </c>
      <c r="L122" s="30">
        <f t="shared" si="13"/>
        <v>-2000</v>
      </c>
      <c r="M122" s="31">
        <v>800</v>
      </c>
      <c r="N122" s="31">
        <v>800</v>
      </c>
      <c r="O122" s="31">
        <v>800</v>
      </c>
      <c r="P122" s="31">
        <v>800</v>
      </c>
      <c r="Q122" s="31">
        <v>800</v>
      </c>
      <c r="R122" s="31">
        <v>800</v>
      </c>
      <c r="S122" s="31">
        <v>800</v>
      </c>
      <c r="T122" s="31">
        <v>800</v>
      </c>
      <c r="U122" s="31">
        <v>800</v>
      </c>
      <c r="V122" s="31">
        <v>800</v>
      </c>
      <c r="W122" s="31">
        <v>800</v>
      </c>
      <c r="X122" s="31">
        <v>800</v>
      </c>
      <c r="Y122" s="30">
        <f t="shared" si="9"/>
        <v>7600</v>
      </c>
      <c r="Z122">
        <f>VLOOKUP(A122,справочник!$E$2:$F$322,2,FALSE)</f>
        <v>0</v>
      </c>
    </row>
    <row r="123" spans="1:26" hidden="1">
      <c r="A123" s="41">
        <f>VLOOKUP(B123,справочник!$B$2:$E$322,4,FALSE)</f>
        <v>82</v>
      </c>
      <c r="B123" t="str">
        <f t="shared" si="8"/>
        <v>87Кикоть Наталья Петровна (Андрей)</v>
      </c>
      <c r="C123" s="1">
        <v>87</v>
      </c>
      <c r="D123" s="2" t="s">
        <v>114</v>
      </c>
      <c r="E123" s="1" t="s">
        <v>430</v>
      </c>
      <c r="F123" s="16">
        <v>41148</v>
      </c>
      <c r="G123" s="16">
        <v>41153</v>
      </c>
      <c r="H123" s="17">
        <f t="shared" si="14"/>
        <v>40</v>
      </c>
      <c r="I123" s="1">
        <f t="shared" si="11"/>
        <v>40000</v>
      </c>
      <c r="J123" s="17">
        <v>35000</v>
      </c>
      <c r="K123" s="17"/>
      <c r="L123" s="30">
        <f t="shared" si="13"/>
        <v>5000</v>
      </c>
      <c r="M123" s="31">
        <v>800</v>
      </c>
      <c r="N123" s="31">
        <v>800</v>
      </c>
      <c r="O123" s="31">
        <v>800</v>
      </c>
      <c r="P123" s="31">
        <v>800</v>
      </c>
      <c r="Q123" s="31">
        <v>800</v>
      </c>
      <c r="R123" s="31">
        <v>800</v>
      </c>
      <c r="S123" s="31">
        <v>800</v>
      </c>
      <c r="T123" s="31">
        <v>800</v>
      </c>
      <c r="U123" s="31">
        <v>800</v>
      </c>
      <c r="V123" s="31">
        <v>800</v>
      </c>
      <c r="W123" s="31">
        <v>800</v>
      </c>
      <c r="X123" s="31">
        <v>800</v>
      </c>
      <c r="Y123" s="30">
        <f t="shared" si="9"/>
        <v>14600</v>
      </c>
      <c r="Z123">
        <f>VLOOKUP(A123,справочник!$E$2:$F$322,2,FALSE)</f>
        <v>0</v>
      </c>
    </row>
    <row r="124" spans="1:26" hidden="1">
      <c r="A124" s="41">
        <f>VLOOKUP(B124,справочник!$B$2:$E$322,4,FALSE)</f>
        <v>8</v>
      </c>
      <c r="B124" t="str">
        <f t="shared" si="8"/>
        <v>8Кириенко Раиса Федоровна</v>
      </c>
      <c r="C124" s="1">
        <v>8</v>
      </c>
      <c r="D124" s="2" t="s">
        <v>115</v>
      </c>
      <c r="E124" s="1" t="s">
        <v>431</v>
      </c>
      <c r="F124" s="16">
        <v>41741</v>
      </c>
      <c r="G124" s="16">
        <v>41760</v>
      </c>
      <c r="H124" s="17">
        <f t="shared" si="14"/>
        <v>20</v>
      </c>
      <c r="I124" s="1">
        <f t="shared" si="11"/>
        <v>20000</v>
      </c>
      <c r="J124" s="17">
        <v>18000</v>
      </c>
      <c r="K124" s="17"/>
      <c r="L124" s="30">
        <f t="shared" si="13"/>
        <v>2000</v>
      </c>
      <c r="M124" s="31">
        <v>800</v>
      </c>
      <c r="N124" s="31">
        <v>800</v>
      </c>
      <c r="O124" s="31">
        <v>800</v>
      </c>
      <c r="P124" s="31">
        <v>800</v>
      </c>
      <c r="Q124" s="31">
        <v>800</v>
      </c>
      <c r="R124" s="31">
        <v>800</v>
      </c>
      <c r="S124" s="31">
        <v>800</v>
      </c>
      <c r="T124" s="31">
        <v>800</v>
      </c>
      <c r="U124" s="31">
        <v>800</v>
      </c>
      <c r="V124" s="31">
        <v>800</v>
      </c>
      <c r="W124" s="31">
        <v>800</v>
      </c>
      <c r="X124" s="31">
        <v>800</v>
      </c>
      <c r="Y124" s="30">
        <f t="shared" si="9"/>
        <v>11600</v>
      </c>
      <c r="Z124">
        <f>VLOOKUP(A124,справочник!$E$2:$F$322,2,FALSE)</f>
        <v>0</v>
      </c>
    </row>
    <row r="125" spans="1:26" hidden="1">
      <c r="A125" s="41">
        <f>VLOOKUP(B125,справочник!$B$2:$E$322,4,FALSE)</f>
        <v>149</v>
      </c>
      <c r="B125" t="str">
        <f t="shared" si="8"/>
        <v>157Кириллов Вадим Александрович</v>
      </c>
      <c r="C125" s="1">
        <v>157</v>
      </c>
      <c r="D125" s="2" t="s">
        <v>116</v>
      </c>
      <c r="E125" s="1" t="s">
        <v>432</v>
      </c>
      <c r="F125" s="16">
        <v>40820</v>
      </c>
      <c r="G125" s="16">
        <v>40817</v>
      </c>
      <c r="H125" s="17">
        <f t="shared" si="14"/>
        <v>51</v>
      </c>
      <c r="I125" s="1">
        <f t="shared" si="11"/>
        <v>51000</v>
      </c>
      <c r="J125" s="17">
        <f>1000</f>
        <v>1000</v>
      </c>
      <c r="K125" s="17">
        <v>1000</v>
      </c>
      <c r="L125" s="30">
        <f t="shared" si="13"/>
        <v>49000</v>
      </c>
      <c r="M125" s="31">
        <v>800</v>
      </c>
      <c r="N125" s="31">
        <v>800</v>
      </c>
      <c r="O125" s="31">
        <v>800</v>
      </c>
      <c r="P125" s="31">
        <v>800</v>
      </c>
      <c r="Q125" s="31">
        <v>800</v>
      </c>
      <c r="R125" s="31">
        <v>800</v>
      </c>
      <c r="S125" s="31">
        <v>800</v>
      </c>
      <c r="T125" s="31">
        <v>800</v>
      </c>
      <c r="U125" s="31">
        <v>800</v>
      </c>
      <c r="V125" s="31">
        <v>800</v>
      </c>
      <c r="W125" s="31">
        <v>800</v>
      </c>
      <c r="X125" s="31">
        <v>800</v>
      </c>
      <c r="Y125" s="30">
        <f t="shared" si="9"/>
        <v>58600</v>
      </c>
      <c r="Z125">
        <f>VLOOKUP(A125,справочник!$E$2:$F$322,2,FALSE)</f>
        <v>0</v>
      </c>
    </row>
    <row r="126" spans="1:26" hidden="1">
      <c r="A126" s="41">
        <f>VLOOKUP(B126,справочник!$B$2:$E$322,4,FALSE)</f>
        <v>30</v>
      </c>
      <c r="B126" t="str">
        <f t="shared" si="8"/>
        <v>30Кириллов Дмитрий Александрович</v>
      </c>
      <c r="C126" s="1">
        <v>30</v>
      </c>
      <c r="D126" s="2" t="s">
        <v>117</v>
      </c>
      <c r="E126" s="1" t="s">
        <v>433</v>
      </c>
      <c r="F126" s="16">
        <v>40906</v>
      </c>
      <c r="G126" s="16">
        <v>40909</v>
      </c>
      <c r="H126" s="17">
        <f t="shared" si="14"/>
        <v>48</v>
      </c>
      <c r="I126" s="1">
        <f t="shared" si="11"/>
        <v>48000</v>
      </c>
      <c r="J126" s="17">
        <f>1000</f>
        <v>1000</v>
      </c>
      <c r="K126" s="17"/>
      <c r="L126" s="30">
        <f t="shared" si="13"/>
        <v>47000</v>
      </c>
      <c r="M126" s="31">
        <v>800</v>
      </c>
      <c r="N126" s="31">
        <v>800</v>
      </c>
      <c r="O126" s="31">
        <v>800</v>
      </c>
      <c r="P126" s="31">
        <v>800</v>
      </c>
      <c r="Q126" s="31">
        <v>800</v>
      </c>
      <c r="R126" s="31">
        <v>800</v>
      </c>
      <c r="S126" s="31">
        <v>800</v>
      </c>
      <c r="T126" s="31">
        <v>800</v>
      </c>
      <c r="U126" s="31">
        <v>800</v>
      </c>
      <c r="V126" s="31">
        <v>800</v>
      </c>
      <c r="W126" s="31">
        <v>800</v>
      </c>
      <c r="X126" s="31">
        <v>800</v>
      </c>
      <c r="Y126" s="30">
        <f t="shared" si="9"/>
        <v>56600</v>
      </c>
      <c r="Z126">
        <f>VLOOKUP(A126,справочник!$E$2:$F$322,2,FALSE)</f>
        <v>0</v>
      </c>
    </row>
    <row r="127" spans="1:26" hidden="1">
      <c r="A127" s="41">
        <f>VLOOKUP(B127,справочник!$B$2:$E$322,4,FALSE)</f>
        <v>269</v>
      </c>
      <c r="B127" t="str">
        <f t="shared" si="8"/>
        <v>282Коваленко Ирина Леонидовна</v>
      </c>
      <c r="C127" s="1">
        <v>282</v>
      </c>
      <c r="D127" s="2" t="s">
        <v>118</v>
      </c>
      <c r="E127" s="1" t="s">
        <v>434</v>
      </c>
      <c r="F127" s="16">
        <v>41254</v>
      </c>
      <c r="G127" s="16">
        <v>41275</v>
      </c>
      <c r="H127" s="17">
        <f t="shared" si="14"/>
        <v>36</v>
      </c>
      <c r="I127" s="1">
        <f t="shared" si="11"/>
        <v>36000</v>
      </c>
      <c r="J127" s="17">
        <v>18000</v>
      </c>
      <c r="K127" s="17"/>
      <c r="L127" s="30">
        <f t="shared" si="13"/>
        <v>18000</v>
      </c>
      <c r="M127" s="31">
        <v>800</v>
      </c>
      <c r="N127" s="31">
        <v>800</v>
      </c>
      <c r="O127" s="31">
        <v>800</v>
      </c>
      <c r="P127" s="31">
        <v>800</v>
      </c>
      <c r="Q127" s="31">
        <v>800</v>
      </c>
      <c r="R127" s="31">
        <v>800</v>
      </c>
      <c r="S127" s="31">
        <v>800</v>
      </c>
      <c r="T127" s="31">
        <v>800</v>
      </c>
      <c r="U127" s="31">
        <v>800</v>
      </c>
      <c r="V127" s="31">
        <v>800</v>
      </c>
      <c r="W127" s="31">
        <v>800</v>
      </c>
      <c r="X127" s="31">
        <v>800</v>
      </c>
      <c r="Y127" s="30">
        <f t="shared" si="9"/>
        <v>27600</v>
      </c>
      <c r="Z127">
        <f>VLOOKUP(A127,справочник!$E$2:$F$322,2,FALSE)</f>
        <v>0</v>
      </c>
    </row>
    <row r="128" spans="1:26" hidden="1">
      <c r="A128" s="41">
        <f>VLOOKUP(B128,справочник!$B$2:$E$322,4,FALSE)</f>
        <v>271</v>
      </c>
      <c r="B128" t="str">
        <f t="shared" si="8"/>
        <v>284Кожемякин Сергей Владимирович</v>
      </c>
      <c r="C128" s="1">
        <v>284</v>
      </c>
      <c r="D128" s="2" t="s">
        <v>119</v>
      </c>
      <c r="E128" s="1" t="s">
        <v>435</v>
      </c>
      <c r="F128" s="16">
        <v>42044</v>
      </c>
      <c r="G128" s="16">
        <v>42095</v>
      </c>
      <c r="H128" s="17">
        <f t="shared" si="14"/>
        <v>9</v>
      </c>
      <c r="I128" s="1">
        <f t="shared" si="11"/>
        <v>9000</v>
      </c>
      <c r="J128" s="17">
        <v>4000</v>
      </c>
      <c r="K128" s="17">
        <v>5000</v>
      </c>
      <c r="L128" s="30">
        <f t="shared" si="13"/>
        <v>0</v>
      </c>
      <c r="M128" s="31">
        <v>800</v>
      </c>
      <c r="N128" s="31">
        <v>800</v>
      </c>
      <c r="O128" s="31">
        <v>800</v>
      </c>
      <c r="P128" s="31">
        <v>800</v>
      </c>
      <c r="Q128" s="31">
        <v>800</v>
      </c>
      <c r="R128" s="31">
        <v>800</v>
      </c>
      <c r="S128" s="31">
        <v>800</v>
      </c>
      <c r="T128" s="31">
        <v>800</v>
      </c>
      <c r="U128" s="31">
        <v>800</v>
      </c>
      <c r="V128" s="31">
        <v>800</v>
      </c>
      <c r="W128" s="31">
        <v>800</v>
      </c>
      <c r="X128" s="31">
        <v>800</v>
      </c>
      <c r="Y128" s="30">
        <f t="shared" si="9"/>
        <v>9600</v>
      </c>
      <c r="Z128">
        <f>VLOOKUP(A128,справочник!$E$2:$F$322,2,FALSE)</f>
        <v>0</v>
      </c>
    </row>
    <row r="129" spans="1:26" hidden="1">
      <c r="A129" s="41">
        <f>VLOOKUP(B129,справочник!$B$2:$E$322,4,FALSE)</f>
        <v>265</v>
      </c>
      <c r="B129" t="str">
        <f t="shared" si="8"/>
        <v>278Козловский Алексей Гаврилович</v>
      </c>
      <c r="C129" s="1">
        <v>278</v>
      </c>
      <c r="D129" s="2" t="s">
        <v>120</v>
      </c>
      <c r="E129" s="1" t="s">
        <v>436</v>
      </c>
      <c r="F129" s="16">
        <v>40812</v>
      </c>
      <c r="G129" s="16">
        <v>40787</v>
      </c>
      <c r="H129" s="17">
        <f t="shared" si="14"/>
        <v>52</v>
      </c>
      <c r="I129" s="1">
        <f t="shared" si="11"/>
        <v>52000</v>
      </c>
      <c r="J129" s="17">
        <f>2000+27000</f>
        <v>29000</v>
      </c>
      <c r="K129" s="17"/>
      <c r="L129" s="30">
        <f t="shared" si="13"/>
        <v>23000</v>
      </c>
      <c r="M129" s="31">
        <v>800</v>
      </c>
      <c r="N129" s="31">
        <v>800</v>
      </c>
      <c r="O129" s="31">
        <v>800</v>
      </c>
      <c r="P129" s="31">
        <v>800</v>
      </c>
      <c r="Q129" s="31">
        <v>800</v>
      </c>
      <c r="R129" s="31">
        <v>800</v>
      </c>
      <c r="S129" s="31">
        <v>800</v>
      </c>
      <c r="T129" s="31">
        <v>800</v>
      </c>
      <c r="U129" s="31">
        <v>800</v>
      </c>
      <c r="V129" s="31">
        <v>800</v>
      </c>
      <c r="W129" s="31">
        <v>800</v>
      </c>
      <c r="X129" s="31">
        <v>800</v>
      </c>
      <c r="Y129" s="30">
        <f t="shared" si="9"/>
        <v>32600</v>
      </c>
      <c r="Z129">
        <f>VLOOKUP(A129,справочник!$E$2:$F$322,2,FALSE)</f>
        <v>0</v>
      </c>
    </row>
    <row r="130" spans="1:26" ht="24" hidden="1">
      <c r="A130" s="41">
        <f>VLOOKUP(B130,справочник!$B$2:$E$322,4,FALSE)</f>
        <v>173</v>
      </c>
      <c r="B130" t="str">
        <f t="shared" si="8"/>
        <v>181Колесников Никита Олегович(у Кряжковой Виктория Сергеевна</v>
      </c>
      <c r="C130" s="1">
        <v>181</v>
      </c>
      <c r="D130" s="2" t="s">
        <v>121</v>
      </c>
      <c r="E130" s="1" t="s">
        <v>437</v>
      </c>
      <c r="F130" s="16">
        <v>40793</v>
      </c>
      <c r="G130" s="16">
        <v>40787</v>
      </c>
      <c r="H130" s="17">
        <f t="shared" si="14"/>
        <v>52</v>
      </c>
      <c r="I130" s="1">
        <f t="shared" si="11"/>
        <v>52000</v>
      </c>
      <c r="J130" s="17">
        <v>1000</v>
      </c>
      <c r="K130" s="17"/>
      <c r="L130" s="30">
        <f t="shared" si="13"/>
        <v>51000</v>
      </c>
      <c r="M130" s="31">
        <v>800</v>
      </c>
      <c r="N130" s="31">
        <v>800</v>
      </c>
      <c r="O130" s="31">
        <v>800</v>
      </c>
      <c r="P130" s="31">
        <v>800</v>
      </c>
      <c r="Q130" s="31">
        <v>800</v>
      </c>
      <c r="R130" s="31">
        <v>800</v>
      </c>
      <c r="S130" s="31">
        <v>800</v>
      </c>
      <c r="T130" s="31">
        <v>800</v>
      </c>
      <c r="U130" s="31">
        <v>800</v>
      </c>
      <c r="V130" s="31">
        <v>800</v>
      </c>
      <c r="W130" s="31">
        <v>800</v>
      </c>
      <c r="X130" s="31">
        <v>800</v>
      </c>
      <c r="Y130" s="30">
        <f t="shared" si="9"/>
        <v>60600</v>
      </c>
      <c r="Z130">
        <f>VLOOKUP(A130,справочник!$E$2:$F$322,2,FALSE)</f>
        <v>0</v>
      </c>
    </row>
    <row r="131" spans="1:26" hidden="1">
      <c r="A131" s="41">
        <f>VLOOKUP(B131,справочник!$B$2:$E$322,4,FALSE)</f>
        <v>305</v>
      </c>
      <c r="B131" t="str">
        <f t="shared" si="8"/>
        <v>320Колесов Вадим Владимирович</v>
      </c>
      <c r="C131" s="1">
        <v>320</v>
      </c>
      <c r="D131" s="2" t="s">
        <v>122</v>
      </c>
      <c r="E131" s="1" t="s">
        <v>438</v>
      </c>
      <c r="F131" s="16">
        <v>41929</v>
      </c>
      <c r="G131" s="16">
        <v>41944</v>
      </c>
      <c r="H131" s="17">
        <f t="shared" si="14"/>
        <v>14</v>
      </c>
      <c r="I131" s="1">
        <f t="shared" si="11"/>
        <v>14000</v>
      </c>
      <c r="J131" s="17">
        <v>1000</v>
      </c>
      <c r="K131" s="17"/>
      <c r="L131" s="30">
        <f t="shared" si="13"/>
        <v>13000</v>
      </c>
      <c r="M131" s="31">
        <v>800</v>
      </c>
      <c r="N131" s="31">
        <v>800</v>
      </c>
      <c r="O131" s="31">
        <v>800</v>
      </c>
      <c r="P131" s="31">
        <v>800</v>
      </c>
      <c r="Q131" s="31">
        <v>800</v>
      </c>
      <c r="R131" s="31">
        <v>800</v>
      </c>
      <c r="S131" s="31">
        <v>800</v>
      </c>
      <c r="T131" s="31">
        <v>800</v>
      </c>
      <c r="U131" s="31">
        <v>800</v>
      </c>
      <c r="V131" s="31">
        <v>800</v>
      </c>
      <c r="W131" s="31">
        <v>800</v>
      </c>
      <c r="X131" s="31">
        <v>800</v>
      </c>
      <c r="Y131" s="30">
        <f t="shared" si="9"/>
        <v>22600</v>
      </c>
      <c r="Z131">
        <f>VLOOKUP(A131,справочник!$E$2:$F$322,2,FALSE)</f>
        <v>0</v>
      </c>
    </row>
    <row r="132" spans="1:26" hidden="1">
      <c r="A132" s="41">
        <f>VLOOKUP(B132,справочник!$B$2:$E$322,4,FALSE)</f>
        <v>69</v>
      </c>
      <c r="B132" t="str">
        <f t="shared" si="8"/>
        <v>75Колташ Анна Владимировна</v>
      </c>
      <c r="C132" s="1">
        <v>75</v>
      </c>
      <c r="D132" s="2" t="s">
        <v>123</v>
      </c>
      <c r="E132" s="1" t="s">
        <v>439</v>
      </c>
      <c r="F132" s="19" t="s">
        <v>440</v>
      </c>
      <c r="G132" s="19">
        <v>40787</v>
      </c>
      <c r="H132" s="20">
        <f t="shared" si="14"/>
        <v>52</v>
      </c>
      <c r="I132" s="5">
        <f t="shared" si="11"/>
        <v>52000</v>
      </c>
      <c r="J132" s="20">
        <f>3000+10000</f>
        <v>13000</v>
      </c>
      <c r="K132" s="20"/>
      <c r="L132" s="32">
        <f t="shared" si="13"/>
        <v>39000</v>
      </c>
      <c r="M132" s="31">
        <v>800</v>
      </c>
      <c r="N132" s="31">
        <v>800</v>
      </c>
      <c r="O132" s="31">
        <v>800</v>
      </c>
      <c r="P132" s="31">
        <v>800</v>
      </c>
      <c r="Q132" s="31">
        <v>800</v>
      </c>
      <c r="R132" s="31">
        <v>800</v>
      </c>
      <c r="S132" s="31">
        <v>800</v>
      </c>
      <c r="T132" s="31">
        <v>800</v>
      </c>
      <c r="U132" s="31">
        <v>800</v>
      </c>
      <c r="V132" s="31">
        <v>800</v>
      </c>
      <c r="W132" s="31">
        <v>800</v>
      </c>
      <c r="X132" s="31">
        <v>800</v>
      </c>
      <c r="Y132" s="30">
        <f t="shared" si="9"/>
        <v>48600</v>
      </c>
      <c r="Z132">
        <f>VLOOKUP(A132,справочник!$E$2:$F$322,2,FALSE)</f>
        <v>1</v>
      </c>
    </row>
    <row r="133" spans="1:26" hidden="1">
      <c r="A133" s="41">
        <f>VLOOKUP(B133,справочник!$B$2:$E$322,4,FALSE)</f>
        <v>69</v>
      </c>
      <c r="B133" t="str">
        <f t="shared" si="8"/>
        <v>76Колташ Анна Владимировна</v>
      </c>
      <c r="C133" s="1">
        <v>76</v>
      </c>
      <c r="D133" s="2" t="s">
        <v>123</v>
      </c>
      <c r="E133" s="1" t="s">
        <v>441</v>
      </c>
      <c r="F133" s="5"/>
      <c r="G133" s="5"/>
      <c r="H133" s="20"/>
      <c r="I133" s="5">
        <f t="shared" si="11"/>
        <v>0</v>
      </c>
      <c r="J133" s="20"/>
      <c r="K133" s="20"/>
      <c r="L133" s="32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0">
        <f>SUM(L133:X133)</f>
        <v>0</v>
      </c>
      <c r="Z133">
        <f>VLOOKUP(A133,справочник!$E$2:$F$322,2,FALSE)</f>
        <v>1</v>
      </c>
    </row>
    <row r="134" spans="1:26" hidden="1">
      <c r="A134" s="41">
        <f>VLOOKUP(B134,справочник!$B$2:$E$322,4,FALSE)</f>
        <v>1</v>
      </c>
      <c r="B134" t="str">
        <f t="shared" ref="B134:B197" si="15">CONCATENATE(C134,D134)</f>
        <v>1Колыгина Нина Николаевна</v>
      </c>
      <c r="C134" s="1">
        <v>1</v>
      </c>
      <c r="D134" s="2" t="s">
        <v>124</v>
      </c>
      <c r="E134" s="1" t="s">
        <v>442</v>
      </c>
      <c r="F134" s="16">
        <v>41409</v>
      </c>
      <c r="G134" s="16">
        <v>41548</v>
      </c>
      <c r="H134" s="17">
        <f t="shared" ref="H134:H183" si="16">INT(($H$327-G134)/30)</f>
        <v>27</v>
      </c>
      <c r="I134" s="1">
        <f t="shared" si="11"/>
        <v>27000</v>
      </c>
      <c r="J134" s="17">
        <v>24000</v>
      </c>
      <c r="K134" s="17"/>
      <c r="L134" s="30">
        <f t="shared" ref="L134:L186" si="17">I134-J134-K134</f>
        <v>3000</v>
      </c>
      <c r="M134" s="31">
        <v>800</v>
      </c>
      <c r="N134" s="31">
        <v>800</v>
      </c>
      <c r="O134" s="31">
        <v>800</v>
      </c>
      <c r="P134" s="31">
        <v>800</v>
      </c>
      <c r="Q134" s="31">
        <v>800</v>
      </c>
      <c r="R134" s="31">
        <v>800</v>
      </c>
      <c r="S134" s="31">
        <v>800</v>
      </c>
      <c r="T134" s="31">
        <v>800</v>
      </c>
      <c r="U134" s="31">
        <v>800</v>
      </c>
      <c r="V134" s="31">
        <v>800</v>
      </c>
      <c r="W134" s="31">
        <v>800</v>
      </c>
      <c r="X134" s="31">
        <v>800</v>
      </c>
      <c r="Y134" s="30">
        <f>SUM(L134:X134)</f>
        <v>12600</v>
      </c>
      <c r="Z134">
        <f>VLOOKUP(A134,справочник!$E$2:$F$322,2,FALSE)</f>
        <v>0</v>
      </c>
    </row>
    <row r="135" spans="1:26" hidden="1">
      <c r="A135" s="41">
        <f>VLOOKUP(B135,справочник!$B$2:$E$322,4,FALSE)</f>
        <v>302</v>
      </c>
      <c r="B135" t="str">
        <f t="shared" si="15"/>
        <v>317Колышкина Александра Сергеевна</v>
      </c>
      <c r="C135" s="1">
        <v>317</v>
      </c>
      <c r="D135" s="2" t="s">
        <v>125</v>
      </c>
      <c r="E135" s="1" t="s">
        <v>443</v>
      </c>
      <c r="F135" s="16">
        <v>40997</v>
      </c>
      <c r="G135" s="16">
        <v>41000</v>
      </c>
      <c r="H135" s="17">
        <f t="shared" si="16"/>
        <v>45</v>
      </c>
      <c r="I135" s="1">
        <f t="shared" si="11"/>
        <v>45000</v>
      </c>
      <c r="J135" s="17">
        <v>32000</v>
      </c>
      <c r="K135" s="17"/>
      <c r="L135" s="30">
        <f t="shared" si="17"/>
        <v>13000</v>
      </c>
      <c r="M135" s="31">
        <v>800</v>
      </c>
      <c r="N135" s="31">
        <v>800</v>
      </c>
      <c r="O135" s="31">
        <v>800</v>
      </c>
      <c r="P135" s="31">
        <v>800</v>
      </c>
      <c r="Q135" s="31">
        <v>800</v>
      </c>
      <c r="R135" s="31">
        <v>800</v>
      </c>
      <c r="S135" s="31">
        <v>800</v>
      </c>
      <c r="T135" s="31">
        <v>800</v>
      </c>
      <c r="U135" s="31">
        <v>800</v>
      </c>
      <c r="V135" s="31">
        <v>800</v>
      </c>
      <c r="W135" s="31">
        <v>800</v>
      </c>
      <c r="X135" s="31">
        <v>800</v>
      </c>
      <c r="Y135" s="30">
        <f t="shared" ref="Y135:Y186" si="18">SUM(L135:X135)</f>
        <v>22600</v>
      </c>
      <c r="Z135">
        <f>VLOOKUP(A135,справочник!$E$2:$F$322,2,FALSE)</f>
        <v>0</v>
      </c>
    </row>
    <row r="136" spans="1:26" hidden="1">
      <c r="A136" s="41">
        <f>VLOOKUP(B136,справочник!$B$2:$E$322,4,FALSE)</f>
        <v>123</v>
      </c>
      <c r="B136" t="str">
        <f t="shared" si="15"/>
        <v>128Кондратьева Юлия Викторовна</v>
      </c>
      <c r="C136" s="1">
        <v>128</v>
      </c>
      <c r="D136" s="2" t="s">
        <v>126</v>
      </c>
      <c r="E136" s="1" t="s">
        <v>444</v>
      </c>
      <c r="F136" s="16">
        <v>40960</v>
      </c>
      <c r="G136" s="16">
        <v>40940</v>
      </c>
      <c r="H136" s="17">
        <f t="shared" si="16"/>
        <v>47</v>
      </c>
      <c r="I136" s="1">
        <f t="shared" si="11"/>
        <v>47000</v>
      </c>
      <c r="J136" s="17">
        <v>34000</v>
      </c>
      <c r="K136" s="17"/>
      <c r="L136" s="30">
        <f t="shared" si="17"/>
        <v>13000</v>
      </c>
      <c r="M136" s="31">
        <v>800</v>
      </c>
      <c r="N136" s="31">
        <v>800</v>
      </c>
      <c r="O136" s="31">
        <v>800</v>
      </c>
      <c r="P136" s="31">
        <v>800</v>
      </c>
      <c r="Q136" s="31">
        <v>800</v>
      </c>
      <c r="R136" s="31">
        <v>800</v>
      </c>
      <c r="S136" s="31">
        <v>800</v>
      </c>
      <c r="T136" s="31">
        <v>800</v>
      </c>
      <c r="U136" s="31">
        <v>800</v>
      </c>
      <c r="V136" s="31">
        <v>800</v>
      </c>
      <c r="W136" s="31">
        <v>800</v>
      </c>
      <c r="X136" s="31">
        <v>800</v>
      </c>
      <c r="Y136" s="30">
        <f t="shared" si="18"/>
        <v>22600</v>
      </c>
      <c r="Z136">
        <f>VLOOKUP(A136,справочник!$E$2:$F$322,2,FALSE)</f>
        <v>0</v>
      </c>
    </row>
    <row r="137" spans="1:26" ht="24" hidden="1">
      <c r="A137" s="41">
        <f>VLOOKUP(B137,справочник!$B$2:$E$322,4,FALSE)</f>
        <v>163</v>
      </c>
      <c r="B137" t="str">
        <f t="shared" si="15"/>
        <v>171Кондратюк Наталья Петровна 1/2,  Соболев Олег Юрьевич 1/2</v>
      </c>
      <c r="C137" s="1">
        <v>171</v>
      </c>
      <c r="D137" s="2" t="s">
        <v>127</v>
      </c>
      <c r="E137" s="1"/>
      <c r="F137" s="16">
        <v>41809</v>
      </c>
      <c r="G137" s="16">
        <v>41821</v>
      </c>
      <c r="H137" s="17">
        <f t="shared" si="16"/>
        <v>18</v>
      </c>
      <c r="I137" s="1">
        <f t="shared" si="11"/>
        <v>18000</v>
      </c>
      <c r="J137" s="17">
        <f>5000+4000</f>
        <v>9000</v>
      </c>
      <c r="K137" s="17"/>
      <c r="L137" s="30">
        <f t="shared" si="17"/>
        <v>9000</v>
      </c>
      <c r="M137" s="31">
        <v>800</v>
      </c>
      <c r="N137" s="31">
        <v>800</v>
      </c>
      <c r="O137" s="31">
        <v>800</v>
      </c>
      <c r="P137" s="31">
        <v>800</v>
      </c>
      <c r="Q137" s="31">
        <v>800</v>
      </c>
      <c r="R137" s="31">
        <v>800</v>
      </c>
      <c r="S137" s="31">
        <v>800</v>
      </c>
      <c r="T137" s="31">
        <v>800</v>
      </c>
      <c r="U137" s="31">
        <v>800</v>
      </c>
      <c r="V137" s="31">
        <v>800</v>
      </c>
      <c r="W137" s="31">
        <v>800</v>
      </c>
      <c r="X137" s="31">
        <v>800</v>
      </c>
      <c r="Y137" s="30">
        <f t="shared" si="18"/>
        <v>18600</v>
      </c>
      <c r="Z137">
        <f>VLOOKUP(A137,справочник!$E$2:$F$322,2,FALSE)</f>
        <v>0</v>
      </c>
    </row>
    <row r="138" spans="1:26" hidden="1">
      <c r="A138" s="41">
        <f>VLOOKUP(B138,справочник!$B$2:$E$322,4,FALSE)</f>
        <v>110</v>
      </c>
      <c r="B138" t="str">
        <f t="shared" si="15"/>
        <v>115Кондрашов Роман Вячеславович</v>
      </c>
      <c r="C138" s="1">
        <v>115</v>
      </c>
      <c r="D138" s="2" t="s">
        <v>128</v>
      </c>
      <c r="E138" s="1" t="s">
        <v>445</v>
      </c>
      <c r="F138" s="16">
        <v>41101</v>
      </c>
      <c r="G138" s="16">
        <v>41091</v>
      </c>
      <c r="H138" s="17">
        <f t="shared" si="16"/>
        <v>42</v>
      </c>
      <c r="I138" s="1">
        <f t="shared" si="11"/>
        <v>42000</v>
      </c>
      <c r="J138" s="17">
        <v>23000</v>
      </c>
      <c r="K138" s="17"/>
      <c r="L138" s="30">
        <f t="shared" si="17"/>
        <v>19000</v>
      </c>
      <c r="M138" s="31">
        <v>800</v>
      </c>
      <c r="N138" s="31">
        <v>800</v>
      </c>
      <c r="O138" s="31">
        <v>800</v>
      </c>
      <c r="P138" s="31">
        <v>800</v>
      </c>
      <c r="Q138" s="31">
        <v>800</v>
      </c>
      <c r="R138" s="31">
        <v>800</v>
      </c>
      <c r="S138" s="31">
        <v>800</v>
      </c>
      <c r="T138" s="31">
        <v>800</v>
      </c>
      <c r="U138" s="31">
        <v>800</v>
      </c>
      <c r="V138" s="31">
        <v>800</v>
      </c>
      <c r="W138" s="31">
        <v>800</v>
      </c>
      <c r="X138" s="31">
        <v>800</v>
      </c>
      <c r="Y138" s="30">
        <f t="shared" si="18"/>
        <v>28600</v>
      </c>
      <c r="Z138">
        <f>VLOOKUP(A138,справочник!$E$2:$F$322,2,FALSE)</f>
        <v>0</v>
      </c>
    </row>
    <row r="139" spans="1:26" ht="24" hidden="1">
      <c r="A139" s="41">
        <f>VLOOKUP(B139,справочник!$B$2:$E$322,4,FALSE)</f>
        <v>112</v>
      </c>
      <c r="B139" t="str">
        <f t="shared" si="15"/>
        <v>117Кондрашов Сергей Вячеславович//Балыкин Александр Иванович</v>
      </c>
      <c r="C139" s="1">
        <v>117</v>
      </c>
      <c r="D139" s="2" t="s">
        <v>129</v>
      </c>
      <c r="E139" s="1"/>
      <c r="F139" s="16">
        <v>41101</v>
      </c>
      <c r="G139" s="16">
        <v>41091</v>
      </c>
      <c r="H139" s="17">
        <f t="shared" si="16"/>
        <v>42</v>
      </c>
      <c r="I139" s="1">
        <f t="shared" si="11"/>
        <v>42000</v>
      </c>
      <c r="J139" s="17">
        <f>25000</f>
        <v>25000</v>
      </c>
      <c r="K139" s="17"/>
      <c r="L139" s="30">
        <f t="shared" si="17"/>
        <v>17000</v>
      </c>
      <c r="M139" s="31">
        <v>800</v>
      </c>
      <c r="N139" s="31">
        <v>800</v>
      </c>
      <c r="O139" s="31">
        <v>800</v>
      </c>
      <c r="P139" s="31">
        <v>800</v>
      </c>
      <c r="Q139" s="31">
        <v>800</v>
      </c>
      <c r="R139" s="31">
        <v>800</v>
      </c>
      <c r="S139" s="31">
        <v>800</v>
      </c>
      <c r="T139" s="31">
        <v>800</v>
      </c>
      <c r="U139" s="31">
        <v>800</v>
      </c>
      <c r="V139" s="31">
        <v>800</v>
      </c>
      <c r="W139" s="31">
        <v>800</v>
      </c>
      <c r="X139" s="31">
        <v>800</v>
      </c>
      <c r="Y139" s="30">
        <f t="shared" si="18"/>
        <v>26600</v>
      </c>
      <c r="Z139">
        <f>VLOOKUP(A139,справочник!$E$2:$F$322,2,FALSE)</f>
        <v>0</v>
      </c>
    </row>
    <row r="140" spans="1:26" hidden="1">
      <c r="A140" s="41">
        <f>VLOOKUP(B140,справочник!$B$2:$E$322,4,FALSE)</f>
        <v>190</v>
      </c>
      <c r="B140" t="str">
        <f t="shared" si="15"/>
        <v>198Коновальцев Олег Серафимович</v>
      </c>
      <c r="C140" s="1">
        <v>198</v>
      </c>
      <c r="D140" s="2" t="s">
        <v>130</v>
      </c>
      <c r="E140" s="1" t="s">
        <v>446</v>
      </c>
      <c r="F140" s="16">
        <v>41407</v>
      </c>
      <c r="G140" s="16">
        <v>41426</v>
      </c>
      <c r="H140" s="17">
        <f t="shared" si="16"/>
        <v>31</v>
      </c>
      <c r="I140" s="1">
        <f t="shared" ref="I140:I186" si="19">H140*1000</f>
        <v>31000</v>
      </c>
      <c r="J140" s="17">
        <v>15000</v>
      </c>
      <c r="K140" s="17"/>
      <c r="L140" s="30">
        <f t="shared" si="17"/>
        <v>16000</v>
      </c>
      <c r="M140" s="31">
        <v>800</v>
      </c>
      <c r="N140" s="31">
        <v>800</v>
      </c>
      <c r="O140" s="31">
        <v>800</v>
      </c>
      <c r="P140" s="31">
        <v>800</v>
      </c>
      <c r="Q140" s="31">
        <v>800</v>
      </c>
      <c r="R140" s="31">
        <v>800</v>
      </c>
      <c r="S140" s="31">
        <v>800</v>
      </c>
      <c r="T140" s="31">
        <v>800</v>
      </c>
      <c r="U140" s="31">
        <v>800</v>
      </c>
      <c r="V140" s="31">
        <v>800</v>
      </c>
      <c r="W140" s="31">
        <v>800</v>
      </c>
      <c r="X140" s="31">
        <v>800</v>
      </c>
      <c r="Y140" s="30">
        <f t="shared" si="18"/>
        <v>25600</v>
      </c>
      <c r="Z140">
        <f>VLOOKUP(A140,справочник!$E$2:$F$322,2,FALSE)</f>
        <v>0</v>
      </c>
    </row>
    <row r="141" spans="1:26" hidden="1">
      <c r="A141" s="41">
        <f>VLOOKUP(B141,справочник!$B$2:$E$322,4,FALSE)</f>
        <v>83</v>
      </c>
      <c r="B141" t="str">
        <f t="shared" si="15"/>
        <v>88Кононенко Алла Николаевна (Александр)</v>
      </c>
      <c r="C141" s="1">
        <v>88</v>
      </c>
      <c r="D141" s="2" t="s">
        <v>131</v>
      </c>
      <c r="E141" s="1" t="s">
        <v>447</v>
      </c>
      <c r="F141" s="16">
        <v>40675</v>
      </c>
      <c r="G141" s="16">
        <v>40695</v>
      </c>
      <c r="H141" s="17">
        <f t="shared" si="16"/>
        <v>55</v>
      </c>
      <c r="I141" s="1">
        <f t="shared" si="19"/>
        <v>55000</v>
      </c>
      <c r="J141" s="17">
        <f>1000+49000</f>
        <v>50000</v>
      </c>
      <c r="K141" s="17"/>
      <c r="L141" s="30">
        <f t="shared" si="17"/>
        <v>5000</v>
      </c>
      <c r="M141" s="31">
        <v>800</v>
      </c>
      <c r="N141" s="31">
        <v>800</v>
      </c>
      <c r="O141" s="31">
        <v>800</v>
      </c>
      <c r="P141" s="31">
        <v>800</v>
      </c>
      <c r="Q141" s="31">
        <v>800</v>
      </c>
      <c r="R141" s="31">
        <v>800</v>
      </c>
      <c r="S141" s="31">
        <v>800</v>
      </c>
      <c r="T141" s="31">
        <v>800</v>
      </c>
      <c r="U141" s="31">
        <v>800</v>
      </c>
      <c r="V141" s="31">
        <v>800</v>
      </c>
      <c r="W141" s="31">
        <v>800</v>
      </c>
      <c r="X141" s="31">
        <v>800</v>
      </c>
      <c r="Y141" s="30">
        <f t="shared" si="18"/>
        <v>14600</v>
      </c>
      <c r="Z141">
        <f>VLOOKUP(A141,справочник!$E$2:$F$322,2,FALSE)</f>
        <v>0</v>
      </c>
    </row>
    <row r="142" spans="1:26" hidden="1">
      <c r="A142" s="41">
        <f>VLOOKUP(B142,справочник!$B$2:$E$322,4,FALSE)</f>
        <v>133</v>
      </c>
      <c r="B142" t="str">
        <f t="shared" si="15"/>
        <v>140Короткевич Наталья Владимировна</v>
      </c>
      <c r="C142" s="1">
        <v>140</v>
      </c>
      <c r="D142" s="2" t="s">
        <v>132</v>
      </c>
      <c r="E142" s="1" t="s">
        <v>448</v>
      </c>
      <c r="F142" s="16">
        <v>41008</v>
      </c>
      <c r="G142" s="16">
        <v>41000</v>
      </c>
      <c r="H142" s="17">
        <f t="shared" si="16"/>
        <v>45</v>
      </c>
      <c r="I142" s="1">
        <f t="shared" si="19"/>
        <v>45000</v>
      </c>
      <c r="J142" s="17">
        <v>41000</v>
      </c>
      <c r="K142" s="17">
        <v>4000</v>
      </c>
      <c r="L142" s="30">
        <f t="shared" si="17"/>
        <v>0</v>
      </c>
      <c r="M142" s="31">
        <v>800</v>
      </c>
      <c r="N142" s="31">
        <v>800</v>
      </c>
      <c r="O142" s="31">
        <v>800</v>
      </c>
      <c r="P142" s="31">
        <v>800</v>
      </c>
      <c r="Q142" s="31">
        <v>800</v>
      </c>
      <c r="R142" s="31">
        <v>800</v>
      </c>
      <c r="S142" s="31">
        <v>800</v>
      </c>
      <c r="T142" s="31">
        <v>800</v>
      </c>
      <c r="U142" s="31">
        <v>800</v>
      </c>
      <c r="V142" s="31">
        <v>800</v>
      </c>
      <c r="W142" s="31">
        <v>800</v>
      </c>
      <c r="X142" s="31">
        <v>800</v>
      </c>
      <c r="Y142" s="30">
        <f t="shared" si="18"/>
        <v>9600</v>
      </c>
      <c r="Z142">
        <f>VLOOKUP(A142,справочник!$E$2:$F$322,2,FALSE)</f>
        <v>0</v>
      </c>
    </row>
    <row r="143" spans="1:26" hidden="1">
      <c r="A143" s="41">
        <f>VLOOKUP(B143,справочник!$B$2:$E$322,4,FALSE)</f>
        <v>202</v>
      </c>
      <c r="B143" t="str">
        <f t="shared" si="15"/>
        <v>212Корчинская Ирина Анатольевна</v>
      </c>
      <c r="C143" s="1">
        <v>212</v>
      </c>
      <c r="D143" s="2" t="s">
        <v>133</v>
      </c>
      <c r="E143" s="1" t="s">
        <v>449</v>
      </c>
      <c r="F143" s="16">
        <v>41100</v>
      </c>
      <c r="G143" s="16">
        <v>41091</v>
      </c>
      <c r="H143" s="17">
        <f t="shared" si="16"/>
        <v>42</v>
      </c>
      <c r="I143" s="1">
        <f t="shared" si="19"/>
        <v>42000</v>
      </c>
      <c r="J143" s="17">
        <v>18000</v>
      </c>
      <c r="K143" s="17"/>
      <c r="L143" s="30">
        <f t="shared" si="17"/>
        <v>24000</v>
      </c>
      <c r="M143" s="31">
        <v>800</v>
      </c>
      <c r="N143" s="31">
        <v>800</v>
      </c>
      <c r="O143" s="31">
        <v>800</v>
      </c>
      <c r="P143" s="31">
        <v>800</v>
      </c>
      <c r="Q143" s="31">
        <v>800</v>
      </c>
      <c r="R143" s="31">
        <v>800</v>
      </c>
      <c r="S143" s="31">
        <v>800</v>
      </c>
      <c r="T143" s="31">
        <v>800</v>
      </c>
      <c r="U143" s="31">
        <v>800</v>
      </c>
      <c r="V143" s="31">
        <v>800</v>
      </c>
      <c r="W143" s="31">
        <v>800</v>
      </c>
      <c r="X143" s="31">
        <v>800</v>
      </c>
      <c r="Y143" s="30">
        <f t="shared" si="18"/>
        <v>33600</v>
      </c>
      <c r="Z143">
        <f>VLOOKUP(A143,справочник!$E$2:$F$322,2,FALSE)</f>
        <v>0</v>
      </c>
    </row>
    <row r="144" spans="1:26" hidden="1">
      <c r="A144" s="41">
        <f>VLOOKUP(B144,справочник!$B$2:$E$322,4,FALSE)</f>
        <v>192</v>
      </c>
      <c r="B144" t="str">
        <f t="shared" si="15"/>
        <v>200Косенков Степан Фед-ч(Галактионова)</v>
      </c>
      <c r="C144" s="1">
        <v>200</v>
      </c>
      <c r="D144" s="2" t="s">
        <v>134</v>
      </c>
      <c r="E144" s="1" t="s">
        <v>450</v>
      </c>
      <c r="F144" s="16">
        <v>41829</v>
      </c>
      <c r="G144" s="16">
        <v>41852</v>
      </c>
      <c r="H144" s="17">
        <f t="shared" si="16"/>
        <v>17</v>
      </c>
      <c r="I144" s="1">
        <f t="shared" si="19"/>
        <v>17000</v>
      </c>
      <c r="J144" s="17"/>
      <c r="K144" s="17"/>
      <c r="L144" s="30">
        <f t="shared" si="17"/>
        <v>17000</v>
      </c>
      <c r="M144" s="31">
        <v>800</v>
      </c>
      <c r="N144" s="31">
        <v>800</v>
      </c>
      <c r="O144" s="31">
        <v>800</v>
      </c>
      <c r="P144" s="31">
        <v>800</v>
      </c>
      <c r="Q144" s="31">
        <v>800</v>
      </c>
      <c r="R144" s="31">
        <v>800</v>
      </c>
      <c r="S144" s="31">
        <v>800</v>
      </c>
      <c r="T144" s="31">
        <v>800</v>
      </c>
      <c r="U144" s="31">
        <v>800</v>
      </c>
      <c r="V144" s="31">
        <v>800</v>
      </c>
      <c r="W144" s="31">
        <v>800</v>
      </c>
      <c r="X144" s="31">
        <v>800</v>
      </c>
      <c r="Y144" s="30">
        <f t="shared" si="18"/>
        <v>26600</v>
      </c>
      <c r="Z144">
        <f>VLOOKUP(A144,справочник!$E$2:$F$322,2,FALSE)</f>
        <v>0</v>
      </c>
    </row>
    <row r="145" spans="1:26" hidden="1">
      <c r="A145" s="41">
        <f>VLOOKUP(B145,справочник!$B$2:$E$322,4,FALSE)</f>
        <v>289</v>
      </c>
      <c r="B145" t="str">
        <f t="shared" si="15"/>
        <v>301Косенкова Елизавета Евгеньевна</v>
      </c>
      <c r="C145" s="1">
        <v>301</v>
      </c>
      <c r="D145" s="2" t="s">
        <v>135</v>
      </c>
      <c r="E145" s="1" t="s">
        <v>451</v>
      </c>
      <c r="F145" s="16">
        <v>41976</v>
      </c>
      <c r="G145" s="16">
        <v>42005</v>
      </c>
      <c r="H145" s="17">
        <f t="shared" si="16"/>
        <v>12</v>
      </c>
      <c r="I145" s="1">
        <f t="shared" si="19"/>
        <v>12000</v>
      </c>
      <c r="J145" s="17">
        <v>3000</v>
      </c>
      <c r="K145" s="17"/>
      <c r="L145" s="30">
        <f t="shared" si="17"/>
        <v>9000</v>
      </c>
      <c r="M145" s="31">
        <v>800</v>
      </c>
      <c r="N145" s="31">
        <v>800</v>
      </c>
      <c r="O145" s="31">
        <v>800</v>
      </c>
      <c r="P145" s="31">
        <v>800</v>
      </c>
      <c r="Q145" s="31">
        <v>800</v>
      </c>
      <c r="R145" s="31">
        <v>800</v>
      </c>
      <c r="S145" s="31">
        <v>800</v>
      </c>
      <c r="T145" s="31">
        <v>800</v>
      </c>
      <c r="U145" s="31">
        <v>800</v>
      </c>
      <c r="V145" s="31">
        <v>800</v>
      </c>
      <c r="W145" s="31">
        <v>800</v>
      </c>
      <c r="X145" s="31">
        <v>800</v>
      </c>
      <c r="Y145" s="30">
        <f t="shared" si="18"/>
        <v>18600</v>
      </c>
      <c r="Z145">
        <f>VLOOKUP(A145,справочник!$E$2:$F$322,2,FALSE)</f>
        <v>0</v>
      </c>
    </row>
    <row r="146" spans="1:26" hidden="1">
      <c r="A146" s="41">
        <f>VLOOKUP(B146,справочник!$B$2:$E$322,4,FALSE)</f>
        <v>143</v>
      </c>
      <c r="B146" t="str">
        <f t="shared" si="15"/>
        <v>151Красникова Раиса Михайловна</v>
      </c>
      <c r="C146" s="1">
        <v>151</v>
      </c>
      <c r="D146" s="2" t="s">
        <v>136</v>
      </c>
      <c r="E146" s="1" t="s">
        <v>452</v>
      </c>
      <c r="F146" s="16">
        <v>40841</v>
      </c>
      <c r="G146" s="16">
        <v>40848</v>
      </c>
      <c r="H146" s="17">
        <f t="shared" si="16"/>
        <v>50</v>
      </c>
      <c r="I146" s="1">
        <f t="shared" si="19"/>
        <v>50000</v>
      </c>
      <c r="J146" s="17">
        <v>37000</v>
      </c>
      <c r="K146" s="17"/>
      <c r="L146" s="30">
        <f t="shared" si="17"/>
        <v>13000</v>
      </c>
      <c r="M146" s="31">
        <v>800</v>
      </c>
      <c r="N146" s="31">
        <v>800</v>
      </c>
      <c r="O146" s="31">
        <v>800</v>
      </c>
      <c r="P146" s="31">
        <v>800</v>
      </c>
      <c r="Q146" s="31">
        <v>800</v>
      </c>
      <c r="R146" s="31">
        <v>800</v>
      </c>
      <c r="S146" s="31">
        <v>800</v>
      </c>
      <c r="T146" s="31">
        <v>800</v>
      </c>
      <c r="U146" s="31">
        <v>800</v>
      </c>
      <c r="V146" s="31">
        <v>800</v>
      </c>
      <c r="W146" s="31">
        <v>800</v>
      </c>
      <c r="X146" s="31">
        <v>800</v>
      </c>
      <c r="Y146" s="30">
        <f t="shared" si="18"/>
        <v>22600</v>
      </c>
      <c r="Z146">
        <f>VLOOKUP(A146,справочник!$E$2:$F$322,2,FALSE)</f>
        <v>0</v>
      </c>
    </row>
    <row r="147" spans="1:26" hidden="1">
      <c r="A147" s="41">
        <f>VLOOKUP(B147,справочник!$B$2:$E$322,4,FALSE)</f>
        <v>62</v>
      </c>
      <c r="B147" t="str">
        <f t="shared" si="15"/>
        <v>64Кривой Владимир Аркадьевич</v>
      </c>
      <c r="C147" s="1">
        <v>64</v>
      </c>
      <c r="D147" s="2" t="s">
        <v>137</v>
      </c>
      <c r="E147" s="1" t="s">
        <v>453</v>
      </c>
      <c r="F147" s="16">
        <v>40816</v>
      </c>
      <c r="G147" s="16">
        <v>40817</v>
      </c>
      <c r="H147" s="17">
        <f t="shared" si="16"/>
        <v>51</v>
      </c>
      <c r="I147" s="1">
        <f t="shared" si="19"/>
        <v>51000</v>
      </c>
      <c r="J147" s="17">
        <f>1000+47000</f>
        <v>48000</v>
      </c>
      <c r="K147" s="17">
        <v>3000</v>
      </c>
      <c r="L147" s="30">
        <f t="shared" si="17"/>
        <v>0</v>
      </c>
      <c r="M147" s="31">
        <v>800</v>
      </c>
      <c r="N147" s="31">
        <v>800</v>
      </c>
      <c r="O147" s="31">
        <v>800</v>
      </c>
      <c r="P147" s="31">
        <v>800</v>
      </c>
      <c r="Q147" s="31">
        <v>800</v>
      </c>
      <c r="R147" s="31">
        <v>800</v>
      </c>
      <c r="S147" s="31">
        <v>800</v>
      </c>
      <c r="T147" s="31">
        <v>800</v>
      </c>
      <c r="U147" s="31">
        <v>800</v>
      </c>
      <c r="V147" s="31">
        <v>800</v>
      </c>
      <c r="W147" s="31">
        <v>800</v>
      </c>
      <c r="X147" s="31">
        <v>800</v>
      </c>
      <c r="Y147" s="30">
        <f t="shared" si="18"/>
        <v>9600</v>
      </c>
      <c r="Z147">
        <f>VLOOKUP(A147,справочник!$E$2:$F$322,2,FALSE)</f>
        <v>0</v>
      </c>
    </row>
    <row r="148" spans="1:26" hidden="1">
      <c r="A148" s="41">
        <f>VLOOKUP(B148,справочник!$B$2:$E$322,4,FALSE)</f>
        <v>225</v>
      </c>
      <c r="B148" t="str">
        <f t="shared" si="15"/>
        <v>234Крупник Андрей Валерьевич</v>
      </c>
      <c r="C148" s="1">
        <v>234</v>
      </c>
      <c r="D148" s="2" t="s">
        <v>138</v>
      </c>
      <c r="E148" s="1" t="s">
        <v>454</v>
      </c>
      <c r="F148" s="16">
        <v>41871</v>
      </c>
      <c r="G148" s="16">
        <v>41883</v>
      </c>
      <c r="H148" s="17">
        <f t="shared" si="16"/>
        <v>16</v>
      </c>
      <c r="I148" s="1">
        <f t="shared" si="19"/>
        <v>16000</v>
      </c>
      <c r="J148" s="17"/>
      <c r="K148" s="17"/>
      <c r="L148" s="30">
        <f t="shared" si="17"/>
        <v>16000</v>
      </c>
      <c r="M148" s="31">
        <v>800</v>
      </c>
      <c r="N148" s="31">
        <v>800</v>
      </c>
      <c r="O148" s="31">
        <v>800</v>
      </c>
      <c r="P148" s="31">
        <v>800</v>
      </c>
      <c r="Q148" s="31">
        <v>800</v>
      </c>
      <c r="R148" s="31">
        <v>800</v>
      </c>
      <c r="S148" s="31">
        <v>800</v>
      </c>
      <c r="T148" s="31">
        <v>800</v>
      </c>
      <c r="U148" s="31">
        <v>800</v>
      </c>
      <c r="V148" s="31">
        <v>800</v>
      </c>
      <c r="W148" s="31">
        <v>800</v>
      </c>
      <c r="X148" s="31">
        <v>800</v>
      </c>
      <c r="Y148" s="30">
        <f t="shared" si="18"/>
        <v>25600</v>
      </c>
      <c r="Z148">
        <f>VLOOKUP(A148,справочник!$E$2:$F$322,2,FALSE)</f>
        <v>0</v>
      </c>
    </row>
    <row r="149" spans="1:26" hidden="1">
      <c r="A149" s="41">
        <f>VLOOKUP(B149,справочник!$B$2:$E$322,4,FALSE)</f>
        <v>266</v>
      </c>
      <c r="B149" t="str">
        <f t="shared" si="15"/>
        <v>279Кудревцев Евгений Александрович</v>
      </c>
      <c r="C149" s="1">
        <v>279</v>
      </c>
      <c r="D149" s="2" t="s">
        <v>139</v>
      </c>
      <c r="E149" s="1" t="s">
        <v>455</v>
      </c>
      <c r="F149" s="16">
        <v>40799</v>
      </c>
      <c r="G149" s="16">
        <v>40787</v>
      </c>
      <c r="H149" s="17">
        <f t="shared" si="16"/>
        <v>52</v>
      </c>
      <c r="I149" s="1">
        <f t="shared" si="19"/>
        <v>52000</v>
      </c>
      <c r="J149" s="17">
        <f>40000+1000</f>
        <v>41000</v>
      </c>
      <c r="K149" s="17"/>
      <c r="L149" s="30">
        <f t="shared" si="17"/>
        <v>11000</v>
      </c>
      <c r="M149" s="31">
        <v>800</v>
      </c>
      <c r="N149" s="31">
        <v>800</v>
      </c>
      <c r="O149" s="31">
        <v>800</v>
      </c>
      <c r="P149" s="31">
        <v>800</v>
      </c>
      <c r="Q149" s="31">
        <v>800</v>
      </c>
      <c r="R149" s="31">
        <v>800</v>
      </c>
      <c r="S149" s="31">
        <v>800</v>
      </c>
      <c r="T149" s="31">
        <v>800</v>
      </c>
      <c r="U149" s="31">
        <v>800</v>
      </c>
      <c r="V149" s="31">
        <v>800</v>
      </c>
      <c r="W149" s="31">
        <v>800</v>
      </c>
      <c r="X149" s="31">
        <v>800</v>
      </c>
      <c r="Y149" s="30">
        <f t="shared" si="18"/>
        <v>20600</v>
      </c>
      <c r="Z149">
        <f>VLOOKUP(A149,справочник!$E$2:$F$322,2,FALSE)</f>
        <v>0</v>
      </c>
    </row>
    <row r="150" spans="1:26" hidden="1">
      <c r="A150" s="41">
        <f>VLOOKUP(B150,справочник!$B$2:$E$322,4,FALSE)</f>
        <v>157</v>
      </c>
      <c r="B150" t="str">
        <f t="shared" si="15"/>
        <v>165Кудрявцева Наталья Викторовна</v>
      </c>
      <c r="C150" s="1">
        <v>165</v>
      </c>
      <c r="D150" s="2" t="s">
        <v>140</v>
      </c>
      <c r="E150" s="1" t="s">
        <v>456</v>
      </c>
      <c r="F150" s="16">
        <v>40885</v>
      </c>
      <c r="G150" s="16">
        <v>40878</v>
      </c>
      <c r="H150" s="17">
        <f t="shared" si="16"/>
        <v>49</v>
      </c>
      <c r="I150" s="1">
        <f t="shared" si="19"/>
        <v>49000</v>
      </c>
      <c r="J150" s="17">
        <f>12000+13000</f>
        <v>25000</v>
      </c>
      <c r="K150" s="17"/>
      <c r="L150" s="30">
        <f t="shared" si="17"/>
        <v>24000</v>
      </c>
      <c r="M150" s="31">
        <v>800</v>
      </c>
      <c r="N150" s="31">
        <v>800</v>
      </c>
      <c r="O150" s="31">
        <v>800</v>
      </c>
      <c r="P150" s="31">
        <v>800</v>
      </c>
      <c r="Q150" s="31">
        <v>800</v>
      </c>
      <c r="R150" s="31">
        <v>800</v>
      </c>
      <c r="S150" s="31">
        <v>800</v>
      </c>
      <c r="T150" s="31">
        <v>800</v>
      </c>
      <c r="U150" s="31">
        <v>800</v>
      </c>
      <c r="V150" s="31">
        <v>800</v>
      </c>
      <c r="W150" s="31">
        <v>800</v>
      </c>
      <c r="X150" s="31">
        <v>800</v>
      </c>
      <c r="Y150" s="30">
        <f t="shared" si="18"/>
        <v>33600</v>
      </c>
      <c r="Z150">
        <f>VLOOKUP(A150,справочник!$E$2:$F$322,2,FALSE)</f>
        <v>0</v>
      </c>
    </row>
    <row r="151" spans="1:26" hidden="1">
      <c r="A151" s="41">
        <f>VLOOKUP(B151,справочник!$B$2:$E$322,4,FALSE)</f>
        <v>194</v>
      </c>
      <c r="B151" t="str">
        <f t="shared" si="15"/>
        <v>202Куликов Александр Владимирович</v>
      </c>
      <c r="C151" s="1">
        <v>202</v>
      </c>
      <c r="D151" s="2" t="s">
        <v>141</v>
      </c>
      <c r="E151" s="1" t="s">
        <v>457</v>
      </c>
      <c r="F151" s="16">
        <v>41898</v>
      </c>
      <c r="G151" s="16">
        <v>41913</v>
      </c>
      <c r="H151" s="17">
        <f t="shared" si="16"/>
        <v>15</v>
      </c>
      <c r="I151" s="1">
        <f t="shared" si="19"/>
        <v>15000</v>
      </c>
      <c r="J151" s="17">
        <v>11000</v>
      </c>
      <c r="K151" s="17"/>
      <c r="L151" s="30">
        <f t="shared" si="17"/>
        <v>4000</v>
      </c>
      <c r="M151" s="31">
        <v>800</v>
      </c>
      <c r="N151" s="31">
        <v>800</v>
      </c>
      <c r="O151" s="31">
        <v>800</v>
      </c>
      <c r="P151" s="31">
        <v>800</v>
      </c>
      <c r="Q151" s="31">
        <v>800</v>
      </c>
      <c r="R151" s="31">
        <v>800</v>
      </c>
      <c r="S151" s="31">
        <v>800</v>
      </c>
      <c r="T151" s="31">
        <v>800</v>
      </c>
      <c r="U151" s="31">
        <v>800</v>
      </c>
      <c r="V151" s="31">
        <v>800</v>
      </c>
      <c r="W151" s="31">
        <v>800</v>
      </c>
      <c r="X151" s="31">
        <v>800</v>
      </c>
      <c r="Y151" s="30">
        <f t="shared" si="18"/>
        <v>13600</v>
      </c>
      <c r="Z151">
        <f>VLOOKUP(A151,справочник!$E$2:$F$322,2,FALSE)</f>
        <v>0</v>
      </c>
    </row>
    <row r="152" spans="1:26" hidden="1">
      <c r="A152" s="41">
        <f>VLOOKUP(B152,справочник!$B$2:$E$322,4,FALSE)</f>
        <v>65</v>
      </c>
      <c r="B152" t="str">
        <f t="shared" si="15"/>
        <v xml:space="preserve">67Куликова Наталья Александровна </v>
      </c>
      <c r="C152" s="1">
        <v>67</v>
      </c>
      <c r="D152" s="2" t="s">
        <v>142</v>
      </c>
      <c r="E152" s="1" t="s">
        <v>458</v>
      </c>
      <c r="F152" s="16">
        <v>40872</v>
      </c>
      <c r="G152" s="16">
        <v>40848</v>
      </c>
      <c r="H152" s="17">
        <f t="shared" si="16"/>
        <v>50</v>
      </c>
      <c r="I152" s="1">
        <f t="shared" si="19"/>
        <v>50000</v>
      </c>
      <c r="J152" s="17">
        <f>30000</f>
        <v>30000</v>
      </c>
      <c r="K152" s="17"/>
      <c r="L152" s="30">
        <f t="shared" si="17"/>
        <v>20000</v>
      </c>
      <c r="M152" s="31">
        <v>800</v>
      </c>
      <c r="N152" s="31">
        <v>800</v>
      </c>
      <c r="O152" s="31">
        <v>800</v>
      </c>
      <c r="P152" s="31">
        <v>800</v>
      </c>
      <c r="Q152" s="31">
        <v>800</v>
      </c>
      <c r="R152" s="31">
        <v>800</v>
      </c>
      <c r="S152" s="31">
        <v>800</v>
      </c>
      <c r="T152" s="31">
        <v>800</v>
      </c>
      <c r="U152" s="31">
        <v>800</v>
      </c>
      <c r="V152" s="31">
        <v>800</v>
      </c>
      <c r="W152" s="31">
        <v>800</v>
      </c>
      <c r="X152" s="31">
        <v>800</v>
      </c>
      <c r="Y152" s="30">
        <f t="shared" si="18"/>
        <v>29600</v>
      </c>
      <c r="Z152">
        <f>VLOOKUP(A152,справочник!$E$2:$F$322,2,FALSE)</f>
        <v>0</v>
      </c>
    </row>
    <row r="153" spans="1:26" hidden="1">
      <c r="A153" s="41">
        <f>VLOOKUP(B153,справочник!$B$2:$E$322,4,FALSE)</f>
        <v>216</v>
      </c>
      <c r="B153" t="str">
        <f t="shared" si="15"/>
        <v xml:space="preserve">225Кулиш Сергей Александрович       </v>
      </c>
      <c r="C153" s="1">
        <v>225</v>
      </c>
      <c r="D153" s="8" t="s">
        <v>143</v>
      </c>
      <c r="E153" s="1" t="s">
        <v>459</v>
      </c>
      <c r="F153" s="16">
        <v>41773</v>
      </c>
      <c r="G153" s="16">
        <v>41760</v>
      </c>
      <c r="H153" s="17">
        <f t="shared" si="16"/>
        <v>20</v>
      </c>
      <c r="I153" s="1">
        <f t="shared" si="19"/>
        <v>20000</v>
      </c>
      <c r="J153" s="17">
        <v>20000</v>
      </c>
      <c r="K153" s="17"/>
      <c r="L153" s="30">
        <f t="shared" si="17"/>
        <v>0</v>
      </c>
      <c r="M153" s="31">
        <v>800</v>
      </c>
      <c r="N153" s="31">
        <v>800</v>
      </c>
      <c r="O153" s="31">
        <v>800</v>
      </c>
      <c r="P153" s="31">
        <v>800</v>
      </c>
      <c r="Q153" s="31">
        <v>800</v>
      </c>
      <c r="R153" s="31">
        <v>800</v>
      </c>
      <c r="S153" s="31">
        <v>800</v>
      </c>
      <c r="T153" s="31">
        <v>800</v>
      </c>
      <c r="U153" s="31">
        <v>800</v>
      </c>
      <c r="V153" s="31">
        <v>800</v>
      </c>
      <c r="W153" s="31">
        <v>800</v>
      </c>
      <c r="X153" s="31">
        <v>800</v>
      </c>
      <c r="Y153" s="30">
        <f t="shared" si="18"/>
        <v>9600</v>
      </c>
      <c r="Z153">
        <f>VLOOKUP(A153,справочник!$E$2:$F$322,2,FALSE)</f>
        <v>1</v>
      </c>
    </row>
    <row r="154" spans="1:26" hidden="1">
      <c r="A154" s="41">
        <f>VLOOKUP(B154,справочник!$B$2:$E$322,4,FALSE)</f>
        <v>216</v>
      </c>
      <c r="B154" t="str">
        <f t="shared" si="15"/>
        <v xml:space="preserve">226Кулиш Сергей Александрович       </v>
      </c>
      <c r="C154" s="1">
        <v>226</v>
      </c>
      <c r="D154" s="8" t="s">
        <v>143</v>
      </c>
      <c r="E154" s="1" t="s">
        <v>460</v>
      </c>
      <c r="F154" s="16">
        <v>41773</v>
      </c>
      <c r="G154" s="16">
        <v>41760</v>
      </c>
      <c r="H154" s="17">
        <f t="shared" si="16"/>
        <v>20</v>
      </c>
      <c r="I154" s="1">
        <f t="shared" si="19"/>
        <v>20000</v>
      </c>
      <c r="J154" s="17">
        <v>20000</v>
      </c>
      <c r="K154" s="17"/>
      <c r="L154" s="30">
        <f t="shared" si="17"/>
        <v>0</v>
      </c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0">
        <f t="shared" si="18"/>
        <v>0</v>
      </c>
      <c r="Z154">
        <f>VLOOKUP(A154,справочник!$E$2:$F$322,2,FALSE)</f>
        <v>1</v>
      </c>
    </row>
    <row r="155" spans="1:26" hidden="1">
      <c r="A155" s="41">
        <f>VLOOKUP(B155,справочник!$B$2:$E$322,4,FALSE)</f>
        <v>56</v>
      </c>
      <c r="B155" t="str">
        <f t="shared" si="15"/>
        <v>58Кушваха Виджай Шанкар</v>
      </c>
      <c r="C155" s="1">
        <v>58</v>
      </c>
      <c r="D155" s="2" t="s">
        <v>144</v>
      </c>
      <c r="E155" s="1" t="s">
        <v>461</v>
      </c>
      <c r="F155" s="16">
        <v>40715</v>
      </c>
      <c r="G155" s="16">
        <v>40725</v>
      </c>
      <c r="H155" s="17">
        <f t="shared" si="16"/>
        <v>54</v>
      </c>
      <c r="I155" s="1">
        <f t="shared" si="19"/>
        <v>54000</v>
      </c>
      <c r="J155" s="17">
        <v>1000</v>
      </c>
      <c r="K155" s="17"/>
      <c r="L155" s="30">
        <f t="shared" si="17"/>
        <v>53000</v>
      </c>
      <c r="M155" s="31">
        <v>800</v>
      </c>
      <c r="N155" s="31">
        <v>800</v>
      </c>
      <c r="O155" s="31">
        <v>800</v>
      </c>
      <c r="P155" s="31">
        <v>800</v>
      </c>
      <c r="Q155" s="31">
        <v>800</v>
      </c>
      <c r="R155" s="31">
        <v>800</v>
      </c>
      <c r="S155" s="31">
        <v>800</v>
      </c>
      <c r="T155" s="31">
        <v>800</v>
      </c>
      <c r="U155" s="31">
        <v>800</v>
      </c>
      <c r="V155" s="31">
        <v>800</v>
      </c>
      <c r="W155" s="31">
        <v>800</v>
      </c>
      <c r="X155" s="31">
        <v>800</v>
      </c>
      <c r="Y155" s="30">
        <f t="shared" si="18"/>
        <v>62600</v>
      </c>
      <c r="Z155">
        <f>VLOOKUP(A155,справочник!$E$2:$F$322,2,FALSE)</f>
        <v>0</v>
      </c>
    </row>
    <row r="156" spans="1:26" hidden="1">
      <c r="A156" s="41">
        <f>VLOOKUP(B156,справочник!$B$2:$E$322,4,FALSE)</f>
        <v>150</v>
      </c>
      <c r="B156" t="str">
        <f t="shared" si="15"/>
        <v>158Лайпанов Рустам Сеитбиевич</v>
      </c>
      <c r="C156" s="1">
        <v>158</v>
      </c>
      <c r="D156" s="2" t="s">
        <v>145</v>
      </c>
      <c r="E156" s="1" t="s">
        <v>462</v>
      </c>
      <c r="F156" s="16">
        <v>40770</v>
      </c>
      <c r="G156" s="16">
        <v>40787</v>
      </c>
      <c r="H156" s="17">
        <f t="shared" si="16"/>
        <v>52</v>
      </c>
      <c r="I156" s="1">
        <f t="shared" si="19"/>
        <v>52000</v>
      </c>
      <c r="J156" s="17">
        <f>21000+1000</f>
        <v>22000</v>
      </c>
      <c r="K156" s="17"/>
      <c r="L156" s="30">
        <f t="shared" si="17"/>
        <v>30000</v>
      </c>
      <c r="M156" s="31">
        <v>800</v>
      </c>
      <c r="N156" s="31">
        <v>800</v>
      </c>
      <c r="O156" s="31">
        <v>800</v>
      </c>
      <c r="P156" s="31">
        <v>800</v>
      </c>
      <c r="Q156" s="31">
        <v>800</v>
      </c>
      <c r="R156" s="31">
        <v>800</v>
      </c>
      <c r="S156" s="31">
        <v>800</v>
      </c>
      <c r="T156" s="31">
        <v>800</v>
      </c>
      <c r="U156" s="31">
        <v>800</v>
      </c>
      <c r="V156" s="31">
        <v>800</v>
      </c>
      <c r="W156" s="31">
        <v>800</v>
      </c>
      <c r="X156" s="31">
        <v>800</v>
      </c>
      <c r="Y156" s="30">
        <f t="shared" si="18"/>
        <v>39600</v>
      </c>
      <c r="Z156">
        <f>VLOOKUP(A156,справочник!$E$2:$F$322,2,FALSE)</f>
        <v>0</v>
      </c>
    </row>
    <row r="157" spans="1:26" hidden="1">
      <c r="A157" s="41">
        <f>VLOOKUP(B157,справочник!$B$2:$E$322,4,FALSE)</f>
        <v>243</v>
      </c>
      <c r="B157" t="str">
        <f t="shared" si="15"/>
        <v>254Лапшин Сергей Николаевич</v>
      </c>
      <c r="C157" s="1">
        <v>254</v>
      </c>
      <c r="D157" s="2" t="s">
        <v>146</v>
      </c>
      <c r="E157" s="1" t="s">
        <v>463</v>
      </c>
      <c r="F157" s="16">
        <v>40791</v>
      </c>
      <c r="G157" s="16">
        <v>40787</v>
      </c>
      <c r="H157" s="17">
        <f t="shared" si="16"/>
        <v>52</v>
      </c>
      <c r="I157" s="1">
        <f t="shared" si="19"/>
        <v>52000</v>
      </c>
      <c r="J157" s="17">
        <f>1000</f>
        <v>1000</v>
      </c>
      <c r="K157" s="17">
        <v>45000</v>
      </c>
      <c r="L157" s="30">
        <f t="shared" si="17"/>
        <v>6000</v>
      </c>
      <c r="M157" s="31">
        <v>800</v>
      </c>
      <c r="N157" s="31">
        <v>800</v>
      </c>
      <c r="O157" s="31">
        <v>800</v>
      </c>
      <c r="P157" s="31">
        <v>800</v>
      </c>
      <c r="Q157" s="31">
        <v>800</v>
      </c>
      <c r="R157" s="31">
        <v>800</v>
      </c>
      <c r="S157" s="31">
        <v>800</v>
      </c>
      <c r="T157" s="31">
        <v>800</v>
      </c>
      <c r="U157" s="31">
        <v>800</v>
      </c>
      <c r="V157" s="31">
        <v>800</v>
      </c>
      <c r="W157" s="31">
        <v>800</v>
      </c>
      <c r="X157" s="31">
        <v>800</v>
      </c>
      <c r="Y157" s="30">
        <f t="shared" si="18"/>
        <v>15600</v>
      </c>
      <c r="Z157">
        <f>VLOOKUP(A157,справочник!$E$2:$F$322,2,FALSE)</f>
        <v>0</v>
      </c>
    </row>
    <row r="158" spans="1:26" hidden="1">
      <c r="A158" s="41">
        <f>VLOOKUP(B158,справочник!$B$2:$E$322,4,FALSE)</f>
        <v>220</v>
      </c>
      <c r="B158" t="str">
        <f t="shared" si="15"/>
        <v>229Ларионова Наталья Владимировна</v>
      </c>
      <c r="C158" s="1">
        <v>229</v>
      </c>
      <c r="D158" s="2" t="s">
        <v>147</v>
      </c>
      <c r="E158" s="1" t="s">
        <v>464</v>
      </c>
      <c r="F158" s="16">
        <v>41800</v>
      </c>
      <c r="G158" s="16">
        <v>41821</v>
      </c>
      <c r="H158" s="17">
        <f t="shared" si="16"/>
        <v>18</v>
      </c>
      <c r="I158" s="1">
        <f t="shared" si="19"/>
        <v>18000</v>
      </c>
      <c r="J158" s="17">
        <f>1000</f>
        <v>1000</v>
      </c>
      <c r="K158" s="17"/>
      <c r="L158" s="30">
        <f t="shared" si="17"/>
        <v>17000</v>
      </c>
      <c r="M158" s="31">
        <v>800</v>
      </c>
      <c r="N158" s="31">
        <v>800</v>
      </c>
      <c r="O158" s="31">
        <v>800</v>
      </c>
      <c r="P158" s="31">
        <v>800</v>
      </c>
      <c r="Q158" s="31">
        <v>800</v>
      </c>
      <c r="R158" s="31">
        <v>800</v>
      </c>
      <c r="S158" s="31">
        <v>800</v>
      </c>
      <c r="T158" s="31">
        <v>800</v>
      </c>
      <c r="U158" s="31">
        <v>800</v>
      </c>
      <c r="V158" s="31">
        <v>800</v>
      </c>
      <c r="W158" s="31">
        <v>800</v>
      </c>
      <c r="X158" s="31">
        <v>800</v>
      </c>
      <c r="Y158" s="30">
        <f t="shared" si="18"/>
        <v>26600</v>
      </c>
      <c r="Z158">
        <f>VLOOKUP(A158,справочник!$E$2:$F$322,2,FALSE)</f>
        <v>0</v>
      </c>
    </row>
    <row r="159" spans="1:26" hidden="1">
      <c r="A159" s="41">
        <f>VLOOKUP(B159,справочник!$B$2:$E$322,4,FALSE)</f>
        <v>3</v>
      </c>
      <c r="B159" t="str">
        <f t="shared" si="15"/>
        <v>3Лебедев Андрей Анатольевич</v>
      </c>
      <c r="C159" s="1">
        <v>3</v>
      </c>
      <c r="D159" s="2" t="s">
        <v>148</v>
      </c>
      <c r="E159" s="1" t="s">
        <v>465</v>
      </c>
      <c r="F159" s="16">
        <v>41954</v>
      </c>
      <c r="G159" s="16">
        <v>41609</v>
      </c>
      <c r="H159" s="17">
        <f t="shared" si="16"/>
        <v>25</v>
      </c>
      <c r="I159" s="1">
        <f t="shared" si="19"/>
        <v>25000</v>
      </c>
      <c r="J159" s="17">
        <f>4000</f>
        <v>4000</v>
      </c>
      <c r="K159" s="17"/>
      <c r="L159" s="30">
        <f t="shared" si="17"/>
        <v>21000</v>
      </c>
      <c r="M159" s="31">
        <v>800</v>
      </c>
      <c r="N159" s="31">
        <v>800</v>
      </c>
      <c r="O159" s="31">
        <v>800</v>
      </c>
      <c r="P159" s="31">
        <v>800</v>
      </c>
      <c r="Q159" s="31">
        <v>800</v>
      </c>
      <c r="R159" s="31">
        <v>800</v>
      </c>
      <c r="S159" s="31">
        <v>800</v>
      </c>
      <c r="T159" s="31">
        <v>800</v>
      </c>
      <c r="U159" s="31">
        <v>800</v>
      </c>
      <c r="V159" s="31">
        <v>800</v>
      </c>
      <c r="W159" s="31">
        <v>800</v>
      </c>
      <c r="X159" s="31">
        <v>800</v>
      </c>
      <c r="Y159" s="30">
        <f t="shared" si="18"/>
        <v>30600</v>
      </c>
      <c r="Z159">
        <f>VLOOKUP(A159,справочник!$E$2:$F$322,2,FALSE)</f>
        <v>0</v>
      </c>
    </row>
    <row r="160" spans="1:26" hidden="1">
      <c r="A160" s="41">
        <f>VLOOKUP(B160,справочник!$B$2:$E$322,4,FALSE)</f>
        <v>158</v>
      </c>
      <c r="B160" t="str">
        <f t="shared" si="15"/>
        <v>166Лебедева Елена Александровна</v>
      </c>
      <c r="C160" s="1">
        <v>166</v>
      </c>
      <c r="D160" s="2" t="s">
        <v>149</v>
      </c>
      <c r="E160" s="1" t="s">
        <v>466</v>
      </c>
      <c r="F160" s="16">
        <v>41660</v>
      </c>
      <c r="G160" s="16">
        <v>41671</v>
      </c>
      <c r="H160" s="17">
        <f t="shared" si="16"/>
        <v>23</v>
      </c>
      <c r="I160" s="1">
        <f t="shared" si="19"/>
        <v>23000</v>
      </c>
      <c r="J160" s="17">
        <f>1000</f>
        <v>1000</v>
      </c>
      <c r="K160" s="17"/>
      <c r="L160" s="30">
        <f t="shared" si="17"/>
        <v>22000</v>
      </c>
      <c r="M160" s="31">
        <v>800</v>
      </c>
      <c r="N160" s="31">
        <v>800</v>
      </c>
      <c r="O160" s="31">
        <v>800</v>
      </c>
      <c r="P160" s="31">
        <v>800</v>
      </c>
      <c r="Q160" s="31">
        <v>800</v>
      </c>
      <c r="R160" s="31">
        <v>800</v>
      </c>
      <c r="S160" s="31">
        <v>800</v>
      </c>
      <c r="T160" s="31">
        <v>800</v>
      </c>
      <c r="U160" s="31">
        <v>800</v>
      </c>
      <c r="V160" s="31">
        <v>800</v>
      </c>
      <c r="W160" s="31">
        <v>800</v>
      </c>
      <c r="X160" s="31">
        <v>800</v>
      </c>
      <c r="Y160" s="30">
        <f t="shared" si="18"/>
        <v>31600</v>
      </c>
      <c r="Z160">
        <f>VLOOKUP(A160,справочник!$E$2:$F$322,2,FALSE)</f>
        <v>0</v>
      </c>
    </row>
    <row r="161" spans="1:26" hidden="1">
      <c r="A161" s="41">
        <f>VLOOKUP(B161,справочник!$B$2:$E$322,4,FALSE)</f>
        <v>139</v>
      </c>
      <c r="B161" t="str">
        <f t="shared" si="15"/>
        <v>149Левина Елена Александровна (Дмитрий)</v>
      </c>
      <c r="C161" s="1">
        <v>149</v>
      </c>
      <c r="D161" s="2" t="s">
        <v>150</v>
      </c>
      <c r="E161" s="1" t="s">
        <v>467</v>
      </c>
      <c r="F161" s="19">
        <v>40715</v>
      </c>
      <c r="G161" s="19">
        <v>40725</v>
      </c>
      <c r="H161" s="20">
        <f t="shared" si="16"/>
        <v>54</v>
      </c>
      <c r="I161" s="5">
        <f t="shared" si="19"/>
        <v>54000</v>
      </c>
      <c r="J161" s="20">
        <v>54000</v>
      </c>
      <c r="K161" s="20"/>
      <c r="L161" s="32">
        <f t="shared" si="17"/>
        <v>0</v>
      </c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0">
        <f t="shared" si="18"/>
        <v>0</v>
      </c>
      <c r="Z161">
        <f>VLOOKUP(A161,справочник!$E$2:$F$322,2,FALSE)</f>
        <v>1</v>
      </c>
    </row>
    <row r="162" spans="1:26" hidden="1">
      <c r="A162" s="41">
        <f>VLOOKUP(B162,справочник!$B$2:$E$322,4,FALSE)</f>
        <v>139</v>
      </c>
      <c r="B162" t="str">
        <f t="shared" si="15"/>
        <v>147Левина Елена Александровна (Дмитрий)</v>
      </c>
      <c r="C162" s="1">
        <v>147</v>
      </c>
      <c r="D162" s="2" t="s">
        <v>150</v>
      </c>
      <c r="E162" s="1" t="s">
        <v>468</v>
      </c>
      <c r="F162" s="19">
        <v>40715</v>
      </c>
      <c r="G162" s="19">
        <v>40725</v>
      </c>
      <c r="H162" s="20">
        <f t="shared" si="16"/>
        <v>54</v>
      </c>
      <c r="I162" s="5">
        <f t="shared" si="19"/>
        <v>54000</v>
      </c>
      <c r="J162" s="20">
        <v>54000</v>
      </c>
      <c r="K162" s="20"/>
      <c r="L162" s="32">
        <f t="shared" si="17"/>
        <v>0</v>
      </c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0">
        <f t="shared" si="18"/>
        <v>0</v>
      </c>
      <c r="Z162">
        <f>VLOOKUP(A162,справочник!$E$2:$F$322,2,FALSE)</f>
        <v>1</v>
      </c>
    </row>
    <row r="163" spans="1:26" hidden="1">
      <c r="A163" s="41">
        <f>VLOOKUP(B163,справочник!$B$2:$E$322,4,FALSE)</f>
        <v>139</v>
      </c>
      <c r="B163" t="str">
        <f t="shared" si="15"/>
        <v>148Левина Елена Александровна (Дмитрий)</v>
      </c>
      <c r="C163" s="1">
        <v>148</v>
      </c>
      <c r="D163" s="2" t="s">
        <v>150</v>
      </c>
      <c r="E163" s="1" t="s">
        <v>469</v>
      </c>
      <c r="F163" s="19">
        <v>40715</v>
      </c>
      <c r="G163" s="19">
        <v>40725</v>
      </c>
      <c r="H163" s="20">
        <f t="shared" si="16"/>
        <v>54</v>
      </c>
      <c r="I163" s="5">
        <f t="shared" si="19"/>
        <v>54000</v>
      </c>
      <c r="J163" s="20">
        <f>11000+4000</f>
        <v>15000</v>
      </c>
      <c r="K163" s="20"/>
      <c r="L163" s="32">
        <f t="shared" si="17"/>
        <v>39000</v>
      </c>
      <c r="M163" s="31">
        <v>800</v>
      </c>
      <c r="N163" s="31">
        <v>800</v>
      </c>
      <c r="O163" s="31">
        <v>800</v>
      </c>
      <c r="P163" s="31">
        <v>800</v>
      </c>
      <c r="Q163" s="31">
        <v>800</v>
      </c>
      <c r="R163" s="31">
        <v>800</v>
      </c>
      <c r="S163" s="31">
        <v>800</v>
      </c>
      <c r="T163" s="31">
        <v>800</v>
      </c>
      <c r="U163" s="31">
        <v>800</v>
      </c>
      <c r="V163" s="31">
        <v>800</v>
      </c>
      <c r="W163" s="31">
        <v>800</v>
      </c>
      <c r="X163" s="31">
        <v>800</v>
      </c>
      <c r="Y163" s="30">
        <f t="shared" si="18"/>
        <v>48600</v>
      </c>
      <c r="Z163">
        <f>VLOOKUP(A163,справочник!$E$2:$F$322,2,FALSE)</f>
        <v>1</v>
      </c>
    </row>
    <row r="164" spans="1:26" hidden="1">
      <c r="A164" s="41">
        <f>VLOOKUP(B164,справочник!$B$2:$E$322,4,FALSE)</f>
        <v>261</v>
      </c>
      <c r="B164" t="str">
        <f t="shared" si="15"/>
        <v>274Леськов Олег Петрович</v>
      </c>
      <c r="C164" s="1">
        <v>274</v>
      </c>
      <c r="D164" s="2" t="s">
        <v>151</v>
      </c>
      <c r="E164" s="1" t="s">
        <v>470</v>
      </c>
      <c r="F164" s="19">
        <v>41373</v>
      </c>
      <c r="G164" s="19">
        <v>41395</v>
      </c>
      <c r="H164" s="20">
        <f t="shared" si="16"/>
        <v>32</v>
      </c>
      <c r="I164" s="5">
        <f t="shared" si="19"/>
        <v>32000</v>
      </c>
      <c r="J164" s="20">
        <v>19000</v>
      </c>
      <c r="K164" s="20"/>
      <c r="L164" s="32">
        <f t="shared" si="17"/>
        <v>13000</v>
      </c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0">
        <f t="shared" si="18"/>
        <v>13000</v>
      </c>
      <c r="Z164">
        <f>VLOOKUP(A164,справочник!$E$2:$F$322,2,FALSE)</f>
        <v>1</v>
      </c>
    </row>
    <row r="165" spans="1:26" hidden="1">
      <c r="A165" s="41">
        <f>VLOOKUP(B165,справочник!$B$2:$E$322,4,FALSE)</f>
        <v>261</v>
      </c>
      <c r="B165" t="str">
        <f t="shared" si="15"/>
        <v>275Леськов Олег Петрович</v>
      </c>
      <c r="C165" s="1">
        <v>275</v>
      </c>
      <c r="D165" s="2" t="s">
        <v>151</v>
      </c>
      <c r="E165" s="1"/>
      <c r="F165" s="19">
        <v>41016</v>
      </c>
      <c r="G165" s="19">
        <v>41000</v>
      </c>
      <c r="H165" s="20">
        <f t="shared" si="16"/>
        <v>45</v>
      </c>
      <c r="I165" s="5">
        <f t="shared" si="19"/>
        <v>45000</v>
      </c>
      <c r="J165" s="20">
        <f>9000+19000</f>
        <v>28000</v>
      </c>
      <c r="K165" s="20"/>
      <c r="L165" s="32">
        <f t="shared" si="17"/>
        <v>17000</v>
      </c>
      <c r="M165" s="31">
        <v>800</v>
      </c>
      <c r="N165" s="31">
        <v>800</v>
      </c>
      <c r="O165" s="31">
        <v>800</v>
      </c>
      <c r="P165" s="31">
        <v>800</v>
      </c>
      <c r="Q165" s="31">
        <v>800</v>
      </c>
      <c r="R165" s="31">
        <v>800</v>
      </c>
      <c r="S165" s="31">
        <v>800</v>
      </c>
      <c r="T165" s="31">
        <v>800</v>
      </c>
      <c r="U165" s="31">
        <v>800</v>
      </c>
      <c r="V165" s="31">
        <v>800</v>
      </c>
      <c r="W165" s="31">
        <v>800</v>
      </c>
      <c r="X165" s="31">
        <v>800</v>
      </c>
      <c r="Y165" s="30">
        <f t="shared" si="18"/>
        <v>26600</v>
      </c>
      <c r="Z165">
        <f>VLOOKUP(A165,справочник!$E$2:$F$322,2,FALSE)</f>
        <v>1</v>
      </c>
    </row>
    <row r="166" spans="1:26" hidden="1">
      <c r="A166" s="41">
        <f>VLOOKUP(B166,справочник!$B$2:$E$322,4,FALSE)</f>
        <v>288</v>
      </c>
      <c r="B166" t="str">
        <f t="shared" si="15"/>
        <v>300Ли Наталья Сергеевна</v>
      </c>
      <c r="C166" s="1">
        <v>300</v>
      </c>
      <c r="D166" s="2" t="s">
        <v>152</v>
      </c>
      <c r="E166" s="1" t="s">
        <v>471</v>
      </c>
      <c r="F166" s="16">
        <v>41513</v>
      </c>
      <c r="G166" s="16">
        <v>41518</v>
      </c>
      <c r="H166" s="17">
        <f t="shared" si="16"/>
        <v>28</v>
      </c>
      <c r="I166" s="1">
        <f t="shared" si="19"/>
        <v>28000</v>
      </c>
      <c r="J166" s="17"/>
      <c r="K166" s="17"/>
      <c r="L166" s="30">
        <f t="shared" si="17"/>
        <v>28000</v>
      </c>
      <c r="M166" s="31">
        <v>800</v>
      </c>
      <c r="N166" s="31">
        <v>800</v>
      </c>
      <c r="O166" s="31">
        <v>800</v>
      </c>
      <c r="P166" s="31">
        <v>800</v>
      </c>
      <c r="Q166" s="31">
        <v>800</v>
      </c>
      <c r="R166" s="31">
        <v>800</v>
      </c>
      <c r="S166" s="31">
        <v>800</v>
      </c>
      <c r="T166" s="31">
        <v>800</v>
      </c>
      <c r="U166" s="31">
        <v>800</v>
      </c>
      <c r="V166" s="31">
        <v>800</v>
      </c>
      <c r="W166" s="31">
        <v>800</v>
      </c>
      <c r="X166" s="31">
        <v>800</v>
      </c>
      <c r="Y166" s="30">
        <f t="shared" si="18"/>
        <v>37600</v>
      </c>
      <c r="Z166">
        <f>VLOOKUP(A166,справочник!$E$2:$F$322,2,FALSE)</f>
        <v>0</v>
      </c>
    </row>
    <row r="167" spans="1:26" hidden="1">
      <c r="A167" s="41">
        <f>VLOOKUP(B167,справочник!$B$2:$E$322,4,FALSE)</f>
        <v>166</v>
      </c>
      <c r="B167" t="str">
        <f t="shared" si="15"/>
        <v>174Ловыгина Татьяна Александровна</v>
      </c>
      <c r="C167" s="1">
        <v>174</v>
      </c>
      <c r="D167" s="2" t="s">
        <v>153</v>
      </c>
      <c r="E167" s="1" t="s">
        <v>472</v>
      </c>
      <c r="F167" s="16">
        <v>41829</v>
      </c>
      <c r="G167" s="16">
        <v>41852</v>
      </c>
      <c r="H167" s="17">
        <f t="shared" si="16"/>
        <v>17</v>
      </c>
      <c r="I167" s="1">
        <f t="shared" si="19"/>
        <v>17000</v>
      </c>
      <c r="J167" s="17">
        <v>5000</v>
      </c>
      <c r="K167" s="17"/>
      <c r="L167" s="30">
        <f t="shared" si="17"/>
        <v>12000</v>
      </c>
      <c r="M167" s="31">
        <v>800</v>
      </c>
      <c r="N167" s="31">
        <v>800</v>
      </c>
      <c r="O167" s="31">
        <v>800</v>
      </c>
      <c r="P167" s="31">
        <v>800</v>
      </c>
      <c r="Q167" s="31">
        <v>800</v>
      </c>
      <c r="R167" s="31">
        <v>800</v>
      </c>
      <c r="S167" s="31">
        <v>800</v>
      </c>
      <c r="T167" s="31">
        <v>800</v>
      </c>
      <c r="U167" s="31">
        <v>800</v>
      </c>
      <c r="V167" s="31">
        <v>800</v>
      </c>
      <c r="W167" s="31">
        <v>800</v>
      </c>
      <c r="X167" s="31">
        <v>800</v>
      </c>
      <c r="Y167" s="30">
        <f t="shared" si="18"/>
        <v>21600</v>
      </c>
      <c r="Z167">
        <f>VLOOKUP(A167,справочник!$E$2:$F$322,2,FALSE)</f>
        <v>0</v>
      </c>
    </row>
    <row r="168" spans="1:26" hidden="1">
      <c r="A168" s="41">
        <f>VLOOKUP(B168,справочник!$B$2:$E$322,4,FALSE)</f>
        <v>118</v>
      </c>
      <c r="B168" t="str">
        <f t="shared" si="15"/>
        <v>123Лопухинова Надежда Михайловна</v>
      </c>
      <c r="C168" s="1">
        <v>123</v>
      </c>
      <c r="D168" s="2" t="s">
        <v>154</v>
      </c>
      <c r="E168" s="1" t="s">
        <v>473</v>
      </c>
      <c r="F168" s="16">
        <v>41435</v>
      </c>
      <c r="G168" s="16">
        <v>41456</v>
      </c>
      <c r="H168" s="17">
        <f t="shared" si="16"/>
        <v>30</v>
      </c>
      <c r="I168" s="1">
        <f t="shared" si="19"/>
        <v>30000</v>
      </c>
      <c r="J168" s="17">
        <v>23000</v>
      </c>
      <c r="K168" s="17"/>
      <c r="L168" s="30">
        <f t="shared" si="17"/>
        <v>7000</v>
      </c>
      <c r="M168" s="31">
        <v>800</v>
      </c>
      <c r="N168" s="31">
        <v>800</v>
      </c>
      <c r="O168" s="31">
        <v>800</v>
      </c>
      <c r="P168" s="31">
        <v>800</v>
      </c>
      <c r="Q168" s="31">
        <v>800</v>
      </c>
      <c r="R168" s="31">
        <v>800</v>
      </c>
      <c r="S168" s="31">
        <v>800</v>
      </c>
      <c r="T168" s="31">
        <v>800</v>
      </c>
      <c r="U168" s="31">
        <v>800</v>
      </c>
      <c r="V168" s="31">
        <v>800</v>
      </c>
      <c r="W168" s="31">
        <v>800</v>
      </c>
      <c r="X168" s="31">
        <v>800</v>
      </c>
      <c r="Y168" s="30">
        <f t="shared" si="18"/>
        <v>16600</v>
      </c>
      <c r="Z168">
        <f>VLOOKUP(A168,справочник!$E$2:$F$322,2,FALSE)</f>
        <v>0</v>
      </c>
    </row>
    <row r="169" spans="1:26" hidden="1">
      <c r="A169" s="41">
        <f>VLOOKUP(B169,справочник!$B$2:$E$322,4,FALSE)</f>
        <v>199</v>
      </c>
      <c r="B169" t="str">
        <f t="shared" si="15"/>
        <v>207Лошкарев Виктор Ильич</v>
      </c>
      <c r="C169" s="1">
        <v>207</v>
      </c>
      <c r="D169" s="2" t="s">
        <v>155</v>
      </c>
      <c r="E169" s="1" t="s">
        <v>474</v>
      </c>
      <c r="F169" s="19">
        <v>41036</v>
      </c>
      <c r="G169" s="19">
        <v>41030</v>
      </c>
      <c r="H169" s="20">
        <f t="shared" si="16"/>
        <v>44</v>
      </c>
      <c r="I169" s="5">
        <f t="shared" si="19"/>
        <v>44000</v>
      </c>
      <c r="J169" s="20">
        <v>1000</v>
      </c>
      <c r="K169" s="20"/>
      <c r="L169" s="32">
        <f t="shared" si="17"/>
        <v>43000</v>
      </c>
      <c r="M169" s="31">
        <v>800</v>
      </c>
      <c r="N169" s="31">
        <v>800</v>
      </c>
      <c r="O169" s="31">
        <v>800</v>
      </c>
      <c r="P169" s="31">
        <v>800</v>
      </c>
      <c r="Q169" s="31">
        <v>800</v>
      </c>
      <c r="R169" s="31">
        <v>800</v>
      </c>
      <c r="S169" s="31">
        <v>800</v>
      </c>
      <c r="T169" s="31">
        <v>800</v>
      </c>
      <c r="U169" s="31">
        <v>800</v>
      </c>
      <c r="V169" s="31">
        <v>800</v>
      </c>
      <c r="W169" s="31">
        <v>800</v>
      </c>
      <c r="X169" s="31">
        <v>800</v>
      </c>
      <c r="Y169" s="30">
        <f t="shared" si="18"/>
        <v>52600</v>
      </c>
      <c r="Z169">
        <f>VLOOKUP(A169,справочник!$E$2:$F$322,2,FALSE)</f>
        <v>1</v>
      </c>
    </row>
    <row r="170" spans="1:26" hidden="1">
      <c r="A170" s="41">
        <f>VLOOKUP(B170,справочник!$B$2:$E$322,4,FALSE)</f>
        <v>199</v>
      </c>
      <c r="B170" t="str">
        <f t="shared" si="15"/>
        <v>208Лошкарев Виктор Ильич</v>
      </c>
      <c r="C170" s="1">
        <v>208</v>
      </c>
      <c r="D170" s="2" t="s">
        <v>155</v>
      </c>
      <c r="E170" s="1" t="s">
        <v>448</v>
      </c>
      <c r="F170" s="19">
        <v>41036</v>
      </c>
      <c r="G170" s="19">
        <v>41030</v>
      </c>
      <c r="H170" s="20">
        <f t="shared" si="16"/>
        <v>44</v>
      </c>
      <c r="I170" s="5">
        <f t="shared" si="19"/>
        <v>44000</v>
      </c>
      <c r="J170" s="20">
        <v>1000</v>
      </c>
      <c r="K170" s="20"/>
      <c r="L170" s="32">
        <f t="shared" si="17"/>
        <v>43000</v>
      </c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0">
        <f t="shared" si="18"/>
        <v>43000</v>
      </c>
      <c r="Z170">
        <f>VLOOKUP(A170,справочник!$E$2:$F$322,2,FALSE)</f>
        <v>1</v>
      </c>
    </row>
    <row r="171" spans="1:26" hidden="1">
      <c r="A171" s="41">
        <f>VLOOKUP(B171,справочник!$B$2:$E$322,4,FALSE)</f>
        <v>164</v>
      </c>
      <c r="B171" t="str">
        <f t="shared" si="15"/>
        <v>172Лунёв Денис Александрович</v>
      </c>
      <c r="C171" s="1">
        <v>172</v>
      </c>
      <c r="D171" s="2" t="s">
        <v>156</v>
      </c>
      <c r="E171" s="1" t="s">
        <v>475</v>
      </c>
      <c r="F171" s="16">
        <v>41576</v>
      </c>
      <c r="G171" s="16">
        <v>41579</v>
      </c>
      <c r="H171" s="17">
        <f t="shared" si="16"/>
        <v>26</v>
      </c>
      <c r="I171" s="1">
        <f t="shared" si="19"/>
        <v>26000</v>
      </c>
      <c r="J171" s="17">
        <v>1000</v>
      </c>
      <c r="K171" s="17"/>
      <c r="L171" s="30">
        <f t="shared" si="17"/>
        <v>25000</v>
      </c>
      <c r="M171" s="31">
        <v>800</v>
      </c>
      <c r="N171" s="31">
        <v>800</v>
      </c>
      <c r="O171" s="31">
        <v>800</v>
      </c>
      <c r="P171" s="31">
        <v>800</v>
      </c>
      <c r="Q171" s="31">
        <v>800</v>
      </c>
      <c r="R171" s="31">
        <v>800</v>
      </c>
      <c r="S171" s="31">
        <v>800</v>
      </c>
      <c r="T171" s="31">
        <v>800</v>
      </c>
      <c r="U171" s="31">
        <v>800</v>
      </c>
      <c r="V171" s="31">
        <v>800</v>
      </c>
      <c r="W171" s="31">
        <v>800</v>
      </c>
      <c r="X171" s="31">
        <v>800</v>
      </c>
      <c r="Y171" s="30">
        <f t="shared" si="18"/>
        <v>34600</v>
      </c>
      <c r="Z171">
        <f>VLOOKUP(A171,справочник!$E$2:$F$322,2,FALSE)</f>
        <v>0</v>
      </c>
    </row>
    <row r="172" spans="1:26" hidden="1">
      <c r="A172" s="41">
        <f>VLOOKUP(B172,справочник!$B$2:$E$322,4,FALSE)</f>
        <v>34</v>
      </c>
      <c r="B172" t="str">
        <f t="shared" si="15"/>
        <v>34Лунева Ольга Петровна</v>
      </c>
      <c r="C172" s="1">
        <v>34</v>
      </c>
      <c r="D172" s="2" t="s">
        <v>157</v>
      </c>
      <c r="E172" s="1" t="s">
        <v>476</v>
      </c>
      <c r="F172" s="16">
        <v>40781</v>
      </c>
      <c r="G172" s="16">
        <v>40787</v>
      </c>
      <c r="H172" s="17">
        <f t="shared" si="16"/>
        <v>52</v>
      </c>
      <c r="I172" s="1">
        <f t="shared" si="19"/>
        <v>52000</v>
      </c>
      <c r="J172" s="17">
        <v>55000</v>
      </c>
      <c r="K172" s="17"/>
      <c r="L172" s="30">
        <f t="shared" si="17"/>
        <v>-3000</v>
      </c>
      <c r="M172" s="31">
        <v>800</v>
      </c>
      <c r="N172" s="31">
        <v>800</v>
      </c>
      <c r="O172" s="31">
        <v>800</v>
      </c>
      <c r="P172" s="31">
        <v>800</v>
      </c>
      <c r="Q172" s="31">
        <v>800</v>
      </c>
      <c r="R172" s="31">
        <v>800</v>
      </c>
      <c r="S172" s="31">
        <v>800</v>
      </c>
      <c r="T172" s="31">
        <v>800</v>
      </c>
      <c r="U172" s="31">
        <v>800</v>
      </c>
      <c r="V172" s="31">
        <v>800</v>
      </c>
      <c r="W172" s="31">
        <v>800</v>
      </c>
      <c r="X172" s="31">
        <v>800</v>
      </c>
      <c r="Y172" s="30">
        <f t="shared" si="18"/>
        <v>6600</v>
      </c>
      <c r="Z172">
        <f>VLOOKUP(A172,справочник!$E$2:$F$322,2,FALSE)</f>
        <v>0</v>
      </c>
    </row>
    <row r="173" spans="1:26" hidden="1">
      <c r="A173" s="41">
        <f>VLOOKUP(B173,справочник!$B$2:$E$322,4,FALSE)</f>
        <v>13</v>
      </c>
      <c r="B173" t="str">
        <f t="shared" si="15"/>
        <v>13Малов Алексей Викторович</v>
      </c>
      <c r="C173" s="1">
        <v>13</v>
      </c>
      <c r="D173" s="2" t="s">
        <v>158</v>
      </c>
      <c r="E173" s="1" t="s">
        <v>477</v>
      </c>
      <c r="F173" s="16">
        <v>41464</v>
      </c>
      <c r="G173" s="16">
        <v>41487</v>
      </c>
      <c r="H173" s="17">
        <f t="shared" si="16"/>
        <v>29</v>
      </c>
      <c r="I173" s="1">
        <f t="shared" si="19"/>
        <v>29000</v>
      </c>
      <c r="J173" s="17">
        <v>13000</v>
      </c>
      <c r="K173" s="17"/>
      <c r="L173" s="30">
        <f t="shared" si="17"/>
        <v>16000</v>
      </c>
      <c r="M173" s="31">
        <v>800</v>
      </c>
      <c r="N173" s="31">
        <v>800</v>
      </c>
      <c r="O173" s="31">
        <v>800</v>
      </c>
      <c r="P173" s="31">
        <v>800</v>
      </c>
      <c r="Q173" s="31">
        <v>800</v>
      </c>
      <c r="R173" s="31">
        <v>800</v>
      </c>
      <c r="S173" s="31">
        <v>800</v>
      </c>
      <c r="T173" s="31">
        <v>800</v>
      </c>
      <c r="U173" s="31">
        <v>800</v>
      </c>
      <c r="V173" s="31">
        <v>800</v>
      </c>
      <c r="W173" s="31">
        <v>800</v>
      </c>
      <c r="X173" s="31">
        <v>800</v>
      </c>
      <c r="Y173" s="30">
        <f t="shared" si="18"/>
        <v>25600</v>
      </c>
      <c r="Z173">
        <f>VLOOKUP(A173,справочник!$E$2:$F$322,2,FALSE)</f>
        <v>0</v>
      </c>
    </row>
    <row r="174" spans="1:26" hidden="1">
      <c r="A174" s="41">
        <f>VLOOKUP(B174,справочник!$B$2:$E$322,4,FALSE)</f>
        <v>273</v>
      </c>
      <c r="B174" t="str">
        <f t="shared" si="15"/>
        <v>286Маргиева Марина Евгеньевна</v>
      </c>
      <c r="C174" s="1">
        <v>286</v>
      </c>
      <c r="D174" s="11" t="s">
        <v>159</v>
      </c>
      <c r="E174" s="1" t="s">
        <v>478</v>
      </c>
      <c r="F174" s="16">
        <v>41992</v>
      </c>
      <c r="G174" s="16">
        <v>42005</v>
      </c>
      <c r="H174" s="17">
        <f t="shared" si="16"/>
        <v>12</v>
      </c>
      <c r="I174" s="1">
        <f t="shared" si="19"/>
        <v>12000</v>
      </c>
      <c r="J174" s="17">
        <v>8000</v>
      </c>
      <c r="K174" s="17"/>
      <c r="L174" s="30">
        <f t="shared" si="17"/>
        <v>4000</v>
      </c>
      <c r="M174" s="31">
        <v>800</v>
      </c>
      <c r="N174" s="31">
        <v>800</v>
      </c>
      <c r="O174" s="31">
        <v>800</v>
      </c>
      <c r="P174" s="31">
        <v>800</v>
      </c>
      <c r="Q174" s="31">
        <v>800</v>
      </c>
      <c r="R174" s="31">
        <v>800</v>
      </c>
      <c r="S174" s="31">
        <v>800</v>
      </c>
      <c r="T174" s="31">
        <v>800</v>
      </c>
      <c r="U174" s="31">
        <v>800</v>
      </c>
      <c r="V174" s="31">
        <v>800</v>
      </c>
      <c r="W174" s="31">
        <v>800</v>
      </c>
      <c r="X174" s="31">
        <v>800</v>
      </c>
      <c r="Y174" s="30">
        <f t="shared" si="18"/>
        <v>13600</v>
      </c>
      <c r="Z174">
        <f>VLOOKUP(A174,справочник!$E$2:$F$322,2,FALSE)</f>
        <v>0</v>
      </c>
    </row>
    <row r="175" spans="1:26" hidden="1">
      <c r="A175" s="41">
        <f>VLOOKUP(B175,справочник!$B$2:$E$322,4,FALSE)</f>
        <v>87</v>
      </c>
      <c r="B175" t="str">
        <f t="shared" si="15"/>
        <v>92Маркина Людмила Николаевна, Марина</v>
      </c>
      <c r="C175" s="1">
        <v>92</v>
      </c>
      <c r="D175" s="2" t="s">
        <v>160</v>
      </c>
      <c r="E175" s="1" t="s">
        <v>479</v>
      </c>
      <c r="F175" s="16">
        <v>41144</v>
      </c>
      <c r="G175" s="16">
        <v>41153</v>
      </c>
      <c r="H175" s="17">
        <f t="shared" si="16"/>
        <v>40</v>
      </c>
      <c r="I175" s="1">
        <f t="shared" si="19"/>
        <v>40000</v>
      </c>
      <c r="J175" s="17">
        <v>37000</v>
      </c>
      <c r="K175" s="17"/>
      <c r="L175" s="30">
        <f t="shared" si="17"/>
        <v>3000</v>
      </c>
      <c r="M175" s="31">
        <v>800</v>
      </c>
      <c r="N175" s="31">
        <v>800</v>
      </c>
      <c r="O175" s="31">
        <v>800</v>
      </c>
      <c r="P175" s="31">
        <v>800</v>
      </c>
      <c r="Q175" s="31">
        <v>800</v>
      </c>
      <c r="R175" s="31">
        <v>800</v>
      </c>
      <c r="S175" s="31">
        <v>800</v>
      </c>
      <c r="T175" s="31">
        <v>800</v>
      </c>
      <c r="U175" s="31">
        <v>800</v>
      </c>
      <c r="V175" s="31">
        <v>800</v>
      </c>
      <c r="W175" s="31">
        <v>800</v>
      </c>
      <c r="X175" s="31">
        <v>800</v>
      </c>
      <c r="Y175" s="30">
        <f t="shared" si="18"/>
        <v>12600</v>
      </c>
      <c r="Z175">
        <f>VLOOKUP(A175,справочник!$E$2:$F$322,2,FALSE)</f>
        <v>0</v>
      </c>
    </row>
    <row r="176" spans="1:26" hidden="1">
      <c r="A176" s="41">
        <f>VLOOKUP(B176,справочник!$B$2:$E$322,4,FALSE)</f>
        <v>154</v>
      </c>
      <c r="B176" t="str">
        <f t="shared" si="15"/>
        <v>162Марков Максим Юрьевич</v>
      </c>
      <c r="C176" s="1">
        <v>162</v>
      </c>
      <c r="D176" s="2" t="s">
        <v>161</v>
      </c>
      <c r="E176" s="1" t="s">
        <v>462</v>
      </c>
      <c r="F176" s="16">
        <v>40720</v>
      </c>
      <c r="G176" s="16">
        <v>40725</v>
      </c>
      <c r="H176" s="17">
        <f t="shared" si="16"/>
        <v>54</v>
      </c>
      <c r="I176" s="1">
        <f t="shared" si="19"/>
        <v>54000</v>
      </c>
      <c r="J176" s="17">
        <v>50000</v>
      </c>
      <c r="K176" s="17"/>
      <c r="L176" s="30">
        <f t="shared" si="17"/>
        <v>4000</v>
      </c>
      <c r="M176" s="31">
        <v>800</v>
      </c>
      <c r="N176" s="31">
        <v>800</v>
      </c>
      <c r="O176" s="31">
        <v>800</v>
      </c>
      <c r="P176" s="31">
        <v>800</v>
      </c>
      <c r="Q176" s="31">
        <v>800</v>
      </c>
      <c r="R176" s="31">
        <v>800</v>
      </c>
      <c r="S176" s="31">
        <v>800</v>
      </c>
      <c r="T176" s="31">
        <v>800</v>
      </c>
      <c r="U176" s="31">
        <v>800</v>
      </c>
      <c r="V176" s="31">
        <v>800</v>
      </c>
      <c r="W176" s="31">
        <v>800</v>
      </c>
      <c r="X176" s="31">
        <v>800</v>
      </c>
      <c r="Y176" s="30">
        <f t="shared" si="18"/>
        <v>13600</v>
      </c>
      <c r="Z176">
        <f>VLOOKUP(A176,справочник!$E$2:$F$322,2,FALSE)</f>
        <v>0</v>
      </c>
    </row>
    <row r="177" spans="1:26" hidden="1">
      <c r="A177" s="41">
        <f>VLOOKUP(B177,справочник!$B$2:$E$322,4,FALSE)</f>
        <v>270</v>
      </c>
      <c r="B177" t="str">
        <f t="shared" si="15"/>
        <v>283Маркова Тамара Ивановна</v>
      </c>
      <c r="C177" s="1">
        <v>283</v>
      </c>
      <c r="D177" s="2" t="s">
        <v>162</v>
      </c>
      <c r="E177" s="1" t="s">
        <v>480</v>
      </c>
      <c r="F177" s="16">
        <v>41422</v>
      </c>
      <c r="G177" s="16">
        <v>41456</v>
      </c>
      <c r="H177" s="17">
        <f t="shared" si="16"/>
        <v>30</v>
      </c>
      <c r="I177" s="1">
        <f t="shared" si="19"/>
        <v>30000</v>
      </c>
      <c r="J177" s="17">
        <v>20000</v>
      </c>
      <c r="K177" s="17"/>
      <c r="L177" s="30">
        <f t="shared" si="17"/>
        <v>10000</v>
      </c>
      <c r="M177" s="31">
        <v>800</v>
      </c>
      <c r="N177" s="31">
        <v>800</v>
      </c>
      <c r="O177" s="31">
        <v>800</v>
      </c>
      <c r="P177" s="31">
        <v>800</v>
      </c>
      <c r="Q177" s="31">
        <v>800</v>
      </c>
      <c r="R177" s="31">
        <v>800</v>
      </c>
      <c r="S177" s="31">
        <v>800</v>
      </c>
      <c r="T177" s="31">
        <v>800</v>
      </c>
      <c r="U177" s="31">
        <v>800</v>
      </c>
      <c r="V177" s="31">
        <v>800</v>
      </c>
      <c r="W177" s="31">
        <v>800</v>
      </c>
      <c r="X177" s="31">
        <v>800</v>
      </c>
      <c r="Y177" s="30">
        <f t="shared" si="18"/>
        <v>19600</v>
      </c>
      <c r="Z177">
        <f>VLOOKUP(A177,справочник!$E$2:$F$322,2,FALSE)</f>
        <v>0</v>
      </c>
    </row>
    <row r="178" spans="1:26" hidden="1">
      <c r="A178" s="41">
        <f>VLOOKUP(B178,справочник!$B$2:$E$322,4,FALSE)</f>
        <v>9</v>
      </c>
      <c r="B178" t="str">
        <f t="shared" si="15"/>
        <v>9Марковнина Светлана Викторовна</v>
      </c>
      <c r="C178" s="1">
        <v>9</v>
      </c>
      <c r="D178" s="2" t="s">
        <v>163</v>
      </c>
      <c r="E178" s="1" t="s">
        <v>481</v>
      </c>
      <c r="F178" s="16">
        <v>41114</v>
      </c>
      <c r="G178" s="16">
        <v>41122</v>
      </c>
      <c r="H178" s="17">
        <f t="shared" si="16"/>
        <v>41</v>
      </c>
      <c r="I178" s="1">
        <f t="shared" si="19"/>
        <v>41000</v>
      </c>
      <c r="J178" s="17">
        <v>18000</v>
      </c>
      <c r="K178" s="17"/>
      <c r="L178" s="30">
        <f t="shared" si="17"/>
        <v>23000</v>
      </c>
      <c r="M178" s="31">
        <v>800</v>
      </c>
      <c r="N178" s="31">
        <v>800</v>
      </c>
      <c r="O178" s="31">
        <v>800</v>
      </c>
      <c r="P178" s="31">
        <v>800</v>
      </c>
      <c r="Q178" s="31">
        <v>800</v>
      </c>
      <c r="R178" s="31">
        <v>800</v>
      </c>
      <c r="S178" s="31">
        <v>800</v>
      </c>
      <c r="T178" s="31">
        <v>800</v>
      </c>
      <c r="U178" s="31">
        <v>800</v>
      </c>
      <c r="V178" s="31">
        <v>800</v>
      </c>
      <c r="W178" s="31">
        <v>800</v>
      </c>
      <c r="X178" s="31">
        <v>800</v>
      </c>
      <c r="Y178" s="30">
        <f t="shared" si="18"/>
        <v>32600</v>
      </c>
      <c r="Z178">
        <f>VLOOKUP(A178,справочник!$E$2:$F$322,2,FALSE)</f>
        <v>0</v>
      </c>
    </row>
    <row r="179" spans="1:26" hidden="1">
      <c r="A179" s="41">
        <f>VLOOKUP(B179,справочник!$B$2:$E$322,4,FALSE)</f>
        <v>129</v>
      </c>
      <c r="B179" t="str">
        <f t="shared" si="15"/>
        <v>136Маслов Александр Александрович</v>
      </c>
      <c r="C179" s="1">
        <v>136</v>
      </c>
      <c r="D179" s="2" t="s">
        <v>164</v>
      </c>
      <c r="E179" s="1" t="s">
        <v>482</v>
      </c>
      <c r="F179" s="16">
        <v>41352</v>
      </c>
      <c r="G179" s="16">
        <v>41365</v>
      </c>
      <c r="H179" s="17">
        <f t="shared" si="16"/>
        <v>33</v>
      </c>
      <c r="I179" s="1">
        <f t="shared" si="19"/>
        <v>33000</v>
      </c>
      <c r="J179" s="17">
        <v>31000</v>
      </c>
      <c r="K179" s="17"/>
      <c r="L179" s="30">
        <f t="shared" si="17"/>
        <v>2000</v>
      </c>
      <c r="M179" s="31">
        <v>800</v>
      </c>
      <c r="N179" s="31">
        <v>800</v>
      </c>
      <c r="O179" s="31">
        <v>800</v>
      </c>
      <c r="P179" s="31">
        <v>800</v>
      </c>
      <c r="Q179" s="31">
        <v>800</v>
      </c>
      <c r="R179" s="31">
        <v>800</v>
      </c>
      <c r="S179" s="31">
        <v>800</v>
      </c>
      <c r="T179" s="31">
        <v>800</v>
      </c>
      <c r="U179" s="31">
        <v>800</v>
      </c>
      <c r="V179" s="31">
        <v>800</v>
      </c>
      <c r="W179" s="31">
        <v>800</v>
      </c>
      <c r="X179" s="31">
        <v>800</v>
      </c>
      <c r="Y179" s="30">
        <f t="shared" si="18"/>
        <v>11600</v>
      </c>
      <c r="Z179">
        <f>VLOOKUP(A179,справочник!$E$2:$F$322,2,FALSE)</f>
        <v>0</v>
      </c>
    </row>
    <row r="180" spans="1:26" ht="24" hidden="1">
      <c r="A180" s="41">
        <f>VLOOKUP(B180,справочник!$B$2:$E$322,4,FALSE)</f>
        <v>42</v>
      </c>
      <c r="B180" t="str">
        <f t="shared" si="15"/>
        <v>42Маслов Андрей Геннадьевич (1/2)                 Щербакова Надежда Михайловна (1/2)</v>
      </c>
      <c r="C180" s="1">
        <v>42</v>
      </c>
      <c r="D180" s="2" t="s">
        <v>165</v>
      </c>
      <c r="E180" s="1" t="s">
        <v>483</v>
      </c>
      <c r="F180" s="16">
        <v>40785</v>
      </c>
      <c r="G180" s="16">
        <v>40787</v>
      </c>
      <c r="H180" s="17">
        <f t="shared" si="16"/>
        <v>52</v>
      </c>
      <c r="I180" s="1">
        <f t="shared" si="19"/>
        <v>52000</v>
      </c>
      <c r="J180" s="17">
        <f>19500+500+4500+23500</f>
        <v>48000</v>
      </c>
      <c r="K180" s="17"/>
      <c r="L180" s="30">
        <f t="shared" si="17"/>
        <v>4000</v>
      </c>
      <c r="M180" s="31">
        <v>800</v>
      </c>
      <c r="N180" s="31">
        <v>800</v>
      </c>
      <c r="O180" s="31">
        <v>800</v>
      </c>
      <c r="P180" s="31">
        <v>800</v>
      </c>
      <c r="Q180" s="31">
        <v>800</v>
      </c>
      <c r="R180" s="31">
        <v>800</v>
      </c>
      <c r="S180" s="31">
        <v>800</v>
      </c>
      <c r="T180" s="31">
        <v>800</v>
      </c>
      <c r="U180" s="31">
        <v>800</v>
      </c>
      <c r="V180" s="31">
        <v>800</v>
      </c>
      <c r="W180" s="31">
        <v>800</v>
      </c>
      <c r="X180" s="31">
        <v>800</v>
      </c>
      <c r="Y180" s="30">
        <f t="shared" si="18"/>
        <v>13600</v>
      </c>
      <c r="Z180">
        <f>VLOOKUP(A180,справочник!$E$2:$F$322,2,FALSE)</f>
        <v>0</v>
      </c>
    </row>
    <row r="181" spans="1:26" hidden="1">
      <c r="A181" s="41">
        <f>VLOOKUP(B181,справочник!$B$2:$E$322,4,FALSE)</f>
        <v>96</v>
      </c>
      <c r="B181" t="str">
        <f t="shared" si="15"/>
        <v>101Маслова Валентина Петровна</v>
      </c>
      <c r="C181" s="1">
        <v>101</v>
      </c>
      <c r="D181" s="2" t="s">
        <v>166</v>
      </c>
      <c r="E181" s="1" t="s">
        <v>484</v>
      </c>
      <c r="F181" s="19">
        <v>40708</v>
      </c>
      <c r="G181" s="19">
        <v>40725</v>
      </c>
      <c r="H181" s="20">
        <f t="shared" si="16"/>
        <v>54</v>
      </c>
      <c r="I181" s="5">
        <f t="shared" si="19"/>
        <v>54000</v>
      </c>
      <c r="J181" s="20">
        <v>41012</v>
      </c>
      <c r="K181" s="20"/>
      <c r="L181" s="32">
        <f t="shared" si="17"/>
        <v>12988</v>
      </c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0">
        <f t="shared" si="18"/>
        <v>12988</v>
      </c>
      <c r="Z181">
        <f>VLOOKUP(A181,справочник!$E$2:$F$322,2,FALSE)</f>
        <v>1</v>
      </c>
    </row>
    <row r="182" spans="1:26" hidden="1">
      <c r="A182" s="41">
        <f>VLOOKUP(B182,справочник!$B$2:$E$322,4,FALSE)</f>
        <v>96</v>
      </c>
      <c r="B182" t="str">
        <f t="shared" si="15"/>
        <v>102Маслова Валентина Петровна</v>
      </c>
      <c r="C182" s="1">
        <v>102</v>
      </c>
      <c r="D182" s="2" t="s">
        <v>166</v>
      </c>
      <c r="E182" s="1"/>
      <c r="F182" s="19">
        <v>40708</v>
      </c>
      <c r="G182" s="19">
        <v>40725</v>
      </c>
      <c r="H182" s="20">
        <f t="shared" si="16"/>
        <v>54</v>
      </c>
      <c r="I182" s="5">
        <f t="shared" si="19"/>
        <v>54000</v>
      </c>
      <c r="J182" s="20">
        <v>41000</v>
      </c>
      <c r="K182" s="20"/>
      <c r="L182" s="32">
        <f t="shared" si="17"/>
        <v>13000</v>
      </c>
      <c r="M182" s="31">
        <v>800</v>
      </c>
      <c r="N182" s="31">
        <v>800</v>
      </c>
      <c r="O182" s="31">
        <v>800</v>
      </c>
      <c r="P182" s="31">
        <v>800</v>
      </c>
      <c r="Q182" s="31">
        <v>800</v>
      </c>
      <c r="R182" s="31">
        <v>800</v>
      </c>
      <c r="S182" s="31">
        <v>800</v>
      </c>
      <c r="T182" s="31">
        <v>800</v>
      </c>
      <c r="U182" s="31">
        <v>800</v>
      </c>
      <c r="V182" s="31">
        <v>800</v>
      </c>
      <c r="W182" s="31">
        <v>800</v>
      </c>
      <c r="X182" s="31">
        <v>800</v>
      </c>
      <c r="Y182" s="30">
        <f t="shared" si="18"/>
        <v>22600</v>
      </c>
      <c r="Z182">
        <f>VLOOKUP(A182,справочник!$E$2:$F$322,2,FALSE)</f>
        <v>1</v>
      </c>
    </row>
    <row r="183" spans="1:26" hidden="1">
      <c r="A183" s="41">
        <f>VLOOKUP(B183,справочник!$B$2:$E$322,4,FALSE)</f>
        <v>292</v>
      </c>
      <c r="B183" t="str">
        <f t="shared" si="15"/>
        <v>305Матвеев Денис Львович</v>
      </c>
      <c r="C183" s="1">
        <v>305</v>
      </c>
      <c r="D183" s="2" t="s">
        <v>167</v>
      </c>
      <c r="E183" s="1" t="s">
        <v>485</v>
      </c>
      <c r="F183" s="16">
        <v>42018</v>
      </c>
      <c r="G183" s="16">
        <v>42036</v>
      </c>
      <c r="H183" s="17">
        <f t="shared" si="16"/>
        <v>11</v>
      </c>
      <c r="I183" s="1">
        <f t="shared" si="19"/>
        <v>11000</v>
      </c>
      <c r="J183" s="17"/>
      <c r="K183" s="17"/>
      <c r="L183" s="30">
        <f t="shared" si="17"/>
        <v>11000</v>
      </c>
      <c r="M183" s="31">
        <v>800</v>
      </c>
      <c r="N183" s="31">
        <v>800</v>
      </c>
      <c r="O183" s="31">
        <v>800</v>
      </c>
      <c r="P183" s="31">
        <v>800</v>
      </c>
      <c r="Q183" s="31">
        <v>800</v>
      </c>
      <c r="R183" s="31">
        <v>800</v>
      </c>
      <c r="S183" s="31">
        <v>800</v>
      </c>
      <c r="T183" s="31">
        <v>800</v>
      </c>
      <c r="U183" s="31">
        <v>800</v>
      </c>
      <c r="V183" s="31">
        <v>800</v>
      </c>
      <c r="W183" s="31">
        <v>800</v>
      </c>
      <c r="X183" s="31">
        <v>800</v>
      </c>
      <c r="Y183" s="30">
        <f t="shared" si="18"/>
        <v>20600</v>
      </c>
      <c r="Z183">
        <f>VLOOKUP(A183,справочник!$E$2:$F$322,2,FALSE)</f>
        <v>0</v>
      </c>
    </row>
    <row r="184" spans="1:26" hidden="1">
      <c r="A184" s="41">
        <f>VLOOKUP(B184,справочник!$B$2:$E$322,4,FALSE)</f>
        <v>209</v>
      </c>
      <c r="B184" t="str">
        <f t="shared" si="15"/>
        <v>219Мельников Михаил Вячеславович / Диденко</v>
      </c>
      <c r="C184" s="1">
        <v>219</v>
      </c>
      <c r="D184" s="2" t="s">
        <v>168</v>
      </c>
      <c r="E184" s="1"/>
      <c r="F184" s="16">
        <v>41248</v>
      </c>
      <c r="G184" s="16">
        <v>41334</v>
      </c>
      <c r="H184" s="17">
        <v>20</v>
      </c>
      <c r="I184" s="1">
        <f t="shared" si="19"/>
        <v>20000</v>
      </c>
      <c r="J184" s="17"/>
      <c r="K184" s="17"/>
      <c r="L184" s="30">
        <f t="shared" si="17"/>
        <v>20000</v>
      </c>
      <c r="M184" s="31">
        <v>800</v>
      </c>
      <c r="N184" s="31">
        <v>800</v>
      </c>
      <c r="O184" s="31">
        <v>800</v>
      </c>
      <c r="P184" s="31">
        <v>800</v>
      </c>
      <c r="Q184" s="31">
        <v>800</v>
      </c>
      <c r="R184" s="31">
        <v>800</v>
      </c>
      <c r="S184" s="31">
        <v>800</v>
      </c>
      <c r="T184" s="31">
        <v>800</v>
      </c>
      <c r="U184" s="31">
        <v>800</v>
      </c>
      <c r="V184" s="31">
        <v>800</v>
      </c>
      <c r="W184" s="31">
        <v>800</v>
      </c>
      <c r="X184" s="31">
        <v>800</v>
      </c>
      <c r="Y184" s="30">
        <f t="shared" si="18"/>
        <v>29600</v>
      </c>
      <c r="Z184">
        <f>VLOOKUP(A184,справочник!$E$2:$F$322,2,FALSE)</f>
        <v>0</v>
      </c>
    </row>
    <row r="185" spans="1:26" hidden="1">
      <c r="A185" s="41">
        <f>VLOOKUP(B185,справочник!$B$2:$E$322,4,FALSE)</f>
        <v>257</v>
      </c>
      <c r="B185" t="str">
        <f t="shared" si="15"/>
        <v>270Месхидзе Оксана Валерьевна</v>
      </c>
      <c r="C185" s="1">
        <v>270</v>
      </c>
      <c r="D185" s="2" t="s">
        <v>169</v>
      </c>
      <c r="E185" s="1" t="s">
        <v>486</v>
      </c>
      <c r="F185" s="16">
        <v>41526</v>
      </c>
      <c r="G185" s="16">
        <v>41548</v>
      </c>
      <c r="H185" s="17">
        <f>INT(($H$327-G185)/30)</f>
        <v>27</v>
      </c>
      <c r="I185" s="1">
        <f t="shared" si="19"/>
        <v>27000</v>
      </c>
      <c r="J185" s="17">
        <v>1000</v>
      </c>
      <c r="K185" s="17"/>
      <c r="L185" s="30">
        <f t="shared" si="17"/>
        <v>26000</v>
      </c>
      <c r="M185" s="31">
        <v>800</v>
      </c>
      <c r="N185" s="31">
        <v>800</v>
      </c>
      <c r="O185" s="31">
        <v>800</v>
      </c>
      <c r="P185" s="31">
        <v>800</v>
      </c>
      <c r="Q185" s="31">
        <v>800</v>
      </c>
      <c r="R185" s="31">
        <v>800</v>
      </c>
      <c r="S185" s="31">
        <v>800</v>
      </c>
      <c r="T185" s="31">
        <v>800</v>
      </c>
      <c r="U185" s="31">
        <v>800</v>
      </c>
      <c r="V185" s="31">
        <v>800</v>
      </c>
      <c r="W185" s="31">
        <v>800</v>
      </c>
      <c r="X185" s="31">
        <v>800</v>
      </c>
      <c r="Y185" s="30">
        <f t="shared" si="18"/>
        <v>35600</v>
      </c>
      <c r="Z185">
        <f>VLOOKUP(A185,справочник!$E$2:$F$322,2,FALSE)</f>
        <v>0</v>
      </c>
    </row>
    <row r="186" spans="1:26" hidden="1">
      <c r="A186" s="41">
        <f>VLOOKUP(B186,справочник!$B$2:$E$322,4,FALSE)</f>
        <v>212</v>
      </c>
      <c r="B186" t="str">
        <f t="shared" si="15"/>
        <v>221Милишенко Надежда Ивановна</v>
      </c>
      <c r="C186" s="1">
        <v>221</v>
      </c>
      <c r="D186" s="2" t="s">
        <v>170</v>
      </c>
      <c r="E186" s="1" t="s">
        <v>487</v>
      </c>
      <c r="F186" s="16">
        <v>41552</v>
      </c>
      <c r="G186" s="16">
        <v>41579</v>
      </c>
      <c r="H186" s="17">
        <f>INT(($H$327-G186)/30)</f>
        <v>26</v>
      </c>
      <c r="I186" s="1">
        <f t="shared" si="19"/>
        <v>26000</v>
      </c>
      <c r="J186" s="17">
        <v>23000</v>
      </c>
      <c r="K186" s="17"/>
      <c r="L186" s="30">
        <f t="shared" si="17"/>
        <v>3000</v>
      </c>
      <c r="M186" s="31">
        <v>800</v>
      </c>
      <c r="N186" s="31">
        <v>800</v>
      </c>
      <c r="O186" s="31">
        <v>800</v>
      </c>
      <c r="P186" s="31">
        <v>800</v>
      </c>
      <c r="Q186" s="31">
        <v>800</v>
      </c>
      <c r="R186" s="31">
        <v>800</v>
      </c>
      <c r="S186" s="31">
        <v>800</v>
      </c>
      <c r="T186" s="31">
        <v>800</v>
      </c>
      <c r="U186" s="31">
        <v>800</v>
      </c>
      <c r="V186" s="31">
        <v>800</v>
      </c>
      <c r="W186" s="31">
        <v>800</v>
      </c>
      <c r="X186" s="31">
        <v>800</v>
      </c>
      <c r="Y186" s="30">
        <f t="shared" si="18"/>
        <v>12600</v>
      </c>
      <c r="Z186">
        <f>VLOOKUP(A186,справочник!$E$2:$F$322,2,FALSE)</f>
        <v>0</v>
      </c>
    </row>
    <row r="187" spans="1:26" hidden="1">
      <c r="A187" s="41">
        <f>VLOOKUP(B187,справочник!$B$2:$E$322,4,FALSE)</f>
        <v>320</v>
      </c>
      <c r="B187" t="str">
        <f t="shared" si="15"/>
        <v>Милоянин Алексей Леонидович</v>
      </c>
      <c r="C187" s="1"/>
      <c r="D187" s="2" t="s">
        <v>171</v>
      </c>
      <c r="E187" s="1"/>
      <c r="F187" s="16"/>
      <c r="G187" s="16"/>
      <c r="H187" s="17"/>
      <c r="I187" s="1"/>
      <c r="J187" s="17"/>
      <c r="K187" s="17"/>
      <c r="L187" s="30"/>
      <c r="M187" s="31">
        <v>800</v>
      </c>
      <c r="N187" s="31">
        <v>800</v>
      </c>
      <c r="O187" s="31">
        <v>800</v>
      </c>
      <c r="P187" s="31">
        <v>800</v>
      </c>
      <c r="Q187" s="31">
        <v>800</v>
      </c>
      <c r="R187" s="31">
        <v>800</v>
      </c>
      <c r="S187" s="31">
        <v>800</v>
      </c>
      <c r="T187" s="31">
        <v>800</v>
      </c>
      <c r="U187" s="31">
        <v>800</v>
      </c>
      <c r="V187" s="31">
        <v>800</v>
      </c>
      <c r="W187" s="31">
        <v>800</v>
      </c>
      <c r="X187" s="31">
        <v>800</v>
      </c>
      <c r="Y187" s="30">
        <f>SUM(L187:X187)</f>
        <v>9600</v>
      </c>
      <c r="Z187">
        <f>VLOOKUP(A187,справочник!$E$2:$F$322,2,FALSE)</f>
        <v>1</v>
      </c>
    </row>
    <row r="188" spans="1:26" ht="24" hidden="1">
      <c r="A188" s="41">
        <f>VLOOKUP(B188,справочник!$B$2:$E$322,4,FALSE)</f>
        <v>186</v>
      </c>
      <c r="B188" t="str">
        <f t="shared" si="15"/>
        <v>194Мирошниченко Андрей Иванович Захарова Елена Александровна</v>
      </c>
      <c r="C188" s="1">
        <v>194</v>
      </c>
      <c r="D188" s="2" t="s">
        <v>172</v>
      </c>
      <c r="E188" s="1" t="s">
        <v>488</v>
      </c>
      <c r="F188" s="16">
        <v>41872</v>
      </c>
      <c r="G188" s="16">
        <v>41883</v>
      </c>
      <c r="H188" s="17">
        <f t="shared" ref="H188:H204" si="20">INT(($H$327-G188)/30)</f>
        <v>16</v>
      </c>
      <c r="I188" s="1">
        <f t="shared" ref="I188:I227" si="21">H188*1000</f>
        <v>16000</v>
      </c>
      <c r="J188" s="17">
        <v>12000</v>
      </c>
      <c r="K188" s="17"/>
      <c r="L188" s="30">
        <f t="shared" ref="L188:L251" si="22">I188-J188-K188</f>
        <v>4000</v>
      </c>
      <c r="M188" s="31">
        <v>800</v>
      </c>
      <c r="N188" s="31">
        <v>800</v>
      </c>
      <c r="O188" s="31">
        <v>800</v>
      </c>
      <c r="P188" s="31">
        <v>800</v>
      </c>
      <c r="Q188" s="31">
        <v>800</v>
      </c>
      <c r="R188" s="31">
        <v>800</v>
      </c>
      <c r="S188" s="31">
        <v>800</v>
      </c>
      <c r="T188" s="31">
        <v>800</v>
      </c>
      <c r="U188" s="31">
        <v>800</v>
      </c>
      <c r="V188" s="31">
        <v>800</v>
      </c>
      <c r="W188" s="31">
        <v>800</v>
      </c>
      <c r="X188" s="31">
        <v>800</v>
      </c>
      <c r="Y188" s="30">
        <f>SUM(L188:X188)</f>
        <v>13600</v>
      </c>
      <c r="Z188">
        <f>VLOOKUP(A188,справочник!$E$2:$F$322,2,FALSE)</f>
        <v>0</v>
      </c>
    </row>
    <row r="189" spans="1:26" hidden="1">
      <c r="A189" s="41">
        <f>VLOOKUP(B189,справочник!$B$2:$E$322,4,FALSE)</f>
        <v>187</v>
      </c>
      <c r="B189" t="str">
        <f t="shared" si="15"/>
        <v>195Мирошниченко Екатерина Олеговна</v>
      </c>
      <c r="C189" s="1">
        <v>195</v>
      </c>
      <c r="D189" s="2" t="s">
        <v>173</v>
      </c>
      <c r="E189" s="1" t="s">
        <v>489</v>
      </c>
      <c r="F189" s="16">
        <v>41542</v>
      </c>
      <c r="G189" s="16">
        <v>41548</v>
      </c>
      <c r="H189" s="17">
        <f t="shared" si="20"/>
        <v>27</v>
      </c>
      <c r="I189" s="1">
        <f t="shared" si="21"/>
        <v>27000</v>
      </c>
      <c r="J189" s="17"/>
      <c r="K189" s="17"/>
      <c r="L189" s="30">
        <f t="shared" si="22"/>
        <v>27000</v>
      </c>
      <c r="M189" s="31">
        <v>800</v>
      </c>
      <c r="N189" s="31">
        <v>800</v>
      </c>
      <c r="O189" s="31">
        <v>800</v>
      </c>
      <c r="P189" s="31">
        <v>800</v>
      </c>
      <c r="Q189" s="31">
        <v>800</v>
      </c>
      <c r="R189" s="31">
        <v>800</v>
      </c>
      <c r="S189" s="31">
        <v>800</v>
      </c>
      <c r="T189" s="31">
        <v>800</v>
      </c>
      <c r="U189" s="31">
        <v>800</v>
      </c>
      <c r="V189" s="31">
        <v>800</v>
      </c>
      <c r="W189" s="31">
        <v>800</v>
      </c>
      <c r="X189" s="31">
        <v>800</v>
      </c>
      <c r="Y189" s="30">
        <f t="shared" ref="Y189:Y252" si="23">SUM(L189:X189)</f>
        <v>36600</v>
      </c>
      <c r="Z189">
        <f>VLOOKUP(A189,справочник!$E$2:$F$322,2,FALSE)</f>
        <v>0</v>
      </c>
    </row>
    <row r="190" spans="1:26" hidden="1">
      <c r="A190" s="41">
        <f>VLOOKUP(B190,справочник!$B$2:$E$322,4,FALSE)</f>
        <v>211</v>
      </c>
      <c r="B190" t="str">
        <f t="shared" si="15"/>
        <v>220Модин Игорь Николаевич</v>
      </c>
      <c r="C190" s="1">
        <v>220</v>
      </c>
      <c r="D190" s="2" t="s">
        <v>174</v>
      </c>
      <c r="E190" s="1" t="s">
        <v>490</v>
      </c>
      <c r="F190" s="16">
        <v>41417</v>
      </c>
      <c r="G190" s="16">
        <v>41426</v>
      </c>
      <c r="H190" s="17">
        <f t="shared" si="20"/>
        <v>31</v>
      </c>
      <c r="I190" s="1">
        <f t="shared" si="21"/>
        <v>31000</v>
      </c>
      <c r="J190" s="17">
        <v>26000</v>
      </c>
      <c r="K190" s="17">
        <v>7000</v>
      </c>
      <c r="L190" s="30">
        <f t="shared" si="22"/>
        <v>-2000</v>
      </c>
      <c r="M190" s="31">
        <v>800</v>
      </c>
      <c r="N190" s="31">
        <v>800</v>
      </c>
      <c r="O190" s="31">
        <v>800</v>
      </c>
      <c r="P190" s="31">
        <v>800</v>
      </c>
      <c r="Q190" s="31">
        <v>800</v>
      </c>
      <c r="R190" s="31">
        <v>800</v>
      </c>
      <c r="S190" s="31">
        <v>800</v>
      </c>
      <c r="T190" s="31">
        <v>800</v>
      </c>
      <c r="U190" s="31">
        <v>800</v>
      </c>
      <c r="V190" s="31">
        <v>800</v>
      </c>
      <c r="W190" s="31">
        <v>800</v>
      </c>
      <c r="X190" s="31">
        <v>800</v>
      </c>
      <c r="Y190" s="30">
        <f t="shared" si="23"/>
        <v>7600</v>
      </c>
      <c r="Z190">
        <f>VLOOKUP(A190,справочник!$E$2:$F$322,2,FALSE)</f>
        <v>0</v>
      </c>
    </row>
    <row r="191" spans="1:26" ht="25.5" hidden="1" customHeight="1">
      <c r="A191" s="41">
        <f>VLOOKUP(B191,справочник!$B$2:$E$322,4,FALSE)</f>
        <v>242</v>
      </c>
      <c r="B191" t="str">
        <f t="shared" si="15"/>
        <v>253Моисеев Андрей Валентинович</v>
      </c>
      <c r="C191" s="1">
        <v>253</v>
      </c>
      <c r="D191" s="2" t="s">
        <v>175</v>
      </c>
      <c r="E191" s="1" t="s">
        <v>491</v>
      </c>
      <c r="F191" s="16">
        <v>41352</v>
      </c>
      <c r="G191" s="16">
        <v>41365</v>
      </c>
      <c r="H191" s="17">
        <f t="shared" si="20"/>
        <v>33</v>
      </c>
      <c r="I191" s="1">
        <f t="shared" si="21"/>
        <v>33000</v>
      </c>
      <c r="J191" s="17">
        <v>4000</v>
      </c>
      <c r="K191" s="17"/>
      <c r="L191" s="30">
        <f t="shared" si="22"/>
        <v>29000</v>
      </c>
      <c r="M191" s="31">
        <v>800</v>
      </c>
      <c r="N191" s="31">
        <v>800</v>
      </c>
      <c r="O191" s="31">
        <v>800</v>
      </c>
      <c r="P191" s="31">
        <v>800</v>
      </c>
      <c r="Q191" s="31">
        <v>800</v>
      </c>
      <c r="R191" s="31">
        <v>800</v>
      </c>
      <c r="S191" s="31">
        <v>800</v>
      </c>
      <c r="T191" s="31">
        <v>800</v>
      </c>
      <c r="U191" s="31">
        <v>800</v>
      </c>
      <c r="V191" s="31">
        <v>800</v>
      </c>
      <c r="W191" s="31">
        <v>800</v>
      </c>
      <c r="X191" s="31">
        <v>800</v>
      </c>
      <c r="Y191" s="30">
        <f t="shared" si="23"/>
        <v>38600</v>
      </c>
      <c r="Z191">
        <f>VLOOKUP(A191,справочник!$E$2:$F$322,2,FALSE)</f>
        <v>0</v>
      </c>
    </row>
    <row r="192" spans="1:26" hidden="1">
      <c r="A192" s="41">
        <f>VLOOKUP(B192,справочник!$B$2:$E$322,4,FALSE)</f>
        <v>218</v>
      </c>
      <c r="B192" t="str">
        <f t="shared" si="15"/>
        <v>227Молчанова Ирина Владимировна</v>
      </c>
      <c r="C192" s="10">
        <v>227</v>
      </c>
      <c r="D192" s="2" t="s">
        <v>176</v>
      </c>
      <c r="E192" s="1" t="s">
        <v>492</v>
      </c>
      <c r="F192" s="16">
        <v>40793</v>
      </c>
      <c r="G192" s="16">
        <v>40787</v>
      </c>
      <c r="H192" s="17">
        <f t="shared" si="20"/>
        <v>52</v>
      </c>
      <c r="I192" s="1">
        <f t="shared" si="21"/>
        <v>52000</v>
      </c>
      <c r="J192" s="17">
        <v>33000</v>
      </c>
      <c r="K192" s="17">
        <v>5000</v>
      </c>
      <c r="L192" s="30">
        <f t="shared" si="22"/>
        <v>14000</v>
      </c>
      <c r="M192" s="31">
        <v>800</v>
      </c>
      <c r="N192" s="31">
        <v>800</v>
      </c>
      <c r="O192" s="31">
        <v>800</v>
      </c>
      <c r="P192" s="31">
        <v>800</v>
      </c>
      <c r="Q192" s="31">
        <v>800</v>
      </c>
      <c r="R192" s="31">
        <v>800</v>
      </c>
      <c r="S192" s="31">
        <v>800</v>
      </c>
      <c r="T192" s="31">
        <v>800</v>
      </c>
      <c r="U192" s="31">
        <v>800</v>
      </c>
      <c r="V192" s="31">
        <v>800</v>
      </c>
      <c r="W192" s="31">
        <v>800</v>
      </c>
      <c r="X192" s="31">
        <v>800</v>
      </c>
      <c r="Y192" s="30">
        <f t="shared" si="23"/>
        <v>23600</v>
      </c>
      <c r="Z192">
        <f>VLOOKUP(A192,справочник!$E$2:$F$322,2,FALSE)</f>
        <v>0</v>
      </c>
    </row>
    <row r="193" spans="1:26" hidden="1">
      <c r="A193" s="41">
        <f>VLOOKUP(B193,справочник!$B$2:$E$322,4,FALSE)</f>
        <v>120</v>
      </c>
      <c r="B193" t="str">
        <f t="shared" si="15"/>
        <v>125Мудрак Владимир Григорьевич (Марина)</v>
      </c>
      <c r="C193" s="1">
        <v>125</v>
      </c>
      <c r="D193" s="2" t="s">
        <v>177</v>
      </c>
      <c r="E193" s="1" t="s">
        <v>493</v>
      </c>
      <c r="F193" s="16">
        <v>41417</v>
      </c>
      <c r="G193" s="16">
        <v>41426</v>
      </c>
      <c r="H193" s="17">
        <f t="shared" si="20"/>
        <v>31</v>
      </c>
      <c r="I193" s="1">
        <f t="shared" si="21"/>
        <v>31000</v>
      </c>
      <c r="J193" s="17">
        <v>21000</v>
      </c>
      <c r="K193" s="17"/>
      <c r="L193" s="30">
        <f t="shared" si="22"/>
        <v>10000</v>
      </c>
      <c r="M193" s="31">
        <v>800</v>
      </c>
      <c r="N193" s="31">
        <v>800</v>
      </c>
      <c r="O193" s="31">
        <v>800</v>
      </c>
      <c r="P193" s="31">
        <v>800</v>
      </c>
      <c r="Q193" s="31">
        <v>800</v>
      </c>
      <c r="R193" s="31">
        <v>800</v>
      </c>
      <c r="S193" s="31">
        <v>800</v>
      </c>
      <c r="T193" s="31">
        <v>800</v>
      </c>
      <c r="U193" s="31">
        <v>800</v>
      </c>
      <c r="V193" s="31">
        <v>800</v>
      </c>
      <c r="W193" s="31">
        <v>800</v>
      </c>
      <c r="X193" s="31">
        <v>800</v>
      </c>
      <c r="Y193" s="30">
        <f t="shared" si="23"/>
        <v>19600</v>
      </c>
      <c r="Z193">
        <f>VLOOKUP(A193,справочник!$E$2:$F$322,2,FALSE)</f>
        <v>0</v>
      </c>
    </row>
    <row r="194" spans="1:26" hidden="1">
      <c r="A194" s="41">
        <f>VLOOKUP(B194,справочник!$B$2:$E$322,4,FALSE)</f>
        <v>287</v>
      </c>
      <c r="B194" t="str">
        <f t="shared" si="15"/>
        <v>299Мурадова Альбина Сергеевна</v>
      </c>
      <c r="C194" s="1">
        <v>299</v>
      </c>
      <c r="D194" s="2" t="s">
        <v>178</v>
      </c>
      <c r="E194" s="1" t="s">
        <v>494</v>
      </c>
      <c r="F194" s="16">
        <v>41897</v>
      </c>
      <c r="G194" s="16">
        <v>41913</v>
      </c>
      <c r="H194" s="17">
        <f t="shared" si="20"/>
        <v>15</v>
      </c>
      <c r="I194" s="1">
        <f t="shared" si="21"/>
        <v>15000</v>
      </c>
      <c r="J194" s="17">
        <v>13000</v>
      </c>
      <c r="K194" s="17"/>
      <c r="L194" s="30">
        <f t="shared" si="22"/>
        <v>2000</v>
      </c>
      <c r="M194" s="31">
        <v>800</v>
      </c>
      <c r="N194" s="31">
        <v>800</v>
      </c>
      <c r="O194" s="31">
        <v>800</v>
      </c>
      <c r="P194" s="31">
        <v>800</v>
      </c>
      <c r="Q194" s="31">
        <v>800</v>
      </c>
      <c r="R194" s="31">
        <v>800</v>
      </c>
      <c r="S194" s="31">
        <v>800</v>
      </c>
      <c r="T194" s="31">
        <v>800</v>
      </c>
      <c r="U194" s="31">
        <v>800</v>
      </c>
      <c r="V194" s="31">
        <v>800</v>
      </c>
      <c r="W194" s="31">
        <v>800</v>
      </c>
      <c r="X194" s="31">
        <v>800</v>
      </c>
      <c r="Y194" s="30">
        <f t="shared" si="23"/>
        <v>11600</v>
      </c>
      <c r="Z194">
        <f>VLOOKUP(A194,справочник!$E$2:$F$322,2,FALSE)</f>
        <v>0</v>
      </c>
    </row>
    <row r="195" spans="1:26" hidden="1">
      <c r="A195" s="41">
        <f>VLOOKUP(B195,справочник!$B$2:$E$322,4,FALSE)</f>
        <v>170</v>
      </c>
      <c r="B195" t="str">
        <f t="shared" si="15"/>
        <v>178Науменко Дмитрий Александрович</v>
      </c>
      <c r="C195" s="1">
        <v>178</v>
      </c>
      <c r="D195" s="2" t="s">
        <v>179</v>
      </c>
      <c r="E195" s="5" t="s">
        <v>495</v>
      </c>
      <c r="F195" s="19">
        <v>41414</v>
      </c>
      <c r="G195" s="19">
        <v>41456</v>
      </c>
      <c r="H195" s="20">
        <f t="shared" si="20"/>
        <v>30</v>
      </c>
      <c r="I195" s="5">
        <f t="shared" si="21"/>
        <v>30000</v>
      </c>
      <c r="J195" s="20">
        <v>29000</v>
      </c>
      <c r="K195" s="20">
        <v>1000</v>
      </c>
      <c r="L195" s="32">
        <f t="shared" si="22"/>
        <v>0</v>
      </c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0">
        <f t="shared" si="23"/>
        <v>0</v>
      </c>
      <c r="Z195">
        <f>VLOOKUP(A195,справочник!$E$2:$F$322,2,FALSE)</f>
        <v>1</v>
      </c>
    </row>
    <row r="196" spans="1:26" hidden="1">
      <c r="A196" s="41">
        <f>VLOOKUP(B196,справочник!$B$2:$E$322,4,FALSE)</f>
        <v>170</v>
      </c>
      <c r="B196" t="str">
        <f t="shared" si="15"/>
        <v>179Науменко Дмитрий Александрович</v>
      </c>
      <c r="C196" s="1">
        <v>179</v>
      </c>
      <c r="D196" s="2" t="s">
        <v>179</v>
      </c>
      <c r="E196" s="5" t="s">
        <v>496</v>
      </c>
      <c r="F196" s="19">
        <v>41414</v>
      </c>
      <c r="G196" s="19">
        <v>41456</v>
      </c>
      <c r="H196" s="20">
        <f t="shared" si="20"/>
        <v>30</v>
      </c>
      <c r="I196" s="5">
        <f t="shared" si="21"/>
        <v>30000</v>
      </c>
      <c r="J196" s="20">
        <v>29000</v>
      </c>
      <c r="K196" s="20">
        <v>1000</v>
      </c>
      <c r="L196" s="32">
        <f t="shared" si="22"/>
        <v>0</v>
      </c>
      <c r="M196" s="31">
        <v>800</v>
      </c>
      <c r="N196" s="31">
        <v>800</v>
      </c>
      <c r="O196" s="31">
        <v>800</v>
      </c>
      <c r="P196" s="31">
        <v>800</v>
      </c>
      <c r="Q196" s="31">
        <v>800</v>
      </c>
      <c r="R196" s="31">
        <v>800</v>
      </c>
      <c r="S196" s="31">
        <v>800</v>
      </c>
      <c r="T196" s="31">
        <v>800</v>
      </c>
      <c r="U196" s="31">
        <v>800</v>
      </c>
      <c r="V196" s="31">
        <v>800</v>
      </c>
      <c r="W196" s="31">
        <v>800</v>
      </c>
      <c r="X196" s="31">
        <v>800</v>
      </c>
      <c r="Y196" s="30">
        <f t="shared" si="23"/>
        <v>9600</v>
      </c>
      <c r="Z196">
        <f>VLOOKUP(A196,справочник!$E$2:$F$322,2,FALSE)</f>
        <v>1</v>
      </c>
    </row>
    <row r="197" spans="1:26" hidden="1">
      <c r="A197" s="41">
        <f>VLOOKUP(B197,справочник!$B$2:$E$322,4,FALSE)</f>
        <v>290</v>
      </c>
      <c r="B197" t="str">
        <f t="shared" si="15"/>
        <v>303Недосенко Татьяна Сергеевна (Олег)</v>
      </c>
      <c r="C197" s="1">
        <v>303</v>
      </c>
      <c r="D197" s="2" t="s">
        <v>180</v>
      </c>
      <c r="E197" s="1" t="s">
        <v>497</v>
      </c>
      <c r="F197" s="16">
        <v>40959</v>
      </c>
      <c r="G197" s="16">
        <v>40940</v>
      </c>
      <c r="H197" s="17">
        <f t="shared" si="20"/>
        <v>47</v>
      </c>
      <c r="I197" s="1">
        <f t="shared" si="21"/>
        <v>47000</v>
      </c>
      <c r="J197" s="17">
        <v>42000</v>
      </c>
      <c r="K197" s="17">
        <v>5000</v>
      </c>
      <c r="L197" s="30">
        <f t="shared" si="22"/>
        <v>0</v>
      </c>
      <c r="M197" s="31">
        <v>800</v>
      </c>
      <c r="N197" s="31">
        <v>800</v>
      </c>
      <c r="O197" s="31">
        <v>800</v>
      </c>
      <c r="P197" s="31">
        <v>800</v>
      </c>
      <c r="Q197" s="31">
        <v>800</v>
      </c>
      <c r="R197" s="31">
        <v>800</v>
      </c>
      <c r="S197" s="31">
        <v>800</v>
      </c>
      <c r="T197" s="31">
        <v>800</v>
      </c>
      <c r="U197" s="31">
        <v>800</v>
      </c>
      <c r="V197" s="31">
        <v>800</v>
      </c>
      <c r="W197" s="31">
        <v>800</v>
      </c>
      <c r="X197" s="31">
        <v>800</v>
      </c>
      <c r="Y197" s="30">
        <f t="shared" si="23"/>
        <v>9600</v>
      </c>
      <c r="Z197">
        <f>VLOOKUP(A197,справочник!$E$2:$F$322,2,FALSE)</f>
        <v>0</v>
      </c>
    </row>
    <row r="198" spans="1:26" hidden="1">
      <c r="A198" s="41">
        <f>VLOOKUP(B198,справочник!$B$2:$E$322,4,FALSE)</f>
        <v>81</v>
      </c>
      <c r="B198" t="str">
        <f t="shared" ref="B198:B261" si="24">CONCATENATE(C198,D198)</f>
        <v>86Нелюбов Сергей Владимирович</v>
      </c>
      <c r="C198" s="1">
        <v>86</v>
      </c>
      <c r="D198" s="2" t="s">
        <v>181</v>
      </c>
      <c r="E198" s="1" t="s">
        <v>498</v>
      </c>
      <c r="F198" s="16">
        <v>40949</v>
      </c>
      <c r="G198" s="16">
        <v>40940</v>
      </c>
      <c r="H198" s="17">
        <f t="shared" si="20"/>
        <v>47</v>
      </c>
      <c r="I198" s="1">
        <f t="shared" si="21"/>
        <v>47000</v>
      </c>
      <c r="J198" s="17">
        <v>44000</v>
      </c>
      <c r="K198" s="17">
        <v>3000</v>
      </c>
      <c r="L198" s="30">
        <f t="shared" si="22"/>
        <v>0</v>
      </c>
      <c r="M198" s="31">
        <v>800</v>
      </c>
      <c r="N198" s="31">
        <v>800</v>
      </c>
      <c r="O198" s="31">
        <v>800</v>
      </c>
      <c r="P198" s="31">
        <v>800</v>
      </c>
      <c r="Q198" s="31">
        <v>800</v>
      </c>
      <c r="R198" s="31">
        <v>800</v>
      </c>
      <c r="S198" s="31">
        <v>800</v>
      </c>
      <c r="T198" s="31">
        <v>800</v>
      </c>
      <c r="U198" s="31">
        <v>800</v>
      </c>
      <c r="V198" s="31">
        <v>800</v>
      </c>
      <c r="W198" s="31">
        <v>800</v>
      </c>
      <c r="X198" s="31">
        <v>800</v>
      </c>
      <c r="Y198" s="30">
        <f t="shared" si="23"/>
        <v>9600</v>
      </c>
      <c r="Z198">
        <f>VLOOKUP(A198,справочник!$E$2:$F$322,2,FALSE)</f>
        <v>0</v>
      </c>
    </row>
    <row r="199" spans="1:26" hidden="1">
      <c r="A199" s="41">
        <f>VLOOKUP(B199,справочник!$B$2:$E$322,4,FALSE)</f>
        <v>31</v>
      </c>
      <c r="B199" t="str">
        <f t="shared" si="24"/>
        <v>31Нефедов Михаил Владимирович</v>
      </c>
      <c r="C199" s="1">
        <v>31</v>
      </c>
      <c r="D199" s="2" t="s">
        <v>182</v>
      </c>
      <c r="E199" s="1" t="s">
        <v>499</v>
      </c>
      <c r="F199" s="16">
        <v>40786</v>
      </c>
      <c r="G199" s="16">
        <v>40787</v>
      </c>
      <c r="H199" s="17">
        <f t="shared" si="20"/>
        <v>52</v>
      </c>
      <c r="I199" s="1">
        <f t="shared" si="21"/>
        <v>52000</v>
      </c>
      <c r="J199" s="17">
        <f>10000+42000</f>
        <v>52000</v>
      </c>
      <c r="K199" s="17"/>
      <c r="L199" s="30">
        <f t="shared" si="22"/>
        <v>0</v>
      </c>
      <c r="M199" s="31">
        <v>800</v>
      </c>
      <c r="N199" s="31">
        <v>800</v>
      </c>
      <c r="O199" s="31">
        <v>800</v>
      </c>
      <c r="P199" s="31">
        <v>800</v>
      </c>
      <c r="Q199" s="31">
        <v>800</v>
      </c>
      <c r="R199" s="31">
        <v>800</v>
      </c>
      <c r="S199" s="31">
        <v>800</v>
      </c>
      <c r="T199" s="31">
        <v>800</v>
      </c>
      <c r="U199" s="31">
        <v>800</v>
      </c>
      <c r="V199" s="31">
        <v>800</v>
      </c>
      <c r="W199" s="31">
        <v>800</v>
      </c>
      <c r="X199" s="31">
        <v>800</v>
      </c>
      <c r="Y199" s="30">
        <f t="shared" si="23"/>
        <v>9600</v>
      </c>
      <c r="Z199">
        <f>VLOOKUP(A199,справочник!$E$2:$F$322,2,FALSE)</f>
        <v>0</v>
      </c>
    </row>
    <row r="200" spans="1:26" hidden="1">
      <c r="A200" s="41">
        <f>VLOOKUP(B200,справочник!$B$2:$E$322,4,FALSE)</f>
        <v>104</v>
      </c>
      <c r="B200" t="str">
        <f t="shared" si="24"/>
        <v>109Никифоров Андрей Леонидович</v>
      </c>
      <c r="C200" s="1">
        <v>109</v>
      </c>
      <c r="D200" s="2" t="s">
        <v>183</v>
      </c>
      <c r="E200" s="1" t="s">
        <v>500</v>
      </c>
      <c r="F200" s="16">
        <v>40893</v>
      </c>
      <c r="G200" s="16">
        <v>40878</v>
      </c>
      <c r="H200" s="17">
        <f t="shared" si="20"/>
        <v>49</v>
      </c>
      <c r="I200" s="1">
        <f t="shared" si="21"/>
        <v>49000</v>
      </c>
      <c r="J200" s="17">
        <f>1000+45000</f>
        <v>46000</v>
      </c>
      <c r="K200" s="17"/>
      <c r="L200" s="30">
        <f t="shared" si="22"/>
        <v>3000</v>
      </c>
      <c r="M200" s="31">
        <v>800</v>
      </c>
      <c r="N200" s="31">
        <v>800</v>
      </c>
      <c r="O200" s="31">
        <v>800</v>
      </c>
      <c r="P200" s="31">
        <v>800</v>
      </c>
      <c r="Q200" s="31">
        <v>800</v>
      </c>
      <c r="R200" s="31">
        <v>800</v>
      </c>
      <c r="S200" s="31">
        <v>800</v>
      </c>
      <c r="T200" s="31">
        <v>800</v>
      </c>
      <c r="U200" s="31">
        <v>800</v>
      </c>
      <c r="V200" s="31">
        <v>800</v>
      </c>
      <c r="W200" s="31">
        <v>800</v>
      </c>
      <c r="X200" s="31">
        <v>800</v>
      </c>
      <c r="Y200" s="30">
        <f t="shared" si="23"/>
        <v>12600</v>
      </c>
      <c r="Z200">
        <f>VLOOKUP(A200,справочник!$E$2:$F$322,2,FALSE)</f>
        <v>0</v>
      </c>
    </row>
    <row r="201" spans="1:26" ht="25.5" hidden="1" customHeight="1">
      <c r="A201" s="41">
        <f>VLOOKUP(B201,справочник!$B$2:$E$322,4,FALSE)</f>
        <v>85</v>
      </c>
      <c r="B201" t="str">
        <f t="shared" si="24"/>
        <v>90Новиков Виктор Викторович</v>
      </c>
      <c r="C201" s="1">
        <v>90</v>
      </c>
      <c r="D201" s="2" t="s">
        <v>184</v>
      </c>
      <c r="E201" s="1" t="s">
        <v>501</v>
      </c>
      <c r="F201" s="16">
        <v>40695</v>
      </c>
      <c r="G201" s="16">
        <v>40725</v>
      </c>
      <c r="H201" s="17">
        <f t="shared" si="20"/>
        <v>54</v>
      </c>
      <c r="I201" s="1">
        <f t="shared" si="21"/>
        <v>54000</v>
      </c>
      <c r="J201" s="17">
        <f>1000+53000</f>
        <v>54000</v>
      </c>
      <c r="K201" s="17"/>
      <c r="L201" s="30">
        <f t="shared" si="22"/>
        <v>0</v>
      </c>
      <c r="M201" s="31">
        <v>800</v>
      </c>
      <c r="N201" s="31">
        <v>800</v>
      </c>
      <c r="O201" s="31">
        <v>800</v>
      </c>
      <c r="P201" s="31">
        <v>800</v>
      </c>
      <c r="Q201" s="31">
        <v>800</v>
      </c>
      <c r="R201" s="31">
        <v>800</v>
      </c>
      <c r="S201" s="31">
        <v>800</v>
      </c>
      <c r="T201" s="31">
        <v>800</v>
      </c>
      <c r="U201" s="31">
        <v>800</v>
      </c>
      <c r="V201" s="31">
        <v>800</v>
      </c>
      <c r="W201" s="31">
        <v>800</v>
      </c>
      <c r="X201" s="31">
        <v>800</v>
      </c>
      <c r="Y201" s="30">
        <f t="shared" si="23"/>
        <v>9600</v>
      </c>
      <c r="Z201">
        <f>VLOOKUP(A201,справочник!$E$2:$F$322,2,FALSE)</f>
        <v>0</v>
      </c>
    </row>
    <row r="202" spans="1:26" ht="25.5" hidden="1" customHeight="1">
      <c r="A202" s="41">
        <f>VLOOKUP(B202,справочник!$B$2:$E$322,4,FALSE)</f>
        <v>300</v>
      </c>
      <c r="B202" t="str">
        <f t="shared" si="24"/>
        <v>315Новикова Наталья Петровна</v>
      </c>
      <c r="C202" s="1">
        <v>315</v>
      </c>
      <c r="D202" s="2" t="s">
        <v>185</v>
      </c>
      <c r="E202" s="1" t="s">
        <v>502</v>
      </c>
      <c r="F202" s="16">
        <v>41999</v>
      </c>
      <c r="G202" s="16">
        <v>42005</v>
      </c>
      <c r="H202" s="17">
        <f t="shared" si="20"/>
        <v>12</v>
      </c>
      <c r="I202" s="1">
        <f t="shared" si="21"/>
        <v>12000</v>
      </c>
      <c r="J202" s="17">
        <v>1000</v>
      </c>
      <c r="K202" s="17"/>
      <c r="L202" s="30">
        <f t="shared" si="22"/>
        <v>11000</v>
      </c>
      <c r="M202" s="31">
        <v>800</v>
      </c>
      <c r="N202" s="31">
        <v>800</v>
      </c>
      <c r="O202" s="31">
        <v>800</v>
      </c>
      <c r="P202" s="31">
        <v>800</v>
      </c>
      <c r="Q202" s="31">
        <v>800</v>
      </c>
      <c r="R202" s="31">
        <v>800</v>
      </c>
      <c r="S202" s="31">
        <v>800</v>
      </c>
      <c r="T202" s="31">
        <v>800</v>
      </c>
      <c r="U202" s="31">
        <v>800</v>
      </c>
      <c r="V202" s="31">
        <v>800</v>
      </c>
      <c r="W202" s="31">
        <v>800</v>
      </c>
      <c r="X202" s="31">
        <v>800</v>
      </c>
      <c r="Y202" s="30">
        <f t="shared" si="23"/>
        <v>20600</v>
      </c>
      <c r="Z202">
        <f>VLOOKUP(A202,справочник!$E$2:$F$322,2,FALSE)</f>
        <v>0</v>
      </c>
    </row>
    <row r="203" spans="1:26" hidden="1">
      <c r="A203" s="41">
        <f>VLOOKUP(B203,справочник!$B$2:$E$322,4,FALSE)</f>
        <v>47</v>
      </c>
      <c r="B203" t="str">
        <f t="shared" si="24"/>
        <v>47Новикова Светлана Владимировна (Анатолий)</v>
      </c>
      <c r="C203" s="1">
        <v>47</v>
      </c>
      <c r="D203" s="2" t="s">
        <v>186</v>
      </c>
      <c r="E203" s="1" t="s">
        <v>503</v>
      </c>
      <c r="F203" s="16">
        <v>41375</v>
      </c>
      <c r="G203" s="16">
        <v>41395</v>
      </c>
      <c r="H203" s="17">
        <f t="shared" si="20"/>
        <v>32</v>
      </c>
      <c r="I203" s="1">
        <f t="shared" si="21"/>
        <v>32000</v>
      </c>
      <c r="J203" s="17">
        <v>9000</v>
      </c>
      <c r="K203" s="17"/>
      <c r="L203" s="30">
        <f t="shared" si="22"/>
        <v>23000</v>
      </c>
      <c r="M203" s="31">
        <v>800</v>
      </c>
      <c r="N203" s="31">
        <v>800</v>
      </c>
      <c r="O203" s="31">
        <v>800</v>
      </c>
      <c r="P203" s="31">
        <v>800</v>
      </c>
      <c r="Q203" s="31">
        <v>800</v>
      </c>
      <c r="R203" s="31">
        <v>800</v>
      </c>
      <c r="S203" s="31">
        <v>800</v>
      </c>
      <c r="T203" s="31">
        <v>800</v>
      </c>
      <c r="U203" s="31">
        <v>800</v>
      </c>
      <c r="V203" s="31">
        <v>800</v>
      </c>
      <c r="W203" s="31">
        <v>800</v>
      </c>
      <c r="X203" s="31">
        <v>800</v>
      </c>
      <c r="Y203" s="30">
        <f t="shared" si="23"/>
        <v>32600</v>
      </c>
      <c r="Z203">
        <f>VLOOKUP(A203,справочник!$E$2:$F$322,2,FALSE)</f>
        <v>0</v>
      </c>
    </row>
    <row r="204" spans="1:26" hidden="1">
      <c r="A204" s="41">
        <f>VLOOKUP(B204,справочник!$B$2:$E$322,4,FALSE)</f>
        <v>282</v>
      </c>
      <c r="B204" t="str">
        <f t="shared" si="24"/>
        <v xml:space="preserve">294Нормуротов Анваржон Абдирайимович    </v>
      </c>
      <c r="C204" s="1">
        <v>294</v>
      </c>
      <c r="D204" s="2" t="s">
        <v>187</v>
      </c>
      <c r="E204" s="23" t="s">
        <v>474</v>
      </c>
      <c r="F204" s="24">
        <v>41716</v>
      </c>
      <c r="G204" s="24">
        <v>41730</v>
      </c>
      <c r="H204" s="17">
        <f t="shared" si="20"/>
        <v>21</v>
      </c>
      <c r="I204" s="1">
        <f t="shared" si="21"/>
        <v>21000</v>
      </c>
      <c r="J204" s="17">
        <v>18000</v>
      </c>
      <c r="K204" s="17"/>
      <c r="L204" s="30">
        <f t="shared" si="22"/>
        <v>3000</v>
      </c>
      <c r="M204" s="31">
        <v>800</v>
      </c>
      <c r="N204" s="31">
        <v>800</v>
      </c>
      <c r="O204" s="31">
        <v>800</v>
      </c>
      <c r="P204" s="31">
        <v>800</v>
      </c>
      <c r="Q204" s="31">
        <v>800</v>
      </c>
      <c r="R204" s="31">
        <v>800</v>
      </c>
      <c r="S204" s="31">
        <v>800</v>
      </c>
      <c r="T204" s="31">
        <v>800</v>
      </c>
      <c r="U204" s="31">
        <v>800</v>
      </c>
      <c r="V204" s="31">
        <v>800</v>
      </c>
      <c r="W204" s="31">
        <v>800</v>
      </c>
      <c r="X204" s="31">
        <v>800</v>
      </c>
      <c r="Y204" s="30">
        <f t="shared" si="23"/>
        <v>12600</v>
      </c>
      <c r="Z204">
        <f>VLOOKUP(A204,справочник!$E$2:$F$322,2,FALSE)</f>
        <v>0</v>
      </c>
    </row>
    <row r="205" spans="1:26" ht="25.5" hidden="1" customHeight="1">
      <c r="A205" s="41">
        <f>VLOOKUP(B205,справочник!$B$2:$E$322,4,FALSE)</f>
        <v>204</v>
      </c>
      <c r="B205" t="str">
        <f t="shared" si="24"/>
        <v xml:space="preserve">214Носикова Александра Васильевна </v>
      </c>
      <c r="C205" s="1">
        <v>214</v>
      </c>
      <c r="D205" s="2" t="s">
        <v>188</v>
      </c>
      <c r="E205" s="1" t="s">
        <v>504</v>
      </c>
      <c r="F205" s="1"/>
      <c r="G205" s="1"/>
      <c r="H205" s="17"/>
      <c r="I205" s="1">
        <f t="shared" si="21"/>
        <v>0</v>
      </c>
      <c r="J205" s="17"/>
      <c r="K205" s="17"/>
      <c r="L205" s="30">
        <f t="shared" si="22"/>
        <v>0</v>
      </c>
      <c r="M205" s="31">
        <v>800</v>
      </c>
      <c r="N205" s="31">
        <v>800</v>
      </c>
      <c r="O205" s="31">
        <v>800</v>
      </c>
      <c r="P205" s="31">
        <v>800</v>
      </c>
      <c r="Q205" s="31">
        <v>800</v>
      </c>
      <c r="R205" s="31">
        <v>800</v>
      </c>
      <c r="S205" s="31">
        <v>800</v>
      </c>
      <c r="T205" s="31">
        <v>800</v>
      </c>
      <c r="U205" s="31">
        <v>800</v>
      </c>
      <c r="V205" s="31">
        <v>800</v>
      </c>
      <c r="W205" s="31">
        <v>800</v>
      </c>
      <c r="X205" s="31">
        <v>800</v>
      </c>
      <c r="Y205" s="30">
        <f t="shared" si="23"/>
        <v>9600</v>
      </c>
      <c r="Z205">
        <f>VLOOKUP(A205,справочник!$E$2:$F$322,2,FALSE)</f>
        <v>0</v>
      </c>
    </row>
    <row r="206" spans="1:26" hidden="1">
      <c r="A206" s="41">
        <f>VLOOKUP(B206,справочник!$B$2:$E$322,4,FALSE)</f>
        <v>291</v>
      </c>
      <c r="B206" t="str">
        <f t="shared" si="24"/>
        <v>304Носикова Мария Леонидовна</v>
      </c>
      <c r="C206" s="1">
        <v>304</v>
      </c>
      <c r="D206" s="2" t="s">
        <v>189</v>
      </c>
      <c r="E206" s="1" t="s">
        <v>505</v>
      </c>
      <c r="F206" s="1"/>
      <c r="G206" s="1"/>
      <c r="H206" s="17"/>
      <c r="I206" s="1">
        <f t="shared" si="21"/>
        <v>0</v>
      </c>
      <c r="J206" s="17"/>
      <c r="K206" s="17"/>
      <c r="L206" s="30">
        <f t="shared" si="22"/>
        <v>0</v>
      </c>
      <c r="M206" s="31">
        <v>800</v>
      </c>
      <c r="N206" s="31">
        <v>800</v>
      </c>
      <c r="O206" s="31">
        <v>800</v>
      </c>
      <c r="P206" s="31">
        <v>800</v>
      </c>
      <c r="Q206" s="31">
        <v>800</v>
      </c>
      <c r="R206" s="31">
        <v>800</v>
      </c>
      <c r="S206" s="31">
        <v>800</v>
      </c>
      <c r="T206" s="31">
        <v>800</v>
      </c>
      <c r="U206" s="31">
        <v>800</v>
      </c>
      <c r="V206" s="31">
        <v>800</v>
      </c>
      <c r="W206" s="31">
        <v>800</v>
      </c>
      <c r="X206" s="31">
        <v>800</v>
      </c>
      <c r="Y206" s="30">
        <f t="shared" si="23"/>
        <v>9600</v>
      </c>
      <c r="Z206">
        <f>VLOOKUP(A206,справочник!$E$2:$F$322,2,FALSE)</f>
        <v>0</v>
      </c>
    </row>
    <row r="207" spans="1:26" hidden="1">
      <c r="A207" s="41">
        <f>VLOOKUP(B207,справочник!$B$2:$E$322,4,FALSE)</f>
        <v>89</v>
      </c>
      <c r="B207" t="str">
        <f t="shared" si="24"/>
        <v xml:space="preserve">94Олег (Гусев Николай Михайлович — был) </v>
      </c>
      <c r="C207" s="1">
        <v>94</v>
      </c>
      <c r="D207" s="2" t="s">
        <v>190</v>
      </c>
      <c r="E207" s="1" t="s">
        <v>506</v>
      </c>
      <c r="F207" s="16">
        <v>41106</v>
      </c>
      <c r="G207" s="16">
        <v>41091</v>
      </c>
      <c r="H207" s="17">
        <f t="shared" ref="H207:H213" si="25">INT(($H$327-G207)/30)</f>
        <v>42</v>
      </c>
      <c r="I207" s="1">
        <f t="shared" si="21"/>
        <v>42000</v>
      </c>
      <c r="J207" s="17">
        <f>21000</f>
        <v>21000</v>
      </c>
      <c r="K207" s="17"/>
      <c r="L207" s="30">
        <f t="shared" si="22"/>
        <v>21000</v>
      </c>
      <c r="M207" s="31">
        <v>800</v>
      </c>
      <c r="N207" s="31">
        <v>800</v>
      </c>
      <c r="O207" s="31">
        <v>800</v>
      </c>
      <c r="P207" s="31">
        <v>800</v>
      </c>
      <c r="Q207" s="31">
        <v>800</v>
      </c>
      <c r="R207" s="31">
        <v>800</v>
      </c>
      <c r="S207" s="31">
        <v>800</v>
      </c>
      <c r="T207" s="31">
        <v>800</v>
      </c>
      <c r="U207" s="31">
        <v>800</v>
      </c>
      <c r="V207" s="31">
        <v>800</v>
      </c>
      <c r="W207" s="31">
        <v>800</v>
      </c>
      <c r="X207" s="31">
        <v>800</v>
      </c>
      <c r="Y207" s="30">
        <f t="shared" si="23"/>
        <v>30600</v>
      </c>
      <c r="Z207">
        <f>VLOOKUP(A207,справочник!$E$2:$F$322,2,FALSE)</f>
        <v>0</v>
      </c>
    </row>
    <row r="208" spans="1:26" hidden="1">
      <c r="A208" s="41">
        <f>VLOOKUP(B208,справочник!$B$2:$E$322,4,FALSE)</f>
        <v>26</v>
      </c>
      <c r="B208" t="str">
        <f t="shared" si="24"/>
        <v xml:space="preserve">26Олейников Дмитрий Александрович </v>
      </c>
      <c r="C208" s="1">
        <v>26</v>
      </c>
      <c r="D208" s="2" t="s">
        <v>191</v>
      </c>
      <c r="E208" s="1" t="s">
        <v>507</v>
      </c>
      <c r="F208" s="16">
        <v>40788</v>
      </c>
      <c r="G208" s="16">
        <v>40787</v>
      </c>
      <c r="H208" s="17">
        <f t="shared" si="25"/>
        <v>52</v>
      </c>
      <c r="I208" s="1">
        <f t="shared" si="21"/>
        <v>52000</v>
      </c>
      <c r="J208" s="17"/>
      <c r="K208" s="17"/>
      <c r="L208" s="30">
        <f t="shared" si="22"/>
        <v>52000</v>
      </c>
      <c r="M208" s="31">
        <v>800</v>
      </c>
      <c r="N208" s="31">
        <v>800</v>
      </c>
      <c r="O208" s="31">
        <v>800</v>
      </c>
      <c r="P208" s="31">
        <v>800</v>
      </c>
      <c r="Q208" s="31">
        <v>800</v>
      </c>
      <c r="R208" s="31">
        <v>800</v>
      </c>
      <c r="S208" s="31">
        <v>800</v>
      </c>
      <c r="T208" s="31">
        <v>800</v>
      </c>
      <c r="U208" s="31">
        <v>800</v>
      </c>
      <c r="V208" s="31">
        <v>800</v>
      </c>
      <c r="W208" s="31">
        <v>800</v>
      </c>
      <c r="X208" s="31">
        <v>800</v>
      </c>
      <c r="Y208" s="30">
        <f t="shared" si="23"/>
        <v>61600</v>
      </c>
      <c r="Z208">
        <f>VLOOKUP(A208,справочник!$E$2:$F$322,2,FALSE)</f>
        <v>0</v>
      </c>
    </row>
    <row r="209" spans="1:26" hidden="1">
      <c r="A209" s="41">
        <f>VLOOKUP(B209,справочник!$B$2:$E$322,4,FALSE)</f>
        <v>71</v>
      </c>
      <c r="B209" t="str">
        <f t="shared" si="24"/>
        <v>77Олейникова Евгения Александровна</v>
      </c>
      <c r="C209" s="1">
        <v>77</v>
      </c>
      <c r="D209" s="2" t="s">
        <v>192</v>
      </c>
      <c r="E209" s="1" t="s">
        <v>508</v>
      </c>
      <c r="F209" s="16">
        <v>40788</v>
      </c>
      <c r="G209" s="16">
        <v>40787</v>
      </c>
      <c r="H209" s="17">
        <f t="shared" si="25"/>
        <v>52</v>
      </c>
      <c r="I209" s="1">
        <f t="shared" si="21"/>
        <v>52000</v>
      </c>
      <c r="J209" s="17">
        <f>36000+4000</f>
        <v>40000</v>
      </c>
      <c r="K209" s="17"/>
      <c r="L209" s="30">
        <f t="shared" si="22"/>
        <v>12000</v>
      </c>
      <c r="M209" s="31">
        <v>800</v>
      </c>
      <c r="N209" s="31">
        <v>800</v>
      </c>
      <c r="O209" s="31">
        <v>800</v>
      </c>
      <c r="P209" s="31">
        <v>800</v>
      </c>
      <c r="Q209" s="31">
        <v>800</v>
      </c>
      <c r="R209" s="31">
        <v>800</v>
      </c>
      <c r="S209" s="31">
        <v>800</v>
      </c>
      <c r="T209" s="31">
        <v>800</v>
      </c>
      <c r="U209" s="31">
        <v>800</v>
      </c>
      <c r="V209" s="31">
        <v>800</v>
      </c>
      <c r="W209" s="31">
        <v>800</v>
      </c>
      <c r="X209" s="31">
        <v>800</v>
      </c>
      <c r="Y209" s="30">
        <f t="shared" si="23"/>
        <v>21600</v>
      </c>
      <c r="Z209">
        <f>VLOOKUP(A209,справочник!$E$2:$F$322,2,FALSE)</f>
        <v>0</v>
      </c>
    </row>
    <row r="210" spans="1:26" ht="25.5" hidden="1" customHeight="1">
      <c r="A210" s="41">
        <f>VLOOKUP(B210,справочник!$B$2:$E$322,4,FALSE)</f>
        <v>6</v>
      </c>
      <c r="B210" t="str">
        <f t="shared" si="24"/>
        <v>6Осадчев Константин Владимирович</v>
      </c>
      <c r="C210" s="1">
        <v>6</v>
      </c>
      <c r="D210" s="2" t="s">
        <v>193</v>
      </c>
      <c r="E210" s="1" t="s">
        <v>509</v>
      </c>
      <c r="F210" s="16">
        <v>41939</v>
      </c>
      <c r="G210" s="16">
        <v>41944</v>
      </c>
      <c r="H210" s="17">
        <f t="shared" si="25"/>
        <v>14</v>
      </c>
      <c r="I210" s="1">
        <f t="shared" si="21"/>
        <v>14000</v>
      </c>
      <c r="J210" s="17"/>
      <c r="K210" s="17"/>
      <c r="L210" s="30">
        <f t="shared" si="22"/>
        <v>14000</v>
      </c>
      <c r="M210" s="31">
        <v>800</v>
      </c>
      <c r="N210" s="31">
        <v>800</v>
      </c>
      <c r="O210" s="31">
        <v>800</v>
      </c>
      <c r="P210" s="31">
        <v>800</v>
      </c>
      <c r="Q210" s="31">
        <v>800</v>
      </c>
      <c r="R210" s="31">
        <v>800</v>
      </c>
      <c r="S210" s="31">
        <v>800</v>
      </c>
      <c r="T210" s="31">
        <v>800</v>
      </c>
      <c r="U210" s="31">
        <v>800</v>
      </c>
      <c r="V210" s="31">
        <v>800</v>
      </c>
      <c r="W210" s="31">
        <v>800</v>
      </c>
      <c r="X210" s="31">
        <v>800</v>
      </c>
      <c r="Y210" s="30">
        <f t="shared" si="23"/>
        <v>23600</v>
      </c>
      <c r="Z210">
        <f>VLOOKUP(A210,справочник!$E$2:$F$322,2,FALSE)</f>
        <v>0</v>
      </c>
    </row>
    <row r="211" spans="1:26" ht="25.5" hidden="1" customHeight="1">
      <c r="A211" s="41">
        <f>VLOOKUP(B211,справочник!$B$2:$E$322,4,FALSE)</f>
        <v>80</v>
      </c>
      <c r="B211" t="str">
        <f t="shared" si="24"/>
        <v>85Острикова Наталья Львовна</v>
      </c>
      <c r="C211" s="1">
        <v>85</v>
      </c>
      <c r="D211" s="2" t="s">
        <v>194</v>
      </c>
      <c r="E211" s="1" t="s">
        <v>510</v>
      </c>
      <c r="F211" s="16">
        <v>40995</v>
      </c>
      <c r="G211" s="16">
        <v>41000</v>
      </c>
      <c r="H211" s="17">
        <f t="shared" si="25"/>
        <v>45</v>
      </c>
      <c r="I211" s="1">
        <f t="shared" si="21"/>
        <v>45000</v>
      </c>
      <c r="J211" s="17">
        <v>45000</v>
      </c>
      <c r="K211" s="17"/>
      <c r="L211" s="30">
        <f t="shared" si="22"/>
        <v>0</v>
      </c>
      <c r="M211" s="31">
        <v>800</v>
      </c>
      <c r="N211" s="31">
        <v>800</v>
      </c>
      <c r="O211" s="31">
        <v>800</v>
      </c>
      <c r="P211" s="31">
        <v>800</v>
      </c>
      <c r="Q211" s="31">
        <v>800</v>
      </c>
      <c r="R211" s="31">
        <v>800</v>
      </c>
      <c r="S211" s="31">
        <v>800</v>
      </c>
      <c r="T211" s="31">
        <v>800</v>
      </c>
      <c r="U211" s="31">
        <v>800</v>
      </c>
      <c r="V211" s="31">
        <v>800</v>
      </c>
      <c r="W211" s="31">
        <v>800</v>
      </c>
      <c r="X211" s="31">
        <v>800</v>
      </c>
      <c r="Y211" s="30">
        <f t="shared" si="23"/>
        <v>9600</v>
      </c>
      <c r="Z211">
        <f>VLOOKUP(A211,справочник!$E$2:$F$322,2,FALSE)</f>
        <v>0</v>
      </c>
    </row>
    <row r="212" spans="1:26" ht="38.25" hidden="1" customHeight="1">
      <c r="A212" s="41">
        <f>VLOOKUP(B212,справочник!$B$2:$E$322,4,FALSE)</f>
        <v>201</v>
      </c>
      <c r="B212" t="str">
        <f t="shared" si="24"/>
        <v>209Пархачева Эльвира Валентиновна (Алксандр)</v>
      </c>
      <c r="C212" s="1">
        <v>209</v>
      </c>
      <c r="D212" s="2" t="s">
        <v>195</v>
      </c>
      <c r="E212" s="1" t="s">
        <v>511</v>
      </c>
      <c r="F212" s="16">
        <v>40974</v>
      </c>
      <c r="G212" s="16">
        <v>40969</v>
      </c>
      <c r="H212" s="17">
        <f t="shared" si="25"/>
        <v>46</v>
      </c>
      <c r="I212" s="1">
        <f t="shared" si="21"/>
        <v>46000</v>
      </c>
      <c r="J212" s="17">
        <v>38000</v>
      </c>
      <c r="K212" s="17"/>
      <c r="L212" s="30">
        <f t="shared" si="22"/>
        <v>8000</v>
      </c>
      <c r="M212" s="31">
        <v>800</v>
      </c>
      <c r="N212" s="31">
        <v>800</v>
      </c>
      <c r="O212" s="31">
        <v>800</v>
      </c>
      <c r="P212" s="31">
        <v>800</v>
      </c>
      <c r="Q212" s="31">
        <v>800</v>
      </c>
      <c r="R212" s="31">
        <v>800</v>
      </c>
      <c r="S212" s="31">
        <v>800</v>
      </c>
      <c r="T212" s="31">
        <v>800</v>
      </c>
      <c r="U212" s="31">
        <v>800</v>
      </c>
      <c r="V212" s="31">
        <v>800</v>
      </c>
      <c r="W212" s="31">
        <v>800</v>
      </c>
      <c r="X212" s="31">
        <v>800</v>
      </c>
      <c r="Y212" s="30">
        <f t="shared" si="23"/>
        <v>17600</v>
      </c>
      <c r="Z212">
        <f>VLOOKUP(A212,справочник!$E$2:$F$322,2,FALSE)</f>
        <v>0</v>
      </c>
    </row>
    <row r="213" spans="1:26" hidden="1">
      <c r="A213" s="41">
        <f>VLOOKUP(B213,справочник!$B$2:$E$322,4,FALSE)</f>
        <v>147</v>
      </c>
      <c r="B213" t="str">
        <f t="shared" si="24"/>
        <v>155Пахарева Ольга Александровна (Дмитрий)</v>
      </c>
      <c r="C213" s="1">
        <v>155</v>
      </c>
      <c r="D213" s="2" t="s">
        <v>196</v>
      </c>
      <c r="E213" s="1" t="s">
        <v>512</v>
      </c>
      <c r="F213" s="16">
        <v>40952</v>
      </c>
      <c r="G213" s="16">
        <v>40940</v>
      </c>
      <c r="H213" s="17">
        <f t="shared" si="25"/>
        <v>47</v>
      </c>
      <c r="I213" s="1">
        <f t="shared" si="21"/>
        <v>47000</v>
      </c>
      <c r="J213" s="17">
        <v>32000</v>
      </c>
      <c r="K213" s="17"/>
      <c r="L213" s="30">
        <f t="shared" si="22"/>
        <v>15000</v>
      </c>
      <c r="M213" s="31">
        <v>800</v>
      </c>
      <c r="N213" s="31">
        <v>800</v>
      </c>
      <c r="O213" s="31">
        <v>800</v>
      </c>
      <c r="P213" s="31">
        <v>800</v>
      </c>
      <c r="Q213" s="31">
        <v>800</v>
      </c>
      <c r="R213" s="31">
        <v>800</v>
      </c>
      <c r="S213" s="31">
        <v>800</v>
      </c>
      <c r="T213" s="31">
        <v>800</v>
      </c>
      <c r="U213" s="31">
        <v>800</v>
      </c>
      <c r="V213" s="31">
        <v>800</v>
      </c>
      <c r="W213" s="31">
        <v>800</v>
      </c>
      <c r="X213" s="31">
        <v>800</v>
      </c>
      <c r="Y213" s="30">
        <f t="shared" si="23"/>
        <v>24600</v>
      </c>
      <c r="Z213">
        <f>VLOOKUP(A213,справочник!$E$2:$F$322,2,FALSE)</f>
        <v>0</v>
      </c>
    </row>
    <row r="214" spans="1:26" ht="24" hidden="1">
      <c r="A214" s="41" t="e">
        <f>VLOOKUP(B214,справочник!$B$2:$E$322,4,FALSE)</f>
        <v>#N/A</v>
      </c>
      <c r="B214" t="str">
        <f t="shared" si="24"/>
        <v>29_Петрик Наталья Вячеславовна(ПродалаУстинова Ирина)</v>
      </c>
      <c r="C214" s="1" t="s">
        <v>703</v>
      </c>
      <c r="D214" s="2" t="s">
        <v>197</v>
      </c>
      <c r="E214" s="1" t="s">
        <v>513</v>
      </c>
      <c r="F214" s="16">
        <v>40923</v>
      </c>
      <c r="G214" s="16">
        <v>40909</v>
      </c>
      <c r="H214" s="17">
        <v>7</v>
      </c>
      <c r="I214" s="1">
        <f t="shared" si="21"/>
        <v>7000</v>
      </c>
      <c r="J214" s="17">
        <v>7000</v>
      </c>
      <c r="K214" s="17"/>
      <c r="L214" s="30">
        <f t="shared" si="22"/>
        <v>0</v>
      </c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0">
        <f t="shared" si="23"/>
        <v>0</v>
      </c>
      <c r="Z214" t="e">
        <f>VLOOKUP(A214,справочник!$E$2:$F$322,2,FALSE)</f>
        <v>#N/A</v>
      </c>
    </row>
    <row r="215" spans="1:26" hidden="1">
      <c r="A215" s="41">
        <f>VLOOKUP(B215,справочник!$B$2:$E$322,4,FALSE)</f>
        <v>33</v>
      </c>
      <c r="B215" t="str">
        <f t="shared" si="24"/>
        <v>33Петров Борис Викторович</v>
      </c>
      <c r="C215" s="1">
        <v>33</v>
      </c>
      <c r="D215" s="2" t="s">
        <v>198</v>
      </c>
      <c r="E215" s="1" t="s">
        <v>514</v>
      </c>
      <c r="F215" s="16">
        <v>40791</v>
      </c>
      <c r="G215" s="16">
        <v>40787</v>
      </c>
      <c r="H215" s="17">
        <f t="shared" ref="H215:H224" si="26">INT(($H$327-G215)/30)</f>
        <v>52</v>
      </c>
      <c r="I215" s="1">
        <f t="shared" si="21"/>
        <v>52000</v>
      </c>
      <c r="J215" s="17">
        <f>1000+44000</f>
        <v>45000</v>
      </c>
      <c r="K215" s="17"/>
      <c r="L215" s="30">
        <f t="shared" si="22"/>
        <v>7000</v>
      </c>
      <c r="M215" s="31">
        <v>800</v>
      </c>
      <c r="N215" s="31">
        <v>800</v>
      </c>
      <c r="O215" s="31">
        <v>800</v>
      </c>
      <c r="P215" s="31">
        <v>800</v>
      </c>
      <c r="Q215" s="31">
        <v>800</v>
      </c>
      <c r="R215" s="31">
        <v>800</v>
      </c>
      <c r="S215" s="31">
        <v>800</v>
      </c>
      <c r="T215" s="31">
        <v>800</v>
      </c>
      <c r="U215" s="31">
        <v>800</v>
      </c>
      <c r="V215" s="31">
        <v>800</v>
      </c>
      <c r="W215" s="31">
        <v>800</v>
      </c>
      <c r="X215" s="31">
        <v>800</v>
      </c>
      <c r="Y215" s="30">
        <f t="shared" si="23"/>
        <v>16600</v>
      </c>
      <c r="Z215">
        <f>VLOOKUP(A215,справочник!$E$2:$F$322,2,FALSE)</f>
        <v>0</v>
      </c>
    </row>
    <row r="216" spans="1:26" hidden="1">
      <c r="A216" s="41">
        <f>VLOOKUP(B216,справочник!$B$2:$E$322,4,FALSE)</f>
        <v>169</v>
      </c>
      <c r="B216" t="str">
        <f t="shared" si="24"/>
        <v>177Петрова Елена Николаевна</v>
      </c>
      <c r="C216" s="1">
        <v>177</v>
      </c>
      <c r="D216" s="2" t="s">
        <v>199</v>
      </c>
      <c r="E216" s="1" t="s">
        <v>515</v>
      </c>
      <c r="F216" s="16">
        <v>41598</v>
      </c>
      <c r="G216" s="16">
        <v>41609</v>
      </c>
      <c r="H216" s="17">
        <f t="shared" si="26"/>
        <v>25</v>
      </c>
      <c r="I216" s="1">
        <f t="shared" si="21"/>
        <v>25000</v>
      </c>
      <c r="J216" s="17">
        <v>21000</v>
      </c>
      <c r="K216" s="17"/>
      <c r="L216" s="30">
        <f t="shared" si="22"/>
        <v>4000</v>
      </c>
      <c r="M216" s="31">
        <v>800</v>
      </c>
      <c r="N216" s="31">
        <v>800</v>
      </c>
      <c r="O216" s="31">
        <v>800</v>
      </c>
      <c r="P216" s="31">
        <v>800</v>
      </c>
      <c r="Q216" s="31">
        <v>800</v>
      </c>
      <c r="R216" s="31">
        <v>800</v>
      </c>
      <c r="S216" s="31">
        <v>800</v>
      </c>
      <c r="T216" s="31">
        <v>800</v>
      </c>
      <c r="U216" s="31">
        <v>800</v>
      </c>
      <c r="V216" s="31">
        <v>800</v>
      </c>
      <c r="W216" s="31">
        <v>800</v>
      </c>
      <c r="X216" s="31">
        <v>800</v>
      </c>
      <c r="Y216" s="30">
        <f t="shared" si="23"/>
        <v>13600</v>
      </c>
      <c r="Z216">
        <f>VLOOKUP(A216,справочник!$E$2:$F$322,2,FALSE)</f>
        <v>0</v>
      </c>
    </row>
    <row r="217" spans="1:26" hidden="1">
      <c r="A217" s="41">
        <f>VLOOKUP(B217,справочник!$B$2:$E$322,4,FALSE)</f>
        <v>185</v>
      </c>
      <c r="B217" t="str">
        <f t="shared" si="24"/>
        <v>193Петункин Игорь Минович</v>
      </c>
      <c r="C217" s="1">
        <v>193</v>
      </c>
      <c r="D217" s="2" t="s">
        <v>200</v>
      </c>
      <c r="E217" s="1" t="s">
        <v>516</v>
      </c>
      <c r="F217" s="16">
        <v>41506</v>
      </c>
      <c r="G217" s="16">
        <v>41518</v>
      </c>
      <c r="H217" s="17">
        <f t="shared" si="26"/>
        <v>28</v>
      </c>
      <c r="I217" s="1">
        <f t="shared" si="21"/>
        <v>28000</v>
      </c>
      <c r="J217" s="17">
        <v>14000</v>
      </c>
      <c r="K217" s="17"/>
      <c r="L217" s="30">
        <f t="shared" si="22"/>
        <v>14000</v>
      </c>
      <c r="M217" s="31">
        <v>800</v>
      </c>
      <c r="N217" s="31">
        <v>800</v>
      </c>
      <c r="O217" s="31">
        <v>800</v>
      </c>
      <c r="P217" s="31">
        <v>800</v>
      </c>
      <c r="Q217" s="31">
        <v>800</v>
      </c>
      <c r="R217" s="31">
        <v>800</v>
      </c>
      <c r="S217" s="31">
        <v>800</v>
      </c>
      <c r="T217" s="31">
        <v>800</v>
      </c>
      <c r="U217" s="31">
        <v>800</v>
      </c>
      <c r="V217" s="31">
        <v>800</v>
      </c>
      <c r="W217" s="31">
        <v>800</v>
      </c>
      <c r="X217" s="31">
        <v>800</v>
      </c>
      <c r="Y217" s="30">
        <f t="shared" si="23"/>
        <v>23600</v>
      </c>
      <c r="Z217">
        <f>VLOOKUP(A217,справочник!$E$2:$F$322,2,FALSE)</f>
        <v>0</v>
      </c>
    </row>
    <row r="218" spans="1:26" hidden="1">
      <c r="A218" s="41">
        <f>VLOOKUP(B218,справочник!$B$2:$E$322,4,FALSE)</f>
        <v>176</v>
      </c>
      <c r="B218" t="str">
        <f t="shared" si="24"/>
        <v>184Пикалёва Алла Григорьевна (Юрий)</v>
      </c>
      <c r="C218" s="1">
        <v>184</v>
      </c>
      <c r="D218" s="2" t="s">
        <v>201</v>
      </c>
      <c r="E218" s="1" t="s">
        <v>517</v>
      </c>
      <c r="F218" s="16">
        <v>41734</v>
      </c>
      <c r="G218" s="16">
        <v>41760</v>
      </c>
      <c r="H218" s="17">
        <f t="shared" si="26"/>
        <v>20</v>
      </c>
      <c r="I218" s="1">
        <f t="shared" si="21"/>
        <v>20000</v>
      </c>
      <c r="J218" s="17">
        <v>3000</v>
      </c>
      <c r="K218" s="17"/>
      <c r="L218" s="30">
        <f t="shared" si="22"/>
        <v>17000</v>
      </c>
      <c r="M218" s="31">
        <v>800</v>
      </c>
      <c r="N218" s="31">
        <v>800</v>
      </c>
      <c r="O218" s="31">
        <v>800</v>
      </c>
      <c r="P218" s="31">
        <v>800</v>
      </c>
      <c r="Q218" s="31">
        <v>800</v>
      </c>
      <c r="R218" s="31">
        <v>800</v>
      </c>
      <c r="S218" s="31">
        <v>800</v>
      </c>
      <c r="T218" s="31">
        <v>800</v>
      </c>
      <c r="U218" s="31">
        <v>800</v>
      </c>
      <c r="V218" s="31">
        <v>800</v>
      </c>
      <c r="W218" s="31">
        <v>800</v>
      </c>
      <c r="X218" s="31">
        <v>800</v>
      </c>
      <c r="Y218" s="30">
        <f t="shared" si="23"/>
        <v>26600</v>
      </c>
      <c r="Z218">
        <f>VLOOKUP(A218,справочник!$E$2:$F$322,2,FALSE)</f>
        <v>0</v>
      </c>
    </row>
    <row r="219" spans="1:26" hidden="1">
      <c r="A219" s="41">
        <f>VLOOKUP(B219,справочник!$B$2:$E$322,4,FALSE)</f>
        <v>307</v>
      </c>
      <c r="B219" t="str">
        <f t="shared" si="24"/>
        <v>322Поликарпова Наталья Дмитриевна</v>
      </c>
      <c r="C219" s="1">
        <v>322</v>
      </c>
      <c r="D219" s="2" t="s">
        <v>202</v>
      </c>
      <c r="E219" s="1" t="s">
        <v>518</v>
      </c>
      <c r="F219" s="16">
        <v>41114</v>
      </c>
      <c r="G219" s="16">
        <v>41122</v>
      </c>
      <c r="H219" s="17">
        <f t="shared" si="26"/>
        <v>41</v>
      </c>
      <c r="I219" s="1">
        <f t="shared" si="21"/>
        <v>41000</v>
      </c>
      <c r="J219" s="17">
        <v>27000</v>
      </c>
      <c r="K219" s="17"/>
      <c r="L219" s="30">
        <f t="shared" si="22"/>
        <v>14000</v>
      </c>
      <c r="M219" s="31">
        <v>800</v>
      </c>
      <c r="N219" s="31">
        <v>800</v>
      </c>
      <c r="O219" s="31">
        <v>800</v>
      </c>
      <c r="P219" s="31">
        <v>800</v>
      </c>
      <c r="Q219" s="31">
        <v>800</v>
      </c>
      <c r="R219" s="31">
        <v>800</v>
      </c>
      <c r="S219" s="31">
        <v>800</v>
      </c>
      <c r="T219" s="31">
        <v>800</v>
      </c>
      <c r="U219" s="31">
        <v>800</v>
      </c>
      <c r="V219" s="31">
        <v>800</v>
      </c>
      <c r="W219" s="31">
        <v>800</v>
      </c>
      <c r="X219" s="31">
        <v>800</v>
      </c>
      <c r="Y219" s="30">
        <f t="shared" si="23"/>
        <v>23600</v>
      </c>
      <c r="Z219">
        <f>VLOOKUP(A219,справочник!$E$2:$F$322,2,FALSE)</f>
        <v>0</v>
      </c>
    </row>
    <row r="220" spans="1:26" hidden="1">
      <c r="A220" s="41">
        <f>VLOOKUP(B220,справочник!$B$2:$E$322,4,FALSE)</f>
        <v>177</v>
      </c>
      <c r="B220" t="str">
        <f t="shared" si="24"/>
        <v>185Полякова Марина Александровна</v>
      </c>
      <c r="C220" s="1">
        <v>185</v>
      </c>
      <c r="D220" s="2" t="s">
        <v>203</v>
      </c>
      <c r="E220" s="1" t="s">
        <v>519</v>
      </c>
      <c r="F220" s="16">
        <v>41898</v>
      </c>
      <c r="G220" s="16">
        <v>41913</v>
      </c>
      <c r="H220" s="17">
        <f t="shared" si="26"/>
        <v>15</v>
      </c>
      <c r="I220" s="1">
        <f t="shared" si="21"/>
        <v>15000</v>
      </c>
      <c r="J220" s="17">
        <v>12000</v>
      </c>
      <c r="K220" s="17"/>
      <c r="L220" s="30">
        <f t="shared" si="22"/>
        <v>3000</v>
      </c>
      <c r="M220" s="31">
        <v>800</v>
      </c>
      <c r="N220" s="31">
        <v>800</v>
      </c>
      <c r="O220" s="31">
        <v>800</v>
      </c>
      <c r="P220" s="31">
        <v>800</v>
      </c>
      <c r="Q220" s="31">
        <v>800</v>
      </c>
      <c r="R220" s="31">
        <v>800</v>
      </c>
      <c r="S220" s="31">
        <v>800</v>
      </c>
      <c r="T220" s="31">
        <v>800</v>
      </c>
      <c r="U220" s="31">
        <v>800</v>
      </c>
      <c r="V220" s="31">
        <v>800</v>
      </c>
      <c r="W220" s="31">
        <v>800</v>
      </c>
      <c r="X220" s="31">
        <v>800</v>
      </c>
      <c r="Y220" s="30">
        <f t="shared" si="23"/>
        <v>12600</v>
      </c>
      <c r="Z220">
        <f>VLOOKUP(A220,справочник!$E$2:$F$322,2,FALSE)</f>
        <v>0</v>
      </c>
    </row>
    <row r="221" spans="1:26" hidden="1">
      <c r="A221" s="41">
        <f>VLOOKUP(B221,справочник!$B$2:$E$322,4,FALSE)</f>
        <v>160</v>
      </c>
      <c r="B221" t="str">
        <f t="shared" si="24"/>
        <v>168Пономарева Олеся Сергеевна</v>
      </c>
      <c r="C221" s="1">
        <v>168</v>
      </c>
      <c r="D221" s="2" t="s">
        <v>204</v>
      </c>
      <c r="E221" s="1" t="s">
        <v>520</v>
      </c>
      <c r="F221" s="16">
        <v>41079</v>
      </c>
      <c r="G221" s="16">
        <v>41091</v>
      </c>
      <c r="H221" s="17">
        <f t="shared" si="26"/>
        <v>42</v>
      </c>
      <c r="I221" s="1">
        <f t="shared" si="21"/>
        <v>42000</v>
      </c>
      <c r="J221" s="17">
        <v>21000</v>
      </c>
      <c r="K221" s="17"/>
      <c r="L221" s="30">
        <f t="shared" si="22"/>
        <v>21000</v>
      </c>
      <c r="M221" s="31">
        <v>800</v>
      </c>
      <c r="N221" s="31">
        <v>800</v>
      </c>
      <c r="O221" s="31">
        <v>800</v>
      </c>
      <c r="P221" s="31">
        <v>800</v>
      </c>
      <c r="Q221" s="31">
        <v>800</v>
      </c>
      <c r="R221" s="31">
        <v>800</v>
      </c>
      <c r="S221" s="31">
        <v>800</v>
      </c>
      <c r="T221" s="31">
        <v>800</v>
      </c>
      <c r="U221" s="31">
        <v>800</v>
      </c>
      <c r="V221" s="31">
        <v>800</v>
      </c>
      <c r="W221" s="31">
        <v>800</v>
      </c>
      <c r="X221" s="31">
        <v>800</v>
      </c>
      <c r="Y221" s="30">
        <f t="shared" si="23"/>
        <v>30600</v>
      </c>
      <c r="Z221">
        <f>VLOOKUP(A221,справочник!$E$2:$F$322,2,FALSE)</f>
        <v>0</v>
      </c>
    </row>
    <row r="222" spans="1:26" ht="25.5" hidden="1" customHeight="1">
      <c r="A222" s="41">
        <f>VLOOKUP(B222,справочник!$B$2:$E$322,4,FALSE)</f>
        <v>53</v>
      </c>
      <c r="B222" t="str">
        <f t="shared" si="24"/>
        <v>55Попова Нина Ивановна</v>
      </c>
      <c r="C222" s="1">
        <v>55</v>
      </c>
      <c r="D222" s="2" t="s">
        <v>205</v>
      </c>
      <c r="E222" s="1" t="s">
        <v>521</v>
      </c>
      <c r="F222" s="16">
        <v>41995</v>
      </c>
      <c r="G222" s="16">
        <v>42005</v>
      </c>
      <c r="H222" s="17">
        <f t="shared" si="26"/>
        <v>12</v>
      </c>
      <c r="I222" s="1">
        <f t="shared" si="21"/>
        <v>12000</v>
      </c>
      <c r="J222" s="17">
        <v>12000</v>
      </c>
      <c r="K222" s="17"/>
      <c r="L222" s="30">
        <f t="shared" si="22"/>
        <v>0</v>
      </c>
      <c r="M222" s="31">
        <v>800</v>
      </c>
      <c r="N222" s="31">
        <v>800</v>
      </c>
      <c r="O222" s="31">
        <v>800</v>
      </c>
      <c r="P222" s="31">
        <v>800</v>
      </c>
      <c r="Q222" s="31">
        <v>800</v>
      </c>
      <c r="R222" s="31">
        <v>800</v>
      </c>
      <c r="S222" s="31">
        <v>800</v>
      </c>
      <c r="T222" s="31">
        <v>800</v>
      </c>
      <c r="U222" s="31">
        <v>800</v>
      </c>
      <c r="V222" s="31">
        <v>800</v>
      </c>
      <c r="W222" s="31">
        <v>800</v>
      </c>
      <c r="X222" s="31">
        <v>800</v>
      </c>
      <c r="Y222" s="30">
        <f t="shared" si="23"/>
        <v>9600</v>
      </c>
      <c r="Z222">
        <f>VLOOKUP(A222,справочник!$E$2:$F$322,2,FALSE)</f>
        <v>0</v>
      </c>
    </row>
    <row r="223" spans="1:26" hidden="1">
      <c r="A223" s="41">
        <f>VLOOKUP(B223,справочник!$B$2:$E$322,4,FALSE)</f>
        <v>102</v>
      </c>
      <c r="B223" t="str">
        <f t="shared" si="24"/>
        <v>107Постернак Татьяна Николаевна</v>
      </c>
      <c r="C223" s="1">
        <v>107</v>
      </c>
      <c r="D223" s="2" t="s">
        <v>206</v>
      </c>
      <c r="E223" s="1" t="s">
        <v>522</v>
      </c>
      <c r="F223" s="16">
        <v>40757</v>
      </c>
      <c r="G223" s="16">
        <v>40756</v>
      </c>
      <c r="H223" s="17">
        <f t="shared" si="26"/>
        <v>53</v>
      </c>
      <c r="I223" s="1">
        <f t="shared" si="21"/>
        <v>53000</v>
      </c>
      <c r="J223" s="17">
        <f>52000+1000</f>
        <v>53000</v>
      </c>
      <c r="K223" s="17"/>
      <c r="L223" s="30">
        <f t="shared" si="22"/>
        <v>0</v>
      </c>
      <c r="M223" s="31">
        <v>800</v>
      </c>
      <c r="N223" s="31">
        <v>800</v>
      </c>
      <c r="O223" s="31">
        <v>800</v>
      </c>
      <c r="P223" s="31">
        <v>800</v>
      </c>
      <c r="Q223" s="31">
        <v>800</v>
      </c>
      <c r="R223" s="31">
        <v>800</v>
      </c>
      <c r="S223" s="31">
        <v>800</v>
      </c>
      <c r="T223" s="31">
        <v>800</v>
      </c>
      <c r="U223" s="31">
        <v>800</v>
      </c>
      <c r="V223" s="31">
        <v>800</v>
      </c>
      <c r="W223" s="31">
        <v>800</v>
      </c>
      <c r="X223" s="31">
        <v>800</v>
      </c>
      <c r="Y223" s="30">
        <f t="shared" si="23"/>
        <v>9600</v>
      </c>
      <c r="Z223">
        <f>VLOOKUP(A223,справочник!$E$2:$F$322,2,FALSE)</f>
        <v>0</v>
      </c>
    </row>
    <row r="224" spans="1:26" hidden="1">
      <c r="A224" s="41">
        <f>VLOOKUP(B224,справочник!$B$2:$E$322,4,FALSE)</f>
        <v>174</v>
      </c>
      <c r="B224" t="str">
        <f t="shared" si="24"/>
        <v>182Просянов Александр Александрович</v>
      </c>
      <c r="C224" s="1">
        <v>182</v>
      </c>
      <c r="D224" s="2" t="s">
        <v>207</v>
      </c>
      <c r="E224" s="1" t="s">
        <v>523</v>
      </c>
      <c r="F224" s="16">
        <v>41352</v>
      </c>
      <c r="G224" s="16">
        <v>41365</v>
      </c>
      <c r="H224" s="17">
        <f t="shared" si="26"/>
        <v>33</v>
      </c>
      <c r="I224" s="1">
        <f t="shared" si="21"/>
        <v>33000</v>
      </c>
      <c r="J224" s="17">
        <v>33000</v>
      </c>
      <c r="K224" s="17"/>
      <c r="L224" s="30">
        <f t="shared" si="22"/>
        <v>0</v>
      </c>
      <c r="M224" s="31">
        <v>800</v>
      </c>
      <c r="N224" s="31">
        <v>800</v>
      </c>
      <c r="O224" s="31">
        <v>800</v>
      </c>
      <c r="P224" s="31">
        <v>800</v>
      </c>
      <c r="Q224" s="31">
        <v>800</v>
      </c>
      <c r="R224" s="31">
        <v>800</v>
      </c>
      <c r="S224" s="31">
        <v>800</v>
      </c>
      <c r="T224" s="31">
        <v>800</v>
      </c>
      <c r="U224" s="31">
        <v>800</v>
      </c>
      <c r="V224" s="31">
        <v>800</v>
      </c>
      <c r="W224" s="31">
        <v>800</v>
      </c>
      <c r="X224" s="31">
        <v>800</v>
      </c>
      <c r="Y224" s="30">
        <f t="shared" si="23"/>
        <v>9600</v>
      </c>
      <c r="Z224">
        <f>VLOOKUP(A224,справочник!$E$2:$F$322,2,FALSE)</f>
        <v>0</v>
      </c>
    </row>
    <row r="225" spans="1:26" hidden="1">
      <c r="A225" s="41">
        <f>VLOOKUP(B225,справочник!$B$2:$E$322,4,FALSE)</f>
        <v>165</v>
      </c>
      <c r="B225" t="str">
        <f t="shared" si="24"/>
        <v xml:space="preserve">173Прохоров Владимир Михайлович        </v>
      </c>
      <c r="C225" s="1">
        <v>173</v>
      </c>
      <c r="D225" s="2" t="s">
        <v>208</v>
      </c>
      <c r="E225" s="1" t="s">
        <v>524</v>
      </c>
      <c r="F225" s="1"/>
      <c r="G225" s="1"/>
      <c r="H225" s="17">
        <v>17</v>
      </c>
      <c r="I225" s="1">
        <f t="shared" si="21"/>
        <v>17000</v>
      </c>
      <c r="J225" s="17">
        <v>17000</v>
      </c>
      <c r="K225" s="17"/>
      <c r="L225" s="30">
        <f t="shared" si="22"/>
        <v>0</v>
      </c>
      <c r="M225" s="31">
        <v>800</v>
      </c>
      <c r="N225" s="31">
        <v>800</v>
      </c>
      <c r="O225" s="31">
        <v>800</v>
      </c>
      <c r="P225" s="31">
        <v>800</v>
      </c>
      <c r="Q225" s="31">
        <v>800</v>
      </c>
      <c r="R225" s="31">
        <v>800</v>
      </c>
      <c r="S225" s="31">
        <v>800</v>
      </c>
      <c r="T225" s="31">
        <v>800</v>
      </c>
      <c r="U225" s="31">
        <v>800</v>
      </c>
      <c r="V225" s="31">
        <v>800</v>
      </c>
      <c r="W225" s="31">
        <v>800</v>
      </c>
      <c r="X225" s="31">
        <v>800</v>
      </c>
      <c r="Y225" s="30">
        <f t="shared" si="23"/>
        <v>9600</v>
      </c>
      <c r="Z225">
        <f>VLOOKUP(A225,справочник!$E$2:$F$322,2,FALSE)</f>
        <v>0</v>
      </c>
    </row>
    <row r="226" spans="1:26" hidden="1">
      <c r="A226" s="41">
        <f>VLOOKUP(B226,справочник!$B$2:$E$322,4,FALSE)</f>
        <v>251</v>
      </c>
      <c r="B226" t="str">
        <f t="shared" si="24"/>
        <v xml:space="preserve">262Пузанова Екатерина Вячеславовна        </v>
      </c>
      <c r="C226" s="1">
        <v>262</v>
      </c>
      <c r="D226" s="2" t="s">
        <v>209</v>
      </c>
      <c r="E226" s="1" t="s">
        <v>525</v>
      </c>
      <c r="F226" s="16">
        <v>41751</v>
      </c>
      <c r="G226" s="16">
        <v>41760</v>
      </c>
      <c r="H226" s="17">
        <f t="shared" ref="H226:H267" si="27">INT(($H$327-G226)/30)</f>
        <v>20</v>
      </c>
      <c r="I226" s="1">
        <f t="shared" si="21"/>
        <v>20000</v>
      </c>
      <c r="J226" s="17"/>
      <c r="K226" s="17"/>
      <c r="L226" s="30">
        <f t="shared" si="22"/>
        <v>20000</v>
      </c>
      <c r="M226" s="31">
        <v>800</v>
      </c>
      <c r="N226" s="31">
        <v>800</v>
      </c>
      <c r="O226" s="31">
        <v>800</v>
      </c>
      <c r="P226" s="31">
        <v>800</v>
      </c>
      <c r="Q226" s="31">
        <v>800</v>
      </c>
      <c r="R226" s="31">
        <v>800</v>
      </c>
      <c r="S226" s="31">
        <v>800</v>
      </c>
      <c r="T226" s="31">
        <v>800</v>
      </c>
      <c r="U226" s="31">
        <v>800</v>
      </c>
      <c r="V226" s="31">
        <v>800</v>
      </c>
      <c r="W226" s="31">
        <v>800</v>
      </c>
      <c r="X226" s="31">
        <v>800</v>
      </c>
      <c r="Y226" s="30">
        <f t="shared" si="23"/>
        <v>29600</v>
      </c>
      <c r="Z226">
        <f>VLOOKUP(A226,справочник!$E$2:$F$322,2,FALSE)</f>
        <v>0</v>
      </c>
    </row>
    <row r="227" spans="1:26" hidden="1">
      <c r="A227" s="41">
        <f>VLOOKUP(B227,справочник!$B$2:$E$322,4,FALSE)</f>
        <v>315</v>
      </c>
      <c r="B227" t="str">
        <f t="shared" si="24"/>
        <v>265-266Ратников Алексей Сергеевич</v>
      </c>
      <c r="C227" s="1" t="s">
        <v>210</v>
      </c>
      <c r="D227" s="2" t="s">
        <v>211</v>
      </c>
      <c r="E227" s="1" t="s">
        <v>526</v>
      </c>
      <c r="F227" s="19">
        <v>40890</v>
      </c>
      <c r="G227" s="19">
        <v>40878</v>
      </c>
      <c r="H227" s="20">
        <f t="shared" si="27"/>
        <v>49</v>
      </c>
      <c r="I227" s="5">
        <f t="shared" si="21"/>
        <v>49000</v>
      </c>
      <c r="J227" s="20">
        <f>28000+2000</f>
        <v>30000</v>
      </c>
      <c r="K227" s="20"/>
      <c r="L227" s="32">
        <f t="shared" si="22"/>
        <v>19000</v>
      </c>
      <c r="M227" s="31">
        <v>800</v>
      </c>
      <c r="N227" s="31">
        <v>800</v>
      </c>
      <c r="O227" s="31">
        <v>800</v>
      </c>
      <c r="P227" s="31">
        <v>800</v>
      </c>
      <c r="Q227" s="31">
        <v>800</v>
      </c>
      <c r="R227" s="31">
        <v>800</v>
      </c>
      <c r="S227" s="31">
        <v>800</v>
      </c>
      <c r="T227" s="31">
        <v>800</v>
      </c>
      <c r="U227" s="31">
        <v>800</v>
      </c>
      <c r="V227" s="31">
        <v>800</v>
      </c>
      <c r="W227" s="31">
        <v>800</v>
      </c>
      <c r="X227" s="31">
        <v>800</v>
      </c>
      <c r="Y227" s="30">
        <f t="shared" si="23"/>
        <v>28600</v>
      </c>
      <c r="Z227">
        <f>VLOOKUP(A227,справочник!$E$2:$F$322,2,FALSE)</f>
        <v>0</v>
      </c>
    </row>
    <row r="228" spans="1:26" s="40" customFormat="1" ht="25.5" hidden="1" customHeight="1">
      <c r="A228" s="41" t="e">
        <f>VLOOKUP(B228,справочник!$B$2:$E$322,4,FALSE)</f>
        <v>#N/A</v>
      </c>
      <c r="B228" t="str">
        <f t="shared" si="24"/>
        <v>210-211Решетов Владимир Генадьевич</v>
      </c>
      <c r="C228" s="34" t="s">
        <v>212</v>
      </c>
      <c r="D228" s="35" t="s">
        <v>213</v>
      </c>
      <c r="E228" s="34" t="s">
        <v>527</v>
      </c>
      <c r="F228" s="36">
        <v>40816</v>
      </c>
      <c r="G228" s="36">
        <v>40817</v>
      </c>
      <c r="H228" s="37">
        <f t="shared" si="27"/>
        <v>51</v>
      </c>
      <c r="I228" s="34">
        <v>61000</v>
      </c>
      <c r="J228" s="37">
        <f>2000+55000</f>
        <v>57000</v>
      </c>
      <c r="K228" s="37">
        <v>4000</v>
      </c>
      <c r="L228" s="38">
        <f t="shared" si="22"/>
        <v>0</v>
      </c>
      <c r="M228" s="39">
        <v>800</v>
      </c>
      <c r="N228" s="39">
        <v>800</v>
      </c>
      <c r="O228" s="39">
        <v>800</v>
      </c>
      <c r="P228" s="39">
        <v>800</v>
      </c>
      <c r="Q228" s="39">
        <v>800</v>
      </c>
      <c r="R228" s="39">
        <v>800</v>
      </c>
      <c r="S228" s="39">
        <v>800</v>
      </c>
      <c r="T228" s="39">
        <v>800</v>
      </c>
      <c r="U228" s="39">
        <v>800</v>
      </c>
      <c r="V228" s="39">
        <v>800</v>
      </c>
      <c r="W228" s="39">
        <v>800</v>
      </c>
      <c r="X228" s="39">
        <v>800</v>
      </c>
      <c r="Y228" s="38">
        <f t="shared" si="23"/>
        <v>9600</v>
      </c>
      <c r="Z228" t="e">
        <f>VLOOKUP(A228,справочник!$E$2:$F$322,2,FALSE)</f>
        <v>#N/A</v>
      </c>
    </row>
    <row r="229" spans="1:26" s="40" customFormat="1" hidden="1">
      <c r="A229" s="41" t="e">
        <f>VLOOKUP(B229,справочник!$B$2:$E$322,4,FALSE)</f>
        <v>#N/A</v>
      </c>
      <c r="B229" t="str">
        <f t="shared" si="24"/>
        <v>210-211Решетов Владимир Генадьевич</v>
      </c>
      <c r="C229" s="34" t="s">
        <v>212</v>
      </c>
      <c r="D229" s="35" t="s">
        <v>213</v>
      </c>
      <c r="E229" s="34" t="s">
        <v>527</v>
      </c>
      <c r="F229" s="36">
        <v>40816</v>
      </c>
      <c r="G229" s="36">
        <v>40817</v>
      </c>
      <c r="H229" s="37">
        <f t="shared" si="27"/>
        <v>51</v>
      </c>
      <c r="I229" s="34">
        <v>61000</v>
      </c>
      <c r="J229" s="37">
        <v>58000</v>
      </c>
      <c r="K229" s="37">
        <v>3000</v>
      </c>
      <c r="L229" s="38">
        <f t="shared" si="22"/>
        <v>0</v>
      </c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8">
        <f t="shared" si="23"/>
        <v>0</v>
      </c>
      <c r="Z229" t="e">
        <f>VLOOKUP(A229,справочник!$E$2:$F$322,2,FALSE)</f>
        <v>#N/A</v>
      </c>
    </row>
    <row r="230" spans="1:26" ht="24" hidden="1">
      <c r="A230" s="41">
        <f>VLOOKUP(B230,справочник!$B$2:$E$322,4,FALSE)</f>
        <v>195</v>
      </c>
      <c r="B230" t="str">
        <f t="shared" si="24"/>
        <v>203Родичева Наталья Николаевна - Завилевская Е.И. ???</v>
      </c>
      <c r="C230" s="1">
        <v>203</v>
      </c>
      <c r="D230" s="2" t="s">
        <v>216</v>
      </c>
      <c r="E230" s="1" t="s">
        <v>528</v>
      </c>
      <c r="F230" s="16">
        <v>41599</v>
      </c>
      <c r="G230" s="16">
        <v>41609</v>
      </c>
      <c r="H230" s="17">
        <f t="shared" si="27"/>
        <v>25</v>
      </c>
      <c r="I230" s="1">
        <f t="shared" ref="I230:I267" si="28">H230*1000</f>
        <v>25000</v>
      </c>
      <c r="J230" s="17">
        <v>1000</v>
      </c>
      <c r="K230" s="17"/>
      <c r="L230" s="30">
        <f t="shared" si="22"/>
        <v>24000</v>
      </c>
      <c r="M230" s="31">
        <v>800</v>
      </c>
      <c r="N230" s="31">
        <v>800</v>
      </c>
      <c r="O230" s="31">
        <v>800</v>
      </c>
      <c r="P230" s="31">
        <v>800</v>
      </c>
      <c r="Q230" s="31">
        <v>800</v>
      </c>
      <c r="R230" s="31">
        <v>800</v>
      </c>
      <c r="S230" s="31">
        <v>800</v>
      </c>
      <c r="T230" s="31">
        <v>800</v>
      </c>
      <c r="U230" s="31">
        <v>800</v>
      </c>
      <c r="V230" s="31">
        <v>800</v>
      </c>
      <c r="W230" s="31">
        <v>800</v>
      </c>
      <c r="X230" s="31">
        <v>800</v>
      </c>
      <c r="Y230" s="30">
        <f t="shared" si="23"/>
        <v>33600</v>
      </c>
      <c r="Z230">
        <f>VLOOKUP(A230,справочник!$E$2:$F$322,2,FALSE)</f>
        <v>0</v>
      </c>
    </row>
    <row r="231" spans="1:26" hidden="1">
      <c r="A231" s="41">
        <f>VLOOKUP(B231,справочник!$B$2:$E$322,4,FALSE)</f>
        <v>144</v>
      </c>
      <c r="B231" t="str">
        <f t="shared" si="24"/>
        <v>152Рожкова Глафира Андреевна</v>
      </c>
      <c r="C231" s="1">
        <v>152</v>
      </c>
      <c r="D231" s="2" t="s">
        <v>217</v>
      </c>
      <c r="E231" s="1" t="s">
        <v>529</v>
      </c>
      <c r="F231" s="19">
        <v>40788</v>
      </c>
      <c r="G231" s="19">
        <v>40787</v>
      </c>
      <c r="H231" s="20">
        <f t="shared" si="27"/>
        <v>52</v>
      </c>
      <c r="I231" s="5">
        <f t="shared" si="28"/>
        <v>52000</v>
      </c>
      <c r="J231" s="20">
        <v>1000</v>
      </c>
      <c r="K231" s="20"/>
      <c r="L231" s="32">
        <f t="shared" si="22"/>
        <v>51000</v>
      </c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0">
        <f t="shared" si="23"/>
        <v>51000</v>
      </c>
      <c r="Z231">
        <f>VLOOKUP(A231,справочник!$E$2:$F$322,2,FALSE)</f>
        <v>1</v>
      </c>
    </row>
    <row r="232" spans="1:26" hidden="1">
      <c r="A232" s="41">
        <f>VLOOKUP(B232,справочник!$B$2:$E$322,4,FALSE)</f>
        <v>144</v>
      </c>
      <c r="B232" t="str">
        <f t="shared" si="24"/>
        <v>153Рожкова Глафира Андреевна</v>
      </c>
      <c r="C232" s="1">
        <v>153</v>
      </c>
      <c r="D232" s="2" t="s">
        <v>217</v>
      </c>
      <c r="E232" s="1"/>
      <c r="F232" s="19">
        <v>40788</v>
      </c>
      <c r="G232" s="19">
        <v>40787</v>
      </c>
      <c r="H232" s="20">
        <f t="shared" si="27"/>
        <v>52</v>
      </c>
      <c r="I232" s="5">
        <f t="shared" si="28"/>
        <v>52000</v>
      </c>
      <c r="J232" s="20">
        <v>1000</v>
      </c>
      <c r="K232" s="20"/>
      <c r="L232" s="32">
        <f t="shared" si="22"/>
        <v>51000</v>
      </c>
      <c r="M232" s="31">
        <v>800</v>
      </c>
      <c r="N232" s="31">
        <v>800</v>
      </c>
      <c r="O232" s="31">
        <v>800</v>
      </c>
      <c r="P232" s="31">
        <v>800</v>
      </c>
      <c r="Q232" s="31">
        <v>800</v>
      </c>
      <c r="R232" s="31">
        <v>800</v>
      </c>
      <c r="S232" s="31">
        <v>800</v>
      </c>
      <c r="T232" s="31">
        <v>800</v>
      </c>
      <c r="U232" s="31">
        <v>800</v>
      </c>
      <c r="V232" s="31">
        <v>800</v>
      </c>
      <c r="W232" s="31">
        <v>800</v>
      </c>
      <c r="X232" s="31">
        <v>800</v>
      </c>
      <c r="Y232" s="30">
        <f t="shared" si="23"/>
        <v>60600</v>
      </c>
      <c r="Z232">
        <f>VLOOKUP(A232,справочник!$E$2:$F$322,2,FALSE)</f>
        <v>1</v>
      </c>
    </row>
    <row r="233" spans="1:26" hidden="1">
      <c r="A233" s="41">
        <f>VLOOKUP(B233,справочник!$B$2:$E$322,4,FALSE)</f>
        <v>74</v>
      </c>
      <c r="B233" t="str">
        <f t="shared" si="24"/>
        <v>80Розова Татьяна Викторовна</v>
      </c>
      <c r="C233" s="1">
        <v>80</v>
      </c>
      <c r="D233" s="2" t="s">
        <v>218</v>
      </c>
      <c r="E233" s="5" t="s">
        <v>530</v>
      </c>
      <c r="F233" s="19">
        <v>41310</v>
      </c>
      <c r="G233" s="19">
        <v>41334</v>
      </c>
      <c r="H233" s="20">
        <f t="shared" si="27"/>
        <v>34</v>
      </c>
      <c r="I233" s="5">
        <f t="shared" si="28"/>
        <v>34000</v>
      </c>
      <c r="J233" s="20">
        <v>31000</v>
      </c>
      <c r="K233" s="20"/>
      <c r="L233" s="32">
        <f t="shared" si="22"/>
        <v>3000</v>
      </c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0">
        <f t="shared" si="23"/>
        <v>3000</v>
      </c>
      <c r="Z233">
        <f>VLOOKUP(A233,справочник!$E$2:$F$322,2,FALSE)</f>
        <v>1</v>
      </c>
    </row>
    <row r="234" spans="1:26" hidden="1">
      <c r="A234" s="41">
        <f>VLOOKUP(B234,справочник!$B$2:$E$322,4,FALSE)</f>
        <v>74</v>
      </c>
      <c r="B234" t="str">
        <f t="shared" si="24"/>
        <v>81Розова Татьяна Викторовна</v>
      </c>
      <c r="C234" s="1">
        <v>81</v>
      </c>
      <c r="D234" s="2" t="s">
        <v>218</v>
      </c>
      <c r="E234" s="5" t="s">
        <v>531</v>
      </c>
      <c r="F234" s="19">
        <v>40682</v>
      </c>
      <c r="G234" s="19">
        <v>40695</v>
      </c>
      <c r="H234" s="20">
        <f t="shared" si="27"/>
        <v>55</v>
      </c>
      <c r="I234" s="5">
        <f t="shared" si="28"/>
        <v>55000</v>
      </c>
      <c r="J234" s="20">
        <f>7000+48000-3000</f>
        <v>52000</v>
      </c>
      <c r="K234" s="20"/>
      <c r="L234" s="32">
        <f t="shared" si="22"/>
        <v>3000</v>
      </c>
      <c r="M234" s="31">
        <v>800</v>
      </c>
      <c r="N234" s="31">
        <v>800</v>
      </c>
      <c r="O234" s="31">
        <v>800</v>
      </c>
      <c r="P234" s="31">
        <v>800</v>
      </c>
      <c r="Q234" s="31">
        <v>800</v>
      </c>
      <c r="R234" s="31">
        <v>800</v>
      </c>
      <c r="S234" s="31">
        <v>800</v>
      </c>
      <c r="T234" s="31">
        <v>800</v>
      </c>
      <c r="U234" s="31">
        <v>800</v>
      </c>
      <c r="V234" s="31">
        <v>800</v>
      </c>
      <c r="W234" s="31">
        <v>800</v>
      </c>
      <c r="X234" s="31">
        <v>800</v>
      </c>
      <c r="Y234" s="30">
        <f t="shared" si="23"/>
        <v>12600</v>
      </c>
      <c r="Z234">
        <f>VLOOKUP(A234,справочник!$E$2:$F$322,2,FALSE)</f>
        <v>1</v>
      </c>
    </row>
    <row r="235" spans="1:26" hidden="1">
      <c r="A235" s="41">
        <f>VLOOKUP(B235,справочник!$B$2:$E$322,4,FALSE)</f>
        <v>68</v>
      </c>
      <c r="B235" t="str">
        <f t="shared" si="24"/>
        <v>70Рощина Ирина Михайловна</v>
      </c>
      <c r="C235" s="1">
        <v>70</v>
      </c>
      <c r="D235" s="2" t="s">
        <v>219</v>
      </c>
      <c r="E235" s="1" t="s">
        <v>532</v>
      </c>
      <c r="F235" s="16">
        <v>40687</v>
      </c>
      <c r="G235" s="16">
        <v>40664</v>
      </c>
      <c r="H235" s="17">
        <f t="shared" si="27"/>
        <v>56</v>
      </c>
      <c r="I235" s="1">
        <f t="shared" si="28"/>
        <v>56000</v>
      </c>
      <c r="J235" s="17">
        <f>12000+44000</f>
        <v>56000</v>
      </c>
      <c r="K235" s="17"/>
      <c r="L235" s="30">
        <f t="shared" si="22"/>
        <v>0</v>
      </c>
      <c r="M235" s="31">
        <v>800</v>
      </c>
      <c r="N235" s="31">
        <v>800</v>
      </c>
      <c r="O235" s="31">
        <v>800</v>
      </c>
      <c r="P235" s="31">
        <v>800</v>
      </c>
      <c r="Q235" s="31">
        <v>800</v>
      </c>
      <c r="R235" s="31">
        <v>800</v>
      </c>
      <c r="S235" s="31">
        <v>800</v>
      </c>
      <c r="T235" s="31">
        <v>800</v>
      </c>
      <c r="U235" s="31">
        <v>800</v>
      </c>
      <c r="V235" s="31">
        <v>800</v>
      </c>
      <c r="W235" s="31">
        <v>800</v>
      </c>
      <c r="X235" s="31">
        <v>800</v>
      </c>
      <c r="Y235" s="30">
        <f t="shared" si="23"/>
        <v>9600</v>
      </c>
      <c r="Z235">
        <f>VLOOKUP(A235,справочник!$E$2:$F$322,2,FALSE)</f>
        <v>0</v>
      </c>
    </row>
    <row r="236" spans="1:26" hidden="1">
      <c r="A236" s="41">
        <f>VLOOKUP(B236,справочник!$B$2:$E$322,4,FALSE)</f>
        <v>224</v>
      </c>
      <c r="B236" t="str">
        <f t="shared" si="24"/>
        <v xml:space="preserve">233Рудая Наталья Викторовна           </v>
      </c>
      <c r="C236" s="1">
        <v>233</v>
      </c>
      <c r="D236" s="2" t="s">
        <v>220</v>
      </c>
      <c r="E236" s="1" t="s">
        <v>533</v>
      </c>
      <c r="F236" s="16">
        <v>41751</v>
      </c>
      <c r="G236" s="16">
        <v>41760</v>
      </c>
      <c r="H236" s="17">
        <f t="shared" si="27"/>
        <v>20</v>
      </c>
      <c r="I236" s="1">
        <f t="shared" si="28"/>
        <v>20000</v>
      </c>
      <c r="J236" s="17"/>
      <c r="K236" s="17"/>
      <c r="L236" s="30">
        <f t="shared" si="22"/>
        <v>20000</v>
      </c>
      <c r="M236" s="31">
        <v>800</v>
      </c>
      <c r="N236" s="31">
        <v>800</v>
      </c>
      <c r="O236" s="31">
        <v>800</v>
      </c>
      <c r="P236" s="31">
        <v>800</v>
      </c>
      <c r="Q236" s="31">
        <v>800</v>
      </c>
      <c r="R236" s="31">
        <v>800</v>
      </c>
      <c r="S236" s="31">
        <v>800</v>
      </c>
      <c r="T236" s="31">
        <v>800</v>
      </c>
      <c r="U236" s="31">
        <v>800</v>
      </c>
      <c r="V236" s="31">
        <v>800</v>
      </c>
      <c r="W236" s="31">
        <v>800</v>
      </c>
      <c r="X236" s="31">
        <v>800</v>
      </c>
      <c r="Y236" s="30">
        <f t="shared" si="23"/>
        <v>29600</v>
      </c>
      <c r="Z236">
        <f>VLOOKUP(A236,справочник!$E$2:$F$322,2,FALSE)</f>
        <v>0</v>
      </c>
    </row>
    <row r="237" spans="1:26" hidden="1">
      <c r="A237" s="41">
        <f>VLOOKUP(B237,справочник!$B$2:$E$322,4,FALSE)</f>
        <v>134</v>
      </c>
      <c r="B237" t="str">
        <f t="shared" si="24"/>
        <v>141Рыбалкин Андрей Сергеевич</v>
      </c>
      <c r="C237" s="1">
        <v>141</v>
      </c>
      <c r="D237" s="2" t="s">
        <v>221</v>
      </c>
      <c r="E237" s="1" t="s">
        <v>534</v>
      </c>
      <c r="F237" s="16">
        <v>40893</v>
      </c>
      <c r="G237" s="16">
        <v>40878</v>
      </c>
      <c r="H237" s="17">
        <f t="shared" si="27"/>
        <v>49</v>
      </c>
      <c r="I237" s="1">
        <f t="shared" si="28"/>
        <v>49000</v>
      </c>
      <c r="J237" s="17">
        <f>37000</f>
        <v>37000</v>
      </c>
      <c r="K237" s="17"/>
      <c r="L237" s="30">
        <f t="shared" si="22"/>
        <v>12000</v>
      </c>
      <c r="M237" s="31">
        <v>800</v>
      </c>
      <c r="N237" s="31">
        <v>800</v>
      </c>
      <c r="O237" s="31">
        <v>800</v>
      </c>
      <c r="P237" s="31">
        <v>800</v>
      </c>
      <c r="Q237" s="31">
        <v>800</v>
      </c>
      <c r="R237" s="31">
        <v>800</v>
      </c>
      <c r="S237" s="31">
        <v>800</v>
      </c>
      <c r="T237" s="31">
        <v>800</v>
      </c>
      <c r="U237" s="31">
        <v>800</v>
      </c>
      <c r="V237" s="31">
        <v>800</v>
      </c>
      <c r="W237" s="31">
        <v>800</v>
      </c>
      <c r="X237" s="31">
        <v>800</v>
      </c>
      <c r="Y237" s="30">
        <f t="shared" si="23"/>
        <v>21600</v>
      </c>
      <c r="Z237">
        <f>VLOOKUP(A237,справочник!$E$2:$F$322,2,FALSE)</f>
        <v>0</v>
      </c>
    </row>
    <row r="238" spans="1:26" ht="38.25" hidden="1" customHeight="1">
      <c r="A238" s="41">
        <f>VLOOKUP(B238,справочник!$B$2:$E$322,4,FALSE)</f>
        <v>267</v>
      </c>
      <c r="B238" t="str">
        <f t="shared" si="24"/>
        <v>280Рыжов Андрей Николаевич</v>
      </c>
      <c r="C238" s="1">
        <v>280</v>
      </c>
      <c r="D238" s="2" t="s">
        <v>222</v>
      </c>
      <c r="E238" s="1" t="s">
        <v>535</v>
      </c>
      <c r="F238" s="16">
        <v>41023</v>
      </c>
      <c r="G238" s="16">
        <v>41000</v>
      </c>
      <c r="H238" s="17">
        <f t="shared" si="27"/>
        <v>45</v>
      </c>
      <c r="I238" s="1">
        <f t="shared" si="28"/>
        <v>45000</v>
      </c>
      <c r="J238" s="17">
        <f>41000</f>
        <v>41000</v>
      </c>
      <c r="K238" s="17"/>
      <c r="L238" s="30">
        <f t="shared" si="22"/>
        <v>4000</v>
      </c>
      <c r="M238" s="31">
        <v>800</v>
      </c>
      <c r="N238" s="31">
        <v>800</v>
      </c>
      <c r="O238" s="31">
        <v>800</v>
      </c>
      <c r="P238" s="31">
        <v>800</v>
      </c>
      <c r="Q238" s="31">
        <v>800</v>
      </c>
      <c r="R238" s="31">
        <v>800</v>
      </c>
      <c r="S238" s="31">
        <v>800</v>
      </c>
      <c r="T238" s="31">
        <v>800</v>
      </c>
      <c r="U238" s="31">
        <v>800</v>
      </c>
      <c r="V238" s="31">
        <v>800</v>
      </c>
      <c r="W238" s="31">
        <v>800</v>
      </c>
      <c r="X238" s="31">
        <v>800</v>
      </c>
      <c r="Y238" s="30">
        <f t="shared" si="23"/>
        <v>13600</v>
      </c>
      <c r="Z238">
        <f>VLOOKUP(A238,справочник!$E$2:$F$322,2,FALSE)</f>
        <v>0</v>
      </c>
    </row>
    <row r="239" spans="1:26" hidden="1">
      <c r="A239" s="41">
        <f>VLOOKUP(B239,справочник!$B$2:$E$322,4,FALSE)</f>
        <v>258</v>
      </c>
      <c r="B239" t="str">
        <f t="shared" si="24"/>
        <v>271Савина Нина Ивановна</v>
      </c>
      <c r="C239" s="1">
        <v>271</v>
      </c>
      <c r="D239" s="2" t="s">
        <v>223</v>
      </c>
      <c r="E239" s="1" t="s">
        <v>536</v>
      </c>
      <c r="F239" s="16">
        <v>41039</v>
      </c>
      <c r="G239" s="16">
        <v>41030</v>
      </c>
      <c r="H239" s="17">
        <f t="shared" si="27"/>
        <v>44</v>
      </c>
      <c r="I239" s="1">
        <f t="shared" si="28"/>
        <v>44000</v>
      </c>
      <c r="J239" s="17">
        <v>44000</v>
      </c>
      <c r="K239" s="17"/>
      <c r="L239" s="30">
        <f t="shared" si="22"/>
        <v>0</v>
      </c>
      <c r="M239" s="31">
        <v>800</v>
      </c>
      <c r="N239" s="31">
        <v>800</v>
      </c>
      <c r="O239" s="31">
        <v>800</v>
      </c>
      <c r="P239" s="31">
        <v>800</v>
      </c>
      <c r="Q239" s="31">
        <v>800</v>
      </c>
      <c r="R239" s="31">
        <v>800</v>
      </c>
      <c r="S239" s="31">
        <v>800</v>
      </c>
      <c r="T239" s="31">
        <v>800</v>
      </c>
      <c r="U239" s="31">
        <v>800</v>
      </c>
      <c r="V239" s="31">
        <v>800</v>
      </c>
      <c r="W239" s="31">
        <v>800</v>
      </c>
      <c r="X239" s="31">
        <v>800</v>
      </c>
      <c r="Y239" s="30">
        <f t="shared" si="23"/>
        <v>9600</v>
      </c>
      <c r="Z239">
        <f>VLOOKUP(A239,справочник!$E$2:$F$322,2,FALSE)</f>
        <v>0</v>
      </c>
    </row>
    <row r="240" spans="1:26" ht="24" hidden="1">
      <c r="A240" s="41">
        <f>VLOOKUP(B240,справочник!$B$2:$E$322,4,FALSE)</f>
        <v>299</v>
      </c>
      <c r="B240" t="str">
        <f t="shared" si="24"/>
        <v>314Садовников Алексей Владимирович(Рошка Александр Николаевич)</v>
      </c>
      <c r="C240" s="1">
        <v>314</v>
      </c>
      <c r="D240" s="2" t="s">
        <v>224</v>
      </c>
      <c r="E240" s="1"/>
      <c r="F240" s="16">
        <v>42017</v>
      </c>
      <c r="G240" s="16">
        <v>41275</v>
      </c>
      <c r="H240" s="17">
        <f t="shared" si="27"/>
        <v>36</v>
      </c>
      <c r="I240" s="1">
        <f t="shared" si="28"/>
        <v>36000</v>
      </c>
      <c r="J240" s="17">
        <f>1000</f>
        <v>1000</v>
      </c>
      <c r="K240" s="17">
        <v>3000</v>
      </c>
      <c r="L240" s="30">
        <f t="shared" si="22"/>
        <v>32000</v>
      </c>
      <c r="M240" s="31">
        <v>800</v>
      </c>
      <c r="N240" s="31">
        <v>800</v>
      </c>
      <c r="O240" s="31">
        <v>800</v>
      </c>
      <c r="P240" s="31">
        <v>800</v>
      </c>
      <c r="Q240" s="31">
        <v>800</v>
      </c>
      <c r="R240" s="31">
        <v>800</v>
      </c>
      <c r="S240" s="31">
        <v>800</v>
      </c>
      <c r="T240" s="31">
        <v>800</v>
      </c>
      <c r="U240" s="31">
        <v>800</v>
      </c>
      <c r="V240" s="31">
        <v>800</v>
      </c>
      <c r="W240" s="31">
        <v>800</v>
      </c>
      <c r="X240" s="31">
        <v>800</v>
      </c>
      <c r="Y240" s="30">
        <f t="shared" si="23"/>
        <v>41600</v>
      </c>
      <c r="Z240">
        <f>VLOOKUP(A240,справочник!$E$2:$F$322,2,FALSE)</f>
        <v>0</v>
      </c>
    </row>
    <row r="241" spans="1:26" hidden="1">
      <c r="A241" s="41"/>
      <c r="C241" s="1"/>
      <c r="D241" s="2"/>
      <c r="E241" s="1"/>
      <c r="F241" s="16"/>
      <c r="G241" s="16"/>
      <c r="H241" s="17"/>
      <c r="I241" s="1"/>
      <c r="J241" s="17"/>
      <c r="K241" s="17"/>
      <c r="L241" s="30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0"/>
    </row>
    <row r="242" spans="1:26" hidden="1">
      <c r="A242" s="41">
        <f>VLOOKUP(B242,справочник!$B$2:$E$322,4,FALSE)</f>
        <v>239</v>
      </c>
      <c r="B242" t="str">
        <f t="shared" si="24"/>
        <v>250Салопаева Татьяна Сергеевна</v>
      </c>
      <c r="C242" s="1">
        <v>250</v>
      </c>
      <c r="D242" s="2" t="s">
        <v>226</v>
      </c>
      <c r="E242" s="1" t="s">
        <v>537</v>
      </c>
      <c r="F242" s="16">
        <v>40973</v>
      </c>
      <c r="G242" s="16">
        <v>40969</v>
      </c>
      <c r="H242" s="17">
        <f t="shared" si="27"/>
        <v>46</v>
      </c>
      <c r="I242" s="1">
        <f t="shared" si="28"/>
        <v>46000</v>
      </c>
      <c r="J242" s="17">
        <v>26000</v>
      </c>
      <c r="K242" s="17"/>
      <c r="L242" s="30">
        <f t="shared" si="22"/>
        <v>20000</v>
      </c>
      <c r="M242" s="31">
        <v>800</v>
      </c>
      <c r="N242" s="31">
        <v>800</v>
      </c>
      <c r="O242" s="31">
        <v>800</v>
      </c>
      <c r="P242" s="31">
        <v>800</v>
      </c>
      <c r="Q242" s="31">
        <v>800</v>
      </c>
      <c r="R242" s="31">
        <v>800</v>
      </c>
      <c r="S242" s="31">
        <v>800</v>
      </c>
      <c r="T242" s="31">
        <v>800</v>
      </c>
      <c r="U242" s="31">
        <v>800</v>
      </c>
      <c r="V242" s="31">
        <v>800</v>
      </c>
      <c r="W242" s="31">
        <v>800</v>
      </c>
      <c r="X242" s="31">
        <v>800</v>
      </c>
      <c r="Y242" s="30">
        <f t="shared" si="23"/>
        <v>29600</v>
      </c>
      <c r="Z242">
        <f>VLOOKUP(A242,справочник!$E$2:$F$322,2,FALSE)</f>
        <v>0</v>
      </c>
    </row>
    <row r="243" spans="1:26" hidden="1">
      <c r="A243" s="41">
        <f>VLOOKUP(B243,справочник!$B$2:$E$322,4,FALSE)</f>
        <v>238</v>
      </c>
      <c r="B243" t="str">
        <f t="shared" si="24"/>
        <v>249Самоволькина Ирина Владимировна</v>
      </c>
      <c r="C243" s="1">
        <v>249</v>
      </c>
      <c r="D243" s="2" t="s">
        <v>227</v>
      </c>
      <c r="E243" s="1" t="s">
        <v>538</v>
      </c>
      <c r="F243" s="16">
        <v>41079</v>
      </c>
      <c r="G243" s="16">
        <v>41061</v>
      </c>
      <c r="H243" s="17">
        <f t="shared" si="27"/>
        <v>43</v>
      </c>
      <c r="I243" s="1">
        <f t="shared" si="28"/>
        <v>43000</v>
      </c>
      <c r="J243" s="17"/>
      <c r="K243" s="17"/>
      <c r="L243" s="30">
        <f t="shared" si="22"/>
        <v>43000</v>
      </c>
      <c r="M243" s="31">
        <v>800</v>
      </c>
      <c r="N243" s="31">
        <v>800</v>
      </c>
      <c r="O243" s="31">
        <v>800</v>
      </c>
      <c r="P243" s="31">
        <v>800</v>
      </c>
      <c r="Q243" s="31">
        <v>800</v>
      </c>
      <c r="R243" s="31">
        <v>800</v>
      </c>
      <c r="S243" s="31">
        <v>800</v>
      </c>
      <c r="T243" s="31">
        <v>800</v>
      </c>
      <c r="U243" s="31">
        <v>800</v>
      </c>
      <c r="V243" s="31">
        <v>800</v>
      </c>
      <c r="W243" s="31">
        <v>800</v>
      </c>
      <c r="X243" s="31">
        <v>800</v>
      </c>
      <c r="Y243" s="30">
        <f t="shared" si="23"/>
        <v>52600</v>
      </c>
      <c r="Z243">
        <f>VLOOKUP(A243,справочник!$E$2:$F$322,2,FALSE)</f>
        <v>0</v>
      </c>
    </row>
    <row r="244" spans="1:26" hidden="1">
      <c r="A244" s="41">
        <f>VLOOKUP(B244,справочник!$B$2:$E$322,4,FALSE)</f>
        <v>297</v>
      </c>
      <c r="B244" t="str">
        <f t="shared" si="24"/>
        <v>312Саргсян Оганнес Ншанович</v>
      </c>
      <c r="C244" s="1">
        <v>312</v>
      </c>
      <c r="D244" s="2" t="s">
        <v>228</v>
      </c>
      <c r="E244" s="1" t="s">
        <v>539</v>
      </c>
      <c r="F244" s="16">
        <v>42004</v>
      </c>
      <c r="G244" s="16">
        <v>42005</v>
      </c>
      <c r="H244" s="17">
        <f t="shared" si="27"/>
        <v>12</v>
      </c>
      <c r="I244" s="1">
        <f t="shared" si="28"/>
        <v>12000</v>
      </c>
      <c r="J244" s="17"/>
      <c r="K244" s="17"/>
      <c r="L244" s="30">
        <f t="shared" si="22"/>
        <v>12000</v>
      </c>
      <c r="M244" s="31">
        <v>800</v>
      </c>
      <c r="N244" s="31">
        <v>800</v>
      </c>
      <c r="O244" s="31">
        <v>800</v>
      </c>
      <c r="P244" s="31">
        <v>800</v>
      </c>
      <c r="Q244" s="31">
        <v>800</v>
      </c>
      <c r="R244" s="31">
        <v>800</v>
      </c>
      <c r="S244" s="31">
        <v>800</v>
      </c>
      <c r="T244" s="31">
        <v>800</v>
      </c>
      <c r="U244" s="31">
        <v>800</v>
      </c>
      <c r="V244" s="31">
        <v>800</v>
      </c>
      <c r="W244" s="31">
        <v>800</v>
      </c>
      <c r="X244" s="31">
        <v>800</v>
      </c>
      <c r="Y244" s="30">
        <f t="shared" si="23"/>
        <v>21600</v>
      </c>
      <c r="Z244">
        <f>VLOOKUP(A244,справочник!$E$2:$F$322,2,FALSE)</f>
        <v>0</v>
      </c>
    </row>
    <row r="245" spans="1:26" ht="24" hidden="1">
      <c r="A245" s="41">
        <f>VLOOKUP(B245,справочник!$B$2:$E$322,4,FALSE)</f>
        <v>128</v>
      </c>
      <c r="B245" t="str">
        <f t="shared" si="24"/>
        <v>135Сафронова Наталья Михайловна (у Дедков Илья Егорьевич купила)</v>
      </c>
      <c r="C245" s="1">
        <v>135</v>
      </c>
      <c r="D245" s="2" t="s">
        <v>229</v>
      </c>
      <c r="E245" s="1" t="s">
        <v>540</v>
      </c>
      <c r="F245" s="16">
        <v>41358</v>
      </c>
      <c r="G245" s="16">
        <v>41365</v>
      </c>
      <c r="H245" s="17">
        <f t="shared" si="27"/>
        <v>33</v>
      </c>
      <c r="I245" s="1">
        <f t="shared" si="28"/>
        <v>33000</v>
      </c>
      <c r="J245" s="17">
        <v>26000</v>
      </c>
      <c r="K245" s="17"/>
      <c r="L245" s="30">
        <f t="shared" si="22"/>
        <v>7000</v>
      </c>
      <c r="M245" s="31">
        <v>800</v>
      </c>
      <c r="N245" s="31">
        <v>800</v>
      </c>
      <c r="O245" s="31">
        <v>800</v>
      </c>
      <c r="P245" s="31">
        <v>800</v>
      </c>
      <c r="Q245" s="31">
        <v>800</v>
      </c>
      <c r="R245" s="31">
        <v>800</v>
      </c>
      <c r="S245" s="31">
        <v>800</v>
      </c>
      <c r="T245" s="31">
        <v>800</v>
      </c>
      <c r="U245" s="31">
        <v>800</v>
      </c>
      <c r="V245" s="31">
        <v>800</v>
      </c>
      <c r="W245" s="31">
        <v>800</v>
      </c>
      <c r="X245" s="31">
        <v>800</v>
      </c>
      <c r="Y245" s="30">
        <f t="shared" si="23"/>
        <v>16600</v>
      </c>
      <c r="Z245">
        <f>VLOOKUP(A245,справочник!$E$2:$F$322,2,FALSE)</f>
        <v>0</v>
      </c>
    </row>
    <row r="246" spans="1:26" hidden="1">
      <c r="A246" s="41">
        <f>VLOOKUP(B246,справочник!$B$2:$E$322,4,FALSE)</f>
        <v>67</v>
      </c>
      <c r="B246" t="str">
        <f t="shared" si="24"/>
        <v>69Сбитнева Юлия Сергеевна</v>
      </c>
      <c r="C246" s="1">
        <v>69</v>
      </c>
      <c r="D246" s="2" t="s">
        <v>230</v>
      </c>
      <c r="E246" s="1" t="s">
        <v>541</v>
      </c>
      <c r="F246" s="16">
        <v>41012</v>
      </c>
      <c r="G246" s="16">
        <v>41000</v>
      </c>
      <c r="H246" s="17">
        <f t="shared" si="27"/>
        <v>45</v>
      </c>
      <c r="I246" s="1">
        <f t="shared" si="28"/>
        <v>45000</v>
      </c>
      <c r="J246" s="17">
        <v>1000</v>
      </c>
      <c r="K246" s="17"/>
      <c r="L246" s="30">
        <f t="shared" si="22"/>
        <v>44000</v>
      </c>
      <c r="M246" s="31">
        <v>800</v>
      </c>
      <c r="N246" s="31">
        <v>800</v>
      </c>
      <c r="O246" s="31">
        <v>800</v>
      </c>
      <c r="P246" s="31">
        <v>800</v>
      </c>
      <c r="Q246" s="31">
        <v>800</v>
      </c>
      <c r="R246" s="31">
        <v>800</v>
      </c>
      <c r="S246" s="31">
        <v>800</v>
      </c>
      <c r="T246" s="31">
        <v>800</v>
      </c>
      <c r="U246" s="31">
        <v>800</v>
      </c>
      <c r="V246" s="31">
        <v>800</v>
      </c>
      <c r="W246" s="31">
        <v>800</v>
      </c>
      <c r="X246" s="31">
        <v>800</v>
      </c>
      <c r="Y246" s="30">
        <f t="shared" si="23"/>
        <v>53600</v>
      </c>
      <c r="Z246">
        <f>VLOOKUP(A246,справочник!$E$2:$F$322,2,FALSE)</f>
        <v>0</v>
      </c>
    </row>
    <row r="247" spans="1:26" hidden="1">
      <c r="A247" s="41" t="e">
        <f>VLOOKUP(B247,справочник!$B$2:$E$322,4,FALSE)</f>
        <v>#N/A</v>
      </c>
      <c r="B247" t="str">
        <f t="shared" si="24"/>
        <v>290_Севастьянов Михаил Григорьевич</v>
      </c>
      <c r="C247" s="1" t="s">
        <v>708</v>
      </c>
      <c r="D247" s="2" t="s">
        <v>231</v>
      </c>
      <c r="E247" s="1" t="s">
        <v>542</v>
      </c>
      <c r="F247" s="16">
        <v>40897</v>
      </c>
      <c r="G247" s="16">
        <v>40878</v>
      </c>
      <c r="H247" s="17">
        <f t="shared" si="27"/>
        <v>49</v>
      </c>
      <c r="I247" s="89">
        <f>H247*1000</f>
        <v>49000</v>
      </c>
      <c r="J247" s="73">
        <v>1000</v>
      </c>
      <c r="K247" s="17"/>
      <c r="L247" s="30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0">
        <f t="shared" si="23"/>
        <v>0</v>
      </c>
      <c r="Z247" t="e">
        <f>VLOOKUP(A247,справочник!$E$2:$F$322,2,FALSE)</f>
        <v>#N/A</v>
      </c>
    </row>
    <row r="248" spans="1:26" hidden="1">
      <c r="A248" s="41">
        <f>VLOOKUP(B248,справочник!$B$2:$E$322,4,FALSE)</f>
        <v>280</v>
      </c>
      <c r="B248" t="str">
        <f t="shared" si="24"/>
        <v>292Севрюгина Ольга Викторовна</v>
      </c>
      <c r="C248" s="1">
        <v>292</v>
      </c>
      <c r="D248" s="2" t="s">
        <v>232</v>
      </c>
      <c r="E248" s="1" t="s">
        <v>543</v>
      </c>
      <c r="F248" s="16">
        <v>40897</v>
      </c>
      <c r="G248" s="16">
        <v>40878</v>
      </c>
      <c r="H248" s="17">
        <f t="shared" si="27"/>
        <v>49</v>
      </c>
      <c r="I248" s="1">
        <f t="shared" si="28"/>
        <v>49000</v>
      </c>
      <c r="J248" s="17">
        <f>43000+1000</f>
        <v>44000</v>
      </c>
      <c r="K248" s="17"/>
      <c r="L248" s="30">
        <f t="shared" si="22"/>
        <v>5000</v>
      </c>
      <c r="M248" s="31">
        <v>800</v>
      </c>
      <c r="N248" s="31">
        <v>800</v>
      </c>
      <c r="O248" s="31">
        <v>800</v>
      </c>
      <c r="P248" s="31">
        <v>800</v>
      </c>
      <c r="Q248" s="31">
        <v>800</v>
      </c>
      <c r="R248" s="31">
        <v>800</v>
      </c>
      <c r="S248" s="31">
        <v>800</v>
      </c>
      <c r="T248" s="31">
        <v>800</v>
      </c>
      <c r="U248" s="31">
        <v>800</v>
      </c>
      <c r="V248" s="31">
        <v>800</v>
      </c>
      <c r="W248" s="31">
        <v>800</v>
      </c>
      <c r="X248" s="31">
        <v>800</v>
      </c>
      <c r="Y248" s="30">
        <f t="shared" si="23"/>
        <v>14600</v>
      </c>
      <c r="Z248">
        <f>VLOOKUP(A248,справочник!$E$2:$F$322,2,FALSE)</f>
        <v>0</v>
      </c>
    </row>
    <row r="249" spans="1:26" hidden="1">
      <c r="A249" s="41">
        <f>VLOOKUP(B249,справочник!$B$2:$E$322,4,FALSE)</f>
        <v>215</v>
      </c>
      <c r="B249" t="str">
        <f t="shared" si="24"/>
        <v xml:space="preserve">224Семенова Рима Прановна    </v>
      </c>
      <c r="C249" s="1">
        <v>224</v>
      </c>
      <c r="D249" s="2" t="s">
        <v>233</v>
      </c>
      <c r="E249" s="1" t="s">
        <v>544</v>
      </c>
      <c r="F249" s="16">
        <v>41772</v>
      </c>
      <c r="G249" s="16">
        <v>41791</v>
      </c>
      <c r="H249" s="17">
        <f t="shared" si="27"/>
        <v>19</v>
      </c>
      <c r="I249" s="1">
        <f t="shared" si="28"/>
        <v>19000</v>
      </c>
      <c r="J249" s="17">
        <v>16000</v>
      </c>
      <c r="K249" s="17"/>
      <c r="L249" s="30">
        <f t="shared" si="22"/>
        <v>3000</v>
      </c>
      <c r="M249" s="31">
        <v>800</v>
      </c>
      <c r="N249" s="31">
        <v>800</v>
      </c>
      <c r="O249" s="31">
        <v>800</v>
      </c>
      <c r="P249" s="31">
        <v>800</v>
      </c>
      <c r="Q249" s="31">
        <v>800</v>
      </c>
      <c r="R249" s="31">
        <v>800</v>
      </c>
      <c r="S249" s="31">
        <v>800</v>
      </c>
      <c r="T249" s="31">
        <v>800</v>
      </c>
      <c r="U249" s="31">
        <v>800</v>
      </c>
      <c r="V249" s="31">
        <v>800</v>
      </c>
      <c r="W249" s="31">
        <v>800</v>
      </c>
      <c r="X249" s="31">
        <v>800</v>
      </c>
      <c r="Y249" s="30">
        <f t="shared" si="23"/>
        <v>12600</v>
      </c>
      <c r="Z249">
        <f>VLOOKUP(A249,справочник!$E$2:$F$322,2,FALSE)</f>
        <v>0</v>
      </c>
    </row>
    <row r="250" spans="1:26" hidden="1">
      <c r="A250" s="41">
        <f>VLOOKUP(B250,справочник!$B$2:$E$322,4,FALSE)</f>
        <v>241</v>
      </c>
      <c r="B250" t="str">
        <f t="shared" si="24"/>
        <v>252Сёмин Александр Иванович</v>
      </c>
      <c r="C250" s="1">
        <v>252</v>
      </c>
      <c r="D250" s="2" t="s">
        <v>234</v>
      </c>
      <c r="E250" s="1" t="s">
        <v>545</v>
      </c>
      <c r="F250" s="16">
        <v>40677</v>
      </c>
      <c r="G250" s="16">
        <v>40695</v>
      </c>
      <c r="H250" s="17">
        <f t="shared" si="27"/>
        <v>55</v>
      </c>
      <c r="I250" s="1">
        <f t="shared" si="28"/>
        <v>55000</v>
      </c>
      <c r="J250" s="17">
        <f>7000+41000+4800</f>
        <v>52800</v>
      </c>
      <c r="K250" s="17"/>
      <c r="L250" s="30">
        <f t="shared" si="22"/>
        <v>2200</v>
      </c>
      <c r="M250" s="31">
        <v>800</v>
      </c>
      <c r="N250" s="31">
        <v>800</v>
      </c>
      <c r="O250" s="31">
        <v>800</v>
      </c>
      <c r="P250" s="31">
        <v>800</v>
      </c>
      <c r="Q250" s="31">
        <v>800</v>
      </c>
      <c r="R250" s="31">
        <v>800</v>
      </c>
      <c r="S250" s="31">
        <v>800</v>
      </c>
      <c r="T250" s="31">
        <v>800</v>
      </c>
      <c r="U250" s="31">
        <v>800</v>
      </c>
      <c r="V250" s="31">
        <v>800</v>
      </c>
      <c r="W250" s="31">
        <v>800</v>
      </c>
      <c r="X250" s="31">
        <v>800</v>
      </c>
      <c r="Y250" s="30">
        <f t="shared" si="23"/>
        <v>11800</v>
      </c>
      <c r="Z250">
        <f>VLOOKUP(A250,справочник!$E$2:$F$322,2,FALSE)</f>
        <v>0</v>
      </c>
    </row>
    <row r="251" spans="1:26" hidden="1">
      <c r="A251" s="41">
        <f>VLOOKUP(B251,справочник!$B$2:$E$322,4,FALSE)</f>
        <v>161</v>
      </c>
      <c r="B251" t="str">
        <f t="shared" si="24"/>
        <v>169Сергиенко Николай Михайлович</v>
      </c>
      <c r="C251" s="1">
        <v>169</v>
      </c>
      <c r="D251" s="2" t="s">
        <v>235</v>
      </c>
      <c r="E251" s="1" t="s">
        <v>546</v>
      </c>
      <c r="F251" s="16">
        <v>41039</v>
      </c>
      <c r="G251" s="16">
        <v>41030</v>
      </c>
      <c r="H251" s="17">
        <f t="shared" si="27"/>
        <v>44</v>
      </c>
      <c r="I251" s="1">
        <f t="shared" si="28"/>
        <v>44000</v>
      </c>
      <c r="J251" s="17">
        <v>38000</v>
      </c>
      <c r="K251" s="17"/>
      <c r="L251" s="30">
        <f t="shared" si="22"/>
        <v>6000</v>
      </c>
      <c r="M251" s="31">
        <v>800</v>
      </c>
      <c r="N251" s="31">
        <v>800</v>
      </c>
      <c r="O251" s="31">
        <v>800</v>
      </c>
      <c r="P251" s="31">
        <v>800</v>
      </c>
      <c r="Q251" s="31">
        <v>800</v>
      </c>
      <c r="R251" s="31">
        <v>800</v>
      </c>
      <c r="S251" s="31">
        <v>800</v>
      </c>
      <c r="T251" s="31">
        <v>800</v>
      </c>
      <c r="U251" s="31">
        <v>800</v>
      </c>
      <c r="V251" s="31">
        <v>800</v>
      </c>
      <c r="W251" s="31">
        <v>800</v>
      </c>
      <c r="X251" s="31">
        <v>800</v>
      </c>
      <c r="Y251" s="30">
        <f t="shared" si="23"/>
        <v>15600</v>
      </c>
      <c r="Z251">
        <f>VLOOKUP(A251,справочник!$E$2:$F$322,2,FALSE)</f>
        <v>0</v>
      </c>
    </row>
    <row r="252" spans="1:26" hidden="1">
      <c r="A252" s="41">
        <f>VLOOKUP(B252,справочник!$B$2:$E$322,4,FALSE)</f>
        <v>272</v>
      </c>
      <c r="B252" t="str">
        <f t="shared" si="24"/>
        <v>285Серебряков Игорь Васильевич</v>
      </c>
      <c r="C252" s="1">
        <v>285</v>
      </c>
      <c r="D252" s="2" t="s">
        <v>236</v>
      </c>
      <c r="E252" s="1" t="s">
        <v>547</v>
      </c>
      <c r="F252" s="16">
        <v>42044</v>
      </c>
      <c r="G252" s="16">
        <v>42064</v>
      </c>
      <c r="H252" s="17">
        <f t="shared" si="27"/>
        <v>10</v>
      </c>
      <c r="I252" s="1">
        <f t="shared" si="28"/>
        <v>10000</v>
      </c>
      <c r="J252" s="17">
        <v>5000</v>
      </c>
      <c r="K252" s="17"/>
      <c r="L252" s="30">
        <f t="shared" ref="L252:L310" si="29">I252-J252-K252</f>
        <v>5000</v>
      </c>
      <c r="M252" s="31">
        <v>800</v>
      </c>
      <c r="N252" s="31">
        <v>800</v>
      </c>
      <c r="O252" s="31">
        <v>800</v>
      </c>
      <c r="P252" s="31">
        <v>800</v>
      </c>
      <c r="Q252" s="31">
        <v>800</v>
      </c>
      <c r="R252" s="31">
        <v>800</v>
      </c>
      <c r="S252" s="31">
        <v>800</v>
      </c>
      <c r="T252" s="31">
        <v>800</v>
      </c>
      <c r="U252" s="31">
        <v>800</v>
      </c>
      <c r="V252" s="31">
        <v>800</v>
      </c>
      <c r="W252" s="31">
        <v>800</v>
      </c>
      <c r="X252" s="31">
        <v>800</v>
      </c>
      <c r="Y252" s="30">
        <f t="shared" si="23"/>
        <v>14600</v>
      </c>
      <c r="Z252">
        <f>VLOOKUP(A252,справочник!$E$2:$F$322,2,FALSE)</f>
        <v>0</v>
      </c>
    </row>
    <row r="253" spans="1:26" hidden="1">
      <c r="A253" s="41">
        <f>VLOOKUP(B253,справочник!$B$2:$E$322,4,FALSE)</f>
        <v>19</v>
      </c>
      <c r="B253" t="str">
        <f t="shared" si="24"/>
        <v>19Серкин Сергей Львовович</v>
      </c>
      <c r="C253" s="1">
        <v>19</v>
      </c>
      <c r="D253" s="2" t="s">
        <v>237</v>
      </c>
      <c r="E253" s="1" t="s">
        <v>548</v>
      </c>
      <c r="F253" s="16">
        <v>41421</v>
      </c>
      <c r="G253" s="16">
        <v>41456</v>
      </c>
      <c r="H253" s="17">
        <f t="shared" si="27"/>
        <v>30</v>
      </c>
      <c r="I253" s="1">
        <f t="shared" si="28"/>
        <v>30000</v>
      </c>
      <c r="J253" s="17">
        <v>30000</v>
      </c>
      <c r="K253" s="17"/>
      <c r="L253" s="30">
        <f t="shared" si="29"/>
        <v>0</v>
      </c>
      <c r="M253" s="31">
        <v>800</v>
      </c>
      <c r="N253" s="31">
        <v>800</v>
      </c>
      <c r="O253" s="31">
        <v>800</v>
      </c>
      <c r="P253" s="31">
        <v>800</v>
      </c>
      <c r="Q253" s="31">
        <v>800</v>
      </c>
      <c r="R253" s="31">
        <v>800</v>
      </c>
      <c r="S253" s="31">
        <v>800</v>
      </c>
      <c r="T253" s="31">
        <v>800</v>
      </c>
      <c r="U253" s="31">
        <v>800</v>
      </c>
      <c r="V253" s="31">
        <v>800</v>
      </c>
      <c r="W253" s="31">
        <v>800</v>
      </c>
      <c r="X253" s="31">
        <v>800</v>
      </c>
      <c r="Y253" s="30">
        <f t="shared" ref="Y253:Y315" si="30">SUM(L253:X253)</f>
        <v>9600</v>
      </c>
      <c r="Z253">
        <f>VLOOKUP(A253,справочник!$E$2:$F$322,2,FALSE)</f>
        <v>0</v>
      </c>
    </row>
    <row r="254" spans="1:26" ht="25.5" hidden="1" customHeight="1">
      <c r="A254" s="41">
        <f>VLOOKUP(B254,справочник!$B$2:$E$322,4,FALSE)</f>
        <v>310</v>
      </c>
      <c r="B254" t="str">
        <f t="shared" si="24"/>
        <v>133-134Сидельникова Ольга Петровна</v>
      </c>
      <c r="C254" s="1" t="s">
        <v>238</v>
      </c>
      <c r="D254" s="2" t="s">
        <v>239</v>
      </c>
      <c r="E254" s="1" t="s">
        <v>549</v>
      </c>
      <c r="F254" s="19">
        <v>40778</v>
      </c>
      <c r="G254" s="19">
        <v>40787</v>
      </c>
      <c r="H254" s="20">
        <f t="shared" si="27"/>
        <v>52</v>
      </c>
      <c r="I254" s="5">
        <f t="shared" si="28"/>
        <v>52000</v>
      </c>
      <c r="J254" s="20">
        <v>12000</v>
      </c>
      <c r="K254" s="20"/>
      <c r="L254" s="32">
        <f t="shared" si="29"/>
        <v>40000</v>
      </c>
      <c r="M254" s="31">
        <v>800</v>
      </c>
      <c r="N254" s="31">
        <v>800</v>
      </c>
      <c r="O254" s="31">
        <v>800</v>
      </c>
      <c r="P254" s="31">
        <v>800</v>
      </c>
      <c r="Q254" s="31">
        <v>800</v>
      </c>
      <c r="R254" s="31">
        <v>800</v>
      </c>
      <c r="S254" s="31">
        <v>800</v>
      </c>
      <c r="T254" s="31">
        <v>800</v>
      </c>
      <c r="U254" s="31">
        <v>800</v>
      </c>
      <c r="V254" s="31">
        <v>800</v>
      </c>
      <c r="W254" s="31">
        <v>800</v>
      </c>
      <c r="X254" s="31">
        <v>800</v>
      </c>
      <c r="Y254" s="30">
        <f t="shared" si="30"/>
        <v>49600</v>
      </c>
      <c r="Z254">
        <f>VLOOKUP(A254,справочник!$E$2:$F$322,2,FALSE)</f>
        <v>0</v>
      </c>
    </row>
    <row r="255" spans="1:26" hidden="1">
      <c r="A255" s="41">
        <f>VLOOKUP(B255,справочник!$B$2:$E$322,4,FALSE)</f>
        <v>205</v>
      </c>
      <c r="B255" t="str">
        <f t="shared" si="24"/>
        <v>215Сидоров Александр Юрьевич</v>
      </c>
      <c r="C255" s="1">
        <v>215</v>
      </c>
      <c r="D255" s="2" t="s">
        <v>240</v>
      </c>
      <c r="E255" s="1" t="s">
        <v>550</v>
      </c>
      <c r="F255" s="16">
        <v>41023</v>
      </c>
      <c r="G255" s="16">
        <v>41000</v>
      </c>
      <c r="H255" s="17">
        <f t="shared" si="27"/>
        <v>45</v>
      </c>
      <c r="I255" s="1">
        <f t="shared" si="28"/>
        <v>45000</v>
      </c>
      <c r="J255" s="17">
        <v>33000</v>
      </c>
      <c r="K255" s="17"/>
      <c r="L255" s="30">
        <f t="shared" si="29"/>
        <v>12000</v>
      </c>
      <c r="M255" s="31">
        <v>800</v>
      </c>
      <c r="N255" s="31">
        <v>800</v>
      </c>
      <c r="O255" s="31">
        <v>800</v>
      </c>
      <c r="P255" s="31">
        <v>800</v>
      </c>
      <c r="Q255" s="31">
        <v>800</v>
      </c>
      <c r="R255" s="31">
        <v>800</v>
      </c>
      <c r="S255" s="31">
        <v>800</v>
      </c>
      <c r="T255" s="31">
        <v>800</v>
      </c>
      <c r="U255" s="31">
        <v>800</v>
      </c>
      <c r="V255" s="31">
        <v>800</v>
      </c>
      <c r="W255" s="31">
        <v>800</v>
      </c>
      <c r="X255" s="31">
        <v>800</v>
      </c>
      <c r="Y255" s="30">
        <f t="shared" si="30"/>
        <v>21600</v>
      </c>
      <c r="Z255">
        <f>VLOOKUP(A255,справочник!$E$2:$F$322,2,FALSE)</f>
        <v>0</v>
      </c>
    </row>
    <row r="256" spans="1:26" ht="25.5" hidden="1" customHeight="1">
      <c r="A256" s="41">
        <f>VLOOKUP(B256,справочник!$B$2:$E$322,4,FALSE)</f>
        <v>107</v>
      </c>
      <c r="B256" t="str">
        <f t="shared" si="24"/>
        <v>112Сиротин Дмитрий Борисович (Приставалова)</v>
      </c>
      <c r="C256" s="1">
        <v>112</v>
      </c>
      <c r="D256" s="2" t="s">
        <v>241</v>
      </c>
      <c r="E256" s="1" t="s">
        <v>551</v>
      </c>
      <c r="F256" s="16">
        <v>40932</v>
      </c>
      <c r="G256" s="16">
        <v>40909</v>
      </c>
      <c r="H256" s="17">
        <f t="shared" si="27"/>
        <v>48</v>
      </c>
      <c r="I256" s="1">
        <f t="shared" si="28"/>
        <v>48000</v>
      </c>
      <c r="J256" s="17">
        <v>40000</v>
      </c>
      <c r="K256" s="17">
        <v>4000</v>
      </c>
      <c r="L256" s="30">
        <f t="shared" si="29"/>
        <v>4000</v>
      </c>
      <c r="M256" s="31">
        <v>800</v>
      </c>
      <c r="N256" s="31">
        <v>800</v>
      </c>
      <c r="O256" s="31">
        <v>800</v>
      </c>
      <c r="P256" s="31">
        <v>800</v>
      </c>
      <c r="Q256" s="31">
        <v>800</v>
      </c>
      <c r="R256" s="31">
        <v>800</v>
      </c>
      <c r="S256" s="31">
        <v>800</v>
      </c>
      <c r="T256" s="31">
        <v>800</v>
      </c>
      <c r="U256" s="31">
        <v>800</v>
      </c>
      <c r="V256" s="31">
        <v>800</v>
      </c>
      <c r="W256" s="31">
        <v>800</v>
      </c>
      <c r="X256" s="31">
        <v>800</v>
      </c>
      <c r="Y256" s="30">
        <f t="shared" si="30"/>
        <v>13600</v>
      </c>
      <c r="Z256">
        <f>VLOOKUP(A256,справочник!$E$2:$F$322,2,FALSE)</f>
        <v>0</v>
      </c>
    </row>
    <row r="257" spans="1:26" hidden="1">
      <c r="A257" s="41">
        <f>VLOOKUP(B257,справочник!$B$2:$E$322,4,FALSE)</f>
        <v>48</v>
      </c>
      <c r="B257" t="str">
        <f t="shared" si="24"/>
        <v>48Сломов Константин Витальевич</v>
      </c>
      <c r="C257" s="1">
        <v>48</v>
      </c>
      <c r="D257" s="2" t="s">
        <v>242</v>
      </c>
      <c r="E257" s="1" t="s">
        <v>552</v>
      </c>
      <c r="F257" s="16">
        <v>40786</v>
      </c>
      <c r="G257" s="16">
        <v>40787</v>
      </c>
      <c r="H257" s="17">
        <f t="shared" si="27"/>
        <v>52</v>
      </c>
      <c r="I257" s="1">
        <f t="shared" si="28"/>
        <v>52000</v>
      </c>
      <c r="J257" s="17">
        <f>1000+22000</f>
        <v>23000</v>
      </c>
      <c r="K257" s="17"/>
      <c r="L257" s="30">
        <f t="shared" si="29"/>
        <v>29000</v>
      </c>
      <c r="M257" s="31">
        <v>800</v>
      </c>
      <c r="N257" s="31">
        <v>800</v>
      </c>
      <c r="O257" s="31">
        <v>800</v>
      </c>
      <c r="P257" s="31">
        <v>800</v>
      </c>
      <c r="Q257" s="31">
        <v>800</v>
      </c>
      <c r="R257" s="31">
        <v>800</v>
      </c>
      <c r="S257" s="31">
        <v>800</v>
      </c>
      <c r="T257" s="31">
        <v>800</v>
      </c>
      <c r="U257" s="31">
        <v>800</v>
      </c>
      <c r="V257" s="31">
        <v>800</v>
      </c>
      <c r="W257" s="31">
        <v>800</v>
      </c>
      <c r="X257" s="31">
        <v>800</v>
      </c>
      <c r="Y257" s="30">
        <f t="shared" si="30"/>
        <v>38600</v>
      </c>
      <c r="Z257">
        <f>VLOOKUP(A257,справочник!$E$2:$F$322,2,FALSE)</f>
        <v>0</v>
      </c>
    </row>
    <row r="258" spans="1:26" hidden="1">
      <c r="A258" s="41">
        <f>VLOOKUP(B258,справочник!$B$2:$E$322,4,FALSE)</f>
        <v>237</v>
      </c>
      <c r="B258" t="str">
        <f t="shared" si="24"/>
        <v>248Смирнов Максим Анатольевич, Светлана</v>
      </c>
      <c r="C258" s="1">
        <v>248</v>
      </c>
      <c r="D258" s="2" t="s">
        <v>243</v>
      </c>
      <c r="E258" s="1" t="s">
        <v>553</v>
      </c>
      <c r="F258" s="16">
        <v>41036</v>
      </c>
      <c r="G258" s="16">
        <v>41030</v>
      </c>
      <c r="H258" s="17">
        <f t="shared" si="27"/>
        <v>44</v>
      </c>
      <c r="I258" s="1">
        <f t="shared" si="28"/>
        <v>44000</v>
      </c>
      <c r="J258" s="17">
        <v>13000</v>
      </c>
      <c r="K258" s="17"/>
      <c r="L258" s="30">
        <f t="shared" si="29"/>
        <v>31000</v>
      </c>
      <c r="M258" s="31">
        <v>800</v>
      </c>
      <c r="N258" s="31">
        <v>800</v>
      </c>
      <c r="O258" s="31">
        <v>800</v>
      </c>
      <c r="P258" s="31">
        <v>800</v>
      </c>
      <c r="Q258" s="31">
        <v>800</v>
      </c>
      <c r="R258" s="31">
        <v>800</v>
      </c>
      <c r="S258" s="31">
        <v>800</v>
      </c>
      <c r="T258" s="31">
        <v>800</v>
      </c>
      <c r="U258" s="31">
        <v>800</v>
      </c>
      <c r="V258" s="31">
        <v>800</v>
      </c>
      <c r="W258" s="31">
        <v>800</v>
      </c>
      <c r="X258" s="31">
        <v>800</v>
      </c>
      <c r="Y258" s="30">
        <f t="shared" si="30"/>
        <v>40600</v>
      </c>
      <c r="Z258">
        <f>VLOOKUP(A258,справочник!$E$2:$F$322,2,FALSE)</f>
        <v>0</v>
      </c>
    </row>
    <row r="259" spans="1:26" hidden="1">
      <c r="A259" s="41">
        <f>VLOOKUP(B259,справочник!$B$2:$E$322,4,FALSE)</f>
        <v>263</v>
      </c>
      <c r="B259" t="str">
        <f t="shared" si="24"/>
        <v>276Соколова Ирина Анатольевна</v>
      </c>
      <c r="C259" s="1">
        <v>276</v>
      </c>
      <c r="D259" s="2" t="s">
        <v>244</v>
      </c>
      <c r="E259" s="1" t="s">
        <v>554</v>
      </c>
      <c r="F259" s="16">
        <v>41289</v>
      </c>
      <c r="G259" s="16">
        <v>41306</v>
      </c>
      <c r="H259" s="17">
        <f t="shared" si="27"/>
        <v>35</v>
      </c>
      <c r="I259" s="1">
        <f t="shared" si="28"/>
        <v>35000</v>
      </c>
      <c r="J259" s="17">
        <v>32000</v>
      </c>
      <c r="K259" s="17"/>
      <c r="L259" s="30">
        <f t="shared" si="29"/>
        <v>3000</v>
      </c>
      <c r="M259" s="31">
        <v>800</v>
      </c>
      <c r="N259" s="31">
        <v>800</v>
      </c>
      <c r="O259" s="31">
        <v>800</v>
      </c>
      <c r="P259" s="31">
        <v>800</v>
      </c>
      <c r="Q259" s="31">
        <v>800</v>
      </c>
      <c r="R259" s="31">
        <v>800</v>
      </c>
      <c r="S259" s="31">
        <v>800</v>
      </c>
      <c r="T259" s="31">
        <v>800</v>
      </c>
      <c r="U259" s="31">
        <v>800</v>
      </c>
      <c r="V259" s="31">
        <v>800</v>
      </c>
      <c r="W259" s="31">
        <v>800</v>
      </c>
      <c r="X259" s="31">
        <v>800</v>
      </c>
      <c r="Y259" s="30">
        <f t="shared" si="30"/>
        <v>12600</v>
      </c>
      <c r="Z259">
        <f>VLOOKUP(A259,справочник!$E$2:$F$322,2,FALSE)</f>
        <v>0</v>
      </c>
    </row>
    <row r="260" spans="1:26" hidden="1">
      <c r="A260" s="41">
        <f>VLOOKUP(B260,справочник!$B$2:$E$322,4,FALSE)</f>
        <v>100</v>
      </c>
      <c r="B260" t="str">
        <f t="shared" si="24"/>
        <v>105Солодкий Дмитрий Павлович</v>
      </c>
      <c r="C260" s="1">
        <v>105</v>
      </c>
      <c r="D260" s="2" t="s">
        <v>245</v>
      </c>
      <c r="E260" s="1" t="s">
        <v>555</v>
      </c>
      <c r="F260" s="16">
        <v>41065</v>
      </c>
      <c r="G260" s="16">
        <v>41061</v>
      </c>
      <c r="H260" s="17">
        <f t="shared" si="27"/>
        <v>43</v>
      </c>
      <c r="I260" s="1">
        <f t="shared" si="28"/>
        <v>43000</v>
      </c>
      <c r="J260" s="17">
        <v>28000</v>
      </c>
      <c r="K260" s="17"/>
      <c r="L260" s="30">
        <f t="shared" si="29"/>
        <v>15000</v>
      </c>
      <c r="M260" s="31">
        <v>800</v>
      </c>
      <c r="N260" s="31">
        <v>800</v>
      </c>
      <c r="O260" s="31">
        <v>800</v>
      </c>
      <c r="P260" s="31">
        <v>800</v>
      </c>
      <c r="Q260" s="31">
        <v>800</v>
      </c>
      <c r="R260" s="31">
        <v>800</v>
      </c>
      <c r="S260" s="31">
        <v>800</v>
      </c>
      <c r="T260" s="31">
        <v>800</v>
      </c>
      <c r="U260" s="31">
        <v>800</v>
      </c>
      <c r="V260" s="31">
        <v>800</v>
      </c>
      <c r="W260" s="31">
        <v>800</v>
      </c>
      <c r="X260" s="31">
        <v>800</v>
      </c>
      <c r="Y260" s="30">
        <f t="shared" si="30"/>
        <v>24600</v>
      </c>
      <c r="Z260">
        <f>VLOOKUP(A260,справочник!$E$2:$F$322,2,FALSE)</f>
        <v>0</v>
      </c>
    </row>
    <row r="261" spans="1:26" hidden="1">
      <c r="A261" s="41">
        <f>VLOOKUP(B261,справочник!$B$2:$E$322,4,FALSE)</f>
        <v>131</v>
      </c>
      <c r="B261" t="str">
        <f t="shared" si="24"/>
        <v>138Спивак Сергей Николаевич</v>
      </c>
      <c r="C261" s="1">
        <v>138</v>
      </c>
      <c r="D261" s="2" t="s">
        <v>246</v>
      </c>
      <c r="E261" s="1" t="s">
        <v>556</v>
      </c>
      <c r="F261" s="16">
        <v>41114</v>
      </c>
      <c r="G261" s="16">
        <v>41122</v>
      </c>
      <c r="H261" s="17">
        <f t="shared" si="27"/>
        <v>41</v>
      </c>
      <c r="I261" s="1">
        <f t="shared" si="28"/>
        <v>41000</v>
      </c>
      <c r="J261" s="17">
        <v>23000</v>
      </c>
      <c r="K261" s="17">
        <v>6000</v>
      </c>
      <c r="L261" s="30">
        <f t="shared" si="29"/>
        <v>12000</v>
      </c>
      <c r="M261" s="31">
        <v>800</v>
      </c>
      <c r="N261" s="31">
        <v>800</v>
      </c>
      <c r="O261" s="31">
        <v>800</v>
      </c>
      <c r="P261" s="31">
        <v>800</v>
      </c>
      <c r="Q261" s="31">
        <v>800</v>
      </c>
      <c r="R261" s="31">
        <v>800</v>
      </c>
      <c r="S261" s="31">
        <v>800</v>
      </c>
      <c r="T261" s="31">
        <v>800</v>
      </c>
      <c r="U261" s="31">
        <v>800</v>
      </c>
      <c r="V261" s="31">
        <v>800</v>
      </c>
      <c r="W261" s="31">
        <v>800</v>
      </c>
      <c r="X261" s="31">
        <v>800</v>
      </c>
      <c r="Y261" s="30">
        <f t="shared" si="30"/>
        <v>21600</v>
      </c>
      <c r="Z261">
        <f>VLOOKUP(A261,справочник!$E$2:$F$322,2,FALSE)</f>
        <v>0</v>
      </c>
    </row>
    <row r="262" spans="1:26" hidden="1">
      <c r="A262" s="41">
        <f>VLOOKUP(B262,справочник!$B$2:$E$322,4,FALSE)</f>
        <v>183</v>
      </c>
      <c r="B262" t="str">
        <f t="shared" ref="B262:B325" si="31">CONCATENATE(C262,D262)</f>
        <v>191Спиридонов Андрей Владимирович</v>
      </c>
      <c r="C262" s="1">
        <v>191</v>
      </c>
      <c r="D262" s="2" t="s">
        <v>247</v>
      </c>
      <c r="E262" s="1" t="s">
        <v>557</v>
      </c>
      <c r="F262" s="19">
        <v>41505</v>
      </c>
      <c r="G262" s="19">
        <v>41518</v>
      </c>
      <c r="H262" s="20">
        <f t="shared" si="27"/>
        <v>28</v>
      </c>
      <c r="I262" s="5">
        <f t="shared" si="28"/>
        <v>28000</v>
      </c>
      <c r="J262" s="20">
        <v>1000</v>
      </c>
      <c r="K262" s="20"/>
      <c r="L262" s="32">
        <f t="shared" si="29"/>
        <v>27000</v>
      </c>
      <c r="M262" s="31">
        <v>800</v>
      </c>
      <c r="N262" s="31">
        <v>800</v>
      </c>
      <c r="O262" s="31">
        <v>800</v>
      </c>
      <c r="P262" s="31">
        <v>800</v>
      </c>
      <c r="Q262" s="31">
        <v>800</v>
      </c>
      <c r="R262" s="31">
        <v>800</v>
      </c>
      <c r="S262" s="31">
        <v>800</v>
      </c>
      <c r="T262" s="31">
        <v>800</v>
      </c>
      <c r="U262" s="31">
        <v>800</v>
      </c>
      <c r="V262" s="31">
        <v>800</v>
      </c>
      <c r="W262" s="31">
        <v>800</v>
      </c>
      <c r="X262" s="31">
        <v>800</v>
      </c>
      <c r="Y262" s="30">
        <f t="shared" si="30"/>
        <v>36600</v>
      </c>
      <c r="Z262">
        <f>VLOOKUP(A262,справочник!$E$2:$F$322,2,FALSE)</f>
        <v>1</v>
      </c>
    </row>
    <row r="263" spans="1:26" hidden="1">
      <c r="A263" s="41">
        <f>VLOOKUP(B263,справочник!$B$2:$E$322,4,FALSE)</f>
        <v>183</v>
      </c>
      <c r="B263" t="str">
        <f t="shared" si="31"/>
        <v>192Спиридонов Андрей Владимирович</v>
      </c>
      <c r="C263" s="1">
        <v>192</v>
      </c>
      <c r="D263" s="2" t="s">
        <v>247</v>
      </c>
      <c r="E263" s="1" t="s">
        <v>558</v>
      </c>
      <c r="F263" s="19">
        <v>41505</v>
      </c>
      <c r="G263" s="19">
        <v>41518</v>
      </c>
      <c r="H263" s="20">
        <f t="shared" si="27"/>
        <v>28</v>
      </c>
      <c r="I263" s="5">
        <f t="shared" si="28"/>
        <v>28000</v>
      </c>
      <c r="J263" s="20">
        <v>1000</v>
      </c>
      <c r="K263" s="20"/>
      <c r="L263" s="32">
        <f t="shared" si="29"/>
        <v>27000</v>
      </c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0">
        <f t="shared" si="30"/>
        <v>27000</v>
      </c>
      <c r="Z263">
        <f>VLOOKUP(A263,справочник!$E$2:$F$322,2,FALSE)</f>
        <v>1</v>
      </c>
    </row>
    <row r="264" spans="1:26" ht="25.5" hidden="1" customHeight="1">
      <c r="A264" s="41">
        <f>VLOOKUP(B264,справочник!$B$2:$E$322,4,FALSE)</f>
        <v>21</v>
      </c>
      <c r="B264" t="str">
        <f t="shared" si="31"/>
        <v>21Старостин Виктор Вячеславович</v>
      </c>
      <c r="C264" s="1">
        <v>21</v>
      </c>
      <c r="D264" s="2" t="s">
        <v>248</v>
      </c>
      <c r="E264" s="1" t="s">
        <v>559</v>
      </c>
      <c r="F264" s="16">
        <v>41107</v>
      </c>
      <c r="G264" s="16">
        <v>41091</v>
      </c>
      <c r="H264" s="17">
        <f t="shared" si="27"/>
        <v>42</v>
      </c>
      <c r="I264" s="1">
        <f t="shared" si="28"/>
        <v>42000</v>
      </c>
      <c r="J264" s="17">
        <v>40000</v>
      </c>
      <c r="K264" s="17"/>
      <c r="L264" s="30">
        <f t="shared" si="29"/>
        <v>2000</v>
      </c>
      <c r="M264" s="31">
        <v>800</v>
      </c>
      <c r="N264" s="31">
        <v>800</v>
      </c>
      <c r="O264" s="31">
        <v>800</v>
      </c>
      <c r="P264" s="31">
        <v>800</v>
      </c>
      <c r="Q264" s="31">
        <v>800</v>
      </c>
      <c r="R264" s="31">
        <v>800</v>
      </c>
      <c r="S264" s="31">
        <v>800</v>
      </c>
      <c r="T264" s="31">
        <v>800</v>
      </c>
      <c r="U264" s="31">
        <v>800</v>
      </c>
      <c r="V264" s="31">
        <v>800</v>
      </c>
      <c r="W264" s="31">
        <v>800</v>
      </c>
      <c r="X264" s="31">
        <v>800</v>
      </c>
      <c r="Y264" s="30">
        <f t="shared" si="30"/>
        <v>11600</v>
      </c>
      <c r="Z264">
        <f>VLOOKUP(A264,справочник!$E$2:$F$322,2,FALSE)</f>
        <v>0</v>
      </c>
    </row>
    <row r="265" spans="1:26" hidden="1">
      <c r="A265" s="41">
        <f>VLOOKUP(B265,справочник!$B$2:$E$322,4,FALSE)</f>
        <v>298</v>
      </c>
      <c r="B265" t="str">
        <f t="shared" si="31"/>
        <v>313Степанов Валерий Владимирович</v>
      </c>
      <c r="C265" s="1">
        <v>313</v>
      </c>
      <c r="D265" s="2" t="s">
        <v>249</v>
      </c>
      <c r="E265" s="1" t="s">
        <v>560</v>
      </c>
      <c r="F265" s="16">
        <v>41994</v>
      </c>
      <c r="G265" s="16">
        <v>42005</v>
      </c>
      <c r="H265" s="17">
        <f t="shared" si="27"/>
        <v>12</v>
      </c>
      <c r="I265" s="1">
        <f t="shared" si="28"/>
        <v>12000</v>
      </c>
      <c r="J265" s="17">
        <v>12000</v>
      </c>
      <c r="K265" s="17"/>
      <c r="L265" s="30">
        <f t="shared" si="29"/>
        <v>0</v>
      </c>
      <c r="M265" s="31">
        <v>800</v>
      </c>
      <c r="N265" s="31">
        <v>800</v>
      </c>
      <c r="O265" s="31">
        <v>800</v>
      </c>
      <c r="P265" s="31">
        <v>800</v>
      </c>
      <c r="Q265" s="31">
        <v>800</v>
      </c>
      <c r="R265" s="31">
        <v>800</v>
      </c>
      <c r="S265" s="31">
        <v>800</v>
      </c>
      <c r="T265" s="31">
        <v>800</v>
      </c>
      <c r="U265" s="31">
        <v>800</v>
      </c>
      <c r="V265" s="31">
        <v>800</v>
      </c>
      <c r="W265" s="31">
        <v>800</v>
      </c>
      <c r="X265" s="31">
        <v>800</v>
      </c>
      <c r="Y265" s="30">
        <f t="shared" si="30"/>
        <v>9600</v>
      </c>
      <c r="Z265">
        <f>VLOOKUP(A265,справочник!$E$2:$F$322,2,FALSE)</f>
        <v>0</v>
      </c>
    </row>
    <row r="266" spans="1:26" hidden="1">
      <c r="A266" s="41">
        <f>VLOOKUP(B266,справочник!$B$2:$E$322,4,FALSE)</f>
        <v>91</v>
      </c>
      <c r="B266" t="str">
        <f t="shared" si="31"/>
        <v>96Степанова Марина Николаевна (Артем)</v>
      </c>
      <c r="C266" s="1">
        <v>96</v>
      </c>
      <c r="D266" s="2" t="s">
        <v>250</v>
      </c>
      <c r="E266" s="1" t="s">
        <v>561</v>
      </c>
      <c r="F266" s="16">
        <v>41070</v>
      </c>
      <c r="G266" s="16">
        <v>41061</v>
      </c>
      <c r="H266" s="17">
        <f t="shared" si="27"/>
        <v>43</v>
      </c>
      <c r="I266" s="1">
        <f t="shared" si="28"/>
        <v>43000</v>
      </c>
      <c r="J266" s="17">
        <v>12000</v>
      </c>
      <c r="K266" s="17"/>
      <c r="L266" s="30">
        <f t="shared" si="29"/>
        <v>31000</v>
      </c>
      <c r="M266" s="31">
        <v>800</v>
      </c>
      <c r="N266" s="31">
        <v>800</v>
      </c>
      <c r="O266" s="31">
        <v>800</v>
      </c>
      <c r="P266" s="31">
        <v>800</v>
      </c>
      <c r="Q266" s="31">
        <v>800</v>
      </c>
      <c r="R266" s="31">
        <v>800</v>
      </c>
      <c r="S266" s="31">
        <v>800</v>
      </c>
      <c r="T266" s="31">
        <v>800</v>
      </c>
      <c r="U266" s="31">
        <v>800</v>
      </c>
      <c r="V266" s="31">
        <v>800</v>
      </c>
      <c r="W266" s="31">
        <v>800</v>
      </c>
      <c r="X266" s="31">
        <v>800</v>
      </c>
      <c r="Y266" s="30">
        <f t="shared" si="30"/>
        <v>40600</v>
      </c>
      <c r="Z266">
        <f>VLOOKUP(A266,справочник!$E$2:$F$322,2,FALSE)</f>
        <v>0</v>
      </c>
    </row>
    <row r="267" spans="1:26" hidden="1">
      <c r="A267" s="41">
        <v>317</v>
      </c>
      <c r="B267" t="str">
        <f t="shared" si="31"/>
        <v>51-52Стрелков Андрей Вячеславович</v>
      </c>
      <c r="C267" s="88" t="s">
        <v>252</v>
      </c>
      <c r="D267" s="2" t="s">
        <v>251</v>
      </c>
      <c r="E267" s="1" t="s">
        <v>562</v>
      </c>
      <c r="F267" s="16">
        <v>41184</v>
      </c>
      <c r="G267" s="16">
        <v>41214</v>
      </c>
      <c r="H267" s="17">
        <f t="shared" si="27"/>
        <v>38</v>
      </c>
      <c r="I267" s="1">
        <f t="shared" si="28"/>
        <v>38000</v>
      </c>
      <c r="J267" s="17">
        <v>38000</v>
      </c>
      <c r="K267" s="17"/>
      <c r="L267" s="30">
        <f t="shared" si="29"/>
        <v>0</v>
      </c>
      <c r="M267" s="31">
        <v>800</v>
      </c>
      <c r="N267" s="31">
        <v>800</v>
      </c>
      <c r="O267" s="31">
        <v>800</v>
      </c>
      <c r="P267" s="31">
        <v>800</v>
      </c>
      <c r="Q267" s="31">
        <v>800</v>
      </c>
      <c r="R267" s="31">
        <v>800</v>
      </c>
      <c r="S267" s="31">
        <v>800</v>
      </c>
      <c r="T267" s="31">
        <v>800</v>
      </c>
      <c r="U267" s="31">
        <v>800</v>
      </c>
      <c r="V267" s="31">
        <v>800</v>
      </c>
      <c r="W267" s="31">
        <v>800</v>
      </c>
      <c r="X267" s="31">
        <v>800</v>
      </c>
      <c r="Y267" s="30">
        <f t="shared" si="30"/>
        <v>9600</v>
      </c>
      <c r="Z267">
        <f>VLOOKUP(A267,справочник!$E$2:$F$322,2,FALSE)</f>
        <v>0</v>
      </c>
    </row>
    <row r="268" spans="1:26" hidden="1">
      <c r="A268" s="41">
        <f>VLOOKUP(B268,справочник!$B$2:$E$322,4,FALSE)</f>
        <v>317</v>
      </c>
      <c r="B268" t="str">
        <f t="shared" si="31"/>
        <v xml:space="preserve">51-52Стрелков Андрей Вячеславович  </v>
      </c>
      <c r="C268" s="1" t="s">
        <v>252</v>
      </c>
      <c r="D268" s="2" t="s">
        <v>253</v>
      </c>
      <c r="E268" s="1" t="s">
        <v>563</v>
      </c>
      <c r="F268" s="16">
        <v>41184</v>
      </c>
      <c r="G268" s="16">
        <v>41214</v>
      </c>
      <c r="H268" s="17">
        <f>INT(($H$327-G268)/30)*2</f>
        <v>76</v>
      </c>
      <c r="I268" s="1">
        <v>89000</v>
      </c>
      <c r="J268" s="17">
        <v>89000</v>
      </c>
      <c r="K268" s="17"/>
      <c r="L268" s="30">
        <f t="shared" si="29"/>
        <v>0</v>
      </c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0">
        <f t="shared" si="30"/>
        <v>0</v>
      </c>
      <c r="Z268">
        <f>VLOOKUP(A268,справочник!$E$2:$F$322,2,FALSE)</f>
        <v>0</v>
      </c>
    </row>
    <row r="269" spans="1:26" hidden="1">
      <c r="A269" s="41">
        <f>VLOOKUP(B269,справочник!$B$2:$E$322,4,FALSE)</f>
        <v>268</v>
      </c>
      <c r="B269" t="str">
        <f t="shared" si="31"/>
        <v>281Стрелков Николай Валентинович</v>
      </c>
      <c r="C269" s="1">
        <v>281</v>
      </c>
      <c r="D269" s="2" t="s">
        <v>254</v>
      </c>
      <c r="E269" s="1" t="s">
        <v>564</v>
      </c>
      <c r="F269" s="16">
        <v>41184</v>
      </c>
      <c r="G269" s="16">
        <v>41214</v>
      </c>
      <c r="H269" s="17">
        <f t="shared" ref="H269:H287" si="32">INT(($H$327-G269)/30)</f>
        <v>38</v>
      </c>
      <c r="I269" s="1">
        <f t="shared" ref="I269:I278" si="33">H269*1000</f>
        <v>38000</v>
      </c>
      <c r="J269" s="17">
        <v>28000</v>
      </c>
      <c r="K269" s="17"/>
      <c r="L269" s="30">
        <f t="shared" si="29"/>
        <v>10000</v>
      </c>
      <c r="M269" s="31">
        <v>800</v>
      </c>
      <c r="N269" s="31">
        <v>800</v>
      </c>
      <c r="O269" s="31">
        <v>800</v>
      </c>
      <c r="P269" s="31">
        <v>800</v>
      </c>
      <c r="Q269" s="31">
        <v>800</v>
      </c>
      <c r="R269" s="31">
        <v>800</v>
      </c>
      <c r="S269" s="31">
        <v>800</v>
      </c>
      <c r="T269" s="31">
        <v>800</v>
      </c>
      <c r="U269" s="31">
        <v>800</v>
      </c>
      <c r="V269" s="31">
        <v>800</v>
      </c>
      <c r="W269" s="31">
        <v>800</v>
      </c>
      <c r="X269" s="31">
        <v>800</v>
      </c>
      <c r="Y269" s="30">
        <f t="shared" si="30"/>
        <v>19600</v>
      </c>
      <c r="Z269">
        <f>VLOOKUP(A269,справочник!$E$2:$F$322,2,FALSE)</f>
        <v>0</v>
      </c>
    </row>
    <row r="270" spans="1:26" hidden="1">
      <c r="A270" s="41">
        <f>VLOOKUP(B270,справочник!$B$2:$E$322,4,FALSE)</f>
        <v>172</v>
      </c>
      <c r="B270" t="str">
        <f t="shared" si="31"/>
        <v>180Ступнев Евгений  Романович</v>
      </c>
      <c r="C270" s="1">
        <v>180</v>
      </c>
      <c r="D270" s="2" t="s">
        <v>255</v>
      </c>
      <c r="E270" s="1" t="s">
        <v>565</v>
      </c>
      <c r="F270" s="16">
        <v>40809</v>
      </c>
      <c r="G270" s="16">
        <v>40787</v>
      </c>
      <c r="H270" s="17">
        <f t="shared" si="32"/>
        <v>52</v>
      </c>
      <c r="I270" s="1">
        <f t="shared" si="33"/>
        <v>52000</v>
      </c>
      <c r="J270" s="17">
        <f>13000+1000</f>
        <v>14000</v>
      </c>
      <c r="K270" s="17"/>
      <c r="L270" s="30">
        <f t="shared" si="29"/>
        <v>38000</v>
      </c>
      <c r="M270" s="31">
        <v>800</v>
      </c>
      <c r="N270" s="31">
        <v>800</v>
      </c>
      <c r="O270" s="31">
        <v>800</v>
      </c>
      <c r="P270" s="31">
        <v>800</v>
      </c>
      <c r="Q270" s="31">
        <v>800</v>
      </c>
      <c r="R270" s="31">
        <v>800</v>
      </c>
      <c r="S270" s="31">
        <v>800</v>
      </c>
      <c r="T270" s="31">
        <v>800</v>
      </c>
      <c r="U270" s="31">
        <v>800</v>
      </c>
      <c r="V270" s="31">
        <v>800</v>
      </c>
      <c r="W270" s="31">
        <v>800</v>
      </c>
      <c r="X270" s="31">
        <v>800</v>
      </c>
      <c r="Y270" s="30">
        <f t="shared" si="30"/>
        <v>47600</v>
      </c>
      <c r="Z270">
        <f>VLOOKUP(A270,справочник!$E$2:$F$322,2,FALSE)</f>
        <v>0</v>
      </c>
    </row>
    <row r="271" spans="1:26" hidden="1">
      <c r="A271" s="41">
        <f>VLOOKUP(B271,справочник!$B$2:$E$322,4,FALSE)</f>
        <v>116</v>
      </c>
      <c r="B271" t="str">
        <f t="shared" si="31"/>
        <v>121Суворов Сергей Анатольевич</v>
      </c>
      <c r="C271" s="1">
        <v>121</v>
      </c>
      <c r="D271" s="2" t="s">
        <v>256</v>
      </c>
      <c r="E271" s="1" t="s">
        <v>566</v>
      </c>
      <c r="F271" s="16">
        <v>41531</v>
      </c>
      <c r="G271" s="16">
        <v>41518</v>
      </c>
      <c r="H271" s="17">
        <f t="shared" si="32"/>
        <v>28</v>
      </c>
      <c r="I271" s="1">
        <f t="shared" si="33"/>
        <v>28000</v>
      </c>
      <c r="J271" s="17">
        <v>20000</v>
      </c>
      <c r="K271" s="17"/>
      <c r="L271" s="30">
        <f t="shared" si="29"/>
        <v>8000</v>
      </c>
      <c r="M271" s="31">
        <v>800</v>
      </c>
      <c r="N271" s="31">
        <v>800</v>
      </c>
      <c r="O271" s="31">
        <v>800</v>
      </c>
      <c r="P271" s="31">
        <v>800</v>
      </c>
      <c r="Q271" s="31">
        <v>800</v>
      </c>
      <c r="R271" s="31">
        <v>800</v>
      </c>
      <c r="S271" s="31">
        <v>800</v>
      </c>
      <c r="T271" s="31">
        <v>800</v>
      </c>
      <c r="U271" s="31">
        <v>800</v>
      </c>
      <c r="V271" s="31">
        <v>800</v>
      </c>
      <c r="W271" s="31">
        <v>800</v>
      </c>
      <c r="X271" s="31">
        <v>800</v>
      </c>
      <c r="Y271" s="30">
        <f t="shared" si="30"/>
        <v>17600</v>
      </c>
      <c r="Z271">
        <f>VLOOKUP(A271,справочник!$E$2:$F$322,2,FALSE)</f>
        <v>0</v>
      </c>
    </row>
    <row r="272" spans="1:26" hidden="1">
      <c r="A272" s="41">
        <f>VLOOKUP(B272,справочник!$B$2:$E$322,4,FALSE)</f>
        <v>57</v>
      </c>
      <c r="B272" t="str">
        <f t="shared" si="31"/>
        <v>59Суркова Татьяна Александровна</v>
      </c>
      <c r="C272" s="1">
        <v>59</v>
      </c>
      <c r="D272" s="2" t="s">
        <v>257</v>
      </c>
      <c r="E272" s="1" t="s">
        <v>567</v>
      </c>
      <c r="F272" s="16">
        <v>41044</v>
      </c>
      <c r="G272" s="16">
        <v>41030</v>
      </c>
      <c r="H272" s="17">
        <f t="shared" si="32"/>
        <v>44</v>
      </c>
      <c r="I272" s="1">
        <f t="shared" si="33"/>
        <v>44000</v>
      </c>
      <c r="J272" s="17">
        <v>34000</v>
      </c>
      <c r="K272" s="17"/>
      <c r="L272" s="30">
        <f t="shared" si="29"/>
        <v>10000</v>
      </c>
      <c r="M272" s="31">
        <v>800</v>
      </c>
      <c r="N272" s="31">
        <v>800</v>
      </c>
      <c r="O272" s="31">
        <v>800</v>
      </c>
      <c r="P272" s="31">
        <v>800</v>
      </c>
      <c r="Q272" s="31">
        <v>800</v>
      </c>
      <c r="R272" s="31">
        <v>800</v>
      </c>
      <c r="S272" s="31">
        <v>800</v>
      </c>
      <c r="T272" s="31">
        <v>800</v>
      </c>
      <c r="U272" s="31">
        <v>800</v>
      </c>
      <c r="V272" s="31">
        <v>800</v>
      </c>
      <c r="W272" s="31">
        <v>800</v>
      </c>
      <c r="X272" s="31">
        <v>800</v>
      </c>
      <c r="Y272" s="30">
        <f t="shared" si="30"/>
        <v>19600</v>
      </c>
      <c r="Z272">
        <f>VLOOKUP(A272,справочник!$E$2:$F$322,2,FALSE)</f>
        <v>0</v>
      </c>
    </row>
    <row r="273" spans="1:26" hidden="1">
      <c r="A273" s="41">
        <f>VLOOKUP(B273,справочник!$B$2:$E$322,4,FALSE)</f>
        <v>46</v>
      </c>
      <c r="B273" t="str">
        <f t="shared" si="31"/>
        <v>46Сысоев Евгений Анатольевич</v>
      </c>
      <c r="C273" s="1">
        <v>46</v>
      </c>
      <c r="D273" s="2" t="s">
        <v>258</v>
      </c>
      <c r="E273" s="1" t="s">
        <v>568</v>
      </c>
      <c r="F273" s="16">
        <v>41382</v>
      </c>
      <c r="G273" s="16">
        <v>41395</v>
      </c>
      <c r="H273" s="17">
        <f t="shared" si="32"/>
        <v>32</v>
      </c>
      <c r="I273" s="1">
        <f t="shared" si="33"/>
        <v>32000</v>
      </c>
      <c r="J273" s="17">
        <v>17000</v>
      </c>
      <c r="K273" s="17"/>
      <c r="L273" s="30">
        <f t="shared" si="29"/>
        <v>15000</v>
      </c>
      <c r="M273" s="31">
        <v>800</v>
      </c>
      <c r="N273" s="31">
        <v>800</v>
      </c>
      <c r="O273" s="31">
        <v>800</v>
      </c>
      <c r="P273" s="31">
        <v>800</v>
      </c>
      <c r="Q273" s="31">
        <v>800</v>
      </c>
      <c r="R273" s="31">
        <v>800</v>
      </c>
      <c r="S273" s="31">
        <v>800</v>
      </c>
      <c r="T273" s="31">
        <v>800</v>
      </c>
      <c r="U273" s="31">
        <v>800</v>
      </c>
      <c r="V273" s="31">
        <v>800</v>
      </c>
      <c r="W273" s="31">
        <v>800</v>
      </c>
      <c r="X273" s="31">
        <v>800</v>
      </c>
      <c r="Y273" s="30">
        <f t="shared" si="30"/>
        <v>24600</v>
      </c>
      <c r="Z273">
        <f>VLOOKUP(A273,справочник!$E$2:$F$322,2,FALSE)</f>
        <v>0</v>
      </c>
    </row>
    <row r="274" spans="1:26" hidden="1">
      <c r="A274" s="41">
        <f>VLOOKUP(B274,справочник!$B$2:$E$322,4,FALSE)</f>
        <v>73</v>
      </c>
      <c r="B274" t="str">
        <f t="shared" si="31"/>
        <v>79Сысоев Семен Евгеньевич</v>
      </c>
      <c r="C274" s="1">
        <v>79</v>
      </c>
      <c r="D274" s="2" t="s">
        <v>259</v>
      </c>
      <c r="E274" s="1" t="s">
        <v>569</v>
      </c>
      <c r="F274" s="16">
        <v>41382</v>
      </c>
      <c r="G274" s="16">
        <v>41395</v>
      </c>
      <c r="H274" s="17">
        <f t="shared" si="32"/>
        <v>32</v>
      </c>
      <c r="I274" s="1">
        <f t="shared" si="33"/>
        <v>32000</v>
      </c>
      <c r="J274" s="17">
        <v>21000</v>
      </c>
      <c r="K274" s="17"/>
      <c r="L274" s="30">
        <f t="shared" si="29"/>
        <v>11000</v>
      </c>
      <c r="M274" s="31">
        <v>800</v>
      </c>
      <c r="N274" s="31">
        <v>800</v>
      </c>
      <c r="O274" s="31">
        <v>800</v>
      </c>
      <c r="P274" s="31">
        <v>800</v>
      </c>
      <c r="Q274" s="31">
        <v>800</v>
      </c>
      <c r="R274" s="31">
        <v>800</v>
      </c>
      <c r="S274" s="31">
        <v>800</v>
      </c>
      <c r="T274" s="31">
        <v>800</v>
      </c>
      <c r="U274" s="31">
        <v>800</v>
      </c>
      <c r="V274" s="31">
        <v>800</v>
      </c>
      <c r="W274" s="31">
        <v>800</v>
      </c>
      <c r="X274" s="31">
        <v>800</v>
      </c>
      <c r="Y274" s="30">
        <f t="shared" si="30"/>
        <v>20600</v>
      </c>
      <c r="Z274">
        <f>VLOOKUP(A274,справочник!$E$2:$F$322,2,FALSE)</f>
        <v>0</v>
      </c>
    </row>
    <row r="275" spans="1:26" hidden="1">
      <c r="A275" s="41">
        <f>VLOOKUP(B275,справочник!$B$2:$E$322,4,FALSE)</f>
        <v>162</v>
      </c>
      <c r="B275" t="str">
        <f t="shared" si="31"/>
        <v>170Тадлов Виталий Петрович</v>
      </c>
      <c r="C275" s="1">
        <v>170</v>
      </c>
      <c r="D275" s="2" t="s">
        <v>260</v>
      </c>
      <c r="E275" s="1" t="s">
        <v>570</v>
      </c>
      <c r="F275" s="16">
        <v>41800</v>
      </c>
      <c r="G275" s="16">
        <v>41821</v>
      </c>
      <c r="H275" s="17">
        <f t="shared" si="32"/>
        <v>18</v>
      </c>
      <c r="I275" s="1">
        <f t="shared" si="33"/>
        <v>18000</v>
      </c>
      <c r="J275" s="17">
        <v>12000</v>
      </c>
      <c r="K275" s="17"/>
      <c r="L275" s="30">
        <f t="shared" si="29"/>
        <v>6000</v>
      </c>
      <c r="M275" s="31">
        <v>800</v>
      </c>
      <c r="N275" s="31">
        <v>800</v>
      </c>
      <c r="O275" s="31">
        <v>800</v>
      </c>
      <c r="P275" s="31">
        <v>800</v>
      </c>
      <c r="Q275" s="31">
        <v>800</v>
      </c>
      <c r="R275" s="31">
        <v>800</v>
      </c>
      <c r="S275" s="31">
        <v>800</v>
      </c>
      <c r="T275" s="31">
        <v>800</v>
      </c>
      <c r="U275" s="31">
        <v>800</v>
      </c>
      <c r="V275" s="31">
        <v>800</v>
      </c>
      <c r="W275" s="31">
        <v>800</v>
      </c>
      <c r="X275" s="31">
        <v>800</v>
      </c>
      <c r="Y275" s="30">
        <f t="shared" si="30"/>
        <v>15600</v>
      </c>
      <c r="Z275">
        <f>VLOOKUP(A275,справочник!$E$2:$F$322,2,FALSE)</f>
        <v>0</v>
      </c>
    </row>
    <row r="276" spans="1:26" hidden="1">
      <c r="A276" s="41">
        <f>VLOOKUP(B276,справочник!$B$2:$E$322,4,FALSE)</f>
        <v>252</v>
      </c>
      <c r="B276" t="str">
        <f t="shared" si="31"/>
        <v>263Тарасенко Анатолий Семенович</v>
      </c>
      <c r="C276" s="1">
        <v>263</v>
      </c>
      <c r="D276" s="2" t="s">
        <v>261</v>
      </c>
      <c r="E276" s="1" t="s">
        <v>571</v>
      </c>
      <c r="F276" s="19">
        <v>41967</v>
      </c>
      <c r="G276" s="19">
        <v>41974</v>
      </c>
      <c r="H276" s="20">
        <f t="shared" si="32"/>
        <v>13</v>
      </c>
      <c r="I276" s="5">
        <f t="shared" si="33"/>
        <v>13000</v>
      </c>
      <c r="J276" s="20">
        <v>8000</v>
      </c>
      <c r="K276" s="20"/>
      <c r="L276" s="32">
        <f t="shared" si="29"/>
        <v>5000</v>
      </c>
      <c r="M276" s="31">
        <v>800</v>
      </c>
      <c r="N276" s="31">
        <v>800</v>
      </c>
      <c r="O276" s="31">
        <v>800</v>
      </c>
      <c r="P276" s="31">
        <v>800</v>
      </c>
      <c r="Q276" s="31">
        <v>800</v>
      </c>
      <c r="R276" s="31">
        <v>800</v>
      </c>
      <c r="S276" s="31">
        <v>800</v>
      </c>
      <c r="T276" s="31">
        <v>800</v>
      </c>
      <c r="U276" s="31">
        <v>800</v>
      </c>
      <c r="V276" s="31">
        <v>800</v>
      </c>
      <c r="W276" s="31">
        <v>800</v>
      </c>
      <c r="X276" s="31">
        <v>800</v>
      </c>
      <c r="Y276" s="30">
        <f t="shared" si="30"/>
        <v>14600</v>
      </c>
      <c r="Z276">
        <f>VLOOKUP(A276,справочник!$E$2:$F$322,2,FALSE)</f>
        <v>1</v>
      </c>
    </row>
    <row r="277" spans="1:26" hidden="1">
      <c r="A277" s="41">
        <f>VLOOKUP(B277,справочник!$B$2:$E$322,4,FALSE)</f>
        <v>252</v>
      </c>
      <c r="B277" t="str">
        <f t="shared" si="31"/>
        <v>264Тарасенко Анатолий Семенович</v>
      </c>
      <c r="C277" s="1">
        <v>264</v>
      </c>
      <c r="D277" s="2" t="s">
        <v>261</v>
      </c>
      <c r="E277" s="1" t="s">
        <v>572</v>
      </c>
      <c r="F277" s="19">
        <v>41967</v>
      </c>
      <c r="G277" s="19">
        <v>41974</v>
      </c>
      <c r="H277" s="20">
        <f t="shared" si="32"/>
        <v>13</v>
      </c>
      <c r="I277" s="5">
        <f t="shared" si="33"/>
        <v>13000</v>
      </c>
      <c r="J277" s="20">
        <v>8000</v>
      </c>
      <c r="K277" s="20"/>
      <c r="L277" s="32">
        <f t="shared" si="29"/>
        <v>5000</v>
      </c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0">
        <f t="shared" si="30"/>
        <v>5000</v>
      </c>
      <c r="Z277">
        <f>VLOOKUP(A277,справочник!$E$2:$F$322,2,FALSE)</f>
        <v>1</v>
      </c>
    </row>
    <row r="278" spans="1:26" ht="25.5" hidden="1" customHeight="1">
      <c r="A278" s="41">
        <f>VLOOKUP(B278,справочник!$B$2:$E$322,4,FALSE)</f>
        <v>45</v>
      </c>
      <c r="B278" t="str">
        <f t="shared" si="31"/>
        <v>45Темникова Елена Станиславовна</v>
      </c>
      <c r="C278" s="1">
        <v>45</v>
      </c>
      <c r="D278" s="2" t="s">
        <v>262</v>
      </c>
      <c r="E278" s="1" t="s">
        <v>573</v>
      </c>
      <c r="F278" s="16">
        <v>41044</v>
      </c>
      <c r="G278" s="16">
        <v>41030</v>
      </c>
      <c r="H278" s="17">
        <f t="shared" si="32"/>
        <v>44</v>
      </c>
      <c r="I278" s="1">
        <f t="shared" si="33"/>
        <v>44000</v>
      </c>
      <c r="J278" s="17">
        <f>27000+8000</f>
        <v>35000</v>
      </c>
      <c r="K278" s="17">
        <v>9000</v>
      </c>
      <c r="L278" s="30">
        <f t="shared" si="29"/>
        <v>0</v>
      </c>
      <c r="M278" s="31">
        <v>800</v>
      </c>
      <c r="N278" s="31">
        <v>800</v>
      </c>
      <c r="O278" s="31">
        <v>800</v>
      </c>
      <c r="P278" s="31">
        <v>800</v>
      </c>
      <c r="Q278" s="31">
        <v>800</v>
      </c>
      <c r="R278" s="31">
        <v>800</v>
      </c>
      <c r="S278" s="31">
        <v>800</v>
      </c>
      <c r="T278" s="31">
        <v>800</v>
      </c>
      <c r="U278" s="31">
        <v>800</v>
      </c>
      <c r="V278" s="31">
        <v>800</v>
      </c>
      <c r="W278" s="31">
        <v>800</v>
      </c>
      <c r="X278" s="31">
        <v>800</v>
      </c>
      <c r="Y278" s="30">
        <f t="shared" si="30"/>
        <v>9600</v>
      </c>
      <c r="Z278">
        <f>VLOOKUP(A278,справочник!$E$2:$F$322,2,FALSE)</f>
        <v>0</v>
      </c>
    </row>
    <row r="279" spans="1:26" hidden="1">
      <c r="A279" s="41">
        <f>VLOOKUP(B279,справочник!$B$2:$E$322,4,FALSE)</f>
        <v>319</v>
      </c>
      <c r="B279" t="str">
        <f t="shared" si="31"/>
        <v>73-74Тимофеева Лариса Викторовна</v>
      </c>
      <c r="C279" s="1" t="s">
        <v>263</v>
      </c>
      <c r="D279" s="2" t="s">
        <v>264</v>
      </c>
      <c r="E279" s="1" t="s">
        <v>574</v>
      </c>
      <c r="F279" s="16">
        <v>40774</v>
      </c>
      <c r="G279" s="16">
        <v>40787</v>
      </c>
      <c r="H279" s="17">
        <f t="shared" si="32"/>
        <v>52</v>
      </c>
      <c r="I279" s="1">
        <v>76000</v>
      </c>
      <c r="J279" s="17">
        <f>8000+68000</f>
        <v>76000</v>
      </c>
      <c r="K279" s="17"/>
      <c r="L279" s="30">
        <f t="shared" si="29"/>
        <v>0</v>
      </c>
      <c r="M279" s="31">
        <v>800</v>
      </c>
      <c r="N279" s="31">
        <v>800</v>
      </c>
      <c r="O279" s="31">
        <v>800</v>
      </c>
      <c r="P279" s="31">
        <v>800</v>
      </c>
      <c r="Q279" s="31">
        <v>800</v>
      </c>
      <c r="R279" s="31">
        <v>800</v>
      </c>
      <c r="S279" s="31">
        <v>800</v>
      </c>
      <c r="T279" s="31">
        <v>800</v>
      </c>
      <c r="U279" s="31">
        <v>800</v>
      </c>
      <c r="V279" s="31">
        <v>800</v>
      </c>
      <c r="W279" s="31">
        <v>800</v>
      </c>
      <c r="X279" s="31">
        <v>800</v>
      </c>
      <c r="Y279" s="30">
        <f t="shared" si="30"/>
        <v>9600</v>
      </c>
      <c r="Z279">
        <f>VLOOKUP(A279,справочник!$E$2:$F$322,2,FALSE)</f>
        <v>0</v>
      </c>
    </row>
    <row r="280" spans="1:26" hidden="1">
      <c r="A280" s="41">
        <f>VLOOKUP(B280,справочник!$B$2:$E$322,4,FALSE)</f>
        <v>93</v>
      </c>
      <c r="B280" t="str">
        <f t="shared" si="31"/>
        <v>98Тимофеева Татьяна Александровна (Денис)</v>
      </c>
      <c r="C280" s="1">
        <v>98</v>
      </c>
      <c r="D280" s="2" t="s">
        <v>265</v>
      </c>
      <c r="E280" s="1" t="s">
        <v>575</v>
      </c>
      <c r="F280" s="16">
        <v>40774</v>
      </c>
      <c r="G280" s="16">
        <v>40787</v>
      </c>
      <c r="H280" s="17">
        <f t="shared" si="32"/>
        <v>52</v>
      </c>
      <c r="I280" s="1">
        <f t="shared" ref="I280:I310" si="34">H280*1000</f>
        <v>52000</v>
      </c>
      <c r="J280" s="17">
        <f>4000+30000</f>
        <v>34000</v>
      </c>
      <c r="K280" s="17"/>
      <c r="L280" s="30">
        <f t="shared" si="29"/>
        <v>18000</v>
      </c>
      <c r="M280" s="31">
        <v>800</v>
      </c>
      <c r="N280" s="31">
        <v>800</v>
      </c>
      <c r="O280" s="31">
        <v>800</v>
      </c>
      <c r="P280" s="31">
        <v>800</v>
      </c>
      <c r="Q280" s="31">
        <v>800</v>
      </c>
      <c r="R280" s="31">
        <v>800</v>
      </c>
      <c r="S280" s="31">
        <v>800</v>
      </c>
      <c r="T280" s="31">
        <v>800</v>
      </c>
      <c r="U280" s="31">
        <v>800</v>
      </c>
      <c r="V280" s="31">
        <v>800</v>
      </c>
      <c r="W280" s="31">
        <v>800</v>
      </c>
      <c r="X280" s="31">
        <v>800</v>
      </c>
      <c r="Y280" s="30">
        <f t="shared" si="30"/>
        <v>27600</v>
      </c>
      <c r="Z280">
        <f>VLOOKUP(A280,справочник!$E$2:$F$322,2,FALSE)</f>
        <v>0</v>
      </c>
    </row>
    <row r="281" spans="1:26" hidden="1">
      <c r="A281" s="41">
        <f>VLOOKUP(B281,справочник!$B$2:$E$322,4,FALSE)</f>
        <v>255</v>
      </c>
      <c r="B281" t="str">
        <f t="shared" si="31"/>
        <v>268Толкова Елена Анатольевна (Олег)</v>
      </c>
      <c r="C281" s="1">
        <v>268</v>
      </c>
      <c r="D281" s="2" t="s">
        <v>266</v>
      </c>
      <c r="E281" s="1" t="s">
        <v>576</v>
      </c>
      <c r="F281" s="16">
        <v>40959</v>
      </c>
      <c r="G281" s="16">
        <v>40969</v>
      </c>
      <c r="H281" s="17">
        <f t="shared" si="32"/>
        <v>46</v>
      </c>
      <c r="I281" s="1">
        <f t="shared" si="34"/>
        <v>46000</v>
      </c>
      <c r="J281" s="17">
        <f>37000+9000</f>
        <v>46000</v>
      </c>
      <c r="K281" s="17"/>
      <c r="L281" s="30">
        <f t="shared" si="29"/>
        <v>0</v>
      </c>
      <c r="M281" s="31">
        <v>800</v>
      </c>
      <c r="N281" s="31">
        <v>800</v>
      </c>
      <c r="O281" s="31">
        <v>800</v>
      </c>
      <c r="P281" s="31">
        <v>800</v>
      </c>
      <c r="Q281" s="31">
        <v>800</v>
      </c>
      <c r="R281" s="31">
        <v>800</v>
      </c>
      <c r="S281" s="31">
        <v>800</v>
      </c>
      <c r="T281" s="31">
        <v>800</v>
      </c>
      <c r="U281" s="31">
        <v>800</v>
      </c>
      <c r="V281" s="31">
        <v>800</v>
      </c>
      <c r="W281" s="31">
        <v>800</v>
      </c>
      <c r="X281" s="31">
        <v>800</v>
      </c>
      <c r="Y281" s="30">
        <f t="shared" si="30"/>
        <v>9600</v>
      </c>
      <c r="Z281">
        <f>VLOOKUP(A281,справочник!$E$2:$F$322,2,FALSE)</f>
        <v>0</v>
      </c>
    </row>
    <row r="282" spans="1:26" hidden="1">
      <c r="A282" s="41">
        <f>VLOOKUP(B282,справочник!$B$2:$E$322,4,FALSE)</f>
        <v>167</v>
      </c>
      <c r="B282" t="str">
        <f t="shared" si="31"/>
        <v>175Трубченко Петр Александрович</v>
      </c>
      <c r="C282" s="1">
        <v>175</v>
      </c>
      <c r="D282" s="2" t="s">
        <v>267</v>
      </c>
      <c r="E282" s="1" t="s">
        <v>577</v>
      </c>
      <c r="F282" s="16">
        <v>41613</v>
      </c>
      <c r="G282" s="16">
        <v>41640</v>
      </c>
      <c r="H282" s="17">
        <f t="shared" si="32"/>
        <v>24</v>
      </c>
      <c r="I282" s="1">
        <f t="shared" si="34"/>
        <v>24000</v>
      </c>
      <c r="J282" s="17">
        <v>12000</v>
      </c>
      <c r="K282" s="17"/>
      <c r="L282" s="30">
        <f t="shared" si="29"/>
        <v>12000</v>
      </c>
      <c r="M282" s="31">
        <v>800</v>
      </c>
      <c r="N282" s="31">
        <v>800</v>
      </c>
      <c r="O282" s="31">
        <v>800</v>
      </c>
      <c r="P282" s="31">
        <v>800</v>
      </c>
      <c r="Q282" s="31">
        <v>800</v>
      </c>
      <c r="R282" s="31">
        <v>800</v>
      </c>
      <c r="S282" s="31">
        <v>800</v>
      </c>
      <c r="T282" s="31">
        <v>800</v>
      </c>
      <c r="U282" s="31">
        <v>800</v>
      </c>
      <c r="V282" s="31">
        <v>800</v>
      </c>
      <c r="W282" s="31">
        <v>800</v>
      </c>
      <c r="X282" s="31">
        <v>800</v>
      </c>
      <c r="Y282" s="30">
        <f t="shared" si="30"/>
        <v>21600</v>
      </c>
      <c r="Z282">
        <f>VLOOKUP(A282,справочник!$E$2:$F$322,2,FALSE)</f>
        <v>0</v>
      </c>
    </row>
    <row r="283" spans="1:26" ht="25.5" hidden="1" customHeight="1">
      <c r="A283" s="41">
        <f>VLOOKUP(B283,справочник!$B$2:$E$322,4,FALSE)</f>
        <v>99</v>
      </c>
      <c r="B283" t="str">
        <f t="shared" si="31"/>
        <v>104Трыкин Евгений Викторович</v>
      </c>
      <c r="C283" s="1">
        <v>104</v>
      </c>
      <c r="D283" s="2" t="s">
        <v>268</v>
      </c>
      <c r="E283" s="1" t="s">
        <v>578</v>
      </c>
      <c r="F283" s="16">
        <v>41104</v>
      </c>
      <c r="G283" s="16">
        <v>41091</v>
      </c>
      <c r="H283" s="17">
        <f t="shared" si="32"/>
        <v>42</v>
      </c>
      <c r="I283" s="1">
        <f t="shared" si="34"/>
        <v>42000</v>
      </c>
      <c r="J283" s="17">
        <v>13000</v>
      </c>
      <c r="K283" s="17"/>
      <c r="L283" s="30">
        <f t="shared" si="29"/>
        <v>29000</v>
      </c>
      <c r="M283" s="31">
        <v>800</v>
      </c>
      <c r="N283" s="31">
        <v>800</v>
      </c>
      <c r="O283" s="31">
        <v>800</v>
      </c>
      <c r="P283" s="31">
        <v>800</v>
      </c>
      <c r="Q283" s="31">
        <v>800</v>
      </c>
      <c r="R283" s="31">
        <v>800</v>
      </c>
      <c r="S283" s="31">
        <v>800</v>
      </c>
      <c r="T283" s="31">
        <v>800</v>
      </c>
      <c r="U283" s="31">
        <v>800</v>
      </c>
      <c r="V283" s="31">
        <v>800</v>
      </c>
      <c r="W283" s="31">
        <v>800</v>
      </c>
      <c r="X283" s="31">
        <v>800</v>
      </c>
      <c r="Y283" s="30">
        <f t="shared" si="30"/>
        <v>38600</v>
      </c>
      <c r="Z283">
        <f>VLOOKUP(A283,справочник!$E$2:$F$322,2,FALSE)</f>
        <v>0</v>
      </c>
    </row>
    <row r="284" spans="1:26" hidden="1">
      <c r="A284" s="41">
        <f>VLOOKUP(B284,справочник!$B$2:$E$322,4,FALSE)</f>
        <v>146</v>
      </c>
      <c r="B284" t="str">
        <f t="shared" si="31"/>
        <v>154Тюленев Вячеслав Рудольфович</v>
      </c>
      <c r="C284" s="1">
        <v>154</v>
      </c>
      <c r="D284" s="2" t="s">
        <v>269</v>
      </c>
      <c r="E284" s="1" t="s">
        <v>579</v>
      </c>
      <c r="F284" s="16">
        <v>40757</v>
      </c>
      <c r="G284" s="16">
        <v>40756</v>
      </c>
      <c r="H284" s="17">
        <f t="shared" si="32"/>
        <v>53</v>
      </c>
      <c r="I284" s="1">
        <f t="shared" si="34"/>
        <v>53000</v>
      </c>
      <c r="J284" s="17">
        <f>31000</f>
        <v>31000</v>
      </c>
      <c r="K284" s="17"/>
      <c r="L284" s="30">
        <f t="shared" si="29"/>
        <v>22000</v>
      </c>
      <c r="M284" s="31">
        <v>800</v>
      </c>
      <c r="N284" s="31">
        <v>800</v>
      </c>
      <c r="O284" s="31">
        <v>800</v>
      </c>
      <c r="P284" s="31">
        <v>800</v>
      </c>
      <c r="Q284" s="31">
        <v>800</v>
      </c>
      <c r="R284" s="31">
        <v>800</v>
      </c>
      <c r="S284" s="31">
        <v>800</v>
      </c>
      <c r="T284" s="31">
        <v>800</v>
      </c>
      <c r="U284" s="31">
        <v>800</v>
      </c>
      <c r="V284" s="31">
        <v>800</v>
      </c>
      <c r="W284" s="31">
        <v>800</v>
      </c>
      <c r="X284" s="31">
        <v>800</v>
      </c>
      <c r="Y284" s="30">
        <f t="shared" si="30"/>
        <v>31600</v>
      </c>
      <c r="Z284">
        <f>VLOOKUP(A284,справочник!$E$2:$F$322,2,FALSE)</f>
        <v>0</v>
      </c>
    </row>
    <row r="285" spans="1:26" hidden="1">
      <c r="A285" s="41">
        <f>VLOOKUP(B285,справочник!$B$2:$E$322,4,FALSE)</f>
        <v>29</v>
      </c>
      <c r="B285" t="str">
        <f t="shared" si="31"/>
        <v>29Петрик Наталья Вячеславовна</v>
      </c>
      <c r="C285" s="1">
        <v>29</v>
      </c>
      <c r="D285" s="46" t="s">
        <v>707</v>
      </c>
      <c r="E285" s="1"/>
      <c r="F285" s="16">
        <v>41130</v>
      </c>
      <c r="G285" s="16">
        <v>41122</v>
      </c>
      <c r="H285" s="17">
        <f t="shared" si="32"/>
        <v>41</v>
      </c>
      <c r="I285" s="1">
        <f t="shared" si="34"/>
        <v>41000</v>
      </c>
      <c r="J285" s="17">
        <v>32000</v>
      </c>
      <c r="K285" s="17"/>
      <c r="L285" s="30">
        <f t="shared" si="29"/>
        <v>9000</v>
      </c>
      <c r="M285" s="31">
        <v>800</v>
      </c>
      <c r="N285" s="31">
        <v>800</v>
      </c>
      <c r="O285" s="31">
        <v>800</v>
      </c>
      <c r="P285" s="31">
        <v>800</v>
      </c>
      <c r="Q285" s="31">
        <v>800</v>
      </c>
      <c r="R285" s="31">
        <v>800</v>
      </c>
      <c r="S285" s="31">
        <v>800</v>
      </c>
      <c r="T285" s="31">
        <v>800</v>
      </c>
      <c r="U285" s="31">
        <v>800</v>
      </c>
      <c r="V285" s="31">
        <v>800</v>
      </c>
      <c r="W285" s="31">
        <v>800</v>
      </c>
      <c r="X285" s="31">
        <v>800</v>
      </c>
      <c r="Y285" s="30">
        <f t="shared" si="30"/>
        <v>18600</v>
      </c>
      <c r="Z285">
        <f>VLOOKUP(A285,справочник!$E$2:$F$322,2,FALSE)</f>
        <v>0</v>
      </c>
    </row>
    <row r="286" spans="1:26" hidden="1">
      <c r="A286" s="41">
        <f>VLOOKUP(B286,справочник!$B$2:$E$322,4,FALSE)</f>
        <v>28</v>
      </c>
      <c r="B286" t="str">
        <f t="shared" si="31"/>
        <v>28Федорова Наталья Владимировна</v>
      </c>
      <c r="C286" s="1">
        <v>28</v>
      </c>
      <c r="D286" s="2" t="s">
        <v>271</v>
      </c>
      <c r="E286" s="1" t="s">
        <v>580</v>
      </c>
      <c r="F286" s="16">
        <v>41039</v>
      </c>
      <c r="G286" s="16">
        <v>41030</v>
      </c>
      <c r="H286" s="17">
        <f t="shared" si="32"/>
        <v>44</v>
      </c>
      <c r="I286" s="1">
        <f t="shared" si="34"/>
        <v>44000</v>
      </c>
      <c r="J286" s="17">
        <f>33000+8000</f>
        <v>41000</v>
      </c>
      <c r="K286" s="17"/>
      <c r="L286" s="30">
        <f t="shared" si="29"/>
        <v>3000</v>
      </c>
      <c r="M286" s="31">
        <v>800</v>
      </c>
      <c r="N286" s="31">
        <v>800</v>
      </c>
      <c r="O286" s="31">
        <v>800</v>
      </c>
      <c r="P286" s="31">
        <v>800</v>
      </c>
      <c r="Q286" s="31">
        <v>800</v>
      </c>
      <c r="R286" s="31">
        <v>800</v>
      </c>
      <c r="S286" s="31">
        <v>800</v>
      </c>
      <c r="T286" s="31">
        <v>800</v>
      </c>
      <c r="U286" s="31">
        <v>800</v>
      </c>
      <c r="V286" s="31">
        <v>800</v>
      </c>
      <c r="W286" s="31">
        <v>800</v>
      </c>
      <c r="X286" s="31">
        <v>800</v>
      </c>
      <c r="Y286" s="30">
        <f t="shared" si="30"/>
        <v>12600</v>
      </c>
      <c r="Z286">
        <f>VLOOKUP(A286,справочник!$E$2:$F$322,2,FALSE)</f>
        <v>0</v>
      </c>
    </row>
    <row r="287" spans="1:26" hidden="1">
      <c r="A287" s="41">
        <f>VLOOKUP(B287,справочник!$B$2:$E$322,4,FALSE)</f>
        <v>27</v>
      </c>
      <c r="B287" t="str">
        <f t="shared" si="31"/>
        <v>27Федорова Юлия Владимировна</v>
      </c>
      <c r="C287" s="1">
        <v>27</v>
      </c>
      <c r="D287" s="2" t="s">
        <v>272</v>
      </c>
      <c r="E287" s="1" t="s">
        <v>581</v>
      </c>
      <c r="F287" s="16">
        <v>41260</v>
      </c>
      <c r="G287" s="16">
        <v>41275</v>
      </c>
      <c r="H287" s="17">
        <f t="shared" si="32"/>
        <v>36</v>
      </c>
      <c r="I287" s="1">
        <f t="shared" si="34"/>
        <v>36000</v>
      </c>
      <c r="J287" s="17">
        <v>24000</v>
      </c>
      <c r="K287" s="17"/>
      <c r="L287" s="30">
        <f t="shared" si="29"/>
        <v>12000</v>
      </c>
      <c r="M287" s="31">
        <v>800</v>
      </c>
      <c r="N287" s="31">
        <v>800</v>
      </c>
      <c r="O287" s="31">
        <v>800</v>
      </c>
      <c r="P287" s="31">
        <v>800</v>
      </c>
      <c r="Q287" s="31">
        <v>800</v>
      </c>
      <c r="R287" s="31">
        <v>800</v>
      </c>
      <c r="S287" s="31">
        <v>800</v>
      </c>
      <c r="T287" s="31">
        <v>800</v>
      </c>
      <c r="U287" s="31">
        <v>800</v>
      </c>
      <c r="V287" s="31">
        <v>800</v>
      </c>
      <c r="W287" s="31">
        <v>800</v>
      </c>
      <c r="X287" s="31">
        <v>800</v>
      </c>
      <c r="Y287" s="30">
        <f t="shared" si="30"/>
        <v>21600</v>
      </c>
      <c r="Z287">
        <f>VLOOKUP(A287,справочник!$E$2:$F$322,2,FALSE)</f>
        <v>0</v>
      </c>
    </row>
    <row r="288" spans="1:26" hidden="1">
      <c r="A288" s="41">
        <f>VLOOKUP(B288,справочник!$B$2:$E$322,4,FALSE)</f>
        <v>135</v>
      </c>
      <c r="B288" t="str">
        <f t="shared" si="31"/>
        <v>142-143Финогин Сергей Александрович</v>
      </c>
      <c r="C288" s="91" t="s">
        <v>274</v>
      </c>
      <c r="D288" s="2" t="s">
        <v>273</v>
      </c>
      <c r="E288" s="1" t="s">
        <v>582</v>
      </c>
      <c r="F288" s="19">
        <v>40834</v>
      </c>
      <c r="G288" s="19">
        <v>40817</v>
      </c>
      <c r="H288" s="20">
        <v>11</v>
      </c>
      <c r="I288" s="5">
        <f t="shared" si="34"/>
        <v>11000</v>
      </c>
      <c r="J288" s="20">
        <v>1000</v>
      </c>
      <c r="K288" s="20"/>
      <c r="L288" s="32">
        <f t="shared" si="29"/>
        <v>10000</v>
      </c>
      <c r="M288" s="31">
        <v>800</v>
      </c>
      <c r="N288" s="31">
        <v>800</v>
      </c>
      <c r="O288" s="31">
        <v>800</v>
      </c>
      <c r="P288" s="31">
        <v>800</v>
      </c>
      <c r="Q288" s="31">
        <v>800</v>
      </c>
      <c r="R288" s="31">
        <v>800</v>
      </c>
      <c r="S288" s="31">
        <v>800</v>
      </c>
      <c r="T288" s="31">
        <v>800</v>
      </c>
      <c r="U288" s="31">
        <v>800</v>
      </c>
      <c r="V288" s="31">
        <v>800</v>
      </c>
      <c r="W288" s="31">
        <v>800</v>
      </c>
      <c r="X288" s="31">
        <v>800</v>
      </c>
      <c r="Y288" s="30">
        <f t="shared" si="30"/>
        <v>19600</v>
      </c>
      <c r="Z288">
        <f>VLOOKUP(A288,справочник!$E$2:$F$322,2,FALSE)</f>
        <v>1</v>
      </c>
    </row>
    <row r="289" spans="1:26" hidden="1">
      <c r="A289" s="41">
        <f>VLOOKUP(B289,справочник!$B$2:$E$322,4,FALSE)</f>
        <v>135</v>
      </c>
      <c r="B289" t="str">
        <f t="shared" si="31"/>
        <v>142-143Финогин Сергей Александрович</v>
      </c>
      <c r="C289" s="91" t="s">
        <v>274</v>
      </c>
      <c r="D289" s="2" t="s">
        <v>273</v>
      </c>
      <c r="E289" s="1"/>
      <c r="F289" s="19">
        <v>40834</v>
      </c>
      <c r="G289" s="19">
        <v>40817</v>
      </c>
      <c r="H289" s="20">
        <v>11</v>
      </c>
      <c r="I289" s="5">
        <f t="shared" si="34"/>
        <v>11000</v>
      </c>
      <c r="J289" s="20">
        <v>1000</v>
      </c>
      <c r="K289" s="20"/>
      <c r="L289" s="32">
        <f t="shared" si="29"/>
        <v>10000</v>
      </c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0">
        <f t="shared" si="30"/>
        <v>10000</v>
      </c>
      <c r="Z289">
        <f>VLOOKUP(A289,справочник!$E$2:$F$322,2,FALSE)</f>
        <v>1</v>
      </c>
    </row>
    <row r="290" spans="1:26" hidden="1">
      <c r="A290" s="41">
        <f>VLOOKUP(B290,справочник!$B$2:$E$322,4,FALSE)</f>
        <v>135</v>
      </c>
      <c r="B290" t="str">
        <f t="shared" si="31"/>
        <v>142-143Финогин Сергей Александрович</v>
      </c>
      <c r="C290" s="1" t="s">
        <v>274</v>
      </c>
      <c r="D290" s="2" t="s">
        <v>273</v>
      </c>
      <c r="E290" s="1"/>
      <c r="F290" s="19">
        <v>41183</v>
      </c>
      <c r="G290" s="19">
        <v>41183</v>
      </c>
      <c r="H290" s="20">
        <f t="shared" ref="H290:H321" si="35">INT(($H$327-G290)/30)</f>
        <v>39</v>
      </c>
      <c r="I290" s="5">
        <f t="shared" si="34"/>
        <v>39000</v>
      </c>
      <c r="J290" s="20"/>
      <c r="K290" s="20"/>
      <c r="L290" s="32">
        <f t="shared" si="29"/>
        <v>39000</v>
      </c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0">
        <f t="shared" si="30"/>
        <v>39000</v>
      </c>
      <c r="Z290">
        <f>VLOOKUP(A290,справочник!$E$2:$F$322,2,FALSE)</f>
        <v>1</v>
      </c>
    </row>
    <row r="291" spans="1:26" hidden="1">
      <c r="A291" s="41">
        <f>VLOOKUP(B291,справочник!$B$2:$E$322,4,FALSE)</f>
        <v>59</v>
      </c>
      <c r="B291" t="str">
        <f t="shared" si="31"/>
        <v>61Фисенко Вадим Петрович</v>
      </c>
      <c r="C291" s="1">
        <v>61</v>
      </c>
      <c r="D291" s="2" t="s">
        <v>275</v>
      </c>
      <c r="E291" s="1" t="s">
        <v>583</v>
      </c>
      <c r="F291" s="16">
        <v>40868</v>
      </c>
      <c r="G291" s="16">
        <v>40848</v>
      </c>
      <c r="H291" s="17">
        <f t="shared" si="35"/>
        <v>50</v>
      </c>
      <c r="I291" s="1">
        <f t="shared" si="34"/>
        <v>50000</v>
      </c>
      <c r="J291" s="17">
        <f>1000+49000</f>
        <v>50000</v>
      </c>
      <c r="K291" s="17"/>
      <c r="L291" s="30">
        <f t="shared" si="29"/>
        <v>0</v>
      </c>
      <c r="M291" s="31">
        <v>800</v>
      </c>
      <c r="N291" s="31">
        <v>800</v>
      </c>
      <c r="O291" s="31">
        <v>800</v>
      </c>
      <c r="P291" s="31">
        <v>800</v>
      </c>
      <c r="Q291" s="31">
        <v>800</v>
      </c>
      <c r="R291" s="31">
        <v>800</v>
      </c>
      <c r="S291" s="31">
        <v>800</v>
      </c>
      <c r="T291" s="31">
        <v>800</v>
      </c>
      <c r="U291" s="31">
        <v>800</v>
      </c>
      <c r="V291" s="31">
        <v>800</v>
      </c>
      <c r="W291" s="31">
        <v>800</v>
      </c>
      <c r="X291" s="31">
        <v>800</v>
      </c>
      <c r="Y291" s="30">
        <f t="shared" si="30"/>
        <v>9600</v>
      </c>
      <c r="Z291">
        <f>VLOOKUP(A291,справочник!$E$2:$F$322,2,FALSE)</f>
        <v>0</v>
      </c>
    </row>
    <row r="292" spans="1:26" hidden="1">
      <c r="A292" s="41">
        <f>VLOOKUP(B292,справочник!$B$2:$E$322,4,FALSE)</f>
        <v>60</v>
      </c>
      <c r="B292" t="str">
        <f t="shared" si="31"/>
        <v>62Фисенко Дмитрий Петрович</v>
      </c>
      <c r="C292" s="1">
        <v>62</v>
      </c>
      <c r="D292" s="2" t="s">
        <v>276</v>
      </c>
      <c r="E292" s="1" t="s">
        <v>584</v>
      </c>
      <c r="F292" s="16">
        <v>40885</v>
      </c>
      <c r="G292" s="16">
        <v>40878</v>
      </c>
      <c r="H292" s="17">
        <f t="shared" si="35"/>
        <v>49</v>
      </c>
      <c r="I292" s="1">
        <f t="shared" si="34"/>
        <v>49000</v>
      </c>
      <c r="J292" s="17">
        <f>8000+54000</f>
        <v>62000</v>
      </c>
      <c r="K292" s="17"/>
      <c r="L292" s="30">
        <f t="shared" si="29"/>
        <v>-13000</v>
      </c>
      <c r="M292" s="31">
        <v>800</v>
      </c>
      <c r="N292" s="31">
        <v>800</v>
      </c>
      <c r="O292" s="31">
        <v>800</v>
      </c>
      <c r="P292" s="31">
        <v>800</v>
      </c>
      <c r="Q292" s="31">
        <v>800</v>
      </c>
      <c r="R292" s="31">
        <v>800</v>
      </c>
      <c r="S292" s="31">
        <v>800</v>
      </c>
      <c r="T292" s="31">
        <v>800</v>
      </c>
      <c r="U292" s="31">
        <v>800</v>
      </c>
      <c r="V292" s="31">
        <v>800</v>
      </c>
      <c r="W292" s="31">
        <v>800</v>
      </c>
      <c r="X292" s="31">
        <v>800</v>
      </c>
      <c r="Y292" s="30">
        <f t="shared" si="30"/>
        <v>-3400</v>
      </c>
      <c r="Z292">
        <f>VLOOKUP(A292,справочник!$E$2:$F$322,2,FALSE)</f>
        <v>0</v>
      </c>
    </row>
    <row r="293" spans="1:26" hidden="1">
      <c r="A293" s="41">
        <f>VLOOKUP(B293,справочник!$B$2:$E$322,4,FALSE)</f>
        <v>248</v>
      </c>
      <c r="B293" t="str">
        <f t="shared" si="31"/>
        <v>259Фомин Андрей Анатольевич</v>
      </c>
      <c r="C293" s="1">
        <v>259</v>
      </c>
      <c r="D293" s="2" t="s">
        <v>277</v>
      </c>
      <c r="E293" s="1" t="s">
        <v>585</v>
      </c>
      <c r="F293" s="16">
        <v>41628</v>
      </c>
      <c r="G293" s="16">
        <v>41640</v>
      </c>
      <c r="H293" s="17">
        <f t="shared" si="35"/>
        <v>24</v>
      </c>
      <c r="I293" s="1">
        <f t="shared" si="34"/>
        <v>24000</v>
      </c>
      <c r="J293" s="17">
        <v>21300</v>
      </c>
      <c r="K293" s="17"/>
      <c r="L293" s="30">
        <f t="shared" si="29"/>
        <v>2700</v>
      </c>
      <c r="M293" s="31">
        <v>800</v>
      </c>
      <c r="N293" s="31">
        <v>800</v>
      </c>
      <c r="O293" s="31">
        <v>800</v>
      </c>
      <c r="P293" s="31">
        <v>800</v>
      </c>
      <c r="Q293" s="31">
        <v>800</v>
      </c>
      <c r="R293" s="31">
        <v>800</v>
      </c>
      <c r="S293" s="31">
        <v>800</v>
      </c>
      <c r="T293" s="31">
        <v>800</v>
      </c>
      <c r="U293" s="31">
        <v>800</v>
      </c>
      <c r="V293" s="31">
        <v>800</v>
      </c>
      <c r="W293" s="31">
        <v>800</v>
      </c>
      <c r="X293" s="31">
        <v>800</v>
      </c>
      <c r="Y293" s="30">
        <f t="shared" si="30"/>
        <v>12300</v>
      </c>
      <c r="Z293">
        <f>VLOOKUP(A293,справочник!$E$2:$F$322,2,FALSE)</f>
        <v>0</v>
      </c>
    </row>
    <row r="294" spans="1:26" hidden="1">
      <c r="A294" s="41">
        <f>VLOOKUP(B294,справочник!$B$2:$E$322,4,FALSE)</f>
        <v>247</v>
      </c>
      <c r="B294" t="str">
        <f t="shared" si="31"/>
        <v>258Фомин Игорь Анатольевич</v>
      </c>
      <c r="C294" s="1">
        <v>258</v>
      </c>
      <c r="D294" s="2" t="s">
        <v>278</v>
      </c>
      <c r="E294" s="1" t="s">
        <v>586</v>
      </c>
      <c r="F294" s="16">
        <v>41628</v>
      </c>
      <c r="G294" s="16">
        <v>41640</v>
      </c>
      <c r="H294" s="17">
        <f t="shared" si="35"/>
        <v>24</v>
      </c>
      <c r="I294" s="1">
        <f t="shared" si="34"/>
        <v>24000</v>
      </c>
      <c r="J294" s="17">
        <v>13000</v>
      </c>
      <c r="K294" s="17"/>
      <c r="L294" s="30">
        <f t="shared" si="29"/>
        <v>11000</v>
      </c>
      <c r="M294" s="31">
        <v>800</v>
      </c>
      <c r="N294" s="31">
        <v>800</v>
      </c>
      <c r="O294" s="31">
        <v>800</v>
      </c>
      <c r="P294" s="31">
        <v>800</v>
      </c>
      <c r="Q294" s="31">
        <v>800</v>
      </c>
      <c r="R294" s="31">
        <v>800</v>
      </c>
      <c r="S294" s="31">
        <v>800</v>
      </c>
      <c r="T294" s="31">
        <v>800</v>
      </c>
      <c r="U294" s="31">
        <v>800</v>
      </c>
      <c r="V294" s="31">
        <v>800</v>
      </c>
      <c r="W294" s="31">
        <v>800</v>
      </c>
      <c r="X294" s="31">
        <v>800</v>
      </c>
      <c r="Y294" s="30">
        <f t="shared" si="30"/>
        <v>20600</v>
      </c>
      <c r="Z294">
        <f>VLOOKUP(A294,справочник!$E$2:$F$322,2,FALSE)</f>
        <v>0</v>
      </c>
    </row>
    <row r="295" spans="1:26" hidden="1">
      <c r="A295" s="41">
        <f>VLOOKUP(B295,справочник!$B$2:$E$322,4,FALSE)</f>
        <v>103</v>
      </c>
      <c r="B295" t="str">
        <f t="shared" si="31"/>
        <v>108Фомичев Александр Петрович</v>
      </c>
      <c r="C295" s="1">
        <v>108</v>
      </c>
      <c r="D295" s="2" t="s">
        <v>279</v>
      </c>
      <c r="E295" s="1" t="s">
        <v>587</v>
      </c>
      <c r="F295" s="16">
        <v>40715</v>
      </c>
      <c r="G295" s="16">
        <v>40725</v>
      </c>
      <c r="H295" s="17">
        <f t="shared" si="35"/>
        <v>54</v>
      </c>
      <c r="I295" s="1">
        <f t="shared" si="34"/>
        <v>54000</v>
      </c>
      <c r="J295" s="17">
        <f>2000+45000</f>
        <v>47000</v>
      </c>
      <c r="K295" s="17"/>
      <c r="L295" s="30">
        <f t="shared" si="29"/>
        <v>7000</v>
      </c>
      <c r="M295" s="31">
        <v>800</v>
      </c>
      <c r="N295" s="31">
        <v>800</v>
      </c>
      <c r="O295" s="31">
        <v>800</v>
      </c>
      <c r="P295" s="31">
        <v>800</v>
      </c>
      <c r="Q295" s="31">
        <v>800</v>
      </c>
      <c r="R295" s="31">
        <v>800</v>
      </c>
      <c r="S295" s="31">
        <v>800</v>
      </c>
      <c r="T295" s="31">
        <v>800</v>
      </c>
      <c r="U295" s="31">
        <v>800</v>
      </c>
      <c r="V295" s="31">
        <v>800</v>
      </c>
      <c r="W295" s="31">
        <v>800</v>
      </c>
      <c r="X295" s="31">
        <v>800</v>
      </c>
      <c r="Y295" s="30">
        <f t="shared" si="30"/>
        <v>16600</v>
      </c>
      <c r="Z295">
        <f>VLOOKUP(A295,справочник!$E$2:$F$322,2,FALSE)</f>
        <v>0</v>
      </c>
    </row>
    <row r="296" spans="1:26" ht="25.5" hidden="1" customHeight="1">
      <c r="A296" s="41">
        <f>VLOOKUP(B296,справочник!$B$2:$E$322,4,FALSE)</f>
        <v>275</v>
      </c>
      <c r="B296" t="str">
        <f t="shared" si="31"/>
        <v>288Хайлов Алексей Анатольевич</v>
      </c>
      <c r="C296" s="1">
        <v>288</v>
      </c>
      <c r="D296" s="2" t="s">
        <v>280</v>
      </c>
      <c r="E296" s="1" t="s">
        <v>588</v>
      </c>
      <c r="F296" s="16">
        <v>41999</v>
      </c>
      <c r="G296" s="16">
        <v>42005</v>
      </c>
      <c r="H296" s="17">
        <f t="shared" si="35"/>
        <v>12</v>
      </c>
      <c r="I296" s="1">
        <f t="shared" si="34"/>
        <v>12000</v>
      </c>
      <c r="J296" s="17"/>
      <c r="K296" s="17"/>
      <c r="L296" s="30">
        <f t="shared" si="29"/>
        <v>12000</v>
      </c>
      <c r="M296" s="31">
        <v>800</v>
      </c>
      <c r="N296" s="31">
        <v>800</v>
      </c>
      <c r="O296" s="31">
        <v>800</v>
      </c>
      <c r="P296" s="31">
        <v>800</v>
      </c>
      <c r="Q296" s="31">
        <v>800</v>
      </c>
      <c r="R296" s="31">
        <v>800</v>
      </c>
      <c r="S296" s="31">
        <v>800</v>
      </c>
      <c r="T296" s="31">
        <v>800</v>
      </c>
      <c r="U296" s="31">
        <v>800</v>
      </c>
      <c r="V296" s="31">
        <v>800</v>
      </c>
      <c r="W296" s="31">
        <v>800</v>
      </c>
      <c r="X296" s="31">
        <v>800</v>
      </c>
      <c r="Y296" s="30">
        <f t="shared" si="30"/>
        <v>21600</v>
      </c>
      <c r="Z296">
        <f>VLOOKUP(A296,справочник!$E$2:$F$322,2,FALSE)</f>
        <v>0</v>
      </c>
    </row>
    <row r="297" spans="1:26" hidden="1">
      <c r="A297" s="41">
        <f>VLOOKUP(B297,справочник!$B$2:$E$322,4,FALSE)</f>
        <v>22</v>
      </c>
      <c r="B297" t="str">
        <f t="shared" si="31"/>
        <v>22Хан Виталий Борисович</v>
      </c>
      <c r="C297" s="1">
        <v>22</v>
      </c>
      <c r="D297" s="2" t="s">
        <v>281</v>
      </c>
      <c r="E297" s="1" t="s">
        <v>589</v>
      </c>
      <c r="F297" s="16">
        <v>41107</v>
      </c>
      <c r="G297" s="16">
        <v>41091</v>
      </c>
      <c r="H297" s="17">
        <f t="shared" si="35"/>
        <v>42</v>
      </c>
      <c r="I297" s="1">
        <f t="shared" si="34"/>
        <v>42000</v>
      </c>
      <c r="J297" s="17">
        <f>34000+6000</f>
        <v>40000</v>
      </c>
      <c r="K297" s="17"/>
      <c r="L297" s="30">
        <f t="shared" si="29"/>
        <v>2000</v>
      </c>
      <c r="M297" s="31">
        <v>800</v>
      </c>
      <c r="N297" s="31">
        <v>800</v>
      </c>
      <c r="O297" s="31">
        <v>800</v>
      </c>
      <c r="P297" s="31">
        <v>800</v>
      </c>
      <c r="Q297" s="31">
        <v>800</v>
      </c>
      <c r="R297" s="31">
        <v>800</v>
      </c>
      <c r="S297" s="31">
        <v>800</v>
      </c>
      <c r="T297" s="31">
        <v>800</v>
      </c>
      <c r="U297" s="31">
        <v>800</v>
      </c>
      <c r="V297" s="31">
        <v>800</v>
      </c>
      <c r="W297" s="31">
        <v>800</v>
      </c>
      <c r="X297" s="31">
        <v>800</v>
      </c>
      <c r="Y297" s="30">
        <f t="shared" si="30"/>
        <v>11600</v>
      </c>
      <c r="Z297">
        <f>VLOOKUP(A297,справочник!$E$2:$F$322,2,FALSE)</f>
        <v>0</v>
      </c>
    </row>
    <row r="298" spans="1:26" hidden="1">
      <c r="A298" s="41">
        <f>VLOOKUP(B298,справочник!$B$2:$E$322,4,FALSE)</f>
        <v>20</v>
      </c>
      <c r="B298" t="str">
        <f t="shared" si="31"/>
        <v>20Харинкина Танзиля Гарафутдиновна</v>
      </c>
      <c r="C298" s="1">
        <v>20</v>
      </c>
      <c r="D298" s="2" t="s">
        <v>282</v>
      </c>
      <c r="E298" s="1" t="s">
        <v>590</v>
      </c>
      <c r="F298" s="16">
        <v>41443</v>
      </c>
      <c r="G298" s="16">
        <v>41487</v>
      </c>
      <c r="H298" s="17">
        <f t="shared" si="35"/>
        <v>29</v>
      </c>
      <c r="I298" s="1">
        <f t="shared" si="34"/>
        <v>29000</v>
      </c>
      <c r="J298" s="17">
        <v>12000</v>
      </c>
      <c r="K298" s="17"/>
      <c r="L298" s="30">
        <f t="shared" si="29"/>
        <v>17000</v>
      </c>
      <c r="M298" s="31">
        <v>800</v>
      </c>
      <c r="N298" s="31">
        <v>800</v>
      </c>
      <c r="O298" s="31">
        <v>800</v>
      </c>
      <c r="P298" s="31">
        <v>800</v>
      </c>
      <c r="Q298" s="31">
        <v>800</v>
      </c>
      <c r="R298" s="31">
        <v>800</v>
      </c>
      <c r="S298" s="31">
        <v>800</v>
      </c>
      <c r="T298" s="31">
        <v>800</v>
      </c>
      <c r="U298" s="31">
        <v>800</v>
      </c>
      <c r="V298" s="31">
        <v>800</v>
      </c>
      <c r="W298" s="31">
        <v>800</v>
      </c>
      <c r="X298" s="31">
        <v>800</v>
      </c>
      <c r="Y298" s="30">
        <f t="shared" si="30"/>
        <v>26600</v>
      </c>
      <c r="Z298">
        <f>VLOOKUP(A298,справочник!$E$2:$F$322,2,FALSE)</f>
        <v>0</v>
      </c>
    </row>
    <row r="299" spans="1:26" hidden="1">
      <c r="A299" s="41">
        <f>VLOOKUP(B299,справочник!$B$2:$E$322,4,FALSE)</f>
        <v>233</v>
      </c>
      <c r="B299" t="str">
        <f t="shared" si="31"/>
        <v>242Хаустова Люция Егоровна</v>
      </c>
      <c r="C299" s="1">
        <v>242</v>
      </c>
      <c r="D299" s="2" t="s">
        <v>283</v>
      </c>
      <c r="E299" s="1" t="s">
        <v>591</v>
      </c>
      <c r="F299" s="16">
        <v>41382</v>
      </c>
      <c r="G299" s="16">
        <v>41395</v>
      </c>
      <c r="H299" s="17">
        <f t="shared" si="35"/>
        <v>32</v>
      </c>
      <c r="I299" s="1">
        <f t="shared" si="34"/>
        <v>32000</v>
      </c>
      <c r="J299" s="17">
        <v>29000</v>
      </c>
      <c r="K299" s="17"/>
      <c r="L299" s="30">
        <f t="shared" si="29"/>
        <v>3000</v>
      </c>
      <c r="M299" s="31">
        <v>800</v>
      </c>
      <c r="N299" s="31">
        <v>800</v>
      </c>
      <c r="O299" s="31">
        <v>800</v>
      </c>
      <c r="P299" s="31">
        <v>800</v>
      </c>
      <c r="Q299" s="31">
        <v>800</v>
      </c>
      <c r="R299" s="31">
        <v>800</v>
      </c>
      <c r="S299" s="31">
        <v>800</v>
      </c>
      <c r="T299" s="31">
        <v>800</v>
      </c>
      <c r="U299" s="31">
        <v>800</v>
      </c>
      <c r="V299" s="31">
        <v>800</v>
      </c>
      <c r="W299" s="31">
        <v>800</v>
      </c>
      <c r="X299" s="31">
        <v>800</v>
      </c>
      <c r="Y299" s="30">
        <f t="shared" si="30"/>
        <v>12600</v>
      </c>
      <c r="Z299">
        <f>VLOOKUP(A299,справочник!$E$2:$F$322,2,FALSE)</f>
        <v>0</v>
      </c>
    </row>
    <row r="300" spans="1:26" hidden="1">
      <c r="A300" s="41">
        <f>VLOOKUP(B300,справочник!$B$2:$E$322,4,FALSE)</f>
        <v>256</v>
      </c>
      <c r="B300" t="str">
        <f t="shared" si="31"/>
        <v>269Хачатрян Алла Самвеловна</v>
      </c>
      <c r="C300" s="1">
        <v>269</v>
      </c>
      <c r="D300" s="2" t="s">
        <v>284</v>
      </c>
      <c r="E300" s="1" t="s">
        <v>592</v>
      </c>
      <c r="F300" s="16">
        <v>41012</v>
      </c>
      <c r="G300" s="16">
        <v>41000</v>
      </c>
      <c r="H300" s="17">
        <f t="shared" si="35"/>
        <v>45</v>
      </c>
      <c r="I300" s="1">
        <f t="shared" si="34"/>
        <v>45000</v>
      </c>
      <c r="J300" s="17">
        <f>32000+7000</f>
        <v>39000</v>
      </c>
      <c r="K300" s="17">
        <v>8000</v>
      </c>
      <c r="L300" s="30">
        <f t="shared" si="29"/>
        <v>-2000</v>
      </c>
      <c r="M300" s="31">
        <v>800</v>
      </c>
      <c r="N300" s="31">
        <v>800</v>
      </c>
      <c r="O300" s="31">
        <v>800</v>
      </c>
      <c r="P300" s="31">
        <v>800</v>
      </c>
      <c r="Q300" s="31">
        <v>800</v>
      </c>
      <c r="R300" s="31">
        <v>800</v>
      </c>
      <c r="S300" s="31">
        <v>800</v>
      </c>
      <c r="T300" s="31">
        <v>800</v>
      </c>
      <c r="U300" s="31">
        <v>800</v>
      </c>
      <c r="V300" s="31">
        <v>800</v>
      </c>
      <c r="W300" s="31">
        <v>800</v>
      </c>
      <c r="X300" s="31">
        <v>800</v>
      </c>
      <c r="Y300" s="30">
        <f t="shared" si="30"/>
        <v>7600</v>
      </c>
      <c r="Z300">
        <f>VLOOKUP(A300,справочник!$E$2:$F$322,2,FALSE)</f>
        <v>0</v>
      </c>
    </row>
    <row r="301" spans="1:26" ht="25.5" hidden="1" customHeight="1">
      <c r="A301" s="41">
        <f>VLOOKUP(B301,справочник!$B$2:$E$322,4,FALSE)</f>
        <v>113</v>
      </c>
      <c r="B301" t="str">
        <f t="shared" si="31"/>
        <v>116+118+120Хрупало Николай Алексеевич</v>
      </c>
      <c r="C301" s="1" t="s">
        <v>705</v>
      </c>
      <c r="D301" s="2" t="s">
        <v>285</v>
      </c>
      <c r="E301" s="1" t="s">
        <v>593</v>
      </c>
      <c r="F301" s="16">
        <v>41107</v>
      </c>
      <c r="G301" s="16">
        <v>41122</v>
      </c>
      <c r="H301" s="17">
        <f t="shared" si="35"/>
        <v>41</v>
      </c>
      <c r="I301" s="1">
        <f t="shared" si="34"/>
        <v>41000</v>
      </c>
      <c r="J301" s="17">
        <v>41000</v>
      </c>
      <c r="K301" s="17"/>
      <c r="L301" s="30">
        <f t="shared" si="29"/>
        <v>0</v>
      </c>
      <c r="M301" s="31">
        <v>800</v>
      </c>
      <c r="N301" s="31">
        <v>800</v>
      </c>
      <c r="O301" s="31">
        <v>800</v>
      </c>
      <c r="P301" s="31">
        <v>800</v>
      </c>
      <c r="Q301" s="31">
        <v>800</v>
      </c>
      <c r="R301" s="31">
        <v>800</v>
      </c>
      <c r="S301" s="31">
        <v>800</v>
      </c>
      <c r="T301" s="31">
        <v>800</v>
      </c>
      <c r="U301" s="31">
        <v>800</v>
      </c>
      <c r="V301" s="31">
        <v>800</v>
      </c>
      <c r="W301" s="31">
        <v>800</v>
      </c>
      <c r="X301" s="31">
        <v>800</v>
      </c>
      <c r="Y301" s="30">
        <f t="shared" si="30"/>
        <v>9600</v>
      </c>
      <c r="Z301">
        <f>VLOOKUP(A301,справочник!$E$2:$F$322,2,FALSE)</f>
        <v>1</v>
      </c>
    </row>
    <row r="302" spans="1:26" hidden="1">
      <c r="A302" s="41">
        <f>VLOOKUP(B302,справочник!$B$2:$E$322,4,FALSE)</f>
        <v>113</v>
      </c>
      <c r="B302" t="str">
        <f t="shared" si="31"/>
        <v>116+118+120Хрупало Николай Алексеевич</v>
      </c>
      <c r="C302" s="91" t="s">
        <v>705</v>
      </c>
      <c r="D302" s="2" t="s">
        <v>285</v>
      </c>
      <c r="E302" s="1" t="s">
        <v>593</v>
      </c>
      <c r="F302" s="19">
        <v>41107</v>
      </c>
      <c r="G302" s="19">
        <v>41122</v>
      </c>
      <c r="H302" s="20">
        <f t="shared" si="35"/>
        <v>41</v>
      </c>
      <c r="I302" s="5">
        <f t="shared" si="34"/>
        <v>41000</v>
      </c>
      <c r="J302" s="20">
        <v>20000</v>
      </c>
      <c r="K302" s="20"/>
      <c r="L302" s="32">
        <f t="shared" si="29"/>
        <v>21000</v>
      </c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0">
        <f t="shared" si="30"/>
        <v>21000</v>
      </c>
      <c r="Z302">
        <f>VLOOKUP(A302,справочник!$E$2:$F$322,2,FALSE)</f>
        <v>1</v>
      </c>
    </row>
    <row r="303" spans="1:26" hidden="1">
      <c r="A303" s="41">
        <f>VLOOKUP(B303,справочник!$B$2:$E$322,4,FALSE)</f>
        <v>113</v>
      </c>
      <c r="B303" t="str">
        <f t="shared" si="31"/>
        <v>116+118+120Хрупало Николай Алексеевич</v>
      </c>
      <c r="C303" s="91" t="s">
        <v>705</v>
      </c>
      <c r="D303" s="2" t="s">
        <v>285</v>
      </c>
      <c r="E303" s="1" t="s">
        <v>593</v>
      </c>
      <c r="F303" s="19">
        <v>41107</v>
      </c>
      <c r="G303" s="19">
        <v>41122</v>
      </c>
      <c r="H303" s="20">
        <f t="shared" si="35"/>
        <v>41</v>
      </c>
      <c r="I303" s="5">
        <f t="shared" si="34"/>
        <v>41000</v>
      </c>
      <c r="J303" s="20"/>
      <c r="K303" s="20"/>
      <c r="L303" s="32">
        <f t="shared" si="29"/>
        <v>41000</v>
      </c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0">
        <f t="shared" si="30"/>
        <v>41000</v>
      </c>
      <c r="Z303">
        <f>VLOOKUP(A303,справочник!$E$2:$F$322,2,FALSE)</f>
        <v>1</v>
      </c>
    </row>
    <row r="304" spans="1:26" ht="25.5" hidden="1" customHeight="1">
      <c r="A304" s="41">
        <f>VLOOKUP(B304,справочник!$B$2:$E$322,4,FALSE)</f>
        <v>180</v>
      </c>
      <c r="B304" t="str">
        <f t="shared" si="31"/>
        <v>188Черешнева Виктория Викторовна</v>
      </c>
      <c r="C304" s="1">
        <v>188</v>
      </c>
      <c r="D304" s="2" t="s">
        <v>287</v>
      </c>
      <c r="E304" s="1" t="s">
        <v>594</v>
      </c>
      <c r="F304" s="16">
        <v>41786</v>
      </c>
      <c r="G304" s="16">
        <v>41791</v>
      </c>
      <c r="H304" s="17">
        <f t="shared" si="35"/>
        <v>19</v>
      </c>
      <c r="I304" s="1">
        <f t="shared" si="34"/>
        <v>19000</v>
      </c>
      <c r="J304" s="17">
        <v>19000</v>
      </c>
      <c r="K304" s="17"/>
      <c r="L304" s="30">
        <f t="shared" si="29"/>
        <v>0</v>
      </c>
      <c r="M304" s="31">
        <v>800</v>
      </c>
      <c r="N304" s="31">
        <v>800</v>
      </c>
      <c r="O304" s="31">
        <v>800</v>
      </c>
      <c r="P304" s="31">
        <v>800</v>
      </c>
      <c r="Q304" s="31">
        <v>800</v>
      </c>
      <c r="R304" s="31">
        <v>800</v>
      </c>
      <c r="S304" s="31">
        <v>800</v>
      </c>
      <c r="T304" s="31">
        <v>800</v>
      </c>
      <c r="U304" s="31">
        <v>800</v>
      </c>
      <c r="V304" s="31">
        <v>800</v>
      </c>
      <c r="W304" s="31">
        <v>800</v>
      </c>
      <c r="X304" s="31">
        <v>800</v>
      </c>
      <c r="Y304" s="30">
        <f t="shared" si="30"/>
        <v>9600</v>
      </c>
      <c r="Z304">
        <f>VLOOKUP(A304,справочник!$E$2:$F$322,2,FALSE)</f>
        <v>0</v>
      </c>
    </row>
    <row r="305" spans="1:26" hidden="1">
      <c r="A305" s="41">
        <f>VLOOKUP(B305,справочник!$B$2:$E$322,4,FALSE)</f>
        <v>2</v>
      </c>
      <c r="B305" t="str">
        <f t="shared" si="31"/>
        <v xml:space="preserve">2Чернявская Оксана Юрьевна        </v>
      </c>
      <c r="C305" s="1">
        <v>2</v>
      </c>
      <c r="D305" s="2" t="s">
        <v>288</v>
      </c>
      <c r="E305" s="1" t="s">
        <v>595</v>
      </c>
      <c r="F305" s="16">
        <v>41737</v>
      </c>
      <c r="G305" s="16">
        <v>41760</v>
      </c>
      <c r="H305" s="17">
        <f t="shared" si="35"/>
        <v>20</v>
      </c>
      <c r="I305" s="1">
        <f t="shared" si="34"/>
        <v>20000</v>
      </c>
      <c r="J305" s="17">
        <v>11000</v>
      </c>
      <c r="K305" s="17"/>
      <c r="L305" s="30">
        <f t="shared" si="29"/>
        <v>9000</v>
      </c>
      <c r="M305" s="31">
        <v>800</v>
      </c>
      <c r="N305" s="31">
        <v>800</v>
      </c>
      <c r="O305" s="31">
        <v>800</v>
      </c>
      <c r="P305" s="31">
        <v>800</v>
      </c>
      <c r="Q305" s="31">
        <v>800</v>
      </c>
      <c r="R305" s="31">
        <v>800</v>
      </c>
      <c r="S305" s="31">
        <v>800</v>
      </c>
      <c r="T305" s="31">
        <v>800</v>
      </c>
      <c r="U305" s="31">
        <v>800</v>
      </c>
      <c r="V305" s="31">
        <v>800</v>
      </c>
      <c r="W305" s="31">
        <v>800</v>
      </c>
      <c r="X305" s="31">
        <v>800</v>
      </c>
      <c r="Y305" s="30">
        <f t="shared" si="30"/>
        <v>18600</v>
      </c>
      <c r="Z305">
        <f>VLOOKUP(A305,справочник!$E$2:$F$322,2,FALSE)</f>
        <v>0</v>
      </c>
    </row>
    <row r="306" spans="1:26" hidden="1">
      <c r="A306" s="41">
        <f>VLOOKUP(B306,справочник!$B$2:$E$322,4,FALSE)</f>
        <v>23</v>
      </c>
      <c r="B306" t="str">
        <f t="shared" si="31"/>
        <v>23Чигрины Анна Анатольевна и Геннадий Иванович</v>
      </c>
      <c r="C306" s="1">
        <v>23</v>
      </c>
      <c r="D306" s="2" t="s">
        <v>289</v>
      </c>
      <c r="E306" s="1" t="s">
        <v>596</v>
      </c>
      <c r="F306" s="16">
        <v>41422</v>
      </c>
      <c r="G306" s="16">
        <v>41456</v>
      </c>
      <c r="H306" s="17">
        <f t="shared" si="35"/>
        <v>30</v>
      </c>
      <c r="I306" s="1">
        <f t="shared" si="34"/>
        <v>30000</v>
      </c>
      <c r="J306" s="17">
        <v>30000</v>
      </c>
      <c r="K306" s="17"/>
      <c r="L306" s="30">
        <f t="shared" si="29"/>
        <v>0</v>
      </c>
      <c r="M306" s="31">
        <v>800</v>
      </c>
      <c r="N306" s="31">
        <v>800</v>
      </c>
      <c r="O306" s="31">
        <v>800</v>
      </c>
      <c r="P306" s="31">
        <v>800</v>
      </c>
      <c r="Q306" s="31">
        <v>800</v>
      </c>
      <c r="R306" s="31">
        <v>800</v>
      </c>
      <c r="S306" s="31">
        <v>800</v>
      </c>
      <c r="T306" s="31">
        <v>800</v>
      </c>
      <c r="U306" s="31">
        <v>800</v>
      </c>
      <c r="V306" s="31">
        <v>800</v>
      </c>
      <c r="W306" s="31">
        <v>800</v>
      </c>
      <c r="X306" s="31">
        <v>800</v>
      </c>
      <c r="Y306" s="30">
        <f t="shared" si="30"/>
        <v>9600</v>
      </c>
      <c r="Z306">
        <f>VLOOKUP(A306,справочник!$E$2:$F$322,2,FALSE)</f>
        <v>0</v>
      </c>
    </row>
    <row r="307" spans="1:26" hidden="1">
      <c r="A307" s="41">
        <f>VLOOKUP(B307,справочник!$B$2:$E$322,4,FALSE)</f>
        <v>168</v>
      </c>
      <c r="B307" t="str">
        <f t="shared" si="31"/>
        <v>176Чикачёв Сергей Иванович</v>
      </c>
      <c r="C307" s="1">
        <v>176</v>
      </c>
      <c r="D307" s="2" t="s">
        <v>290</v>
      </c>
      <c r="E307" s="1" t="s">
        <v>597</v>
      </c>
      <c r="F307" s="16">
        <v>41939</v>
      </c>
      <c r="G307" s="16">
        <v>41974</v>
      </c>
      <c r="H307" s="17">
        <f t="shared" si="35"/>
        <v>13</v>
      </c>
      <c r="I307" s="1">
        <f t="shared" si="34"/>
        <v>13000</v>
      </c>
      <c r="J307" s="17">
        <v>11000</v>
      </c>
      <c r="K307" s="17">
        <v>2000</v>
      </c>
      <c r="L307" s="30">
        <f t="shared" si="29"/>
        <v>0</v>
      </c>
      <c r="M307" s="31">
        <v>800</v>
      </c>
      <c r="N307" s="31">
        <v>800</v>
      </c>
      <c r="O307" s="31">
        <v>800</v>
      </c>
      <c r="P307" s="31">
        <v>800</v>
      </c>
      <c r="Q307" s="31">
        <v>800</v>
      </c>
      <c r="R307" s="31">
        <v>800</v>
      </c>
      <c r="S307" s="31">
        <v>800</v>
      </c>
      <c r="T307" s="31">
        <v>800</v>
      </c>
      <c r="U307" s="31">
        <v>800</v>
      </c>
      <c r="V307" s="31">
        <v>800</v>
      </c>
      <c r="W307" s="31">
        <v>800</v>
      </c>
      <c r="X307" s="31">
        <v>800</v>
      </c>
      <c r="Y307" s="30">
        <f t="shared" si="30"/>
        <v>9600</v>
      </c>
      <c r="Z307">
        <f>VLOOKUP(A307,справочник!$E$2:$F$322,2,FALSE)</f>
        <v>0</v>
      </c>
    </row>
    <row r="308" spans="1:26" ht="25.5" hidden="1" customHeight="1">
      <c r="A308" s="41">
        <f>VLOOKUP(B308,справочник!$B$2:$E$322,4,FALSE)</f>
        <v>84</v>
      </c>
      <c r="B308" t="str">
        <f t="shared" si="31"/>
        <v>89Шабунина Светлана Николаевна</v>
      </c>
      <c r="C308" s="1">
        <v>89</v>
      </c>
      <c r="D308" s="2" t="s">
        <v>291</v>
      </c>
      <c r="E308" s="1" t="s">
        <v>598</v>
      </c>
      <c r="F308" s="16">
        <v>40785</v>
      </c>
      <c r="G308" s="16">
        <v>40787</v>
      </c>
      <c r="H308" s="17">
        <f t="shared" si="35"/>
        <v>52</v>
      </c>
      <c r="I308" s="1">
        <f t="shared" si="34"/>
        <v>52000</v>
      </c>
      <c r="J308" s="17">
        <f>1000+51000</f>
        <v>52000</v>
      </c>
      <c r="K308" s="17"/>
      <c r="L308" s="30">
        <f t="shared" si="29"/>
        <v>0</v>
      </c>
      <c r="M308" s="31">
        <v>800</v>
      </c>
      <c r="N308" s="31">
        <v>800</v>
      </c>
      <c r="O308" s="31">
        <v>800</v>
      </c>
      <c r="P308" s="31">
        <v>800</v>
      </c>
      <c r="Q308" s="31">
        <v>800</v>
      </c>
      <c r="R308" s="31">
        <v>800</v>
      </c>
      <c r="S308" s="31">
        <v>800</v>
      </c>
      <c r="T308" s="31">
        <v>800</v>
      </c>
      <c r="U308" s="31">
        <v>800</v>
      </c>
      <c r="V308" s="31">
        <v>800</v>
      </c>
      <c r="W308" s="31">
        <v>800</v>
      </c>
      <c r="X308" s="31">
        <v>800</v>
      </c>
      <c r="Y308" s="30">
        <f t="shared" si="30"/>
        <v>9600</v>
      </c>
      <c r="Z308">
        <f>VLOOKUP(A308,справочник!$E$2:$F$322,2,FALSE)</f>
        <v>0</v>
      </c>
    </row>
    <row r="309" spans="1:26" hidden="1">
      <c r="A309" s="41">
        <f>VLOOKUP(B309,справочник!$B$2:$E$322,4,FALSE)</f>
        <v>88</v>
      </c>
      <c r="B309" t="str">
        <f t="shared" si="31"/>
        <v>97+93Шалинов Андрей Вадимович</v>
      </c>
      <c r="C309" s="1" t="s">
        <v>706</v>
      </c>
      <c r="D309" s="2" t="s">
        <v>292</v>
      </c>
      <c r="E309" s="1" t="s">
        <v>599</v>
      </c>
      <c r="F309" s="16">
        <v>40925</v>
      </c>
      <c r="G309" s="16">
        <v>40909</v>
      </c>
      <c r="H309" s="17">
        <f t="shared" si="35"/>
        <v>48</v>
      </c>
      <c r="I309" s="1">
        <f t="shared" si="34"/>
        <v>48000</v>
      </c>
      <c r="J309" s="17">
        <v>44000</v>
      </c>
      <c r="K309" s="17"/>
      <c r="L309" s="30">
        <f t="shared" si="29"/>
        <v>4000</v>
      </c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0">
        <f t="shared" si="30"/>
        <v>4000</v>
      </c>
      <c r="Z309">
        <f>VLOOKUP(A309,справочник!$E$2:$F$322,2,FALSE)</f>
        <v>1</v>
      </c>
    </row>
    <row r="310" spans="1:26" hidden="1">
      <c r="A310" s="41">
        <f>VLOOKUP(B310,справочник!$B$2:$E$322,4,FALSE)</f>
        <v>88</v>
      </c>
      <c r="B310" t="str">
        <f t="shared" si="31"/>
        <v>97+93Шалинов Андрей Вадимович</v>
      </c>
      <c r="C310" s="91" t="s">
        <v>706</v>
      </c>
      <c r="D310" s="2" t="s">
        <v>292</v>
      </c>
      <c r="E310" s="1" t="s">
        <v>600</v>
      </c>
      <c r="F310" s="16">
        <v>40925</v>
      </c>
      <c r="G310" s="16">
        <v>40909</v>
      </c>
      <c r="H310" s="17">
        <f t="shared" si="35"/>
        <v>48</v>
      </c>
      <c r="I310" s="1">
        <f t="shared" si="34"/>
        <v>48000</v>
      </c>
      <c r="J310" s="17">
        <v>44000</v>
      </c>
      <c r="K310" s="17"/>
      <c r="L310" s="30">
        <f t="shared" si="29"/>
        <v>4000</v>
      </c>
      <c r="M310" s="31">
        <v>800</v>
      </c>
      <c r="N310" s="31">
        <v>800</v>
      </c>
      <c r="O310" s="31">
        <v>800</v>
      </c>
      <c r="P310" s="31">
        <v>800</v>
      </c>
      <c r="Q310" s="31">
        <v>800</v>
      </c>
      <c r="R310" s="31">
        <v>800</v>
      </c>
      <c r="S310" s="31">
        <v>800</v>
      </c>
      <c r="T310" s="31">
        <v>800</v>
      </c>
      <c r="U310" s="31">
        <v>800</v>
      </c>
      <c r="V310" s="31">
        <v>800</v>
      </c>
      <c r="W310" s="31">
        <v>800</v>
      </c>
      <c r="X310" s="31">
        <v>800</v>
      </c>
      <c r="Y310" s="30">
        <f t="shared" si="30"/>
        <v>13600</v>
      </c>
      <c r="Z310">
        <f>VLOOKUP(A310,справочник!$E$2:$F$322,2,FALSE)</f>
        <v>1</v>
      </c>
    </row>
    <row r="311" spans="1:26" hidden="1">
      <c r="A311" s="41">
        <f>VLOOKUP(B311,справочник!$B$2:$E$322,4,FALSE)</f>
        <v>78</v>
      </c>
      <c r="B311" t="str">
        <f t="shared" si="31"/>
        <v>83Шелухина Мария Сергеевна</v>
      </c>
      <c r="C311" s="1">
        <v>83</v>
      </c>
      <c r="D311" s="2" t="s">
        <v>294</v>
      </c>
      <c r="E311" s="1"/>
      <c r="F311" s="16">
        <v>41456</v>
      </c>
      <c r="G311" s="16">
        <v>41457</v>
      </c>
      <c r="H311" s="17">
        <f t="shared" si="35"/>
        <v>30</v>
      </c>
      <c r="I311" s="1">
        <v>30000</v>
      </c>
      <c r="J311" s="17">
        <v>0</v>
      </c>
      <c r="K311" s="17"/>
      <c r="L311" s="30">
        <v>30000</v>
      </c>
      <c r="M311" s="31">
        <v>800</v>
      </c>
      <c r="N311" s="31">
        <v>800</v>
      </c>
      <c r="O311" s="31">
        <v>800</v>
      </c>
      <c r="P311" s="31">
        <v>800</v>
      </c>
      <c r="Q311" s="31">
        <v>800</v>
      </c>
      <c r="R311" s="31">
        <v>800</v>
      </c>
      <c r="S311" s="31">
        <v>800</v>
      </c>
      <c r="T311" s="31">
        <v>800</v>
      </c>
      <c r="U311" s="31">
        <v>800</v>
      </c>
      <c r="V311" s="31">
        <v>800</v>
      </c>
      <c r="W311" s="31">
        <v>800</v>
      </c>
      <c r="X311" s="31">
        <v>800</v>
      </c>
      <c r="Y311" s="30">
        <f t="shared" si="30"/>
        <v>39600</v>
      </c>
      <c r="Z311">
        <f>VLOOKUP(A311,справочник!$E$2:$F$322,2,FALSE)</f>
        <v>0</v>
      </c>
    </row>
    <row r="312" spans="1:26" hidden="1">
      <c r="A312" s="41">
        <f>VLOOKUP(B312,справочник!$B$2:$E$322,4,FALSE)</f>
        <v>77</v>
      </c>
      <c r="B312" t="str">
        <f t="shared" si="31"/>
        <v>83Самородов</v>
      </c>
      <c r="C312" s="1">
        <v>83</v>
      </c>
      <c r="D312" s="2" t="s">
        <v>295</v>
      </c>
      <c r="E312" s="1" t="s">
        <v>601</v>
      </c>
      <c r="F312" s="16">
        <v>40932</v>
      </c>
      <c r="G312" s="16">
        <v>40909</v>
      </c>
      <c r="H312" s="17">
        <f t="shared" si="35"/>
        <v>48</v>
      </c>
      <c r="I312" s="1">
        <f t="shared" ref="I312:I326" si="36">H312*1000</f>
        <v>48000</v>
      </c>
      <c r="J312" s="17">
        <v>15000</v>
      </c>
      <c r="K312" s="17"/>
      <c r="L312" s="30">
        <f t="shared" ref="L312:L326" si="37">I312-J312-K312</f>
        <v>33000</v>
      </c>
      <c r="M312" s="31">
        <v>800</v>
      </c>
      <c r="N312" s="31">
        <v>800</v>
      </c>
      <c r="O312" s="31">
        <v>800</v>
      </c>
      <c r="P312" s="31">
        <v>800</v>
      </c>
      <c r="Q312" s="31">
        <v>800</v>
      </c>
      <c r="R312" s="31">
        <v>800</v>
      </c>
      <c r="S312" s="31">
        <v>800</v>
      </c>
      <c r="T312" s="31">
        <v>800</v>
      </c>
      <c r="U312" s="31">
        <v>800</v>
      </c>
      <c r="V312" s="31">
        <v>800</v>
      </c>
      <c r="W312" s="31">
        <v>800</v>
      </c>
      <c r="X312" s="31">
        <v>800</v>
      </c>
      <c r="Y312" s="30">
        <f t="shared" si="30"/>
        <v>42600</v>
      </c>
      <c r="Z312">
        <f>VLOOKUP(A312,справочник!$E$2:$F$322,2,FALSE)</f>
        <v>0</v>
      </c>
    </row>
    <row r="313" spans="1:26" ht="25.5" hidden="1" customHeight="1">
      <c r="A313" s="41">
        <f>VLOOKUP(B313,справочник!$B$2:$E$322,4,FALSE)</f>
        <v>306</v>
      </c>
      <c r="B313" t="str">
        <f t="shared" si="31"/>
        <v>321Шептухина Александра Борисовна</v>
      </c>
      <c r="C313" s="1">
        <v>321</v>
      </c>
      <c r="D313" s="2" t="s">
        <v>296</v>
      </c>
      <c r="E313" s="1" t="s">
        <v>602</v>
      </c>
      <c r="F313" s="16">
        <v>41093</v>
      </c>
      <c r="G313" s="16">
        <v>41091</v>
      </c>
      <c r="H313" s="17">
        <f t="shared" si="35"/>
        <v>42</v>
      </c>
      <c r="I313" s="1">
        <f t="shared" si="36"/>
        <v>42000</v>
      </c>
      <c r="J313" s="17">
        <v>11000</v>
      </c>
      <c r="K313" s="17"/>
      <c r="L313" s="30">
        <f t="shared" si="37"/>
        <v>31000</v>
      </c>
      <c r="M313" s="31">
        <v>800</v>
      </c>
      <c r="N313" s="31">
        <v>800</v>
      </c>
      <c r="O313" s="31">
        <v>800</v>
      </c>
      <c r="P313" s="31">
        <v>800</v>
      </c>
      <c r="Q313" s="31">
        <v>800</v>
      </c>
      <c r="R313" s="31">
        <v>800</v>
      </c>
      <c r="S313" s="31">
        <v>800</v>
      </c>
      <c r="T313" s="31">
        <v>800</v>
      </c>
      <c r="U313" s="31">
        <v>800</v>
      </c>
      <c r="V313" s="31">
        <v>800</v>
      </c>
      <c r="W313" s="31">
        <v>800</v>
      </c>
      <c r="X313" s="31">
        <v>800</v>
      </c>
      <c r="Y313" s="30">
        <f t="shared" si="30"/>
        <v>40600</v>
      </c>
      <c r="Z313">
        <f>VLOOKUP(A313,справочник!$E$2:$F$322,2,FALSE)</f>
        <v>0</v>
      </c>
    </row>
    <row r="314" spans="1:26" ht="25.5" hidden="1" customHeight="1">
      <c r="A314" s="41">
        <f>VLOOKUP(B314,справочник!$B$2:$E$322,4,FALSE)</f>
        <v>182</v>
      </c>
      <c r="B314" t="str">
        <f t="shared" si="31"/>
        <v>190Широков Евгений Александрович</v>
      </c>
      <c r="C314" s="1">
        <v>190</v>
      </c>
      <c r="D314" s="2" t="s">
        <v>297</v>
      </c>
      <c r="E314" s="1" t="s">
        <v>603</v>
      </c>
      <c r="F314" s="16">
        <v>41734</v>
      </c>
      <c r="G314" s="16">
        <v>41760</v>
      </c>
      <c r="H314" s="17">
        <f t="shared" si="35"/>
        <v>20</v>
      </c>
      <c r="I314" s="1">
        <f t="shared" si="36"/>
        <v>20000</v>
      </c>
      <c r="J314" s="17">
        <v>14000</v>
      </c>
      <c r="K314" s="17"/>
      <c r="L314" s="30">
        <f t="shared" si="37"/>
        <v>6000</v>
      </c>
      <c r="M314" s="31">
        <v>800</v>
      </c>
      <c r="N314" s="31">
        <v>800</v>
      </c>
      <c r="O314" s="31">
        <v>800</v>
      </c>
      <c r="P314" s="31">
        <v>800</v>
      </c>
      <c r="Q314" s="31">
        <v>800</v>
      </c>
      <c r="R314" s="31">
        <v>800</v>
      </c>
      <c r="S314" s="31">
        <v>800</v>
      </c>
      <c r="T314" s="31">
        <v>800</v>
      </c>
      <c r="U314" s="31">
        <v>800</v>
      </c>
      <c r="V314" s="31">
        <v>800</v>
      </c>
      <c r="W314" s="31">
        <v>800</v>
      </c>
      <c r="X314" s="31">
        <v>800</v>
      </c>
      <c r="Y314" s="30">
        <f t="shared" si="30"/>
        <v>15600</v>
      </c>
      <c r="Z314">
        <f>VLOOKUP(A314,справочник!$E$2:$F$322,2,FALSE)</f>
        <v>0</v>
      </c>
    </row>
    <row r="315" spans="1:26" hidden="1">
      <c r="A315" s="41">
        <f>VLOOKUP(B315,справочник!$B$2:$E$322,4,FALSE)</f>
        <v>95</v>
      </c>
      <c r="B315" t="str">
        <f t="shared" si="31"/>
        <v>100Шорахматов Мухаммадхуджа Замшоевич</v>
      </c>
      <c r="C315" s="1">
        <v>100</v>
      </c>
      <c r="D315" s="2" t="s">
        <v>298</v>
      </c>
      <c r="E315" s="1" t="s">
        <v>604</v>
      </c>
      <c r="F315" s="16">
        <v>41401</v>
      </c>
      <c r="G315" s="16">
        <v>41609</v>
      </c>
      <c r="H315" s="17">
        <f t="shared" si="35"/>
        <v>25</v>
      </c>
      <c r="I315" s="1">
        <f t="shared" si="36"/>
        <v>25000</v>
      </c>
      <c r="J315" s="17">
        <v>20000</v>
      </c>
      <c r="K315" s="17"/>
      <c r="L315" s="30">
        <f t="shared" si="37"/>
        <v>5000</v>
      </c>
      <c r="M315" s="31">
        <v>800</v>
      </c>
      <c r="N315" s="31">
        <v>800</v>
      </c>
      <c r="O315" s="31">
        <v>800</v>
      </c>
      <c r="P315" s="31">
        <v>800</v>
      </c>
      <c r="Q315" s="31">
        <v>800</v>
      </c>
      <c r="R315" s="31">
        <v>800</v>
      </c>
      <c r="S315" s="31">
        <v>800</v>
      </c>
      <c r="T315" s="31">
        <v>800</v>
      </c>
      <c r="U315" s="31">
        <v>800</v>
      </c>
      <c r="V315" s="31">
        <v>800</v>
      </c>
      <c r="W315" s="31">
        <v>800</v>
      </c>
      <c r="X315" s="31">
        <v>800</v>
      </c>
      <c r="Y315" s="30">
        <f t="shared" si="30"/>
        <v>14600</v>
      </c>
      <c r="Z315">
        <f>VLOOKUP(A315,справочник!$E$2:$F$322,2,FALSE)</f>
        <v>0</v>
      </c>
    </row>
    <row r="316" spans="1:26" hidden="1">
      <c r="A316" s="41">
        <f>VLOOKUP(B316,справочник!$B$2:$E$322,4,FALSE)</f>
        <v>108</v>
      </c>
      <c r="B316" t="str">
        <f t="shared" si="31"/>
        <v>113Шурдук Лариса Анатольевна (Игорь)</v>
      </c>
      <c r="C316" s="1">
        <v>113</v>
      </c>
      <c r="D316" s="2" t="s">
        <v>299</v>
      </c>
      <c r="E316" s="1" t="s">
        <v>605</v>
      </c>
      <c r="F316" s="16">
        <v>40938</v>
      </c>
      <c r="G316" s="16">
        <v>40940</v>
      </c>
      <c r="H316" s="17">
        <f t="shared" si="35"/>
        <v>47</v>
      </c>
      <c r="I316" s="1">
        <f t="shared" si="36"/>
        <v>47000</v>
      </c>
      <c r="J316" s="17">
        <f>24000+11000</f>
        <v>35000</v>
      </c>
      <c r="K316" s="17">
        <v>8000</v>
      </c>
      <c r="L316" s="30">
        <f t="shared" si="37"/>
        <v>4000</v>
      </c>
      <c r="M316" s="31">
        <v>800</v>
      </c>
      <c r="N316" s="31">
        <v>800</v>
      </c>
      <c r="O316" s="31">
        <v>800</v>
      </c>
      <c r="P316" s="31">
        <v>800</v>
      </c>
      <c r="Q316" s="31">
        <v>800</v>
      </c>
      <c r="R316" s="31">
        <v>800</v>
      </c>
      <c r="S316" s="31">
        <v>800</v>
      </c>
      <c r="T316" s="31">
        <v>800</v>
      </c>
      <c r="U316" s="31">
        <v>800</v>
      </c>
      <c r="V316" s="31">
        <v>800</v>
      </c>
      <c r="W316" s="31">
        <v>800</v>
      </c>
      <c r="X316" s="31">
        <v>800</v>
      </c>
      <c r="Y316" s="30">
        <f>SUM(L316:X316)</f>
        <v>13600</v>
      </c>
      <c r="Z316">
        <f>VLOOKUP(A316,справочник!$E$2:$F$322,2,FALSE)</f>
        <v>0</v>
      </c>
    </row>
    <row r="317" spans="1:26" hidden="1">
      <c r="A317" s="41">
        <f>VLOOKUP(B317,справочник!$B$2:$E$322,4,FALSE)</f>
        <v>41</v>
      </c>
      <c r="B317" t="str">
        <f t="shared" si="31"/>
        <v>41Шустов Василий Александрович</v>
      </c>
      <c r="C317" s="1">
        <v>41</v>
      </c>
      <c r="D317" s="2" t="s">
        <v>300</v>
      </c>
      <c r="E317" s="1" t="s">
        <v>606</v>
      </c>
      <c r="F317" s="16">
        <v>40772</v>
      </c>
      <c r="G317" s="16">
        <v>40756</v>
      </c>
      <c r="H317" s="17">
        <f t="shared" si="35"/>
        <v>53</v>
      </c>
      <c r="I317" s="1">
        <f t="shared" si="36"/>
        <v>53000</v>
      </c>
      <c r="J317" s="17">
        <f>1000+37000</f>
        <v>38000</v>
      </c>
      <c r="K317" s="17"/>
      <c r="L317" s="30">
        <f t="shared" si="37"/>
        <v>15000</v>
      </c>
      <c r="M317" s="31">
        <v>800</v>
      </c>
      <c r="N317" s="31">
        <v>800</v>
      </c>
      <c r="O317" s="31">
        <v>800</v>
      </c>
      <c r="P317" s="31">
        <v>800</v>
      </c>
      <c r="Q317" s="31">
        <v>800</v>
      </c>
      <c r="R317" s="31">
        <v>800</v>
      </c>
      <c r="S317" s="31">
        <v>800</v>
      </c>
      <c r="T317" s="31">
        <v>800</v>
      </c>
      <c r="U317" s="31">
        <v>800</v>
      </c>
      <c r="V317" s="31">
        <v>800</v>
      </c>
      <c r="W317" s="31">
        <v>800</v>
      </c>
      <c r="X317" s="31">
        <v>800</v>
      </c>
      <c r="Y317" s="30">
        <f>SUM(L317:X317)</f>
        <v>24600</v>
      </c>
      <c r="Z317">
        <f>VLOOKUP(A317,справочник!$E$2:$F$322,2,FALSE)</f>
        <v>0</v>
      </c>
    </row>
    <row r="318" spans="1:26" ht="25.5" hidden="1" customHeight="1">
      <c r="A318" s="41">
        <f>VLOOKUP(B318,справочник!$B$2:$E$322,4,FALSE)</f>
        <v>152</v>
      </c>
      <c r="B318" t="str">
        <f t="shared" si="31"/>
        <v>160Щербаков Павел Евгеньевич</v>
      </c>
      <c r="C318" s="1">
        <v>160</v>
      </c>
      <c r="D318" s="2" t="s">
        <v>301</v>
      </c>
      <c r="E318" s="1" t="s">
        <v>607</v>
      </c>
      <c r="F318" s="16">
        <v>40850</v>
      </c>
      <c r="G318" s="16">
        <v>40848</v>
      </c>
      <c r="H318" s="17">
        <f t="shared" si="35"/>
        <v>50</v>
      </c>
      <c r="I318" s="1">
        <f t="shared" si="36"/>
        <v>50000</v>
      </c>
      <c r="J318" s="17">
        <f>46000+1000</f>
        <v>47000</v>
      </c>
      <c r="K318" s="17"/>
      <c r="L318" s="30">
        <f t="shared" si="37"/>
        <v>3000</v>
      </c>
      <c r="M318" s="31">
        <v>800</v>
      </c>
      <c r="N318" s="31">
        <v>800</v>
      </c>
      <c r="O318" s="31">
        <v>800</v>
      </c>
      <c r="P318" s="31">
        <v>800</v>
      </c>
      <c r="Q318" s="31">
        <v>800</v>
      </c>
      <c r="R318" s="31">
        <v>800</v>
      </c>
      <c r="S318" s="31">
        <v>800</v>
      </c>
      <c r="T318" s="31">
        <v>800</v>
      </c>
      <c r="U318" s="31">
        <v>800</v>
      </c>
      <c r="V318" s="31">
        <v>800</v>
      </c>
      <c r="W318" s="31">
        <v>800</v>
      </c>
      <c r="X318" s="31">
        <v>800</v>
      </c>
      <c r="Y318" s="30">
        <f t="shared" ref="Y318:Y326" si="38">SUM(L318:X318)</f>
        <v>12600</v>
      </c>
      <c r="Z318">
        <f>VLOOKUP(A318,справочник!$E$2:$F$322,2,FALSE)</f>
        <v>0</v>
      </c>
    </row>
    <row r="319" spans="1:26" hidden="1">
      <c r="A319" s="41">
        <f>VLOOKUP(B319,справочник!$B$2:$E$322,4,FALSE)</f>
        <v>227</v>
      </c>
      <c r="B319" t="str">
        <f t="shared" si="31"/>
        <v xml:space="preserve">236Щербакова Татьяна Дмитриевна      </v>
      </c>
      <c r="C319" s="1">
        <v>236</v>
      </c>
      <c r="D319" s="2" t="s">
        <v>302</v>
      </c>
      <c r="E319" s="1" t="s">
        <v>608</v>
      </c>
      <c r="F319" s="16">
        <v>41738</v>
      </c>
      <c r="G319" s="16">
        <v>41760</v>
      </c>
      <c r="H319" s="17">
        <f t="shared" si="35"/>
        <v>20</v>
      </c>
      <c r="I319" s="1">
        <f t="shared" si="36"/>
        <v>20000</v>
      </c>
      <c r="J319" s="17">
        <v>9000</v>
      </c>
      <c r="K319" s="17"/>
      <c r="L319" s="30">
        <f t="shared" si="37"/>
        <v>11000</v>
      </c>
      <c r="M319" s="31">
        <v>800</v>
      </c>
      <c r="N319" s="31">
        <v>800</v>
      </c>
      <c r="O319" s="31">
        <v>800</v>
      </c>
      <c r="P319" s="31">
        <v>800</v>
      </c>
      <c r="Q319" s="31">
        <v>800</v>
      </c>
      <c r="R319" s="31">
        <v>800</v>
      </c>
      <c r="S319" s="31">
        <v>800</v>
      </c>
      <c r="T319" s="31">
        <v>800</v>
      </c>
      <c r="U319" s="31">
        <v>800</v>
      </c>
      <c r="V319" s="31">
        <v>800</v>
      </c>
      <c r="W319" s="31">
        <v>800</v>
      </c>
      <c r="X319" s="31">
        <v>800</v>
      </c>
      <c r="Y319" s="30">
        <f t="shared" si="38"/>
        <v>20600</v>
      </c>
      <c r="Z319">
        <f>VLOOKUP(A319,справочник!$E$2:$F$322,2,FALSE)</f>
        <v>0</v>
      </c>
    </row>
    <row r="320" spans="1:26" hidden="1">
      <c r="A320" s="41">
        <f>VLOOKUP(B320,справочник!$B$2:$E$322,4,FALSE)</f>
        <v>15</v>
      </c>
      <c r="B320" t="str">
        <f t="shared" si="31"/>
        <v>15Элефтерова Евгения Викторовна (Михаил)</v>
      </c>
      <c r="C320" s="1">
        <v>15</v>
      </c>
      <c r="D320" s="2" t="s">
        <v>303</v>
      </c>
      <c r="E320" s="1" t="s">
        <v>609</v>
      </c>
      <c r="F320" s="16">
        <v>41261</v>
      </c>
      <c r="G320" s="16">
        <v>41275</v>
      </c>
      <c r="H320" s="17">
        <f t="shared" si="35"/>
        <v>36</v>
      </c>
      <c r="I320" s="1">
        <f t="shared" si="36"/>
        <v>36000</v>
      </c>
      <c r="J320" s="17">
        <v>32000</v>
      </c>
      <c r="K320" s="17"/>
      <c r="L320" s="30">
        <f t="shared" si="37"/>
        <v>4000</v>
      </c>
      <c r="M320" s="31">
        <v>800</v>
      </c>
      <c r="N320" s="31">
        <v>800</v>
      </c>
      <c r="O320" s="31">
        <v>800</v>
      </c>
      <c r="P320" s="31">
        <v>800</v>
      </c>
      <c r="Q320" s="31">
        <v>800</v>
      </c>
      <c r="R320" s="31">
        <v>800</v>
      </c>
      <c r="S320" s="31">
        <v>800</v>
      </c>
      <c r="T320" s="31">
        <v>800</v>
      </c>
      <c r="U320" s="31">
        <v>800</v>
      </c>
      <c r="V320" s="31">
        <v>800</v>
      </c>
      <c r="W320" s="31">
        <v>800</v>
      </c>
      <c r="X320" s="31">
        <v>800</v>
      </c>
      <c r="Y320" s="30">
        <f t="shared" si="38"/>
        <v>13600</v>
      </c>
      <c r="Z320">
        <f>VLOOKUP(A320,справочник!$E$2:$F$322,2,FALSE)</f>
        <v>0</v>
      </c>
    </row>
    <row r="321" spans="1:26" hidden="1">
      <c r="A321" s="41">
        <f>VLOOKUP(B321,справочник!$B$2:$E$322,4,FALSE)</f>
        <v>240</v>
      </c>
      <c r="B321" t="str">
        <f t="shared" si="31"/>
        <v>251Якиманский Александр Александрович</v>
      </c>
      <c r="C321" s="1">
        <v>251</v>
      </c>
      <c r="D321" s="11" t="s">
        <v>304</v>
      </c>
      <c r="E321" s="1" t="s">
        <v>610</v>
      </c>
      <c r="F321" s="16">
        <v>40799</v>
      </c>
      <c r="G321" s="16">
        <v>40787</v>
      </c>
      <c r="H321" s="17">
        <f t="shared" si="35"/>
        <v>52</v>
      </c>
      <c r="I321" s="1">
        <f t="shared" si="36"/>
        <v>52000</v>
      </c>
      <c r="J321" s="17">
        <f>1000+49000</f>
        <v>50000</v>
      </c>
      <c r="K321" s="17">
        <v>3000</v>
      </c>
      <c r="L321" s="30">
        <f t="shared" si="37"/>
        <v>-1000</v>
      </c>
      <c r="M321" s="31">
        <v>800</v>
      </c>
      <c r="N321" s="31">
        <v>800</v>
      </c>
      <c r="O321" s="31">
        <v>800</v>
      </c>
      <c r="P321" s="31">
        <v>800</v>
      </c>
      <c r="Q321" s="31">
        <v>800</v>
      </c>
      <c r="R321" s="31">
        <v>800</v>
      </c>
      <c r="S321" s="31">
        <v>800</v>
      </c>
      <c r="T321" s="31">
        <v>800</v>
      </c>
      <c r="U321" s="31">
        <v>800</v>
      </c>
      <c r="V321" s="31">
        <v>800</v>
      </c>
      <c r="W321" s="31">
        <v>800</v>
      </c>
      <c r="X321" s="31">
        <v>800</v>
      </c>
      <c r="Y321" s="30">
        <f t="shared" si="38"/>
        <v>8600</v>
      </c>
      <c r="Z321">
        <f>VLOOKUP(A321,справочник!$E$2:$F$322,2,FALSE)</f>
        <v>0</v>
      </c>
    </row>
    <row r="322" spans="1:26" hidden="1">
      <c r="A322" s="41">
        <f>VLOOKUP(B322,справочник!$B$2:$E$322,4,FALSE)</f>
        <v>10</v>
      </c>
      <c r="B322" t="str">
        <f t="shared" si="31"/>
        <v>10Якушина Любовь Викторовна</v>
      </c>
      <c r="C322" s="1">
        <v>10</v>
      </c>
      <c r="D322" s="2" t="s">
        <v>305</v>
      </c>
      <c r="E322" s="1" t="s">
        <v>611</v>
      </c>
      <c r="F322" s="16">
        <v>42023</v>
      </c>
      <c r="G322" s="1"/>
      <c r="H322" s="17">
        <v>0</v>
      </c>
      <c r="I322" s="1">
        <f t="shared" si="36"/>
        <v>0</v>
      </c>
      <c r="J322" s="17"/>
      <c r="K322" s="17"/>
      <c r="L322" s="30">
        <f t="shared" si="37"/>
        <v>0</v>
      </c>
      <c r="M322" s="31">
        <v>800</v>
      </c>
      <c r="N322" s="31">
        <v>800</v>
      </c>
      <c r="O322" s="31">
        <v>800</v>
      </c>
      <c r="P322" s="31">
        <v>800</v>
      </c>
      <c r="Q322" s="31">
        <v>800</v>
      </c>
      <c r="R322" s="31">
        <v>800</v>
      </c>
      <c r="S322" s="31">
        <v>800</v>
      </c>
      <c r="T322" s="31">
        <v>800</v>
      </c>
      <c r="U322" s="31">
        <v>800</v>
      </c>
      <c r="V322" s="31">
        <v>800</v>
      </c>
      <c r="W322" s="31">
        <v>800</v>
      </c>
      <c r="X322" s="31">
        <v>800</v>
      </c>
      <c r="Y322" s="30">
        <f t="shared" si="38"/>
        <v>9600</v>
      </c>
      <c r="Z322">
        <f>VLOOKUP(A322,справочник!$E$2:$F$322,2,FALSE)</f>
        <v>0</v>
      </c>
    </row>
    <row r="323" spans="1:26" hidden="1">
      <c r="A323" s="41">
        <f>VLOOKUP(B323,справочник!$B$2:$E$322,4,FALSE)</f>
        <v>55</v>
      </c>
      <c r="B323" t="str">
        <f t="shared" si="31"/>
        <v>57Янковская Елена Александровна</v>
      </c>
      <c r="C323" s="1">
        <v>57</v>
      </c>
      <c r="D323" s="2" t="s">
        <v>306</v>
      </c>
      <c r="E323" s="1" t="s">
        <v>612</v>
      </c>
      <c r="F323" s="16">
        <v>40772</v>
      </c>
      <c r="G323" s="16">
        <v>40756</v>
      </c>
      <c r="H323" s="17">
        <f>INT(($H$327-G323)/30)</f>
        <v>53</v>
      </c>
      <c r="I323" s="1">
        <f t="shared" si="36"/>
        <v>53000</v>
      </c>
      <c r="J323" s="17">
        <f>1000+53000</f>
        <v>54000</v>
      </c>
      <c r="K323" s="17">
        <v>3000</v>
      </c>
      <c r="L323" s="30">
        <f t="shared" si="37"/>
        <v>-4000</v>
      </c>
      <c r="M323" s="31">
        <v>800</v>
      </c>
      <c r="N323" s="31">
        <v>800</v>
      </c>
      <c r="O323" s="31">
        <v>800</v>
      </c>
      <c r="P323" s="31">
        <v>800</v>
      </c>
      <c r="Q323" s="31">
        <v>800</v>
      </c>
      <c r="R323" s="31">
        <v>800</v>
      </c>
      <c r="S323" s="31">
        <v>800</v>
      </c>
      <c r="T323" s="31">
        <v>800</v>
      </c>
      <c r="U323" s="31">
        <v>800</v>
      </c>
      <c r="V323" s="31">
        <v>800</v>
      </c>
      <c r="W323" s="31">
        <v>800</v>
      </c>
      <c r="X323" s="31">
        <v>800</v>
      </c>
      <c r="Y323" s="30">
        <f t="shared" si="38"/>
        <v>5600</v>
      </c>
      <c r="Z323">
        <f>VLOOKUP(A323,справочник!$E$2:$F$322,2,FALSE)</f>
        <v>0</v>
      </c>
    </row>
    <row r="324" spans="1:26" hidden="1">
      <c r="A324" s="41">
        <f>VLOOKUP(B324,справочник!$B$2:$E$322,4,FALSE)</f>
        <v>309</v>
      </c>
      <c r="B324" t="str">
        <f t="shared" si="31"/>
        <v>324Янковская Яна Валерьевна</v>
      </c>
      <c r="C324" s="1">
        <v>324</v>
      </c>
      <c r="D324" s="2" t="s">
        <v>307</v>
      </c>
      <c r="E324" s="1" t="s">
        <v>613</v>
      </c>
      <c r="F324" s="16">
        <v>41002</v>
      </c>
      <c r="G324" s="16">
        <v>41000</v>
      </c>
      <c r="H324" s="17">
        <f>INT(($H$327-G324)/30)</f>
        <v>45</v>
      </c>
      <c r="I324" s="1">
        <f t="shared" si="36"/>
        <v>45000</v>
      </c>
      <c r="J324" s="17">
        <f>17000+1000</f>
        <v>18000</v>
      </c>
      <c r="K324" s="17">
        <v>5000</v>
      </c>
      <c r="L324" s="30">
        <f t="shared" si="37"/>
        <v>22000</v>
      </c>
      <c r="M324" s="31">
        <v>800</v>
      </c>
      <c r="N324" s="31">
        <v>800</v>
      </c>
      <c r="O324" s="31">
        <v>800</v>
      </c>
      <c r="P324" s="31">
        <v>800</v>
      </c>
      <c r="Q324" s="31">
        <v>800</v>
      </c>
      <c r="R324" s="31">
        <v>800</v>
      </c>
      <c r="S324" s="31">
        <v>800</v>
      </c>
      <c r="T324" s="31">
        <v>800</v>
      </c>
      <c r="U324" s="31">
        <v>800</v>
      </c>
      <c r="V324" s="31">
        <v>800</v>
      </c>
      <c r="W324" s="31">
        <v>800</v>
      </c>
      <c r="X324" s="31">
        <v>800</v>
      </c>
      <c r="Y324" s="30">
        <f t="shared" si="38"/>
        <v>31600</v>
      </c>
      <c r="Z324">
        <f>VLOOKUP(A324,справочник!$E$2:$F$322,2,FALSE)</f>
        <v>0</v>
      </c>
    </row>
    <row r="325" spans="1:26" hidden="1">
      <c r="A325" s="41">
        <f>VLOOKUP(B325,справочник!$B$2:$E$322,4,FALSE)</f>
        <v>17</v>
      </c>
      <c r="B325" t="str">
        <f t="shared" si="31"/>
        <v>17Яструб Валерий Викторович</v>
      </c>
      <c r="C325" s="1">
        <v>17</v>
      </c>
      <c r="D325" s="2" t="s">
        <v>308</v>
      </c>
      <c r="E325" s="1" t="s">
        <v>614</v>
      </c>
      <c r="F325" s="16">
        <v>41254</v>
      </c>
      <c r="G325" s="16">
        <v>41275</v>
      </c>
      <c r="H325" s="17">
        <f>INT(($H$327-G325)/30)</f>
        <v>36</v>
      </c>
      <c r="I325" s="1">
        <f t="shared" si="36"/>
        <v>36000</v>
      </c>
      <c r="J325" s="17">
        <v>31000</v>
      </c>
      <c r="K325" s="17"/>
      <c r="L325" s="30">
        <f t="shared" si="37"/>
        <v>5000</v>
      </c>
      <c r="M325" s="31">
        <v>800</v>
      </c>
      <c r="N325" s="31">
        <v>800</v>
      </c>
      <c r="O325" s="31">
        <v>800</v>
      </c>
      <c r="P325" s="31">
        <v>800</v>
      </c>
      <c r="Q325" s="31">
        <v>800</v>
      </c>
      <c r="R325" s="31">
        <v>800</v>
      </c>
      <c r="S325" s="31">
        <v>800</v>
      </c>
      <c r="T325" s="31">
        <v>800</v>
      </c>
      <c r="U325" s="31">
        <v>800</v>
      </c>
      <c r="V325" s="31">
        <v>800</v>
      </c>
      <c r="W325" s="31">
        <v>800</v>
      </c>
      <c r="X325" s="31">
        <v>800</v>
      </c>
      <c r="Y325" s="30">
        <f t="shared" si="38"/>
        <v>14600</v>
      </c>
      <c r="Z325">
        <f>VLOOKUP(A325,справочник!$E$2:$F$322,2,FALSE)</f>
        <v>0</v>
      </c>
    </row>
    <row r="326" spans="1:26" hidden="1">
      <c r="A326" s="41">
        <f>VLOOKUP(B326,справочник!$B$2:$E$322,4,FALSE)</f>
        <v>40</v>
      </c>
      <c r="B326" t="str">
        <f t="shared" ref="B326" si="39">CONCATENATE(C326,D326)</f>
        <v>40Яшин Евгений Иванович</v>
      </c>
      <c r="C326" s="1">
        <v>40</v>
      </c>
      <c r="D326" s="2" t="s">
        <v>309</v>
      </c>
      <c r="E326" s="1" t="s">
        <v>615</v>
      </c>
      <c r="F326" s="16">
        <v>40772</v>
      </c>
      <c r="G326" s="16">
        <v>40756</v>
      </c>
      <c r="H326" s="17">
        <f>INT(($H$327-G326)/30)</f>
        <v>53</v>
      </c>
      <c r="I326" s="1">
        <f t="shared" si="36"/>
        <v>53000</v>
      </c>
      <c r="J326" s="17">
        <f>1000+37000</f>
        <v>38000</v>
      </c>
      <c r="K326" s="17"/>
      <c r="L326" s="30">
        <f t="shared" si="37"/>
        <v>15000</v>
      </c>
      <c r="M326" s="31">
        <v>800</v>
      </c>
      <c r="N326" s="31">
        <v>800</v>
      </c>
      <c r="O326" s="31">
        <v>800</v>
      </c>
      <c r="P326" s="31">
        <v>800</v>
      </c>
      <c r="Q326" s="31">
        <v>800</v>
      </c>
      <c r="R326" s="31">
        <v>800</v>
      </c>
      <c r="S326" s="31">
        <v>800</v>
      </c>
      <c r="T326" s="31">
        <v>800</v>
      </c>
      <c r="U326" s="31">
        <v>800</v>
      </c>
      <c r="V326" s="31">
        <v>800</v>
      </c>
      <c r="W326" s="31">
        <v>800</v>
      </c>
      <c r="X326" s="31">
        <v>800</v>
      </c>
      <c r="Y326" s="30">
        <f t="shared" si="38"/>
        <v>24600</v>
      </c>
      <c r="Z326">
        <f>VLOOKUP(A326,справочник!$E$2:$F$322,2,FALSE)</f>
        <v>0</v>
      </c>
    </row>
    <row r="327" spans="1:26" hidden="1">
      <c r="H327" s="26">
        <v>42369</v>
      </c>
      <c r="L327" s="27">
        <f>SUM(L5:L326)</f>
        <v>3600608</v>
      </c>
      <c r="M327" s="27">
        <f t="shared" ref="M327:Y327" si="40">SUM(M5:M326)</f>
        <v>232800</v>
      </c>
      <c r="N327" s="27">
        <f t="shared" si="40"/>
        <v>232800</v>
      </c>
      <c r="O327" s="27">
        <f t="shared" si="40"/>
        <v>232800</v>
      </c>
      <c r="P327" s="27">
        <f t="shared" si="40"/>
        <v>232800</v>
      </c>
      <c r="Q327" s="27">
        <f t="shared" si="40"/>
        <v>232800</v>
      </c>
      <c r="R327" s="27">
        <f t="shared" si="40"/>
        <v>232800</v>
      </c>
      <c r="S327" s="27">
        <f t="shared" si="40"/>
        <v>232800</v>
      </c>
      <c r="T327" s="27">
        <f t="shared" si="40"/>
        <v>232800</v>
      </c>
      <c r="U327" s="27">
        <f t="shared" si="40"/>
        <v>232800</v>
      </c>
      <c r="V327" s="27">
        <f t="shared" si="40"/>
        <v>232800</v>
      </c>
      <c r="W327" s="27">
        <f t="shared" si="40"/>
        <v>232800</v>
      </c>
      <c r="X327" s="27">
        <f t="shared" si="40"/>
        <v>232800</v>
      </c>
      <c r="Y327" s="27">
        <f t="shared" si="40"/>
        <v>6394208</v>
      </c>
    </row>
  </sheetData>
  <autoFilter ref="A4:Z327">
    <filterColumn colId="3">
      <filters>
        <filter val="Васильева Ольга Александровна"/>
      </filters>
    </filterColumn>
  </autoFilter>
  <mergeCells count="4">
    <mergeCell ref="C3:C4"/>
    <mergeCell ref="D3:D4"/>
    <mergeCell ref="E3:E4"/>
    <mergeCell ref="H3:L3"/>
  </mergeCells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CY330"/>
  <sheetViews>
    <sheetView tabSelected="1" zoomScale="200" zoomScaleNormal="200" zoomScalePageLayoutView="200" workbookViewId="0">
      <pane xSplit="4" ySplit="4" topLeftCell="CX150" activePane="bottomRight" state="frozen"/>
      <selection activeCell="F189" sqref="F189"/>
      <selection pane="topRight" activeCell="F189" sqref="F189"/>
      <selection pane="bottomLeft" activeCell="F189" sqref="F189"/>
      <selection pane="bottomRight" activeCell="CY156" sqref="CY156"/>
    </sheetView>
  </sheetViews>
  <sheetFormatPr baseColWidth="10" defaultColWidth="8.83203125" defaultRowHeight="14" x14ac:dyDescent="0"/>
  <cols>
    <col min="2" max="2" width="10.5" customWidth="1"/>
    <col min="3" max="3" width="8.33203125" style="25" customWidth="1"/>
    <col min="4" max="4" width="37.5" style="25" customWidth="1"/>
    <col min="5" max="5" width="20.5" style="25" customWidth="1"/>
    <col min="6" max="6" width="18.1640625" style="25" customWidth="1"/>
    <col min="7" max="7" width="15.5" style="25" customWidth="1"/>
    <col min="8" max="8" width="13.5" style="27" customWidth="1"/>
    <col min="9" max="9" width="19.5" style="120" customWidth="1"/>
    <col min="10" max="10" width="22" style="27" customWidth="1"/>
    <col min="11" max="11" width="12.83203125" style="27" customWidth="1"/>
    <col min="12" max="22" width="13.83203125" style="27" customWidth="1"/>
    <col min="23" max="23" width="13.83203125" style="94" customWidth="1"/>
    <col min="24" max="27" width="13.83203125" style="27" customWidth="1"/>
    <col min="28" max="29" width="16.33203125" style="27" customWidth="1"/>
    <col min="30" max="30" width="13.6640625" customWidth="1"/>
    <col min="31" max="31" width="14.83203125" customWidth="1"/>
    <col min="32" max="32" width="16.33203125" style="27" customWidth="1"/>
    <col min="33" max="33" width="13.6640625" customWidth="1"/>
    <col min="34" max="34" width="14.83203125" customWidth="1"/>
    <col min="35" max="35" width="16.33203125" style="27" customWidth="1"/>
    <col min="36" max="36" width="13.6640625" customWidth="1"/>
    <col min="37" max="37" width="14.83203125" customWidth="1"/>
    <col min="38" max="38" width="16.33203125" style="27" customWidth="1"/>
    <col min="39" max="39" width="13.6640625" customWidth="1"/>
    <col min="40" max="40" width="14.83203125" customWidth="1"/>
    <col min="41" max="41" width="16.33203125" style="27" customWidth="1"/>
    <col min="42" max="42" width="13.6640625" style="84" customWidth="1"/>
    <col min="43" max="43" width="14.83203125" customWidth="1"/>
    <col min="44" max="44" width="16.33203125" style="27" customWidth="1"/>
    <col min="45" max="45" width="13.6640625" style="84" customWidth="1"/>
    <col min="46" max="46" width="14.83203125" customWidth="1"/>
    <col min="47" max="47" width="16.33203125" style="27" customWidth="1"/>
    <col min="48" max="48" width="13.6640625" style="84" customWidth="1"/>
    <col min="49" max="49" width="14.83203125" customWidth="1"/>
    <col min="50" max="50" width="16.33203125" style="27" customWidth="1"/>
    <col min="51" max="51" width="13.6640625" style="84" customWidth="1"/>
    <col min="52" max="52" width="14.83203125" customWidth="1"/>
    <col min="53" max="53" width="16.33203125" style="27" customWidth="1"/>
    <col min="54" max="54" width="13.6640625" style="84" customWidth="1"/>
    <col min="55" max="55" width="14.83203125" customWidth="1"/>
    <col min="56" max="56" width="16.33203125" style="27" customWidth="1"/>
    <col min="57" max="57" width="13.6640625" style="84" customWidth="1"/>
    <col min="58" max="58" width="14.83203125" customWidth="1"/>
    <col min="59" max="59" width="16.33203125" style="27" customWidth="1"/>
    <col min="60" max="60" width="13.6640625" style="84" customWidth="1"/>
    <col min="61" max="61" width="14.83203125" customWidth="1"/>
    <col min="62" max="62" width="16.33203125" style="27" customWidth="1"/>
    <col min="63" max="63" width="13.6640625" style="84" customWidth="1"/>
    <col min="64" max="64" width="14.83203125" customWidth="1"/>
    <col min="65" max="65" width="16.33203125" style="27" customWidth="1"/>
    <col min="66" max="66" width="13.6640625" style="84" customWidth="1"/>
    <col min="67" max="67" width="14.83203125" customWidth="1"/>
    <col min="68" max="68" width="16.33203125" style="27" customWidth="1"/>
    <col min="69" max="69" width="13.6640625" style="84" customWidth="1"/>
    <col min="70" max="70" width="14.83203125" customWidth="1"/>
    <col min="71" max="71" width="16.33203125" style="27" customWidth="1"/>
    <col min="72" max="72" width="13.6640625" style="84" customWidth="1"/>
    <col min="73" max="73" width="14.83203125" customWidth="1"/>
    <col min="74" max="74" width="16.33203125" style="27" customWidth="1"/>
    <col min="75" max="75" width="13.6640625" style="84" customWidth="1"/>
    <col min="76" max="76" width="14.83203125" customWidth="1"/>
    <col min="77" max="77" width="16.33203125" style="27" customWidth="1"/>
    <col min="78" max="78" width="13.6640625" style="84" customWidth="1"/>
    <col min="79" max="79" width="14.83203125" customWidth="1"/>
    <col min="80" max="80" width="16.33203125" style="27" customWidth="1"/>
    <col min="81" max="81" width="13.6640625" style="84" customWidth="1"/>
    <col min="82" max="82" width="14.83203125" customWidth="1"/>
    <col min="83" max="83" width="16.33203125" style="27" customWidth="1"/>
    <col min="84" max="84" width="13.6640625" style="84" customWidth="1"/>
    <col min="85" max="85" width="14.83203125" customWidth="1"/>
    <col min="86" max="86" width="16.33203125" style="27" customWidth="1"/>
    <col min="87" max="87" width="13.6640625" style="84" customWidth="1"/>
    <col min="88" max="88" width="14.83203125" customWidth="1"/>
    <col min="89" max="89" width="16.33203125" style="27" customWidth="1"/>
    <col min="90" max="90" width="13.6640625" style="84" customWidth="1"/>
    <col min="91" max="91" width="14.83203125" customWidth="1"/>
    <col min="92" max="92" width="16.33203125" style="27" customWidth="1"/>
    <col min="93" max="93" width="13.6640625" style="84" customWidth="1"/>
    <col min="94" max="94" width="14.83203125" customWidth="1"/>
    <col min="95" max="95" width="16.33203125" style="27" customWidth="1"/>
    <col min="96" max="96" width="13.6640625" style="84" customWidth="1"/>
    <col min="97" max="97" width="14.83203125" customWidth="1"/>
    <col min="98" max="98" width="16.33203125" style="27" customWidth="1"/>
    <col min="99" max="99" width="13.6640625" style="84" customWidth="1"/>
    <col min="100" max="100" width="14.83203125" customWidth="1"/>
    <col min="101" max="101" width="16.33203125" style="27" customWidth="1"/>
    <col min="102" max="102" width="13.6640625" style="84" customWidth="1"/>
    <col min="103" max="103" width="14.83203125" customWidth="1"/>
  </cols>
  <sheetData>
    <row r="1" spans="1:103" ht="15" hidden="1" customHeight="1">
      <c r="C1" s="12" t="s">
        <v>310</v>
      </c>
      <c r="D1" s="12"/>
      <c r="E1" s="12"/>
      <c r="F1" s="12"/>
      <c r="G1" s="12"/>
      <c r="H1" s="13"/>
      <c r="I1" s="1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93"/>
      <c r="X1" s="13"/>
      <c r="Y1" s="13"/>
      <c r="Z1" s="13"/>
      <c r="AA1" s="13"/>
      <c r="AB1" s="13"/>
      <c r="AC1" s="13"/>
      <c r="AF1" s="13"/>
      <c r="AI1" s="13"/>
      <c r="AL1" s="13"/>
      <c r="AO1" s="13"/>
      <c r="AR1" s="13"/>
      <c r="AU1" s="13"/>
      <c r="AX1" s="13"/>
      <c r="BA1" s="13"/>
      <c r="BD1" s="13"/>
      <c r="BG1" s="13"/>
      <c r="BJ1" s="13"/>
      <c r="BM1" s="13"/>
      <c r="BP1" s="13"/>
      <c r="BS1" s="13"/>
      <c r="BV1" s="13"/>
      <c r="BY1" s="13"/>
      <c r="CB1" s="13"/>
      <c r="CE1" s="13"/>
      <c r="CH1" s="13"/>
      <c r="CK1" s="13"/>
      <c r="CN1" s="13"/>
      <c r="CQ1" s="13"/>
      <c r="CT1" s="13"/>
      <c r="CW1" s="13"/>
    </row>
    <row r="2" spans="1:103" ht="15" hidden="1" customHeight="1">
      <c r="C2" s="12" t="s">
        <v>311</v>
      </c>
      <c r="D2" s="12"/>
      <c r="E2" s="12"/>
      <c r="F2" s="12"/>
      <c r="G2" s="12"/>
      <c r="H2" s="13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93"/>
      <c r="X2" s="13"/>
      <c r="Y2" s="13"/>
      <c r="Z2" s="13"/>
      <c r="AA2" s="13"/>
      <c r="AB2" s="13"/>
      <c r="AC2" s="13"/>
      <c r="AF2" s="13"/>
      <c r="AI2" s="13"/>
      <c r="AL2" s="13"/>
      <c r="AO2" s="13"/>
      <c r="AR2" s="13"/>
      <c r="AU2" s="13"/>
      <c r="AX2" s="13"/>
      <c r="BA2" s="13"/>
      <c r="BD2" s="13"/>
      <c r="BG2" s="13"/>
      <c r="BJ2" s="13"/>
      <c r="BM2" s="13"/>
      <c r="BP2" s="13"/>
      <c r="BS2" s="13"/>
      <c r="BV2" s="13"/>
      <c r="BY2" s="13"/>
      <c r="CB2" s="13"/>
      <c r="CE2" s="13"/>
      <c r="CH2" s="13"/>
      <c r="CK2" s="13"/>
      <c r="CN2" s="13"/>
      <c r="CQ2" s="13"/>
      <c r="CT2" s="13"/>
      <c r="CW2" s="13"/>
    </row>
    <row r="3" spans="1:103" ht="15" hidden="1" customHeight="1">
      <c r="C3" s="56" t="s">
        <v>0</v>
      </c>
      <c r="D3" s="2" t="s">
        <v>1</v>
      </c>
      <c r="E3" s="206" t="s">
        <v>312</v>
      </c>
      <c r="F3" s="1"/>
      <c r="G3" s="1"/>
      <c r="H3" s="230" t="s">
        <v>313</v>
      </c>
      <c r="I3" s="231"/>
      <c r="J3" s="231"/>
      <c r="K3" s="231"/>
      <c r="L3" s="232"/>
      <c r="M3">
        <f t="shared" ref="M3:X3" si="0">COUNTA(M5:M325)</f>
        <v>44</v>
      </c>
      <c r="N3">
        <f t="shared" si="0"/>
        <v>53</v>
      </c>
      <c r="O3">
        <f t="shared" si="0"/>
        <v>50</v>
      </c>
      <c r="P3">
        <f t="shared" si="0"/>
        <v>39</v>
      </c>
      <c r="Q3">
        <f t="shared" si="0"/>
        <v>43</v>
      </c>
      <c r="R3">
        <f t="shared" si="0"/>
        <v>66</v>
      </c>
      <c r="S3">
        <f t="shared" si="0"/>
        <v>63</v>
      </c>
      <c r="T3">
        <f t="shared" si="0"/>
        <v>55</v>
      </c>
      <c r="U3">
        <f t="shared" si="0"/>
        <v>65</v>
      </c>
      <c r="V3">
        <f t="shared" si="0"/>
        <v>53</v>
      </c>
      <c r="W3" s="84">
        <f t="shared" si="0"/>
        <v>49</v>
      </c>
      <c r="X3">
        <f t="shared" si="0"/>
        <v>52</v>
      </c>
      <c r="Y3"/>
      <c r="Z3"/>
      <c r="AA3"/>
      <c r="AB3"/>
      <c r="AC3"/>
      <c r="AF3"/>
      <c r="AI3"/>
      <c r="AL3"/>
      <c r="AO3"/>
      <c r="AR3"/>
      <c r="AU3"/>
      <c r="AX3"/>
      <c r="BA3"/>
      <c r="BD3"/>
      <c r="BG3"/>
      <c r="BJ3"/>
      <c r="BM3"/>
      <c r="BP3"/>
      <c r="BS3"/>
      <c r="BV3"/>
      <c r="BY3"/>
      <c r="CB3"/>
      <c r="CE3"/>
      <c r="CH3"/>
      <c r="CK3"/>
      <c r="CN3"/>
      <c r="CQ3"/>
      <c r="CT3"/>
      <c r="CW3"/>
    </row>
    <row r="4" spans="1:103" ht="60">
      <c r="A4" s="41" t="s">
        <v>617</v>
      </c>
      <c r="B4" t="s">
        <v>622</v>
      </c>
      <c r="C4" s="56" t="s">
        <v>0</v>
      </c>
      <c r="D4" s="2" t="s">
        <v>1</v>
      </c>
      <c r="E4" s="206"/>
      <c r="F4" s="1" t="s">
        <v>314</v>
      </c>
      <c r="G4" s="1" t="s">
        <v>315</v>
      </c>
      <c r="H4" s="1" t="s">
        <v>316</v>
      </c>
      <c r="I4" s="118" t="s">
        <v>317</v>
      </c>
      <c r="J4" s="14" t="s">
        <v>318</v>
      </c>
      <c r="K4" s="14" t="s">
        <v>319</v>
      </c>
      <c r="L4" s="15" t="s">
        <v>320</v>
      </c>
      <c r="M4" s="28" t="s">
        <v>709</v>
      </c>
      <c r="N4" s="28" t="s">
        <v>710</v>
      </c>
      <c r="O4" s="28" t="s">
        <v>711</v>
      </c>
      <c r="P4" s="28" t="s">
        <v>712</v>
      </c>
      <c r="Q4" s="28" t="s">
        <v>713</v>
      </c>
      <c r="R4" s="28" t="s">
        <v>714</v>
      </c>
      <c r="S4" s="28" t="s">
        <v>715</v>
      </c>
      <c r="T4" s="28" t="s">
        <v>716</v>
      </c>
      <c r="U4" s="28" t="s">
        <v>717</v>
      </c>
      <c r="V4" s="28" t="s">
        <v>718</v>
      </c>
      <c r="W4" s="28" t="s">
        <v>719</v>
      </c>
      <c r="X4" s="28" t="s">
        <v>720</v>
      </c>
      <c r="Y4" s="15" t="s">
        <v>721</v>
      </c>
      <c r="Z4" s="95" t="s">
        <v>722</v>
      </c>
      <c r="AA4" s="95" t="s">
        <v>723</v>
      </c>
      <c r="AB4" s="95" t="s">
        <v>724</v>
      </c>
      <c r="AC4" s="95" t="s">
        <v>725</v>
      </c>
      <c r="AD4" s="100" t="s">
        <v>726</v>
      </c>
      <c r="AE4" s="101" t="s">
        <v>727</v>
      </c>
      <c r="AF4" s="95" t="s">
        <v>728</v>
      </c>
      <c r="AG4" s="100" t="s">
        <v>729</v>
      </c>
      <c r="AH4" s="101" t="s">
        <v>730</v>
      </c>
      <c r="AI4" s="95" t="s">
        <v>732</v>
      </c>
      <c r="AJ4" s="100" t="s">
        <v>733</v>
      </c>
      <c r="AK4" s="101" t="s">
        <v>734</v>
      </c>
      <c r="AL4" s="95" t="s">
        <v>735</v>
      </c>
      <c r="AM4" s="100" t="s">
        <v>736</v>
      </c>
      <c r="AN4" s="101" t="s">
        <v>737</v>
      </c>
      <c r="AO4" s="116" t="s">
        <v>738</v>
      </c>
      <c r="AP4" s="117" t="s">
        <v>739</v>
      </c>
      <c r="AQ4" s="101" t="s">
        <v>740</v>
      </c>
      <c r="AR4" s="116" t="s">
        <v>741</v>
      </c>
      <c r="AS4" s="117" t="s">
        <v>742</v>
      </c>
      <c r="AT4" s="101" t="s">
        <v>743</v>
      </c>
      <c r="AU4" s="116" t="s">
        <v>744</v>
      </c>
      <c r="AV4" s="117" t="s">
        <v>745</v>
      </c>
      <c r="AW4" s="101" t="s">
        <v>746</v>
      </c>
      <c r="AX4" s="116" t="s">
        <v>747</v>
      </c>
      <c r="AY4" s="117" t="s">
        <v>748</v>
      </c>
      <c r="AZ4" s="101" t="s">
        <v>749</v>
      </c>
      <c r="BA4" s="116" t="s">
        <v>751</v>
      </c>
      <c r="BB4" s="117" t="s">
        <v>752</v>
      </c>
      <c r="BC4" s="101" t="s">
        <v>753</v>
      </c>
      <c r="BD4" s="116" t="s">
        <v>754</v>
      </c>
      <c r="BE4" s="117" t="s">
        <v>756</v>
      </c>
      <c r="BF4" s="101" t="s">
        <v>755</v>
      </c>
      <c r="BG4" s="116" t="s">
        <v>775</v>
      </c>
      <c r="BH4" s="117" t="s">
        <v>776</v>
      </c>
      <c r="BI4" s="101" t="s">
        <v>777</v>
      </c>
      <c r="BJ4" s="116" t="s">
        <v>827</v>
      </c>
      <c r="BK4" s="117" t="s">
        <v>828</v>
      </c>
      <c r="BL4" s="101" t="s">
        <v>829</v>
      </c>
      <c r="BM4" s="116" t="s">
        <v>833</v>
      </c>
      <c r="BN4" s="117" t="s">
        <v>834</v>
      </c>
      <c r="BO4" s="101" t="s">
        <v>835</v>
      </c>
      <c r="BP4" s="116" t="s">
        <v>836</v>
      </c>
      <c r="BQ4" s="117" t="s">
        <v>837</v>
      </c>
      <c r="BR4" s="101" t="s">
        <v>838</v>
      </c>
      <c r="BS4" s="116" t="s">
        <v>843</v>
      </c>
      <c r="BT4" s="117" t="s">
        <v>844</v>
      </c>
      <c r="BU4" s="101" t="s">
        <v>845</v>
      </c>
      <c r="BV4" s="116" t="s">
        <v>847</v>
      </c>
      <c r="BW4" s="117" t="s">
        <v>848</v>
      </c>
      <c r="BX4" s="101" t="s">
        <v>849</v>
      </c>
      <c r="BY4" s="116" t="s">
        <v>852</v>
      </c>
      <c r="BZ4" s="117" t="s">
        <v>853</v>
      </c>
      <c r="CA4" s="101" t="s">
        <v>854</v>
      </c>
      <c r="CB4" s="116" t="s">
        <v>855</v>
      </c>
      <c r="CC4" s="117" t="s">
        <v>856</v>
      </c>
      <c r="CD4" s="101" t="s">
        <v>857</v>
      </c>
      <c r="CE4" s="116" t="s">
        <v>858</v>
      </c>
      <c r="CF4" s="117" t="s">
        <v>859</v>
      </c>
      <c r="CG4" s="101" t="s">
        <v>860</v>
      </c>
      <c r="CH4" s="116" t="s">
        <v>861</v>
      </c>
      <c r="CI4" s="117" t="s">
        <v>862</v>
      </c>
      <c r="CJ4" s="101" t="s">
        <v>863</v>
      </c>
      <c r="CK4" s="116" t="s">
        <v>864</v>
      </c>
      <c r="CL4" s="117" t="s">
        <v>865</v>
      </c>
      <c r="CM4" s="101" t="s">
        <v>866</v>
      </c>
      <c r="CN4" s="116" t="s">
        <v>867</v>
      </c>
      <c r="CO4" s="117" t="s">
        <v>868</v>
      </c>
      <c r="CP4" s="101" t="s">
        <v>869</v>
      </c>
      <c r="CQ4" s="116" t="s">
        <v>872</v>
      </c>
      <c r="CR4" s="117" t="s">
        <v>870</v>
      </c>
      <c r="CS4" s="101" t="s">
        <v>871</v>
      </c>
      <c r="CT4" s="116" t="s">
        <v>874</v>
      </c>
      <c r="CU4" s="117" t="s">
        <v>875</v>
      </c>
      <c r="CV4" s="101" t="s">
        <v>876</v>
      </c>
      <c r="CW4" s="116" t="s">
        <v>877</v>
      </c>
      <c r="CX4" s="117" t="s">
        <v>879</v>
      </c>
      <c r="CY4" s="101" t="s">
        <v>878</v>
      </c>
    </row>
    <row r="5" spans="1:103">
      <c r="A5" s="41">
        <f>VLOOKUP(B5,справочник!$B$2:$E$322,4,FALSE)</f>
        <v>79</v>
      </c>
      <c r="B5" t="str">
        <f>CONCATENATE(C5,D5)</f>
        <v>84Абу Махади Мохаммед Ибрагим</v>
      </c>
      <c r="C5" s="1">
        <v>84</v>
      </c>
      <c r="D5" s="2" t="s">
        <v>2</v>
      </c>
      <c r="E5" s="1" t="s">
        <v>321</v>
      </c>
      <c r="F5" s="16">
        <v>40716</v>
      </c>
      <c r="G5" s="16">
        <v>40725</v>
      </c>
      <c r="H5" s="17">
        <f t="shared" ref="H5:H16" si="1">INT(($H$326-G5)/30)</f>
        <v>54</v>
      </c>
      <c r="I5" s="1">
        <f t="shared" ref="I5:I67" si="2">H5*1000</f>
        <v>54000</v>
      </c>
      <c r="J5" s="17">
        <f>49000+1000</f>
        <v>50000</v>
      </c>
      <c r="K5" s="17"/>
      <c r="L5" s="18">
        <f t="shared" ref="L5:L29" si="3">I5-J5-K5</f>
        <v>4000</v>
      </c>
      <c r="M5" s="22"/>
      <c r="N5" s="22">
        <v>4000</v>
      </c>
      <c r="O5" s="22"/>
      <c r="P5" s="22">
        <v>2400</v>
      </c>
      <c r="Q5" s="22"/>
      <c r="R5" s="22"/>
      <c r="S5" s="22"/>
      <c r="T5" s="22"/>
      <c r="U5" s="22">
        <v>4800</v>
      </c>
      <c r="V5" s="22"/>
      <c r="W5" s="22"/>
      <c r="X5" s="22"/>
      <c r="Y5" s="18">
        <f>SUM(M5:X5)</f>
        <v>11200</v>
      </c>
      <c r="Z5" s="96">
        <v>12</v>
      </c>
      <c r="AA5" s="96">
        <f>Z5*800</f>
        <v>9600</v>
      </c>
      <c r="AB5" s="96">
        <f>L5+AA5-Y5</f>
        <v>2400</v>
      </c>
      <c r="AC5" s="99">
        <v>800</v>
      </c>
      <c r="AD5" s="98"/>
      <c r="AE5" s="102">
        <f>AB5+AC5-AD5</f>
        <v>3200</v>
      </c>
      <c r="AF5" s="99">
        <v>800</v>
      </c>
      <c r="AG5" s="98"/>
      <c r="AH5" s="102">
        <f>AE5+AF5-AG5</f>
        <v>4000</v>
      </c>
      <c r="AI5" s="99">
        <v>800</v>
      </c>
      <c r="AJ5" s="98">
        <v>4800</v>
      </c>
      <c r="AK5" s="102">
        <f>AH5+AI5-AJ5</f>
        <v>0</v>
      </c>
      <c r="AL5" s="99">
        <v>800</v>
      </c>
      <c r="AM5" s="98"/>
      <c r="AN5" s="102">
        <f>AK5+AL5-AM5</f>
        <v>800</v>
      </c>
      <c r="AO5" s="99">
        <v>800</v>
      </c>
      <c r="AP5" s="113">
        <v>800</v>
      </c>
      <c r="AQ5" s="102">
        <f>AN5+AO5-AP5</f>
        <v>800</v>
      </c>
      <c r="AR5" s="99">
        <v>800</v>
      </c>
      <c r="AS5" s="113"/>
      <c r="AT5" s="102">
        <f>AQ5+AR5-AS5</f>
        <v>1600</v>
      </c>
      <c r="AU5" s="99">
        <v>800</v>
      </c>
      <c r="AV5" s="113"/>
      <c r="AW5" s="102">
        <f>AT5+AU5-AV5</f>
        <v>2400</v>
      </c>
      <c r="AX5" s="99">
        <v>800</v>
      </c>
      <c r="AY5" s="113">
        <v>1600</v>
      </c>
      <c r="AZ5" s="102">
        <f>AW5+AX5-AY5</f>
        <v>1600</v>
      </c>
      <c r="BA5" s="99">
        <v>800</v>
      </c>
      <c r="BB5" s="113"/>
      <c r="BC5" s="102">
        <f>AZ5+BA5-BB5</f>
        <v>2400</v>
      </c>
      <c r="BD5" s="99">
        <v>800</v>
      </c>
      <c r="BE5" s="113"/>
      <c r="BF5" s="102">
        <f>BC5+BD5-BE5</f>
        <v>3200</v>
      </c>
      <c r="BG5" s="99">
        <v>800</v>
      </c>
      <c r="BH5" s="113"/>
      <c r="BI5" s="102">
        <f>BF5+BG5-BH5</f>
        <v>4000</v>
      </c>
      <c r="BJ5" s="99">
        <v>800</v>
      </c>
      <c r="BK5" s="113"/>
      <c r="BL5" s="102">
        <f>BI5+BJ5-BK5</f>
        <v>4800</v>
      </c>
      <c r="BM5" s="99">
        <v>800</v>
      </c>
      <c r="BN5" s="113"/>
      <c r="BO5" s="102">
        <f>BL5+BM5-BN5</f>
        <v>5600</v>
      </c>
      <c r="BP5" s="99">
        <v>800</v>
      </c>
      <c r="BQ5" s="113">
        <v>4800</v>
      </c>
      <c r="BR5" s="102">
        <f>BO5+BP5-BQ5</f>
        <v>1600</v>
      </c>
      <c r="BS5" s="99">
        <v>800</v>
      </c>
      <c r="BT5" s="113"/>
      <c r="BU5" s="102">
        <f>BR5+BS5-BT5</f>
        <v>2400</v>
      </c>
      <c r="BV5" s="99">
        <v>800</v>
      </c>
      <c r="BW5" s="113"/>
      <c r="BX5" s="102">
        <f>BU5+BV5-BW5</f>
        <v>3200</v>
      </c>
      <c r="BY5" s="99">
        <v>800</v>
      </c>
      <c r="BZ5" s="113"/>
      <c r="CA5" s="102">
        <f>BX5+BY5-BZ5</f>
        <v>4000</v>
      </c>
      <c r="CB5" s="99">
        <v>800</v>
      </c>
      <c r="CC5" s="113"/>
      <c r="CD5" s="102">
        <f>CA5+CB5-CC5</f>
        <v>4800</v>
      </c>
      <c r="CE5" s="99">
        <v>800</v>
      </c>
      <c r="CF5" s="113">
        <v>4800</v>
      </c>
      <c r="CG5" s="102">
        <f>CD5+CE5-CF5</f>
        <v>800</v>
      </c>
      <c r="CH5" s="99">
        <v>800</v>
      </c>
      <c r="CI5" s="113"/>
      <c r="CJ5" s="102">
        <f>CG5+CH5-CI5</f>
        <v>1600</v>
      </c>
      <c r="CK5" s="99">
        <v>800</v>
      </c>
      <c r="CL5" s="113"/>
      <c r="CM5" s="102">
        <f>CJ5+CK5-CL5</f>
        <v>2400</v>
      </c>
      <c r="CN5" s="99">
        <v>800</v>
      </c>
      <c r="CO5" s="113"/>
      <c r="CP5" s="102">
        <f>CM5+CN5-CO5</f>
        <v>3200</v>
      </c>
      <c r="CQ5" s="99">
        <v>800</v>
      </c>
      <c r="CR5" s="113"/>
      <c r="CS5" s="102">
        <f>CP5+CQ5-CR5</f>
        <v>4000</v>
      </c>
      <c r="CT5" s="99">
        <v>800</v>
      </c>
      <c r="CU5" s="113">
        <v>4800</v>
      </c>
      <c r="CV5" s="102">
        <f>CS5+CT5-CU5</f>
        <v>0</v>
      </c>
      <c r="CW5" s="99">
        <v>800</v>
      </c>
      <c r="CX5" s="113"/>
      <c r="CY5" s="102">
        <f>CV5+CW5-CX5</f>
        <v>800</v>
      </c>
    </row>
    <row r="6" spans="1:103">
      <c r="A6" s="41">
        <f>VLOOKUP(B6,справочник!$B$2:$E$322,4,FALSE)</f>
        <v>35</v>
      </c>
      <c r="B6" t="str">
        <f t="shared" ref="B6:B69" si="4">CONCATENATE(C6,D6)</f>
        <v>35Абушаев Роман Шамильевич</v>
      </c>
      <c r="C6" s="1">
        <v>35</v>
      </c>
      <c r="D6" s="2" t="s">
        <v>3</v>
      </c>
      <c r="E6" s="1" t="s">
        <v>322</v>
      </c>
      <c r="F6" s="16">
        <v>40970</v>
      </c>
      <c r="G6" s="16">
        <v>40969</v>
      </c>
      <c r="H6" s="17">
        <f t="shared" si="1"/>
        <v>46</v>
      </c>
      <c r="I6" s="1">
        <f t="shared" si="2"/>
        <v>46000</v>
      </c>
      <c r="J6" s="17">
        <v>30000</v>
      </c>
      <c r="K6" s="17"/>
      <c r="L6" s="18">
        <f t="shared" si="3"/>
        <v>16000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18">
        <f t="shared" ref="Y6:Y69" si="5">SUM(M6:X6)</f>
        <v>0</v>
      </c>
      <c r="Z6" s="96">
        <v>12</v>
      </c>
      <c r="AA6" s="96">
        <f t="shared" ref="AA6:AA69" si="6">Z6*800</f>
        <v>9600</v>
      </c>
      <c r="AB6" s="96">
        <f t="shared" ref="AB6:AB69" si="7">L6+AA6-Y6</f>
        <v>25600</v>
      </c>
      <c r="AC6" s="99">
        <v>800</v>
      </c>
      <c r="AD6" s="98"/>
      <c r="AE6" s="102">
        <f t="shared" ref="AE6:AE69" si="8">AB6+AC6-AD6</f>
        <v>26400</v>
      </c>
      <c r="AF6" s="99">
        <v>800</v>
      </c>
      <c r="AG6" s="98"/>
      <c r="AH6" s="102">
        <f t="shared" ref="AH6:AH15" si="9">AE6+AF6-AG6</f>
        <v>27200</v>
      </c>
      <c r="AI6" s="99">
        <v>800</v>
      </c>
      <c r="AJ6" s="98"/>
      <c r="AK6" s="102">
        <f t="shared" ref="AK6:AK15" si="10">AH6+AI6-AJ6</f>
        <v>28000</v>
      </c>
      <c r="AL6" s="99">
        <v>800</v>
      </c>
      <c r="AM6" s="98"/>
      <c r="AN6" s="102">
        <f t="shared" ref="AN6:AN15" si="11">AK6+AL6-AM6</f>
        <v>28800</v>
      </c>
      <c r="AO6" s="99">
        <v>800</v>
      </c>
      <c r="AP6" s="113"/>
      <c r="AQ6" s="102">
        <f t="shared" ref="AQ6:AQ15" si="12">AN6+AO6-AP6</f>
        <v>29600</v>
      </c>
      <c r="AR6" s="99">
        <v>800</v>
      </c>
      <c r="AS6" s="113"/>
      <c r="AT6" s="102">
        <f t="shared" ref="AT6:AT15" si="13">AQ6+AR6-AS6</f>
        <v>30400</v>
      </c>
      <c r="AU6" s="99">
        <v>800</v>
      </c>
      <c r="AV6" s="113"/>
      <c r="AW6" s="102">
        <f t="shared" ref="AW6:AW15" si="14">AT6+AU6-AV6</f>
        <v>31200</v>
      </c>
      <c r="AX6" s="99">
        <v>800</v>
      </c>
      <c r="AY6" s="113"/>
      <c r="AZ6" s="102">
        <f t="shared" ref="AZ6:AZ15" si="15">AW6+AX6-AY6</f>
        <v>32000</v>
      </c>
      <c r="BA6" s="99">
        <v>800</v>
      </c>
      <c r="BB6" s="113"/>
      <c r="BC6" s="102">
        <f t="shared" ref="BC6:BC15" si="16">AZ6+BA6-BB6</f>
        <v>32800</v>
      </c>
      <c r="BD6" s="99">
        <v>800</v>
      </c>
      <c r="BE6" s="113"/>
      <c r="BF6" s="102">
        <f t="shared" ref="BF6:BF15" si="17">BC6+BD6-BE6</f>
        <v>33600</v>
      </c>
      <c r="BG6" s="99">
        <v>800</v>
      </c>
      <c r="BH6" s="113"/>
      <c r="BI6" s="102">
        <f t="shared" ref="BI6:BI10" si="18">BF6+BG6-BH6</f>
        <v>34400</v>
      </c>
      <c r="BJ6" s="99">
        <v>800</v>
      </c>
      <c r="BK6" s="113"/>
      <c r="BL6" s="102">
        <f t="shared" ref="BL6:BL10" si="19">BI6+BJ6-BK6</f>
        <v>35200</v>
      </c>
      <c r="BM6" s="99">
        <v>800</v>
      </c>
      <c r="BN6" s="113"/>
      <c r="BO6" s="102">
        <f t="shared" ref="BO6:BO10" si="20">BL6+BM6-BN6</f>
        <v>36000</v>
      </c>
      <c r="BP6" s="99">
        <v>800</v>
      </c>
      <c r="BQ6" s="113"/>
      <c r="BR6" s="102">
        <f t="shared" ref="BR6:BR10" si="21">BO6+BP6-BQ6</f>
        <v>36800</v>
      </c>
      <c r="BS6" s="99">
        <v>800</v>
      </c>
      <c r="BT6" s="113"/>
      <c r="BU6" s="102">
        <f t="shared" ref="BU6:BU10" si="22">BR6+BS6-BT6</f>
        <v>37600</v>
      </c>
      <c r="BV6" s="99">
        <v>800</v>
      </c>
      <c r="BW6" s="113"/>
      <c r="BX6" s="102">
        <f t="shared" ref="BX6:BX10" si="23">BU6+BV6-BW6</f>
        <v>38400</v>
      </c>
      <c r="BY6" s="99">
        <v>800</v>
      </c>
      <c r="BZ6" s="113"/>
      <c r="CA6" s="102">
        <f t="shared" ref="CA6:CA10" si="24">BX6+BY6-BZ6</f>
        <v>39200</v>
      </c>
      <c r="CB6" s="99">
        <v>800</v>
      </c>
      <c r="CC6" s="113"/>
      <c r="CD6" s="102">
        <f t="shared" ref="CD6:CD10" si="25">CA6+CB6-CC6</f>
        <v>40000</v>
      </c>
      <c r="CE6" s="99">
        <v>800</v>
      </c>
      <c r="CF6" s="113"/>
      <c r="CG6" s="102">
        <f t="shared" ref="CG6:CG10" si="26">CD6+CE6-CF6</f>
        <v>40800</v>
      </c>
      <c r="CH6" s="99">
        <v>800</v>
      </c>
      <c r="CI6" s="113"/>
      <c r="CJ6" s="102">
        <f t="shared" ref="CJ6:CJ10" si="27">CG6+CH6-CI6</f>
        <v>41600</v>
      </c>
      <c r="CK6" s="99">
        <v>800</v>
      </c>
      <c r="CL6" s="113"/>
      <c r="CM6" s="102">
        <f t="shared" ref="CM6:CM10" si="28">CJ6+CK6-CL6</f>
        <v>42400</v>
      </c>
      <c r="CN6" s="99">
        <v>800</v>
      </c>
      <c r="CO6" s="113"/>
      <c r="CP6" s="102">
        <f t="shared" ref="CP6:CP10" si="29">CM6+CN6-CO6</f>
        <v>43200</v>
      </c>
      <c r="CQ6" s="99">
        <v>800</v>
      </c>
      <c r="CR6" s="113"/>
      <c r="CS6" s="102">
        <f t="shared" ref="CS6:CS15" si="30">CP6+CQ6-CR6</f>
        <v>44000</v>
      </c>
      <c r="CT6" s="99">
        <v>800</v>
      </c>
      <c r="CU6" s="113"/>
      <c r="CV6" s="102">
        <f t="shared" ref="CV6:CV15" si="31">CS6+CT6-CU6</f>
        <v>44800</v>
      </c>
      <c r="CW6" s="99">
        <v>800</v>
      </c>
      <c r="CX6" s="113"/>
      <c r="CY6" s="102">
        <f t="shared" ref="CY6:CY15" si="32">CV6+CW6-CX6</f>
        <v>45600</v>
      </c>
    </row>
    <row r="7" spans="1:103">
      <c r="A7" s="41">
        <f>VLOOKUP(B7,справочник!$B$2:$E$322,4,FALSE)</f>
        <v>260</v>
      </c>
      <c r="B7" t="str">
        <f t="shared" si="4"/>
        <v>273Аксенов Дмитрий Викторович</v>
      </c>
      <c r="C7" s="1">
        <v>273</v>
      </c>
      <c r="D7" s="2" t="s">
        <v>4</v>
      </c>
      <c r="E7" s="1" t="s">
        <v>323</v>
      </c>
      <c r="F7" s="16">
        <v>41540</v>
      </c>
      <c r="G7" s="16">
        <v>41548</v>
      </c>
      <c r="H7" s="17">
        <f t="shared" si="1"/>
        <v>27</v>
      </c>
      <c r="I7" s="1">
        <f t="shared" si="2"/>
        <v>27000</v>
      </c>
      <c r="J7" s="17">
        <v>19000</v>
      </c>
      <c r="K7" s="17"/>
      <c r="L7" s="18">
        <f t="shared" si="3"/>
        <v>8000</v>
      </c>
      <c r="M7" s="22"/>
      <c r="N7" s="22">
        <v>2000</v>
      </c>
      <c r="O7" s="22"/>
      <c r="P7" s="22"/>
      <c r="Q7" s="22">
        <v>1000</v>
      </c>
      <c r="R7" s="22">
        <v>2000</v>
      </c>
      <c r="S7" s="22">
        <v>2000</v>
      </c>
      <c r="T7">
        <v>3000</v>
      </c>
      <c r="U7">
        <v>2000</v>
      </c>
      <c r="V7" s="22">
        <v>2000</v>
      </c>
      <c r="W7" s="22">
        <v>2000</v>
      </c>
      <c r="X7" s="22">
        <v>2000</v>
      </c>
      <c r="Y7" s="18">
        <f t="shared" si="5"/>
        <v>18000</v>
      </c>
      <c r="Z7" s="96">
        <v>12</v>
      </c>
      <c r="AA7" s="96">
        <f t="shared" si="6"/>
        <v>9600</v>
      </c>
      <c r="AB7" s="96">
        <f t="shared" si="7"/>
        <v>-400</v>
      </c>
      <c r="AC7" s="99">
        <v>800</v>
      </c>
      <c r="AD7" s="98"/>
      <c r="AE7" s="102">
        <f t="shared" si="8"/>
        <v>400</v>
      </c>
      <c r="AF7" s="99">
        <v>800</v>
      </c>
      <c r="AG7" s="98"/>
      <c r="AH7" s="102">
        <f t="shared" si="9"/>
        <v>1200</v>
      </c>
      <c r="AI7" s="99">
        <v>800</v>
      </c>
      <c r="AJ7" s="98"/>
      <c r="AK7" s="102">
        <f t="shared" si="10"/>
        <v>2000</v>
      </c>
      <c r="AL7" s="99">
        <v>800</v>
      </c>
      <c r="AM7" s="98">
        <v>2000</v>
      </c>
      <c r="AN7" s="102">
        <f t="shared" si="11"/>
        <v>800</v>
      </c>
      <c r="AO7" s="99">
        <v>800</v>
      </c>
      <c r="AP7" s="113"/>
      <c r="AQ7" s="102">
        <f t="shared" si="12"/>
        <v>1600</v>
      </c>
      <c r="AR7" s="99">
        <v>800</v>
      </c>
      <c r="AS7" s="113"/>
      <c r="AT7" s="102">
        <f t="shared" si="13"/>
        <v>2400</v>
      </c>
      <c r="AU7" s="99">
        <v>800</v>
      </c>
      <c r="AV7" s="113"/>
      <c r="AW7" s="102">
        <f t="shared" si="14"/>
        <v>3200</v>
      </c>
      <c r="AX7" s="99">
        <v>800</v>
      </c>
      <c r="AY7" s="113"/>
      <c r="AZ7" s="102">
        <f t="shared" si="15"/>
        <v>4000</v>
      </c>
      <c r="BA7" s="99">
        <v>800</v>
      </c>
      <c r="BB7" s="113">
        <v>4000</v>
      </c>
      <c r="BC7" s="102">
        <f t="shared" si="16"/>
        <v>800</v>
      </c>
      <c r="BD7" s="99">
        <v>800</v>
      </c>
      <c r="BE7" s="113"/>
      <c r="BF7" s="102">
        <f t="shared" si="17"/>
        <v>1600</v>
      </c>
      <c r="BG7" s="99">
        <v>800</v>
      </c>
      <c r="BH7" s="113"/>
      <c r="BI7" s="102">
        <f t="shared" si="18"/>
        <v>2400</v>
      </c>
      <c r="BJ7" s="99">
        <v>800</v>
      </c>
      <c r="BK7" s="113">
        <v>1600</v>
      </c>
      <c r="BL7" s="102">
        <f t="shared" si="19"/>
        <v>1600</v>
      </c>
      <c r="BM7" s="99">
        <v>800</v>
      </c>
      <c r="BN7" s="113"/>
      <c r="BO7" s="102">
        <f t="shared" si="20"/>
        <v>2400</v>
      </c>
      <c r="BP7" s="99">
        <v>800</v>
      </c>
      <c r="BQ7" s="113"/>
      <c r="BR7" s="102">
        <f t="shared" si="21"/>
        <v>3200</v>
      </c>
      <c r="BS7" s="99">
        <v>800</v>
      </c>
      <c r="BT7" s="113"/>
      <c r="BU7" s="102">
        <f t="shared" si="22"/>
        <v>4000</v>
      </c>
      <c r="BV7" s="99">
        <v>800</v>
      </c>
      <c r="BW7" s="113"/>
      <c r="BX7" s="102">
        <f t="shared" si="23"/>
        <v>4800</v>
      </c>
      <c r="BY7" s="99">
        <v>800</v>
      </c>
      <c r="BZ7" s="113">
        <v>4000</v>
      </c>
      <c r="CA7" s="102">
        <f t="shared" si="24"/>
        <v>1600</v>
      </c>
      <c r="CB7" s="99">
        <v>800</v>
      </c>
      <c r="CC7" s="113"/>
      <c r="CD7" s="102">
        <f t="shared" si="25"/>
        <v>2400</v>
      </c>
      <c r="CE7" s="99">
        <v>800</v>
      </c>
      <c r="CF7" s="113"/>
      <c r="CG7" s="102">
        <f t="shared" si="26"/>
        <v>3200</v>
      </c>
      <c r="CH7" s="99">
        <v>800</v>
      </c>
      <c r="CI7" s="113"/>
      <c r="CJ7" s="102">
        <f t="shared" si="27"/>
        <v>4000</v>
      </c>
      <c r="CK7" s="99">
        <v>800</v>
      </c>
      <c r="CL7" s="113"/>
      <c r="CM7" s="102">
        <f t="shared" si="28"/>
        <v>4800</v>
      </c>
      <c r="CN7" s="99">
        <v>800</v>
      </c>
      <c r="CO7" s="113"/>
      <c r="CP7" s="102">
        <f t="shared" si="29"/>
        <v>5600</v>
      </c>
      <c r="CQ7" s="99">
        <v>800</v>
      </c>
      <c r="CR7" s="113"/>
      <c r="CS7" s="102">
        <f t="shared" si="30"/>
        <v>6400</v>
      </c>
      <c r="CT7" s="99">
        <v>800</v>
      </c>
      <c r="CU7" s="113">
        <v>7200</v>
      </c>
      <c r="CV7" s="102">
        <f t="shared" si="31"/>
        <v>0</v>
      </c>
      <c r="CW7" s="99">
        <v>800</v>
      </c>
      <c r="CX7" s="113"/>
      <c r="CY7" s="102">
        <f t="shared" si="32"/>
        <v>800</v>
      </c>
    </row>
    <row r="8" spans="1:103">
      <c r="A8" s="41">
        <f>VLOOKUP(B8,справочник!$B$2:$E$322,4,FALSE)</f>
        <v>203</v>
      </c>
      <c r="B8" t="str">
        <f t="shared" si="4"/>
        <v>213Александров Владимир Александрович</v>
      </c>
      <c r="C8" s="1">
        <v>213</v>
      </c>
      <c r="D8" s="2" t="s">
        <v>5</v>
      </c>
      <c r="E8" s="1" t="s">
        <v>324</v>
      </c>
      <c r="F8" s="16">
        <v>41520</v>
      </c>
      <c r="G8" s="16">
        <v>41548</v>
      </c>
      <c r="H8" s="17">
        <f t="shared" si="1"/>
        <v>27</v>
      </c>
      <c r="I8" s="1">
        <f t="shared" si="2"/>
        <v>27000</v>
      </c>
      <c r="J8" s="17">
        <v>26000</v>
      </c>
      <c r="K8" s="17"/>
      <c r="L8" s="18">
        <f t="shared" si="3"/>
        <v>1000</v>
      </c>
      <c r="M8" s="22">
        <v>2600</v>
      </c>
      <c r="N8" s="22"/>
      <c r="O8" s="22"/>
      <c r="P8" s="22"/>
      <c r="Q8" s="22">
        <v>4200</v>
      </c>
      <c r="R8" s="22"/>
      <c r="S8" s="22">
        <v>3200</v>
      </c>
      <c r="T8" s="22"/>
      <c r="U8" s="22"/>
      <c r="V8" s="22"/>
      <c r="W8" s="22"/>
      <c r="X8" s="22"/>
      <c r="Y8" s="18">
        <f t="shared" si="5"/>
        <v>10000</v>
      </c>
      <c r="Z8" s="96">
        <v>12</v>
      </c>
      <c r="AA8" s="96">
        <f t="shared" si="6"/>
        <v>9600</v>
      </c>
      <c r="AB8" s="96">
        <f t="shared" si="7"/>
        <v>600</v>
      </c>
      <c r="AC8" s="99">
        <v>800</v>
      </c>
      <c r="AD8" s="98">
        <v>2400</v>
      </c>
      <c r="AE8" s="102">
        <f t="shared" si="8"/>
        <v>-1000</v>
      </c>
      <c r="AF8" s="99">
        <v>800</v>
      </c>
      <c r="AG8" s="98"/>
      <c r="AH8" s="102">
        <f t="shared" si="9"/>
        <v>-200</v>
      </c>
      <c r="AI8" s="99">
        <v>800</v>
      </c>
      <c r="AJ8" s="98"/>
      <c r="AK8" s="102">
        <f t="shared" si="10"/>
        <v>600</v>
      </c>
      <c r="AL8" s="99">
        <v>800</v>
      </c>
      <c r="AM8" s="98"/>
      <c r="AN8" s="102">
        <f t="shared" si="11"/>
        <v>1400</v>
      </c>
      <c r="AO8" s="99">
        <f>800</f>
        <v>800</v>
      </c>
      <c r="AP8" s="113">
        <v>1977.8</v>
      </c>
      <c r="AQ8" s="102">
        <f t="shared" si="12"/>
        <v>222.20000000000005</v>
      </c>
      <c r="AR8" s="99">
        <v>800</v>
      </c>
      <c r="AS8" s="113"/>
      <c r="AT8" s="102">
        <f t="shared" si="13"/>
        <v>1022.2</v>
      </c>
      <c r="AU8" s="99">
        <v>800</v>
      </c>
      <c r="AV8" s="113"/>
      <c r="AW8" s="102">
        <f t="shared" si="14"/>
        <v>1822.2</v>
      </c>
      <c r="AX8" s="99">
        <v>800</v>
      </c>
      <c r="AY8" s="113">
        <v>3200</v>
      </c>
      <c r="AZ8" s="102">
        <f t="shared" si="15"/>
        <v>-577.80000000000018</v>
      </c>
      <c r="BA8" s="99">
        <v>800</v>
      </c>
      <c r="BB8" s="113"/>
      <c r="BC8" s="102">
        <f t="shared" si="16"/>
        <v>222.19999999999982</v>
      </c>
      <c r="BD8" s="99">
        <v>800</v>
      </c>
      <c r="BE8" s="113"/>
      <c r="BF8" s="102">
        <f t="shared" si="17"/>
        <v>1022.1999999999998</v>
      </c>
      <c r="BG8" s="99">
        <v>800</v>
      </c>
      <c r="BH8" s="113"/>
      <c r="BI8" s="102">
        <f t="shared" si="18"/>
        <v>1822.1999999999998</v>
      </c>
      <c r="BJ8" s="99">
        <v>800</v>
      </c>
      <c r="BK8" s="113">
        <v>3200</v>
      </c>
      <c r="BL8" s="102">
        <f t="shared" si="19"/>
        <v>-577.80000000000018</v>
      </c>
      <c r="BM8" s="99">
        <v>800</v>
      </c>
      <c r="BN8" s="113"/>
      <c r="BO8" s="102">
        <f t="shared" si="20"/>
        <v>222.19999999999982</v>
      </c>
      <c r="BP8" s="99">
        <v>800</v>
      </c>
      <c r="BQ8" s="113"/>
      <c r="BR8" s="102">
        <f t="shared" si="21"/>
        <v>1022.1999999999998</v>
      </c>
      <c r="BS8" s="99">
        <v>800</v>
      </c>
      <c r="BT8" s="113"/>
      <c r="BU8" s="102">
        <f t="shared" si="22"/>
        <v>1822.1999999999998</v>
      </c>
      <c r="BV8" s="99">
        <v>800</v>
      </c>
      <c r="BW8" s="113">
        <v>2400</v>
      </c>
      <c r="BX8" s="102">
        <f t="shared" si="23"/>
        <v>222.19999999999982</v>
      </c>
      <c r="BY8" s="99">
        <v>800</v>
      </c>
      <c r="BZ8" s="113"/>
      <c r="CA8" s="102">
        <f t="shared" si="24"/>
        <v>1022.1999999999998</v>
      </c>
      <c r="CB8" s="99">
        <v>800</v>
      </c>
      <c r="CC8" s="113"/>
      <c r="CD8" s="102">
        <f t="shared" si="25"/>
        <v>1822.1999999999998</v>
      </c>
      <c r="CE8" s="99">
        <v>800</v>
      </c>
      <c r="CF8" s="113"/>
      <c r="CG8" s="102">
        <f t="shared" si="26"/>
        <v>2622.2</v>
      </c>
      <c r="CH8" s="99">
        <v>800</v>
      </c>
      <c r="CI8" s="113"/>
      <c r="CJ8" s="102">
        <f t="shared" si="27"/>
        <v>3422.2</v>
      </c>
      <c r="CK8" s="99">
        <v>800</v>
      </c>
      <c r="CL8" s="113">
        <v>4000</v>
      </c>
      <c r="CM8" s="102">
        <f t="shared" si="28"/>
        <v>222.19999999999982</v>
      </c>
      <c r="CN8" s="99">
        <v>800</v>
      </c>
      <c r="CO8" s="113"/>
      <c r="CP8" s="102">
        <f t="shared" si="29"/>
        <v>1022.1999999999998</v>
      </c>
      <c r="CQ8" s="99">
        <v>800</v>
      </c>
      <c r="CR8" s="113"/>
      <c r="CS8" s="102">
        <f t="shared" si="30"/>
        <v>1822.1999999999998</v>
      </c>
      <c r="CT8" s="99">
        <v>800</v>
      </c>
      <c r="CU8" s="113"/>
      <c r="CV8" s="102">
        <f t="shared" si="31"/>
        <v>2622.2</v>
      </c>
      <c r="CW8" s="99">
        <v>800</v>
      </c>
      <c r="CX8" s="113"/>
      <c r="CY8" s="102">
        <f t="shared" si="32"/>
        <v>3422.2</v>
      </c>
    </row>
    <row r="9" spans="1:103" s="84" customFormat="1">
      <c r="A9" s="83">
        <f>VLOOKUP(B9,справочник!$B$2:$E$322,4,FALSE)</f>
        <v>316</v>
      </c>
      <c r="B9" s="84" t="str">
        <f t="shared" si="4"/>
        <v>306-307Алексеев Андрей Олегович</v>
      </c>
      <c r="C9" s="112" t="s">
        <v>6</v>
      </c>
      <c r="D9" s="2" t="s">
        <v>7</v>
      </c>
      <c r="E9" s="112" t="s">
        <v>325</v>
      </c>
      <c r="F9" s="16">
        <v>40893</v>
      </c>
      <c r="G9" s="16">
        <v>40878</v>
      </c>
      <c r="H9" s="17">
        <f t="shared" si="1"/>
        <v>49</v>
      </c>
      <c r="I9" s="112">
        <f t="shared" si="2"/>
        <v>49000</v>
      </c>
      <c r="J9" s="17">
        <f>30000+1000+1000</f>
        <v>32000</v>
      </c>
      <c r="K9" s="17"/>
      <c r="L9" s="22">
        <f t="shared" si="3"/>
        <v>17000</v>
      </c>
      <c r="M9" s="22">
        <v>800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>
        <f t="shared" si="5"/>
        <v>800</v>
      </c>
      <c r="Z9" s="99">
        <v>12</v>
      </c>
      <c r="AA9" s="99">
        <f t="shared" si="6"/>
        <v>9600</v>
      </c>
      <c r="AB9" s="99">
        <f t="shared" si="7"/>
        <v>25800</v>
      </c>
      <c r="AC9" s="99">
        <v>800</v>
      </c>
      <c r="AD9" s="113"/>
      <c r="AE9" s="114">
        <f t="shared" si="8"/>
        <v>26600</v>
      </c>
      <c r="AF9" s="99">
        <v>800</v>
      </c>
      <c r="AG9" s="113"/>
      <c r="AH9" s="114">
        <f t="shared" si="9"/>
        <v>27400</v>
      </c>
      <c r="AI9" s="99">
        <v>800</v>
      </c>
      <c r="AJ9" s="113"/>
      <c r="AK9" s="114">
        <f t="shared" si="10"/>
        <v>28200</v>
      </c>
      <c r="AL9" s="99">
        <v>800</v>
      </c>
      <c r="AM9" s="113"/>
      <c r="AN9" s="114">
        <f t="shared" si="11"/>
        <v>29000</v>
      </c>
      <c r="AO9" s="99">
        <v>800</v>
      </c>
      <c r="AP9" s="113"/>
      <c r="AQ9" s="114">
        <f t="shared" si="12"/>
        <v>29800</v>
      </c>
      <c r="AR9" s="99">
        <v>800</v>
      </c>
      <c r="AS9" s="113"/>
      <c r="AT9" s="114">
        <f t="shared" si="13"/>
        <v>30600</v>
      </c>
      <c r="AU9" s="99">
        <v>800</v>
      </c>
      <c r="AV9" s="113"/>
      <c r="AW9" s="114">
        <f t="shared" si="14"/>
        <v>31400</v>
      </c>
      <c r="AX9" s="99">
        <v>800</v>
      </c>
      <c r="AY9" s="113"/>
      <c r="AZ9" s="114">
        <f t="shared" si="15"/>
        <v>32200</v>
      </c>
      <c r="BA9" s="99">
        <v>800</v>
      </c>
      <c r="BB9" s="113"/>
      <c r="BC9" s="114">
        <f t="shared" si="16"/>
        <v>33000</v>
      </c>
      <c r="BD9" s="99">
        <v>800</v>
      </c>
      <c r="BE9" s="113"/>
      <c r="BF9" s="114">
        <f t="shared" si="17"/>
        <v>33800</v>
      </c>
      <c r="BG9" s="99">
        <v>800</v>
      </c>
      <c r="BH9" s="113"/>
      <c r="BI9" s="114">
        <f t="shared" si="18"/>
        <v>34600</v>
      </c>
      <c r="BJ9" s="99">
        <v>800</v>
      </c>
      <c r="BK9" s="113"/>
      <c r="BL9" s="114">
        <f t="shared" si="19"/>
        <v>35400</v>
      </c>
      <c r="BM9" s="99">
        <v>800</v>
      </c>
      <c r="BN9" s="113"/>
      <c r="BO9" s="114">
        <f t="shared" si="20"/>
        <v>36200</v>
      </c>
      <c r="BP9" s="99">
        <v>800</v>
      </c>
      <c r="BQ9" s="113"/>
      <c r="BR9" s="114">
        <f t="shared" si="21"/>
        <v>37000</v>
      </c>
      <c r="BS9" s="99">
        <v>800</v>
      </c>
      <c r="BT9" s="113"/>
      <c r="BU9" s="114">
        <f t="shared" si="22"/>
        <v>37800</v>
      </c>
      <c r="BV9" s="99">
        <v>800</v>
      </c>
      <c r="BW9" s="113"/>
      <c r="BX9" s="114">
        <f t="shared" si="23"/>
        <v>38600</v>
      </c>
      <c r="BY9" s="99">
        <v>800</v>
      </c>
      <c r="BZ9" s="113"/>
      <c r="CA9" s="114">
        <f t="shared" si="24"/>
        <v>39400</v>
      </c>
      <c r="CB9" s="99">
        <v>800</v>
      </c>
      <c r="CC9" s="113"/>
      <c r="CD9" s="114">
        <f t="shared" si="25"/>
        <v>40200</v>
      </c>
      <c r="CE9" s="99">
        <v>800</v>
      </c>
      <c r="CF9" s="113"/>
      <c r="CG9" s="114">
        <f t="shared" si="26"/>
        <v>41000</v>
      </c>
      <c r="CH9" s="99">
        <v>800</v>
      </c>
      <c r="CI9" s="113"/>
      <c r="CJ9" s="114">
        <f t="shared" si="27"/>
        <v>41800</v>
      </c>
      <c r="CK9" s="99">
        <v>800</v>
      </c>
      <c r="CL9" s="113"/>
      <c r="CM9" s="114">
        <f t="shared" si="28"/>
        <v>42600</v>
      </c>
      <c r="CN9" s="99">
        <v>800</v>
      </c>
      <c r="CO9" s="113"/>
      <c r="CP9" s="114">
        <f t="shared" si="29"/>
        <v>43400</v>
      </c>
      <c r="CQ9" s="99">
        <v>800</v>
      </c>
      <c r="CR9" s="113"/>
      <c r="CS9" s="102">
        <f t="shared" si="30"/>
        <v>44200</v>
      </c>
      <c r="CT9" s="99">
        <v>800</v>
      </c>
      <c r="CU9" s="113"/>
      <c r="CV9" s="102">
        <f t="shared" si="31"/>
        <v>45000</v>
      </c>
      <c r="CW9" s="99">
        <v>800</v>
      </c>
      <c r="CX9" s="113"/>
      <c r="CY9" s="102">
        <f t="shared" si="32"/>
        <v>45800</v>
      </c>
    </row>
    <row r="10" spans="1:103">
      <c r="A10" s="41" t="e">
        <f>VLOOKUP(B10,справочник!$B$2:$E$322,4,FALSE)</f>
        <v>#N/A</v>
      </c>
      <c r="B10" t="str">
        <f t="shared" si="4"/>
        <v>241Амплеева Мария Алексеевна</v>
      </c>
      <c r="C10" s="1">
        <v>241</v>
      </c>
      <c r="D10" s="2" t="s">
        <v>778</v>
      </c>
      <c r="E10" s="1" t="s">
        <v>326</v>
      </c>
      <c r="F10" s="16">
        <v>41429</v>
      </c>
      <c r="G10" s="16">
        <v>41456</v>
      </c>
      <c r="H10" s="17">
        <f t="shared" si="1"/>
        <v>30</v>
      </c>
      <c r="I10" s="1">
        <f t="shared" si="2"/>
        <v>30000</v>
      </c>
      <c r="J10" s="17">
        <v>6000</v>
      </c>
      <c r="K10" s="17"/>
      <c r="L10" s="18">
        <f t="shared" si="3"/>
        <v>24000</v>
      </c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18">
        <f t="shared" si="5"/>
        <v>0</v>
      </c>
      <c r="Z10" s="96">
        <v>12</v>
      </c>
      <c r="AA10" s="96">
        <f t="shared" si="6"/>
        <v>9600</v>
      </c>
      <c r="AB10" s="96">
        <f t="shared" si="7"/>
        <v>33600</v>
      </c>
      <c r="AC10" s="99">
        <v>800</v>
      </c>
      <c r="AD10" s="98"/>
      <c r="AE10" s="102">
        <f t="shared" si="8"/>
        <v>34400</v>
      </c>
      <c r="AF10" s="99">
        <v>800</v>
      </c>
      <c r="AG10" s="98"/>
      <c r="AH10" s="102">
        <f t="shared" si="9"/>
        <v>35200</v>
      </c>
      <c r="AI10" s="99">
        <v>800</v>
      </c>
      <c r="AJ10" s="98"/>
      <c r="AK10" s="102">
        <f t="shared" si="10"/>
        <v>36000</v>
      </c>
      <c r="AL10" s="99">
        <v>800</v>
      </c>
      <c r="AM10" s="98"/>
      <c r="AN10" s="102">
        <f t="shared" si="11"/>
        <v>36800</v>
      </c>
      <c r="AO10" s="99">
        <v>800</v>
      </c>
      <c r="AP10" s="113"/>
      <c r="AQ10" s="102">
        <f t="shared" si="12"/>
        <v>37600</v>
      </c>
      <c r="AR10" s="99">
        <v>800</v>
      </c>
      <c r="AS10" s="113"/>
      <c r="AT10" s="102">
        <f t="shared" si="13"/>
        <v>38400</v>
      </c>
      <c r="AU10" s="99">
        <v>800</v>
      </c>
      <c r="AV10" s="113"/>
      <c r="AW10" s="102">
        <f t="shared" si="14"/>
        <v>39200</v>
      </c>
      <c r="AX10" s="99">
        <v>800</v>
      </c>
      <c r="AY10" s="113"/>
      <c r="AZ10" s="102">
        <f t="shared" si="15"/>
        <v>40000</v>
      </c>
      <c r="BA10" s="99">
        <v>800</v>
      </c>
      <c r="BB10" s="113"/>
      <c r="BC10" s="102">
        <f t="shared" si="16"/>
        <v>40800</v>
      </c>
      <c r="BD10" s="99">
        <v>800</v>
      </c>
      <c r="BE10" s="113"/>
      <c r="BF10" s="102">
        <f t="shared" si="17"/>
        <v>41600</v>
      </c>
      <c r="BG10" s="99">
        <v>800</v>
      </c>
      <c r="BH10" s="113"/>
      <c r="BI10" s="102">
        <f t="shared" si="18"/>
        <v>42400</v>
      </c>
      <c r="BJ10" s="99">
        <v>800</v>
      </c>
      <c r="BK10" s="113"/>
      <c r="BL10" s="102">
        <f t="shared" si="19"/>
        <v>43200</v>
      </c>
      <c r="BM10" s="99">
        <v>800</v>
      </c>
      <c r="BN10" s="113"/>
      <c r="BO10" s="102">
        <f t="shared" si="20"/>
        <v>44000</v>
      </c>
      <c r="BP10" s="99">
        <v>800</v>
      </c>
      <c r="BQ10" s="113"/>
      <c r="BR10" s="102">
        <f t="shared" si="21"/>
        <v>44800</v>
      </c>
      <c r="BS10" s="99">
        <v>800</v>
      </c>
      <c r="BT10" s="113"/>
      <c r="BU10" s="102">
        <f t="shared" si="22"/>
        <v>45600</v>
      </c>
      <c r="BV10" s="99">
        <v>800</v>
      </c>
      <c r="BW10" s="113"/>
      <c r="BX10" s="102">
        <f t="shared" si="23"/>
        <v>46400</v>
      </c>
      <c r="BY10" s="99">
        <v>800</v>
      </c>
      <c r="BZ10" s="113"/>
      <c r="CA10" s="102">
        <f t="shared" si="24"/>
        <v>47200</v>
      </c>
      <c r="CB10" s="99">
        <v>800</v>
      </c>
      <c r="CC10" s="113"/>
      <c r="CD10" s="102">
        <f t="shared" si="25"/>
        <v>48000</v>
      </c>
      <c r="CE10" s="99">
        <v>800</v>
      </c>
      <c r="CF10" s="113"/>
      <c r="CG10" s="102">
        <f t="shared" si="26"/>
        <v>48800</v>
      </c>
      <c r="CH10" s="99">
        <v>800</v>
      </c>
      <c r="CI10" s="113"/>
      <c r="CJ10" s="102">
        <f t="shared" si="27"/>
        <v>49600</v>
      </c>
      <c r="CK10" s="99">
        <v>800</v>
      </c>
      <c r="CL10" s="113"/>
      <c r="CM10" s="102">
        <f t="shared" si="28"/>
        <v>50400</v>
      </c>
      <c r="CN10" s="99">
        <v>800</v>
      </c>
      <c r="CO10" s="113"/>
      <c r="CP10" s="102">
        <f t="shared" si="29"/>
        <v>51200</v>
      </c>
      <c r="CQ10" s="99">
        <v>800</v>
      </c>
      <c r="CR10" s="113">
        <v>49600</v>
      </c>
      <c r="CS10" s="102">
        <f t="shared" si="30"/>
        <v>2400</v>
      </c>
      <c r="CT10" s="99">
        <v>800</v>
      </c>
      <c r="CU10" s="113"/>
      <c r="CV10" s="102">
        <f t="shared" si="31"/>
        <v>3200</v>
      </c>
      <c r="CW10" s="99">
        <v>800</v>
      </c>
      <c r="CX10" s="113"/>
      <c r="CY10" s="102">
        <f t="shared" si="32"/>
        <v>4000</v>
      </c>
    </row>
    <row r="11" spans="1:103">
      <c r="A11" s="41">
        <f>VLOOKUP(B11,справочник!$B$2:$E$322,4,FALSE)</f>
        <v>277</v>
      </c>
      <c r="B11" t="str">
        <f t="shared" si="4"/>
        <v>290Андреева Любовь Ивановна(у Севастьянова)</v>
      </c>
      <c r="C11" s="1">
        <v>290</v>
      </c>
      <c r="D11" s="2" t="s">
        <v>9</v>
      </c>
      <c r="E11" s="1"/>
      <c r="F11" s="16">
        <v>41827</v>
      </c>
      <c r="G11" s="16">
        <v>41821</v>
      </c>
      <c r="H11" s="17">
        <f t="shared" si="1"/>
        <v>18</v>
      </c>
      <c r="I11" s="1">
        <f t="shared" si="2"/>
        <v>18000</v>
      </c>
      <c r="J11" s="17">
        <v>20000</v>
      </c>
      <c r="K11" s="17"/>
      <c r="L11" s="18">
        <f t="shared" si="3"/>
        <v>-2000</v>
      </c>
      <c r="M11" s="22"/>
      <c r="N11" s="22"/>
      <c r="O11" s="22"/>
      <c r="P11" s="22"/>
      <c r="Q11" s="22"/>
      <c r="R11" s="22"/>
      <c r="S11" s="22">
        <v>1000</v>
      </c>
      <c r="T11" s="22"/>
      <c r="U11">
        <v>2000</v>
      </c>
      <c r="V11" s="22"/>
      <c r="W11" s="22"/>
      <c r="X11" s="22"/>
      <c r="Y11" s="18">
        <f t="shared" si="5"/>
        <v>3000</v>
      </c>
      <c r="Z11" s="96">
        <v>12</v>
      </c>
      <c r="AA11" s="96">
        <f t="shared" si="6"/>
        <v>9600</v>
      </c>
      <c r="AB11" s="96">
        <f t="shared" si="7"/>
        <v>4600</v>
      </c>
      <c r="AC11" s="99">
        <v>800</v>
      </c>
      <c r="AD11" s="98"/>
      <c r="AE11" s="102">
        <f t="shared" si="8"/>
        <v>5400</v>
      </c>
      <c r="AF11" s="99">
        <v>800</v>
      </c>
      <c r="AG11" s="98">
        <v>2000</v>
      </c>
      <c r="AH11" s="102">
        <f t="shared" si="9"/>
        <v>4200</v>
      </c>
      <c r="AI11" s="99">
        <v>800</v>
      </c>
      <c r="AJ11" s="98">
        <v>1000</v>
      </c>
      <c r="AK11" s="102">
        <f t="shared" si="10"/>
        <v>4000</v>
      </c>
      <c r="AL11" s="99">
        <v>800</v>
      </c>
      <c r="AM11" s="98">
        <v>1000</v>
      </c>
      <c r="AN11" s="102">
        <f t="shared" si="11"/>
        <v>3800</v>
      </c>
      <c r="AO11" s="99">
        <v>800</v>
      </c>
      <c r="AP11" s="113">
        <v>1000</v>
      </c>
      <c r="AQ11" s="102">
        <f t="shared" si="12"/>
        <v>3600</v>
      </c>
      <c r="AR11" s="99">
        <v>800</v>
      </c>
      <c r="AS11" s="113"/>
      <c r="AT11" s="102">
        <f t="shared" si="13"/>
        <v>4400</v>
      </c>
      <c r="AU11" s="99">
        <v>800</v>
      </c>
      <c r="AV11" s="113"/>
      <c r="AW11" s="102">
        <f t="shared" si="14"/>
        <v>5200</v>
      </c>
      <c r="AX11" s="99">
        <v>800</v>
      </c>
      <c r="AY11" s="113"/>
      <c r="AZ11" s="102">
        <f t="shared" si="15"/>
        <v>6000</v>
      </c>
      <c r="BA11" s="99">
        <v>800</v>
      </c>
      <c r="BB11" s="113"/>
      <c r="BC11" s="102">
        <f t="shared" si="16"/>
        <v>6800</v>
      </c>
      <c r="BD11" s="99">
        <v>800</v>
      </c>
      <c r="BE11" s="113"/>
      <c r="BF11" s="102">
        <f>BC11+BD11-BE11</f>
        <v>7600</v>
      </c>
      <c r="BG11" s="99">
        <v>800</v>
      </c>
      <c r="BH11" s="113"/>
      <c r="BI11" s="102">
        <f>BF11+BG11-BH11</f>
        <v>8400</v>
      </c>
      <c r="BJ11" s="99">
        <v>800</v>
      </c>
      <c r="BK11" s="113"/>
      <c r="BL11" s="102">
        <f>BI11+BJ11-BK11</f>
        <v>9200</v>
      </c>
      <c r="BM11" s="99">
        <v>800</v>
      </c>
      <c r="BN11" s="113"/>
      <c r="BO11" s="102">
        <f>BL11+BM11-BN11</f>
        <v>10000</v>
      </c>
      <c r="BP11" s="99">
        <v>800</v>
      </c>
      <c r="BQ11" s="113"/>
      <c r="BR11" s="102">
        <f>BO11+BP11-BQ11</f>
        <v>10800</v>
      </c>
      <c r="BS11" s="99">
        <v>800</v>
      </c>
      <c r="BT11" s="113"/>
      <c r="BU11" s="102">
        <f>BR11+BS11-BT11</f>
        <v>11600</v>
      </c>
      <c r="BV11" s="99">
        <v>800</v>
      </c>
      <c r="BW11" s="113"/>
      <c r="BX11" s="102">
        <f>BU11+BV11-BW11</f>
        <v>12400</v>
      </c>
      <c r="BY11" s="99">
        <v>800</v>
      </c>
      <c r="BZ11" s="113"/>
      <c r="CA11" s="102">
        <f>BX11+BY11-BZ11</f>
        <v>13200</v>
      </c>
      <c r="CB11" s="99">
        <v>800</v>
      </c>
      <c r="CC11" s="113"/>
      <c r="CD11" s="102">
        <f>CA11+CB11-CC11</f>
        <v>14000</v>
      </c>
      <c r="CE11" s="99">
        <v>800</v>
      </c>
      <c r="CF11" s="113"/>
      <c r="CG11" s="102">
        <f>CD11+CE11-CF11</f>
        <v>14800</v>
      </c>
      <c r="CH11" s="99">
        <v>800</v>
      </c>
      <c r="CI11" s="113"/>
      <c r="CJ11" s="102">
        <f>CG11+CH11-CI11</f>
        <v>15600</v>
      </c>
      <c r="CK11" s="99">
        <v>800</v>
      </c>
      <c r="CL11" s="113"/>
      <c r="CM11" s="102">
        <f>CJ11+CK11-CL11</f>
        <v>16400</v>
      </c>
      <c r="CN11" s="99">
        <v>800</v>
      </c>
      <c r="CO11" s="113"/>
      <c r="CP11" s="102">
        <f>CM11+CN11-CO11</f>
        <v>17200</v>
      </c>
      <c r="CQ11" s="99">
        <v>800</v>
      </c>
      <c r="CR11" s="113"/>
      <c r="CS11" s="102">
        <f t="shared" si="30"/>
        <v>18000</v>
      </c>
      <c r="CT11" s="99">
        <v>800</v>
      </c>
      <c r="CU11" s="113"/>
      <c r="CV11" s="102">
        <f t="shared" si="31"/>
        <v>18800</v>
      </c>
      <c r="CW11" s="99">
        <v>800</v>
      </c>
      <c r="CX11" s="113"/>
      <c r="CY11" s="102">
        <f t="shared" si="32"/>
        <v>19600</v>
      </c>
    </row>
    <row r="12" spans="1:103">
      <c r="A12" s="41" t="e">
        <f>VLOOKUP(B12,справочник!$B$2:$E$322,4,FALSE)</f>
        <v>#N/A</v>
      </c>
      <c r="B12" t="str">
        <f t="shared" si="4"/>
        <v>230Анисимова Татьяна Николаевна</v>
      </c>
      <c r="C12" s="1">
        <v>230</v>
      </c>
      <c r="D12" s="2" t="s">
        <v>822</v>
      </c>
      <c r="E12" s="1"/>
      <c r="F12" s="16">
        <v>41912</v>
      </c>
      <c r="G12" s="16">
        <v>41913</v>
      </c>
      <c r="H12" s="17">
        <f t="shared" si="1"/>
        <v>15</v>
      </c>
      <c r="I12" s="1">
        <f t="shared" si="2"/>
        <v>15000</v>
      </c>
      <c r="J12" s="17">
        <v>1000</v>
      </c>
      <c r="K12" s="17"/>
      <c r="L12" s="18">
        <f t="shared" si="3"/>
        <v>14000</v>
      </c>
      <c r="M12" s="22">
        <v>12000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18">
        <f t="shared" si="5"/>
        <v>12000</v>
      </c>
      <c r="Z12" s="96">
        <v>12</v>
      </c>
      <c r="AA12" s="96">
        <f t="shared" si="6"/>
        <v>9600</v>
      </c>
      <c r="AB12" s="96">
        <f t="shared" si="7"/>
        <v>11600</v>
      </c>
      <c r="AC12" s="99">
        <v>800</v>
      </c>
      <c r="AD12" s="98"/>
      <c r="AE12" s="102">
        <f t="shared" si="8"/>
        <v>12400</v>
      </c>
      <c r="AF12" s="99">
        <v>800</v>
      </c>
      <c r="AG12" s="98">
        <v>12000</v>
      </c>
      <c r="AH12" s="102">
        <f t="shared" si="9"/>
        <v>1200</v>
      </c>
      <c r="AI12" s="99">
        <v>800</v>
      </c>
      <c r="AJ12" s="98"/>
      <c r="AK12" s="102">
        <f t="shared" si="10"/>
        <v>2000</v>
      </c>
      <c r="AL12" s="99">
        <v>800</v>
      </c>
      <c r="AM12" s="98"/>
      <c r="AN12" s="102">
        <f t="shared" si="11"/>
        <v>2800</v>
      </c>
      <c r="AO12" s="99">
        <v>800</v>
      </c>
      <c r="AP12" s="113"/>
      <c r="AQ12" s="102">
        <f t="shared" si="12"/>
        <v>3600</v>
      </c>
      <c r="AR12" s="99">
        <v>800</v>
      </c>
      <c r="AS12" s="113"/>
      <c r="AT12" s="102">
        <f t="shared" si="13"/>
        <v>4400</v>
      </c>
      <c r="AU12" s="99">
        <v>800</v>
      </c>
      <c r="AV12" s="113"/>
      <c r="AW12" s="102">
        <f t="shared" si="14"/>
        <v>5200</v>
      </c>
      <c r="AX12" s="99">
        <v>800</v>
      </c>
      <c r="AY12" s="113"/>
      <c r="AZ12" s="102">
        <f t="shared" si="15"/>
        <v>6000</v>
      </c>
      <c r="BA12" s="99">
        <v>800</v>
      </c>
      <c r="BB12" s="113"/>
      <c r="BC12" s="102">
        <f t="shared" si="16"/>
        <v>6800</v>
      </c>
      <c r="BD12" s="99">
        <v>800</v>
      </c>
      <c r="BE12" s="113"/>
      <c r="BF12" s="102">
        <f t="shared" si="17"/>
        <v>7600</v>
      </c>
      <c r="BG12" s="99">
        <v>800</v>
      </c>
      <c r="BH12" s="113"/>
      <c r="BI12" s="102">
        <f t="shared" ref="BI12:BI15" si="33">BF12+BG12-BH12</f>
        <v>8400</v>
      </c>
      <c r="BJ12" s="99">
        <v>800</v>
      </c>
      <c r="BK12" s="113"/>
      <c r="BL12" s="102">
        <f t="shared" ref="BL12:BL15" si="34">BI12+BJ12-BK12</f>
        <v>9200</v>
      </c>
      <c r="BM12" s="99">
        <v>800</v>
      </c>
      <c r="BN12" s="113"/>
      <c r="BO12" s="102">
        <f t="shared" ref="BO12:BO15" si="35">BL12+BM12-BN12</f>
        <v>10000</v>
      </c>
      <c r="BP12" s="99">
        <v>800</v>
      </c>
      <c r="BQ12" s="113"/>
      <c r="BR12" s="102">
        <f t="shared" ref="BR12:BR15" si="36">BO12+BP12-BQ12</f>
        <v>10800</v>
      </c>
      <c r="BS12" s="99">
        <v>800</v>
      </c>
      <c r="BT12" s="113">
        <v>11600</v>
      </c>
      <c r="BU12" s="102">
        <f t="shared" ref="BU12:BU15" si="37">BR12+BS12-BT12</f>
        <v>0</v>
      </c>
      <c r="BV12" s="99">
        <v>800</v>
      </c>
      <c r="BW12" s="113"/>
      <c r="BX12" s="102">
        <f t="shared" ref="BX12:BX15" si="38">BU12+BV12-BW12</f>
        <v>800</v>
      </c>
      <c r="BY12" s="99">
        <v>800</v>
      </c>
      <c r="BZ12" s="113"/>
      <c r="CA12" s="102">
        <f t="shared" ref="CA12:CA15" si="39">BX12+BY12-BZ12</f>
        <v>1600</v>
      </c>
      <c r="CB12" s="99">
        <v>800</v>
      </c>
      <c r="CC12" s="113"/>
      <c r="CD12" s="102">
        <f t="shared" ref="CD12:CD15" si="40">CA12+CB12-CC12</f>
        <v>2400</v>
      </c>
      <c r="CE12" s="99">
        <v>800</v>
      </c>
      <c r="CF12" s="113"/>
      <c r="CG12" s="102">
        <f t="shared" ref="CG12:CG15" si="41">CD12+CE12-CF12</f>
        <v>3200</v>
      </c>
      <c r="CH12" s="99">
        <v>800</v>
      </c>
      <c r="CI12" s="113"/>
      <c r="CJ12" s="102">
        <f t="shared" ref="CJ12:CJ15" si="42">CG12+CH12-CI12</f>
        <v>4000</v>
      </c>
      <c r="CK12" s="99">
        <v>800</v>
      </c>
      <c r="CL12" s="113"/>
      <c r="CM12" s="102">
        <f t="shared" ref="CM12:CM15" si="43">CJ12+CK12-CL12</f>
        <v>4800</v>
      </c>
      <c r="CN12" s="99">
        <v>800</v>
      </c>
      <c r="CO12" s="113"/>
      <c r="CP12" s="102">
        <f t="shared" ref="CP12:CP15" si="44">CM12+CN12-CO12</f>
        <v>5600</v>
      </c>
      <c r="CQ12" s="99">
        <v>800</v>
      </c>
      <c r="CR12" s="113"/>
      <c r="CS12" s="102">
        <f t="shared" si="30"/>
        <v>6400</v>
      </c>
      <c r="CT12" s="99">
        <v>800</v>
      </c>
      <c r="CU12" s="113">
        <v>12000</v>
      </c>
      <c r="CV12" s="102">
        <f t="shared" si="31"/>
        <v>-4800</v>
      </c>
      <c r="CW12" s="99">
        <v>800</v>
      </c>
      <c r="CX12" s="113"/>
      <c r="CY12" s="102">
        <f t="shared" si="32"/>
        <v>-4000</v>
      </c>
    </row>
    <row r="13" spans="1:103">
      <c r="A13" s="41">
        <f>VLOOKUP(B13,справочник!$B$2:$E$322,4,FALSE)</f>
        <v>259</v>
      </c>
      <c r="B13" t="str">
        <f t="shared" si="4"/>
        <v>272Анисимова Елена Анатольевна</v>
      </c>
      <c r="C13" s="1">
        <v>272</v>
      </c>
      <c r="D13" s="2" t="s">
        <v>11</v>
      </c>
      <c r="E13" s="1" t="s">
        <v>327</v>
      </c>
      <c r="F13" s="16">
        <v>41457</v>
      </c>
      <c r="G13" s="16">
        <v>41487</v>
      </c>
      <c r="H13" s="17">
        <f t="shared" si="1"/>
        <v>29</v>
      </c>
      <c r="I13" s="1">
        <f t="shared" si="2"/>
        <v>29000</v>
      </c>
      <c r="J13" s="17">
        <v>25000</v>
      </c>
      <c r="K13" s="17"/>
      <c r="L13" s="18">
        <f t="shared" si="3"/>
        <v>4000</v>
      </c>
      <c r="M13" s="22"/>
      <c r="N13" s="22"/>
      <c r="O13" s="22"/>
      <c r="P13" s="22"/>
      <c r="Q13" s="22"/>
      <c r="R13" s="22"/>
      <c r="S13" s="22">
        <v>3000</v>
      </c>
      <c r="T13" s="22"/>
      <c r="U13">
        <v>5000</v>
      </c>
      <c r="V13" s="22">
        <v>2400</v>
      </c>
      <c r="W13" s="22"/>
      <c r="X13" s="22"/>
      <c r="Y13" s="18">
        <f t="shared" si="5"/>
        <v>10400</v>
      </c>
      <c r="Z13" s="96">
        <v>12</v>
      </c>
      <c r="AA13" s="96">
        <f t="shared" si="6"/>
        <v>9600</v>
      </c>
      <c r="AB13" s="96">
        <f t="shared" si="7"/>
        <v>3200</v>
      </c>
      <c r="AC13" s="99">
        <v>800</v>
      </c>
      <c r="AD13" s="98"/>
      <c r="AE13" s="102">
        <f t="shared" si="8"/>
        <v>4000</v>
      </c>
      <c r="AF13" s="99">
        <v>800</v>
      </c>
      <c r="AG13" s="98">
        <v>2400</v>
      </c>
      <c r="AH13" s="102">
        <f t="shared" si="9"/>
        <v>2400</v>
      </c>
      <c r="AI13" s="99">
        <v>800</v>
      </c>
      <c r="AJ13" s="98"/>
      <c r="AK13" s="102">
        <f t="shared" si="10"/>
        <v>3200</v>
      </c>
      <c r="AL13" s="99">
        <v>800</v>
      </c>
      <c r="AM13" s="98"/>
      <c r="AN13" s="102">
        <f t="shared" si="11"/>
        <v>4000</v>
      </c>
      <c r="AO13" s="99">
        <v>800</v>
      </c>
      <c r="AP13" s="113"/>
      <c r="AQ13" s="102">
        <f t="shared" si="12"/>
        <v>4800</v>
      </c>
      <c r="AR13" s="99">
        <v>800</v>
      </c>
      <c r="AS13" s="113"/>
      <c r="AT13" s="102">
        <f t="shared" si="13"/>
        <v>5600</v>
      </c>
      <c r="AU13" s="99">
        <v>800</v>
      </c>
      <c r="AV13" s="113"/>
      <c r="AW13" s="102">
        <f t="shared" si="14"/>
        <v>6400</v>
      </c>
      <c r="AX13" s="99">
        <v>800</v>
      </c>
      <c r="AY13" s="113"/>
      <c r="AZ13" s="102">
        <f t="shared" si="15"/>
        <v>7200</v>
      </c>
      <c r="BA13" s="99">
        <v>800</v>
      </c>
      <c r="BB13" s="113"/>
      <c r="BC13" s="102">
        <f t="shared" si="16"/>
        <v>8000</v>
      </c>
      <c r="BD13" s="99">
        <v>800</v>
      </c>
      <c r="BE13" s="113"/>
      <c r="BF13" s="102">
        <f t="shared" si="17"/>
        <v>8800</v>
      </c>
      <c r="BG13" s="99">
        <v>800</v>
      </c>
      <c r="BH13" s="113">
        <v>2400</v>
      </c>
      <c r="BI13" s="102">
        <f t="shared" si="33"/>
        <v>7200</v>
      </c>
      <c r="BJ13" s="99">
        <v>800</v>
      </c>
      <c r="BK13" s="113">
        <v>2400</v>
      </c>
      <c r="BL13" s="102">
        <f t="shared" si="34"/>
        <v>5600</v>
      </c>
      <c r="BM13" s="99">
        <v>800</v>
      </c>
      <c r="BN13" s="113">
        <v>2400</v>
      </c>
      <c r="BO13" s="102">
        <f t="shared" si="35"/>
        <v>4000</v>
      </c>
      <c r="BP13" s="99">
        <v>800</v>
      </c>
      <c r="BQ13" s="113">
        <v>2400</v>
      </c>
      <c r="BR13" s="102">
        <f t="shared" si="36"/>
        <v>2400</v>
      </c>
      <c r="BS13" s="99">
        <v>800</v>
      </c>
      <c r="BT13" s="113"/>
      <c r="BU13" s="102">
        <f t="shared" si="37"/>
        <v>3200</v>
      </c>
      <c r="BV13" s="99">
        <v>800</v>
      </c>
      <c r="BW13" s="113">
        <f>1600</f>
        <v>1600</v>
      </c>
      <c r="BX13" s="102">
        <f t="shared" si="38"/>
        <v>2400</v>
      </c>
      <c r="BY13" s="99">
        <v>800</v>
      </c>
      <c r="BZ13" s="113">
        <v>2400</v>
      </c>
      <c r="CA13" s="102">
        <f t="shared" si="39"/>
        <v>800</v>
      </c>
      <c r="CB13" s="99">
        <v>800</v>
      </c>
      <c r="CC13" s="113"/>
      <c r="CD13" s="102">
        <f t="shared" si="40"/>
        <v>1600</v>
      </c>
      <c r="CE13" s="99">
        <v>800</v>
      </c>
      <c r="CF13" s="113">
        <v>1600</v>
      </c>
      <c r="CG13" s="102">
        <f t="shared" si="41"/>
        <v>800</v>
      </c>
      <c r="CH13" s="99">
        <v>800</v>
      </c>
      <c r="CI13" s="113"/>
      <c r="CJ13" s="102">
        <f t="shared" si="42"/>
        <v>1600</v>
      </c>
      <c r="CK13" s="99">
        <v>800</v>
      </c>
      <c r="CL13" s="113"/>
      <c r="CM13" s="102">
        <f t="shared" si="43"/>
        <v>2400</v>
      </c>
      <c r="CN13" s="99">
        <v>800</v>
      </c>
      <c r="CO13" s="113">
        <v>4000</v>
      </c>
      <c r="CP13" s="102">
        <f t="shared" si="44"/>
        <v>-800</v>
      </c>
      <c r="CQ13" s="99">
        <v>800</v>
      </c>
      <c r="CR13" s="113"/>
      <c r="CS13" s="102">
        <f t="shared" si="30"/>
        <v>0</v>
      </c>
      <c r="CT13" s="99">
        <v>800</v>
      </c>
      <c r="CU13" s="113"/>
      <c r="CV13" s="102">
        <f t="shared" si="31"/>
        <v>800</v>
      </c>
      <c r="CW13" s="99">
        <v>800</v>
      </c>
      <c r="CX13" s="113"/>
      <c r="CY13" s="102">
        <f t="shared" si="32"/>
        <v>1600</v>
      </c>
    </row>
    <row r="14" spans="1:103">
      <c r="A14" s="41">
        <f>VLOOKUP(B14,справочник!$B$2:$E$322,4,FALSE)</f>
        <v>109</v>
      </c>
      <c r="B14" t="str">
        <f t="shared" si="4"/>
        <v>114Антипова Жанна Михайловна</v>
      </c>
      <c r="C14" s="1">
        <v>114</v>
      </c>
      <c r="D14" s="2" t="s">
        <v>12</v>
      </c>
      <c r="E14" s="1" t="s">
        <v>328</v>
      </c>
      <c r="F14" s="16">
        <v>41414</v>
      </c>
      <c r="G14" s="16">
        <v>41426</v>
      </c>
      <c r="H14" s="17">
        <f t="shared" si="1"/>
        <v>31</v>
      </c>
      <c r="I14" s="1">
        <f t="shared" si="2"/>
        <v>31000</v>
      </c>
      <c r="J14" s="17">
        <v>10000</v>
      </c>
      <c r="K14" s="17"/>
      <c r="L14" s="18">
        <f t="shared" si="3"/>
        <v>21000</v>
      </c>
      <c r="M14" s="22"/>
      <c r="N14" s="22">
        <v>1000</v>
      </c>
      <c r="O14" s="22">
        <v>1000</v>
      </c>
      <c r="P14" s="22"/>
      <c r="Q14" s="22"/>
      <c r="R14" s="22"/>
      <c r="S14" s="22"/>
      <c r="T14" s="22"/>
      <c r="U14" s="22"/>
      <c r="V14" s="22"/>
      <c r="W14" s="22"/>
      <c r="X14" s="22"/>
      <c r="Y14" s="18">
        <f t="shared" si="5"/>
        <v>2000</v>
      </c>
      <c r="Z14" s="96">
        <v>12</v>
      </c>
      <c r="AA14" s="96">
        <f t="shared" si="6"/>
        <v>9600</v>
      </c>
      <c r="AB14" s="96">
        <f t="shared" si="7"/>
        <v>28600</v>
      </c>
      <c r="AC14" s="99">
        <v>800</v>
      </c>
      <c r="AD14" s="98"/>
      <c r="AE14" s="102">
        <f t="shared" si="8"/>
        <v>29400</v>
      </c>
      <c r="AF14" s="99">
        <v>800</v>
      </c>
      <c r="AG14" s="98"/>
      <c r="AH14" s="102">
        <f t="shared" si="9"/>
        <v>30200</v>
      </c>
      <c r="AI14" s="99">
        <v>800</v>
      </c>
      <c r="AJ14" s="98"/>
      <c r="AK14" s="102">
        <f t="shared" si="10"/>
        <v>31000</v>
      </c>
      <c r="AL14" s="99">
        <v>800</v>
      </c>
      <c r="AM14" s="98"/>
      <c r="AN14" s="102">
        <f t="shared" si="11"/>
        <v>31800</v>
      </c>
      <c r="AO14" s="99">
        <v>800</v>
      </c>
      <c r="AP14" s="113"/>
      <c r="AQ14" s="102">
        <f t="shared" si="12"/>
        <v>32600</v>
      </c>
      <c r="AR14" s="99">
        <v>800</v>
      </c>
      <c r="AS14" s="113"/>
      <c r="AT14" s="102">
        <f t="shared" si="13"/>
        <v>33400</v>
      </c>
      <c r="AU14" s="99">
        <v>800</v>
      </c>
      <c r="AV14" s="113"/>
      <c r="AW14" s="102">
        <f t="shared" si="14"/>
        <v>34200</v>
      </c>
      <c r="AX14" s="99">
        <v>800</v>
      </c>
      <c r="AY14" s="113"/>
      <c r="AZ14" s="102">
        <f t="shared" si="15"/>
        <v>35000</v>
      </c>
      <c r="BA14" s="99">
        <v>800</v>
      </c>
      <c r="BB14" s="113"/>
      <c r="BC14" s="102">
        <f t="shared" si="16"/>
        <v>35800</v>
      </c>
      <c r="BD14" s="99">
        <v>800</v>
      </c>
      <c r="BE14" s="113"/>
      <c r="BF14" s="102">
        <f t="shared" si="17"/>
        <v>36600</v>
      </c>
      <c r="BG14" s="99">
        <v>800</v>
      </c>
      <c r="BH14" s="113"/>
      <c r="BI14" s="102">
        <f t="shared" si="33"/>
        <v>37400</v>
      </c>
      <c r="BJ14" s="99">
        <v>800</v>
      </c>
      <c r="BK14" s="113"/>
      <c r="BL14" s="102">
        <f t="shared" si="34"/>
        <v>38200</v>
      </c>
      <c r="BM14" s="99">
        <v>800</v>
      </c>
      <c r="BN14" s="113"/>
      <c r="BO14" s="102">
        <f t="shared" si="35"/>
        <v>39000</v>
      </c>
      <c r="BP14" s="99">
        <v>800</v>
      </c>
      <c r="BQ14" s="113"/>
      <c r="BR14" s="102">
        <f t="shared" si="36"/>
        <v>39800</v>
      </c>
      <c r="BS14" s="99">
        <v>800</v>
      </c>
      <c r="BT14" s="113"/>
      <c r="BU14" s="102">
        <f t="shared" si="37"/>
        <v>40600</v>
      </c>
      <c r="BV14" s="99">
        <v>800</v>
      </c>
      <c r="BW14" s="113">
        <v>2000</v>
      </c>
      <c r="BX14" s="102">
        <f t="shared" si="38"/>
        <v>39400</v>
      </c>
      <c r="BY14" s="99">
        <v>800</v>
      </c>
      <c r="BZ14" s="113"/>
      <c r="CA14" s="102">
        <f t="shared" si="39"/>
        <v>40200</v>
      </c>
      <c r="CB14" s="99">
        <v>800</v>
      </c>
      <c r="CC14" s="113"/>
      <c r="CD14" s="102">
        <f t="shared" si="40"/>
        <v>41000</v>
      </c>
      <c r="CE14" s="99">
        <v>800</v>
      </c>
      <c r="CF14" s="113"/>
      <c r="CG14" s="102">
        <f t="shared" si="41"/>
        <v>41800</v>
      </c>
      <c r="CH14" s="99">
        <v>800</v>
      </c>
      <c r="CI14" s="113"/>
      <c r="CJ14" s="102">
        <f t="shared" si="42"/>
        <v>42600</v>
      </c>
      <c r="CK14" s="99">
        <v>800</v>
      </c>
      <c r="CL14" s="113"/>
      <c r="CM14" s="102">
        <f t="shared" si="43"/>
        <v>43400</v>
      </c>
      <c r="CN14" s="99">
        <v>800</v>
      </c>
      <c r="CO14" s="113"/>
      <c r="CP14" s="102">
        <f t="shared" si="44"/>
        <v>44200</v>
      </c>
      <c r="CQ14" s="99">
        <v>800</v>
      </c>
      <c r="CR14" s="113"/>
      <c r="CS14" s="102">
        <f t="shared" si="30"/>
        <v>45000</v>
      </c>
      <c r="CT14" s="99">
        <v>800</v>
      </c>
      <c r="CU14" s="113"/>
      <c r="CV14" s="102">
        <f t="shared" si="31"/>
        <v>45800</v>
      </c>
      <c r="CW14" s="99">
        <v>800</v>
      </c>
      <c r="CX14" s="113"/>
      <c r="CY14" s="102">
        <f t="shared" si="32"/>
        <v>46600</v>
      </c>
    </row>
    <row r="15" spans="1:103">
      <c r="A15" s="41">
        <f>VLOOKUP(B15,справочник!$B$2:$E$322,4,FALSE)</f>
        <v>130</v>
      </c>
      <c r="B15" t="str">
        <f t="shared" si="4"/>
        <v>137Анциферов Алексей Сергеевич</v>
      </c>
      <c r="C15" s="1">
        <v>137</v>
      </c>
      <c r="D15" s="2" t="s">
        <v>13</v>
      </c>
      <c r="E15" s="1" t="s">
        <v>329</v>
      </c>
      <c r="F15" s="16">
        <v>40841</v>
      </c>
      <c r="G15" s="16">
        <v>40848</v>
      </c>
      <c r="H15" s="17">
        <f t="shared" si="1"/>
        <v>50</v>
      </c>
      <c r="I15" s="1">
        <f t="shared" si="2"/>
        <v>50000</v>
      </c>
      <c r="J15" s="17">
        <f>44000+1000</f>
        <v>45000</v>
      </c>
      <c r="K15" s="17">
        <v>5000</v>
      </c>
      <c r="L15" s="18">
        <f t="shared" si="3"/>
        <v>0</v>
      </c>
      <c r="M15" s="22"/>
      <c r="N15" s="22">
        <v>800</v>
      </c>
      <c r="O15" s="22"/>
      <c r="P15" s="22"/>
      <c r="Q15" s="22"/>
      <c r="R15" s="22">
        <v>3200</v>
      </c>
      <c r="S15" s="22"/>
      <c r="T15" s="22"/>
      <c r="U15" s="22">
        <v>8000</v>
      </c>
      <c r="V15" s="22"/>
      <c r="W15" s="22"/>
      <c r="X15" s="22"/>
      <c r="Y15" s="18">
        <f t="shared" si="5"/>
        <v>12000</v>
      </c>
      <c r="Z15" s="96">
        <v>12</v>
      </c>
      <c r="AA15" s="96">
        <f t="shared" si="6"/>
        <v>9600</v>
      </c>
      <c r="AB15" s="96">
        <f t="shared" si="7"/>
        <v>-2400</v>
      </c>
      <c r="AC15" s="99">
        <v>800</v>
      </c>
      <c r="AD15" s="98"/>
      <c r="AE15" s="102">
        <f t="shared" si="8"/>
        <v>-1600</v>
      </c>
      <c r="AF15" s="99">
        <v>800</v>
      </c>
      <c r="AG15" s="98"/>
      <c r="AH15" s="102">
        <f t="shared" si="9"/>
        <v>-800</v>
      </c>
      <c r="AI15" s="99">
        <v>800</v>
      </c>
      <c r="AJ15" s="98"/>
      <c r="AK15" s="102">
        <f t="shared" si="10"/>
        <v>0</v>
      </c>
      <c r="AL15" s="99">
        <v>800</v>
      </c>
      <c r="AM15" s="98"/>
      <c r="AN15" s="102">
        <f t="shared" si="11"/>
        <v>800</v>
      </c>
      <c r="AO15" s="99">
        <v>800</v>
      </c>
      <c r="AP15" s="113">
        <v>800</v>
      </c>
      <c r="AQ15" s="102">
        <f t="shared" si="12"/>
        <v>800</v>
      </c>
      <c r="AR15" s="99">
        <v>800</v>
      </c>
      <c r="AS15" s="113">
        <v>2400</v>
      </c>
      <c r="AT15" s="102">
        <f t="shared" si="13"/>
        <v>-800</v>
      </c>
      <c r="AU15" s="99">
        <v>800</v>
      </c>
      <c r="AV15" s="113">
        <v>800</v>
      </c>
      <c r="AW15" s="102">
        <f t="shared" si="14"/>
        <v>-800</v>
      </c>
      <c r="AX15" s="99">
        <v>800</v>
      </c>
      <c r="AY15" s="113"/>
      <c r="AZ15" s="102">
        <f t="shared" si="15"/>
        <v>0</v>
      </c>
      <c r="BA15" s="99">
        <v>800</v>
      </c>
      <c r="BB15" s="113"/>
      <c r="BC15" s="102">
        <f t="shared" si="16"/>
        <v>800</v>
      </c>
      <c r="BD15" s="99">
        <v>800</v>
      </c>
      <c r="BE15" s="113">
        <v>800</v>
      </c>
      <c r="BF15" s="102">
        <f t="shared" si="17"/>
        <v>800</v>
      </c>
      <c r="BG15" s="99">
        <v>800</v>
      </c>
      <c r="BH15" s="113"/>
      <c r="BI15" s="102">
        <f t="shared" si="33"/>
        <v>1600</v>
      </c>
      <c r="BJ15" s="99">
        <v>800</v>
      </c>
      <c r="BK15" s="113"/>
      <c r="BL15" s="102">
        <f t="shared" si="34"/>
        <v>2400</v>
      </c>
      <c r="BM15" s="99">
        <v>800</v>
      </c>
      <c r="BN15" s="113"/>
      <c r="BO15" s="102">
        <f t="shared" si="35"/>
        <v>3200</v>
      </c>
      <c r="BP15" s="99">
        <v>800</v>
      </c>
      <c r="BQ15" s="113"/>
      <c r="BR15" s="102">
        <f t="shared" si="36"/>
        <v>4000</v>
      </c>
      <c r="BS15" s="99">
        <v>800</v>
      </c>
      <c r="BT15" s="113"/>
      <c r="BU15" s="102">
        <f t="shared" si="37"/>
        <v>4800</v>
      </c>
      <c r="BV15" s="99">
        <v>800</v>
      </c>
      <c r="BW15" s="113">
        <v>4800</v>
      </c>
      <c r="BX15" s="102">
        <f t="shared" si="38"/>
        <v>800</v>
      </c>
      <c r="BY15" s="99">
        <v>800</v>
      </c>
      <c r="BZ15" s="113"/>
      <c r="CA15" s="102">
        <f t="shared" si="39"/>
        <v>1600</v>
      </c>
      <c r="CB15" s="99">
        <v>800</v>
      </c>
      <c r="CC15" s="113"/>
      <c r="CD15" s="102">
        <f t="shared" si="40"/>
        <v>2400</v>
      </c>
      <c r="CE15" s="99">
        <v>800</v>
      </c>
      <c r="CF15" s="113">
        <v>900</v>
      </c>
      <c r="CG15" s="102">
        <f t="shared" si="41"/>
        <v>2300</v>
      </c>
      <c r="CH15" s="99">
        <v>800</v>
      </c>
      <c r="CI15" s="113"/>
      <c r="CJ15" s="102">
        <f t="shared" si="42"/>
        <v>3100</v>
      </c>
      <c r="CK15" s="99">
        <v>800</v>
      </c>
      <c r="CL15" s="113"/>
      <c r="CM15" s="102">
        <f t="shared" si="43"/>
        <v>3900</v>
      </c>
      <c r="CN15" s="99">
        <v>800</v>
      </c>
      <c r="CO15" s="113"/>
      <c r="CP15" s="102">
        <f t="shared" si="44"/>
        <v>4700</v>
      </c>
      <c r="CQ15" s="99">
        <v>800</v>
      </c>
      <c r="CR15" s="113"/>
      <c r="CS15" s="102">
        <f t="shared" si="30"/>
        <v>5500</v>
      </c>
      <c r="CT15" s="99">
        <v>800</v>
      </c>
      <c r="CU15" s="113"/>
      <c r="CV15" s="102">
        <f t="shared" si="31"/>
        <v>6300</v>
      </c>
      <c r="CW15" s="99">
        <v>800</v>
      </c>
      <c r="CX15" s="113"/>
      <c r="CY15" s="102">
        <f t="shared" si="32"/>
        <v>7100</v>
      </c>
    </row>
    <row r="16" spans="1:103" s="80" customFormat="1">
      <c r="A16" s="103">
        <f>VLOOKUP(B16,справочник!$B$2:$E$322,4,FALSE)</f>
        <v>7</v>
      </c>
      <c r="B16" s="80" t="str">
        <f t="shared" si="4"/>
        <v>7Артемьев Сергей Иванович</v>
      </c>
      <c r="C16" s="5">
        <v>7</v>
      </c>
      <c r="D16" s="7" t="s">
        <v>14</v>
      </c>
      <c r="E16" s="5" t="s">
        <v>330</v>
      </c>
      <c r="F16" s="19">
        <v>41467</v>
      </c>
      <c r="G16" s="19">
        <v>41518</v>
      </c>
      <c r="H16" s="20">
        <f t="shared" si="1"/>
        <v>28</v>
      </c>
      <c r="I16" s="5">
        <f>H16*1000</f>
        <v>28000</v>
      </c>
      <c r="J16" s="20"/>
      <c r="K16" s="20"/>
      <c r="L16" s="21">
        <f>I16-J16-K16</f>
        <v>28000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>
        <f t="shared" si="5"/>
        <v>0</v>
      </c>
      <c r="Z16" s="104">
        <v>12</v>
      </c>
      <c r="AA16" s="104">
        <f t="shared" si="6"/>
        <v>9600</v>
      </c>
      <c r="AB16" s="104">
        <f t="shared" si="7"/>
        <v>37600</v>
      </c>
      <c r="AC16" s="104">
        <v>800</v>
      </c>
      <c r="AD16" s="105"/>
      <c r="AE16" s="227">
        <f>SUM(AB16:AB17)+SUM(AC16:AC17)-SUM(AD16:AD17)</f>
        <v>47400</v>
      </c>
      <c r="AF16" s="104">
        <v>800</v>
      </c>
      <c r="AG16" s="105"/>
      <c r="AH16" s="227">
        <f>SUM(AE16:AE17)+SUM(AF16:AF17)-SUM(AG16:AG17)</f>
        <v>48200</v>
      </c>
      <c r="AI16" s="104">
        <v>800</v>
      </c>
      <c r="AJ16" s="105"/>
      <c r="AK16" s="227">
        <f>SUM(AH16:AH17)+SUM(AI16:AI17)-SUM(AJ16:AJ17)</f>
        <v>49000</v>
      </c>
      <c r="AL16" s="104">
        <v>800</v>
      </c>
      <c r="AM16" s="105"/>
      <c r="AN16" s="227">
        <f>SUM(AK16:AK17)+SUM(AL16:AL17)-SUM(AM16:AM17)</f>
        <v>49800</v>
      </c>
      <c r="AO16" s="104">
        <v>800</v>
      </c>
      <c r="AP16" s="105"/>
      <c r="AQ16" s="227">
        <f>SUM(AN16:AN17)+SUM(AO16:AO17)-SUM(AP16:AP17)</f>
        <v>50600</v>
      </c>
      <c r="AR16" s="104">
        <v>800</v>
      </c>
      <c r="AS16" s="105"/>
      <c r="AT16" s="227">
        <f>SUM(AQ16:AQ17)+SUM(AR16:AR17)-SUM(AS16:AS17)</f>
        <v>51400</v>
      </c>
      <c r="AU16" s="104">
        <v>800</v>
      </c>
      <c r="AV16" s="105"/>
      <c r="AW16" s="212">
        <f>SUM(AT16:AT17)+SUM(AU16:AU17)-SUM(AV16:AV17)</f>
        <v>52200</v>
      </c>
      <c r="AX16" s="104">
        <v>800</v>
      </c>
      <c r="AY16" s="105"/>
      <c r="AZ16" s="212">
        <f>SUM(AW16:AW17)+SUM(AX16:AX17)-SUM(AY16:AY17)</f>
        <v>53000</v>
      </c>
      <c r="BA16" s="104">
        <v>800</v>
      </c>
      <c r="BB16" s="105">
        <v>20572.580000000002</v>
      </c>
      <c r="BC16" s="212">
        <f>SUM(AZ16:AZ17)+SUM(BA16:BA17)-SUM(BB16:BB17)</f>
        <v>33227.42</v>
      </c>
      <c r="BD16" s="104">
        <v>800</v>
      </c>
      <c r="BE16" s="105"/>
      <c r="BF16" s="212">
        <f>SUM(BC16:BC17)+SUM(BD16:BD17)-SUM(BE16:BE17)</f>
        <v>34027.42</v>
      </c>
      <c r="BG16" s="104">
        <v>800</v>
      </c>
      <c r="BH16" s="105"/>
      <c r="BI16" s="212">
        <f>SUM(BF16:BF17)+SUM(BG16:BG17)-SUM(BH16:BH17)</f>
        <v>34827.42</v>
      </c>
      <c r="BJ16" s="104">
        <v>800</v>
      </c>
      <c r="BK16" s="218">
        <v>10000</v>
      </c>
      <c r="BL16" s="212">
        <f>SUM(BI16:BI17)+SUM(BJ16:BJ17)-SUM(BK16:BK17)</f>
        <v>25627.42</v>
      </c>
      <c r="BM16" s="220">
        <v>800</v>
      </c>
      <c r="BN16" s="218">
        <v>2000</v>
      </c>
      <c r="BO16" s="212">
        <f>SUM(BL16:BL17)+SUM(BM16:BM17)-SUM(BN16:BN17)</f>
        <v>24427.42</v>
      </c>
      <c r="BP16" s="220">
        <v>800</v>
      </c>
      <c r="BQ16" s="218">
        <v>10000</v>
      </c>
      <c r="BR16" s="212">
        <f>SUM(BO16:BO17)+SUM(BP16:BP17)-SUM(BQ16:BQ17)</f>
        <v>15227.419999999998</v>
      </c>
      <c r="BS16" s="220">
        <v>800</v>
      </c>
      <c r="BT16" s="218">
        <v>5000</v>
      </c>
      <c r="BU16" s="212">
        <f>SUM(BR16:BR17)+SUM(BS16:BS17)-SUM(BT16:BT17)</f>
        <v>11027.419999999998</v>
      </c>
      <c r="BV16" s="220">
        <v>800</v>
      </c>
      <c r="BW16" s="218"/>
      <c r="BX16" s="212">
        <f>SUM(BU16:BU17)+SUM(BV16:BV17)-SUM(BW16:BW17)</f>
        <v>11827.419999999998</v>
      </c>
      <c r="BY16" s="220">
        <v>800</v>
      </c>
      <c r="BZ16" s="218"/>
      <c r="CA16" s="212">
        <f>SUM(BX16:BX17)+SUM(BY16:BY17)-SUM(BZ16:BZ17)</f>
        <v>12627.419999999998</v>
      </c>
      <c r="CB16" s="220">
        <v>800</v>
      </c>
      <c r="CC16" s="218"/>
      <c r="CD16" s="212">
        <f>SUM(CA16:CA17)+SUM(CB16:CB17)-SUM(CC16:CC17)</f>
        <v>13427.419999999998</v>
      </c>
      <c r="CE16" s="220">
        <v>800</v>
      </c>
      <c r="CF16" s="218"/>
      <c r="CG16" s="212">
        <f>SUM(CD16:CD17)+SUM(CE16:CE17)-SUM(CF16:CF17)</f>
        <v>14227.419999999998</v>
      </c>
      <c r="CH16" s="220">
        <v>800</v>
      </c>
      <c r="CI16" s="218"/>
      <c r="CJ16" s="212">
        <f>SUM(CG16:CG17)+SUM(CH16:CH17)-SUM(CI16:CI17)</f>
        <v>15027.419999999998</v>
      </c>
      <c r="CK16" s="220">
        <v>800</v>
      </c>
      <c r="CL16" s="218"/>
      <c r="CM16" s="212">
        <f>SUM(CJ16:CJ17)+SUM(CK16:CK17)-SUM(CL16:CL17)</f>
        <v>15827.419999999998</v>
      </c>
      <c r="CN16" s="220">
        <v>800</v>
      </c>
      <c r="CO16" s="218"/>
      <c r="CP16" s="212">
        <f>SUM(CM16:CM17)+SUM(CN16:CN17)-SUM(CO16:CO17)</f>
        <v>16627.419999999998</v>
      </c>
      <c r="CQ16" s="220">
        <v>800</v>
      </c>
      <c r="CR16" s="218"/>
      <c r="CS16" s="212">
        <f>CP16+CQ16-CR16</f>
        <v>17427.419999999998</v>
      </c>
      <c r="CT16" s="220">
        <v>800</v>
      </c>
      <c r="CU16" s="218"/>
      <c r="CV16" s="212">
        <f>CS16+CT16-CU16</f>
        <v>18227.419999999998</v>
      </c>
      <c r="CW16" s="220">
        <v>800</v>
      </c>
      <c r="CX16" s="218"/>
      <c r="CY16" s="212">
        <f>CV16+CW16-CX16</f>
        <v>19027.419999999998</v>
      </c>
    </row>
    <row r="17" spans="1:103" s="80" customFormat="1">
      <c r="A17" s="103">
        <f>VLOOKUP(B17,справочник!$B$2:$E$322,4,FALSE)</f>
        <v>7</v>
      </c>
      <c r="B17" s="80" t="str">
        <f t="shared" si="4"/>
        <v>14Артемьев Сергей Иванович</v>
      </c>
      <c r="C17" s="5">
        <v>14</v>
      </c>
      <c r="D17" s="7" t="s">
        <v>14</v>
      </c>
      <c r="E17" s="5" t="s">
        <v>331</v>
      </c>
      <c r="F17" s="19">
        <v>41204</v>
      </c>
      <c r="G17" s="19">
        <v>41214</v>
      </c>
      <c r="H17" s="20">
        <v>36</v>
      </c>
      <c r="I17" s="5">
        <f t="shared" si="2"/>
        <v>36000</v>
      </c>
      <c r="J17" s="20">
        <v>27000</v>
      </c>
      <c r="K17" s="20"/>
      <c r="L17" s="21">
        <f>I17-J17-K17</f>
        <v>9000</v>
      </c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>
        <f t="shared" si="5"/>
        <v>0</v>
      </c>
      <c r="Z17" s="104">
        <v>0</v>
      </c>
      <c r="AA17" s="104">
        <f t="shared" si="6"/>
        <v>0</v>
      </c>
      <c r="AB17" s="104">
        <f t="shared" si="7"/>
        <v>9000</v>
      </c>
      <c r="AC17" s="104">
        <v>0</v>
      </c>
      <c r="AD17" s="105"/>
      <c r="AE17" s="228"/>
      <c r="AF17" s="104">
        <v>0</v>
      </c>
      <c r="AG17" s="105"/>
      <c r="AH17" s="228"/>
      <c r="AI17" s="104">
        <v>0</v>
      </c>
      <c r="AJ17" s="105"/>
      <c r="AK17" s="228"/>
      <c r="AL17" s="104">
        <v>0</v>
      </c>
      <c r="AM17" s="105"/>
      <c r="AN17" s="228"/>
      <c r="AO17" s="104">
        <v>0</v>
      </c>
      <c r="AP17" s="105"/>
      <c r="AQ17" s="228"/>
      <c r="AR17" s="104">
        <v>0</v>
      </c>
      <c r="AS17" s="105"/>
      <c r="AT17" s="228"/>
      <c r="AU17" s="104">
        <v>0</v>
      </c>
      <c r="AV17" s="105"/>
      <c r="AW17" s="214"/>
      <c r="AX17" s="104">
        <v>0</v>
      </c>
      <c r="AY17" s="105"/>
      <c r="AZ17" s="214"/>
      <c r="BA17" s="104">
        <v>0</v>
      </c>
      <c r="BB17" s="105"/>
      <c r="BC17" s="214"/>
      <c r="BD17" s="104">
        <v>0</v>
      </c>
      <c r="BE17" s="105"/>
      <c r="BF17" s="214"/>
      <c r="BG17" s="104">
        <v>0</v>
      </c>
      <c r="BH17" s="105"/>
      <c r="BI17" s="214"/>
      <c r="BJ17" s="104">
        <v>0</v>
      </c>
      <c r="BK17" s="219"/>
      <c r="BL17" s="214"/>
      <c r="BM17" s="221"/>
      <c r="BN17" s="219"/>
      <c r="BO17" s="214"/>
      <c r="BP17" s="221"/>
      <c r="BQ17" s="219"/>
      <c r="BR17" s="214"/>
      <c r="BS17" s="221"/>
      <c r="BT17" s="219"/>
      <c r="BU17" s="214"/>
      <c r="BV17" s="221"/>
      <c r="BW17" s="219"/>
      <c r="BX17" s="214"/>
      <c r="BY17" s="221"/>
      <c r="BZ17" s="219"/>
      <c r="CA17" s="214"/>
      <c r="CB17" s="221"/>
      <c r="CC17" s="219"/>
      <c r="CD17" s="214"/>
      <c r="CE17" s="221"/>
      <c r="CF17" s="219"/>
      <c r="CG17" s="214"/>
      <c r="CH17" s="221"/>
      <c r="CI17" s="219"/>
      <c r="CJ17" s="214"/>
      <c r="CK17" s="221"/>
      <c r="CL17" s="219"/>
      <c r="CM17" s="214"/>
      <c r="CN17" s="221"/>
      <c r="CO17" s="219"/>
      <c r="CP17" s="214"/>
      <c r="CQ17" s="221"/>
      <c r="CR17" s="219"/>
      <c r="CS17" s="214"/>
      <c r="CT17" s="221"/>
      <c r="CU17" s="219"/>
      <c r="CV17" s="214"/>
      <c r="CW17" s="221"/>
      <c r="CX17" s="219"/>
      <c r="CY17" s="214"/>
    </row>
    <row r="18" spans="1:103" ht="24">
      <c r="A18" s="41" t="e">
        <f>VLOOKUP(B18,справочник!$B$2:$E$322,4,FALSE)</f>
        <v>#N/A</v>
      </c>
      <c r="B18" t="str">
        <f t="shared" si="4"/>
        <v>201Асташкин Павел Александрович (новый собственник Румянцев Алексей Евгеньевич</v>
      </c>
      <c r="C18" s="1">
        <v>201</v>
      </c>
      <c r="D18" s="2" t="s">
        <v>842</v>
      </c>
      <c r="E18" s="1" t="s">
        <v>332</v>
      </c>
      <c r="F18" s="1"/>
      <c r="G18" s="1"/>
      <c r="H18" s="17"/>
      <c r="I18" s="1">
        <f t="shared" si="2"/>
        <v>0</v>
      </c>
      <c r="J18" s="17"/>
      <c r="K18" s="17"/>
      <c r="L18" s="18">
        <f t="shared" si="3"/>
        <v>0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18">
        <f t="shared" si="5"/>
        <v>0</v>
      </c>
      <c r="Z18" s="96">
        <v>12</v>
      </c>
      <c r="AA18" s="96">
        <f t="shared" si="6"/>
        <v>9600</v>
      </c>
      <c r="AB18" s="96">
        <f t="shared" si="7"/>
        <v>9600</v>
      </c>
      <c r="AC18" s="99">
        <v>800</v>
      </c>
      <c r="AD18" s="98"/>
      <c r="AE18" s="102">
        <f t="shared" si="8"/>
        <v>10400</v>
      </c>
      <c r="AF18" s="99">
        <v>800</v>
      </c>
      <c r="AG18" s="98"/>
      <c r="AH18" s="102">
        <f t="shared" ref="AH18:AH37" si="45">AE18+AF18-AG18</f>
        <v>11200</v>
      </c>
      <c r="AI18" s="99">
        <v>800</v>
      </c>
      <c r="AJ18" s="98"/>
      <c r="AK18" s="102">
        <f t="shared" ref="AK18:AK29" si="46">AH18+AI18-AJ18</f>
        <v>12000</v>
      </c>
      <c r="AL18" s="99">
        <v>800</v>
      </c>
      <c r="AM18" s="98"/>
      <c r="AN18" s="102">
        <f t="shared" ref="AN18:AN29" si="47">AK18+AL18-AM18</f>
        <v>12800</v>
      </c>
      <c r="AO18" s="99">
        <v>800</v>
      </c>
      <c r="AP18" s="113">
        <v>3200</v>
      </c>
      <c r="AQ18" s="102">
        <f t="shared" ref="AQ18:AQ31" si="48">AN18+AO18-AP18</f>
        <v>10400</v>
      </c>
      <c r="AR18" s="99">
        <v>800</v>
      </c>
      <c r="AS18" s="113"/>
      <c r="AT18" s="102">
        <f t="shared" ref="AT18:AT29" si="49">AQ18+AR18-AS18</f>
        <v>11200</v>
      </c>
      <c r="AU18" s="99">
        <v>800</v>
      </c>
      <c r="AV18" s="113"/>
      <c r="AW18" s="102">
        <f t="shared" ref="AW18:AW29" si="50">AT18+AU18-AV18</f>
        <v>12000</v>
      </c>
      <c r="AX18" s="99">
        <v>800</v>
      </c>
      <c r="AY18" s="113"/>
      <c r="AZ18" s="102">
        <f t="shared" ref="AZ18:AZ29" si="51">AW18+AX18-AY18</f>
        <v>12800</v>
      </c>
      <c r="BA18" s="99">
        <v>800</v>
      </c>
      <c r="BB18" s="113"/>
      <c r="BC18" s="102">
        <f t="shared" ref="BC18:BC29" si="52">AZ18+BA18-BB18</f>
        <v>13600</v>
      </c>
      <c r="BD18" s="99">
        <v>800</v>
      </c>
      <c r="BE18" s="113"/>
      <c r="BF18" s="102">
        <f t="shared" ref="BF18:BF29" si="53">BC18+BD18-BE18</f>
        <v>14400</v>
      </c>
      <c r="BG18" s="99">
        <v>800</v>
      </c>
      <c r="BH18" s="113"/>
      <c r="BI18" s="102">
        <f t="shared" ref="BI18:BI29" si="54">BF18+BG18-BH18</f>
        <v>15200</v>
      </c>
      <c r="BJ18" s="99">
        <v>800</v>
      </c>
      <c r="BK18" s="113"/>
      <c r="BL18" s="102">
        <f t="shared" ref="BL18:BL29" si="55">BI18+BJ18-BK18</f>
        <v>16000</v>
      </c>
      <c r="BM18" s="99">
        <v>800</v>
      </c>
      <c r="BN18" s="113">
        <v>4800</v>
      </c>
      <c r="BO18" s="102">
        <f t="shared" ref="BO18:BO29" si="56">BL18+BM18-BN18</f>
        <v>12000</v>
      </c>
      <c r="BP18" s="99">
        <v>800</v>
      </c>
      <c r="BQ18" s="113"/>
      <c r="BR18" s="102">
        <f t="shared" ref="BR18:BR29" si="57">BO18+BP18-BQ18</f>
        <v>12800</v>
      </c>
      <c r="BS18" s="99">
        <v>800</v>
      </c>
      <c r="BT18" s="113">
        <v>3000</v>
      </c>
      <c r="BU18" s="102">
        <f t="shared" ref="BU18:BU29" si="58">BR18+BS18-BT18</f>
        <v>10600</v>
      </c>
      <c r="BV18" s="99">
        <v>800</v>
      </c>
      <c r="BW18" s="113"/>
      <c r="BX18" s="102">
        <f t="shared" ref="BX18:BX29" si="59">BU18+BV18-BW18</f>
        <v>11400</v>
      </c>
      <c r="BY18" s="99">
        <v>800</v>
      </c>
      <c r="BZ18" s="113"/>
      <c r="CA18" s="102">
        <f t="shared" ref="CA18:CA29" si="60">BX18+BY18-BZ18</f>
        <v>12200</v>
      </c>
      <c r="CB18" s="99">
        <v>800</v>
      </c>
      <c r="CC18" s="113"/>
      <c r="CD18" s="102">
        <f t="shared" ref="CD18:CD29" si="61">CA18+CB18-CC18</f>
        <v>13000</v>
      </c>
      <c r="CE18" s="99">
        <v>800</v>
      </c>
      <c r="CF18" s="113"/>
      <c r="CG18" s="102">
        <f t="shared" ref="CG18:CG29" si="62">CD18+CE18-CF18</f>
        <v>13800</v>
      </c>
      <c r="CH18" s="99">
        <v>800</v>
      </c>
      <c r="CI18" s="113">
        <v>2000</v>
      </c>
      <c r="CJ18" s="102">
        <f t="shared" ref="CJ18:CJ29" si="63">CG18+CH18-CI18</f>
        <v>12600</v>
      </c>
      <c r="CK18" s="99">
        <v>800</v>
      </c>
      <c r="CL18" s="113"/>
      <c r="CM18" s="102">
        <f t="shared" ref="CM18:CM29" si="64">CJ18+CK18-CL18</f>
        <v>13400</v>
      </c>
      <c r="CN18" s="99">
        <v>800</v>
      </c>
      <c r="CO18" s="113"/>
      <c r="CP18" s="102">
        <f t="shared" ref="CP18:CP29" si="65">CM18+CN18-CO18</f>
        <v>14200</v>
      </c>
      <c r="CQ18" s="99">
        <v>800</v>
      </c>
      <c r="CR18" s="113"/>
      <c r="CS18" s="102">
        <f>CP18+CQ18-CR18</f>
        <v>15000</v>
      </c>
      <c r="CT18" s="99">
        <v>800</v>
      </c>
      <c r="CU18" s="113">
        <v>5000</v>
      </c>
      <c r="CV18" s="102">
        <f>CS18+CT18-CU18</f>
        <v>10800</v>
      </c>
      <c r="CW18" s="99">
        <v>800</v>
      </c>
      <c r="CX18" s="113"/>
      <c r="CY18" s="102">
        <f>CV18+CW18-CX18</f>
        <v>11600</v>
      </c>
    </row>
    <row r="19" spans="1:103">
      <c r="A19" s="41">
        <f>VLOOKUP(B19,справочник!$B$2:$E$322,4,FALSE)</f>
        <v>178</v>
      </c>
      <c r="B19" t="str">
        <f t="shared" si="4"/>
        <v>186Афанасьева Злата Сергеевна</v>
      </c>
      <c r="C19" s="1">
        <v>186</v>
      </c>
      <c r="D19" s="2" t="s">
        <v>16</v>
      </c>
      <c r="E19" s="1" t="s">
        <v>333</v>
      </c>
      <c r="F19" s="16">
        <v>41898</v>
      </c>
      <c r="G19" s="16">
        <v>41944</v>
      </c>
      <c r="H19" s="17">
        <f>INT(($H$326-G19)/30)</f>
        <v>14</v>
      </c>
      <c r="I19" s="1">
        <f t="shared" si="2"/>
        <v>14000</v>
      </c>
      <c r="J19" s="17">
        <v>1000</v>
      </c>
      <c r="K19" s="17"/>
      <c r="L19" s="18">
        <f t="shared" si="3"/>
        <v>13000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84">
        <v>10000</v>
      </c>
      <c r="X19" s="22"/>
      <c r="Y19" s="18">
        <f t="shared" si="5"/>
        <v>10000</v>
      </c>
      <c r="Z19" s="96">
        <v>12</v>
      </c>
      <c r="AA19" s="96">
        <f t="shared" si="6"/>
        <v>9600</v>
      </c>
      <c r="AB19" s="96">
        <f t="shared" si="7"/>
        <v>12600</v>
      </c>
      <c r="AC19" s="99">
        <v>800</v>
      </c>
      <c r="AD19" s="98">
        <v>13000</v>
      </c>
      <c r="AE19" s="102">
        <f t="shared" si="8"/>
        <v>400</v>
      </c>
      <c r="AF19" s="99">
        <v>800</v>
      </c>
      <c r="AG19" s="98"/>
      <c r="AH19" s="102">
        <f t="shared" si="45"/>
        <v>1200</v>
      </c>
      <c r="AI19" s="99">
        <v>800</v>
      </c>
      <c r="AJ19" s="98"/>
      <c r="AK19" s="102">
        <f t="shared" si="46"/>
        <v>2000</v>
      </c>
      <c r="AL19" s="99">
        <v>800</v>
      </c>
      <c r="AM19" s="98"/>
      <c r="AN19" s="102">
        <f t="shared" si="47"/>
        <v>2800</v>
      </c>
      <c r="AO19" s="99">
        <v>800</v>
      </c>
      <c r="AP19" s="113"/>
      <c r="AQ19" s="102">
        <f t="shared" si="48"/>
        <v>3600</v>
      </c>
      <c r="AR19" s="99">
        <v>800</v>
      </c>
      <c r="AS19" s="113">
        <f>5000+3000</f>
        <v>8000</v>
      </c>
      <c r="AT19" s="102">
        <f t="shared" si="49"/>
        <v>-3600</v>
      </c>
      <c r="AU19" s="99">
        <v>800</v>
      </c>
      <c r="AV19" s="113"/>
      <c r="AW19" s="102">
        <f t="shared" si="50"/>
        <v>-2800</v>
      </c>
      <c r="AX19" s="99">
        <v>800</v>
      </c>
      <c r="AY19" s="113">
        <v>5000</v>
      </c>
      <c r="AZ19" s="102">
        <f t="shared" si="51"/>
        <v>-7000</v>
      </c>
      <c r="BA19" s="99">
        <v>800</v>
      </c>
      <c r="BB19" s="113"/>
      <c r="BC19" s="102">
        <f t="shared" si="52"/>
        <v>-6200</v>
      </c>
      <c r="BD19" s="99">
        <v>800</v>
      </c>
      <c r="BE19" s="113"/>
      <c r="BF19" s="102">
        <f t="shared" si="53"/>
        <v>-5400</v>
      </c>
      <c r="BG19" s="99">
        <v>800</v>
      </c>
      <c r="BH19" s="113"/>
      <c r="BI19" s="102">
        <f t="shared" si="54"/>
        <v>-4600</v>
      </c>
      <c r="BJ19" s="99">
        <v>800</v>
      </c>
      <c r="BK19" s="113"/>
      <c r="BL19" s="102">
        <f t="shared" si="55"/>
        <v>-3800</v>
      </c>
      <c r="BM19" s="99">
        <v>800</v>
      </c>
      <c r="BN19" s="113"/>
      <c r="BO19" s="102">
        <f t="shared" si="56"/>
        <v>-3000</v>
      </c>
      <c r="BP19" s="99">
        <v>800</v>
      </c>
      <c r="BQ19" s="113"/>
      <c r="BR19" s="102">
        <f t="shared" si="57"/>
        <v>-2200</v>
      </c>
      <c r="BS19" s="99">
        <v>800</v>
      </c>
      <c r="BT19" s="113"/>
      <c r="BU19" s="102">
        <f t="shared" si="58"/>
        <v>-1400</v>
      </c>
      <c r="BV19" s="99">
        <v>800</v>
      </c>
      <c r="BW19" s="113"/>
      <c r="BX19" s="102">
        <f t="shared" si="59"/>
        <v>-600</v>
      </c>
      <c r="BY19" s="99">
        <v>800</v>
      </c>
      <c r="BZ19" s="113"/>
      <c r="CA19" s="102">
        <f t="shared" si="60"/>
        <v>200</v>
      </c>
      <c r="CB19" s="99">
        <v>800</v>
      </c>
      <c r="CC19" s="113"/>
      <c r="CD19" s="102">
        <f t="shared" si="61"/>
        <v>1000</v>
      </c>
      <c r="CE19" s="99">
        <v>800</v>
      </c>
      <c r="CF19" s="113">
        <v>4000</v>
      </c>
      <c r="CG19" s="102">
        <f t="shared" si="62"/>
        <v>-2200</v>
      </c>
      <c r="CH19" s="99">
        <v>800</v>
      </c>
      <c r="CI19" s="113"/>
      <c r="CJ19" s="102">
        <f t="shared" si="63"/>
        <v>-1400</v>
      </c>
      <c r="CK19" s="99">
        <v>800</v>
      </c>
      <c r="CL19" s="113"/>
      <c r="CM19" s="102">
        <f t="shared" si="64"/>
        <v>-600</v>
      </c>
      <c r="CN19" s="99">
        <v>800</v>
      </c>
      <c r="CO19" s="113"/>
      <c r="CP19" s="102">
        <f t="shared" si="65"/>
        <v>200</v>
      </c>
      <c r="CQ19" s="99">
        <v>800</v>
      </c>
      <c r="CR19" s="113">
        <v>3000</v>
      </c>
      <c r="CS19" s="102">
        <f t="shared" ref="CS19:CS37" si="66">CP19+CQ19-CR19</f>
        <v>-2000</v>
      </c>
      <c r="CT19" s="99">
        <v>800</v>
      </c>
      <c r="CU19" s="113"/>
      <c r="CV19" s="102">
        <f t="shared" ref="CV19:CV33" si="67">CS19+CT19-CU19</f>
        <v>-1200</v>
      </c>
      <c r="CW19" s="99">
        <v>800</v>
      </c>
      <c r="CX19" s="113"/>
      <c r="CY19" s="102">
        <f t="shared" ref="CY19:CY33" si="68">CV19+CW19-CX19</f>
        <v>-400</v>
      </c>
    </row>
    <row r="20" spans="1:103">
      <c r="A20" s="41">
        <f>VLOOKUP(B20,справочник!$B$2:$E$322,4,FALSE)</f>
        <v>119</v>
      </c>
      <c r="B20" t="str">
        <f t="shared" si="4"/>
        <v>124Афян Сасун Аркадиевич</v>
      </c>
      <c r="C20" s="1">
        <v>124</v>
      </c>
      <c r="D20" s="2" t="s">
        <v>17</v>
      </c>
      <c r="E20" s="1" t="s">
        <v>334</v>
      </c>
      <c r="F20" s="16">
        <v>41401</v>
      </c>
      <c r="G20" s="16">
        <v>41426</v>
      </c>
      <c r="H20" s="17">
        <f>INT(($H$326-G20)/30)</f>
        <v>31</v>
      </c>
      <c r="I20" s="1">
        <f t="shared" si="2"/>
        <v>31000</v>
      </c>
      <c r="J20" s="17">
        <v>11000</v>
      </c>
      <c r="K20" s="17"/>
      <c r="L20" s="18">
        <f t="shared" si="3"/>
        <v>20000</v>
      </c>
      <c r="M20" s="22"/>
      <c r="N20" s="22"/>
      <c r="O20" s="22">
        <v>3000</v>
      </c>
      <c r="P20" s="22"/>
      <c r="Q20" s="22"/>
      <c r="R20" s="22"/>
      <c r="S20" s="22"/>
      <c r="T20" s="22"/>
      <c r="U20" s="22"/>
      <c r="V20" s="22"/>
      <c r="W20" s="22"/>
      <c r="X20" s="22"/>
      <c r="Y20" s="18">
        <f t="shared" si="5"/>
        <v>3000</v>
      </c>
      <c r="Z20" s="96">
        <v>12</v>
      </c>
      <c r="AA20" s="96">
        <f t="shared" si="6"/>
        <v>9600</v>
      </c>
      <c r="AB20" s="96">
        <f t="shared" si="7"/>
        <v>26600</v>
      </c>
      <c r="AC20" s="99">
        <v>800</v>
      </c>
      <c r="AD20" s="98"/>
      <c r="AE20" s="102">
        <f t="shared" si="8"/>
        <v>27400</v>
      </c>
      <c r="AF20" s="99">
        <v>800</v>
      </c>
      <c r="AG20" s="98"/>
      <c r="AH20" s="102">
        <f t="shared" si="45"/>
        <v>28200</v>
      </c>
      <c r="AI20" s="99">
        <v>800</v>
      </c>
      <c r="AJ20" s="98"/>
      <c r="AK20" s="102">
        <f t="shared" si="46"/>
        <v>29000</v>
      </c>
      <c r="AL20" s="99">
        <v>800</v>
      </c>
      <c r="AM20" s="98"/>
      <c r="AN20" s="102">
        <f t="shared" si="47"/>
        <v>29800</v>
      </c>
      <c r="AO20" s="99">
        <v>800</v>
      </c>
      <c r="AP20" s="113"/>
      <c r="AQ20" s="102">
        <f t="shared" si="48"/>
        <v>30600</v>
      </c>
      <c r="AR20" s="99">
        <v>800</v>
      </c>
      <c r="AS20" s="113"/>
      <c r="AT20" s="102">
        <f t="shared" si="49"/>
        <v>31400</v>
      </c>
      <c r="AU20" s="99">
        <v>800</v>
      </c>
      <c r="AV20" s="113"/>
      <c r="AW20" s="102">
        <f t="shared" si="50"/>
        <v>32200</v>
      </c>
      <c r="AX20" s="99">
        <v>800</v>
      </c>
      <c r="AY20" s="113"/>
      <c r="AZ20" s="102">
        <f t="shared" si="51"/>
        <v>33000</v>
      </c>
      <c r="BA20" s="99">
        <v>800</v>
      </c>
      <c r="BB20" s="113"/>
      <c r="BC20" s="102">
        <f t="shared" si="52"/>
        <v>33800</v>
      </c>
      <c r="BD20" s="99">
        <v>800</v>
      </c>
      <c r="BE20" s="113"/>
      <c r="BF20" s="102">
        <f t="shared" si="53"/>
        <v>34600</v>
      </c>
      <c r="BG20" s="99">
        <v>800</v>
      </c>
      <c r="BH20" s="113"/>
      <c r="BI20" s="102">
        <f t="shared" si="54"/>
        <v>35400</v>
      </c>
      <c r="BJ20" s="99">
        <v>800</v>
      </c>
      <c r="BK20" s="113"/>
      <c r="BL20" s="102">
        <f t="shared" si="55"/>
        <v>36200</v>
      </c>
      <c r="BM20" s="99">
        <v>800</v>
      </c>
      <c r="BN20" s="113"/>
      <c r="BO20" s="102">
        <f t="shared" si="56"/>
        <v>37000</v>
      </c>
      <c r="BP20" s="99">
        <v>800</v>
      </c>
      <c r="BQ20" s="113"/>
      <c r="BR20" s="102">
        <f t="shared" si="57"/>
        <v>37800</v>
      </c>
      <c r="BS20" s="99">
        <v>800</v>
      </c>
      <c r="BT20" s="113"/>
      <c r="BU20" s="102">
        <f t="shared" si="58"/>
        <v>38600</v>
      </c>
      <c r="BV20" s="99">
        <v>800</v>
      </c>
      <c r="BW20" s="113"/>
      <c r="BX20" s="102">
        <f t="shared" si="59"/>
        <v>39400</v>
      </c>
      <c r="BY20" s="99">
        <v>800</v>
      </c>
      <c r="BZ20" s="113"/>
      <c r="CA20" s="102">
        <f t="shared" si="60"/>
        <v>40200</v>
      </c>
      <c r="CB20" s="99">
        <v>800</v>
      </c>
      <c r="CC20" s="113"/>
      <c r="CD20" s="102">
        <f t="shared" si="61"/>
        <v>41000</v>
      </c>
      <c r="CE20" s="99">
        <v>800</v>
      </c>
      <c r="CF20" s="113"/>
      <c r="CG20" s="102">
        <f t="shared" si="62"/>
        <v>41800</v>
      </c>
      <c r="CH20" s="99">
        <v>800</v>
      </c>
      <c r="CI20" s="113"/>
      <c r="CJ20" s="102">
        <f t="shared" si="63"/>
        <v>42600</v>
      </c>
      <c r="CK20" s="99">
        <v>800</v>
      </c>
      <c r="CL20" s="113"/>
      <c r="CM20" s="102">
        <f t="shared" si="64"/>
        <v>43400</v>
      </c>
      <c r="CN20" s="99">
        <v>800</v>
      </c>
      <c r="CO20" s="113"/>
      <c r="CP20" s="102">
        <f t="shared" si="65"/>
        <v>44200</v>
      </c>
      <c r="CQ20" s="99">
        <v>800</v>
      </c>
      <c r="CR20" s="113"/>
      <c r="CS20" s="102">
        <f t="shared" si="66"/>
        <v>45000</v>
      </c>
      <c r="CT20" s="99">
        <v>800</v>
      </c>
      <c r="CU20" s="113"/>
      <c r="CV20" s="102">
        <f t="shared" si="67"/>
        <v>45800</v>
      </c>
      <c r="CW20" s="99">
        <v>800</v>
      </c>
      <c r="CX20" s="113"/>
      <c r="CY20" s="102">
        <f t="shared" si="68"/>
        <v>46600</v>
      </c>
    </row>
    <row r="21" spans="1:103">
      <c r="A21" s="41">
        <f>VLOOKUP(B21,справочник!$B$2:$E$322,4,FALSE)</f>
        <v>293</v>
      </c>
      <c r="B21" t="str">
        <f t="shared" si="4"/>
        <v>308Ахромеев Андрей Владимирович</v>
      </c>
      <c r="C21" s="1">
        <v>308</v>
      </c>
      <c r="D21" s="2" t="s">
        <v>18</v>
      </c>
      <c r="E21" s="1" t="s">
        <v>335</v>
      </c>
      <c r="F21" s="16">
        <v>40928</v>
      </c>
      <c r="G21" s="16">
        <v>40909</v>
      </c>
      <c r="H21" s="17">
        <f>INT(($H$326-G21)/30)</f>
        <v>48</v>
      </c>
      <c r="I21" s="1">
        <f t="shared" si="2"/>
        <v>48000</v>
      </c>
      <c r="J21" s="17">
        <f>11500+24500</f>
        <v>36000</v>
      </c>
      <c r="K21" s="17"/>
      <c r="L21" s="18">
        <f t="shared" si="3"/>
        <v>12000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18">
        <f t="shared" si="5"/>
        <v>0</v>
      </c>
      <c r="Z21" s="96">
        <v>12</v>
      </c>
      <c r="AA21" s="96">
        <f t="shared" si="6"/>
        <v>9600</v>
      </c>
      <c r="AB21" s="96">
        <f t="shared" si="7"/>
        <v>21600</v>
      </c>
      <c r="AC21" s="99">
        <v>800</v>
      </c>
      <c r="AD21" s="98"/>
      <c r="AE21" s="102">
        <f t="shared" si="8"/>
        <v>22400</v>
      </c>
      <c r="AF21" s="99">
        <v>800</v>
      </c>
      <c r="AG21" s="98"/>
      <c r="AH21" s="102">
        <f t="shared" si="45"/>
        <v>23200</v>
      </c>
      <c r="AI21" s="99">
        <v>800</v>
      </c>
      <c r="AJ21" s="98"/>
      <c r="AK21" s="102">
        <f t="shared" si="46"/>
        <v>24000</v>
      </c>
      <c r="AL21" s="99">
        <v>800</v>
      </c>
      <c r="AM21" s="98"/>
      <c r="AN21" s="102">
        <f t="shared" si="47"/>
        <v>24800</v>
      </c>
      <c r="AO21" s="99">
        <v>800</v>
      </c>
      <c r="AP21" s="113"/>
      <c r="AQ21" s="102">
        <f t="shared" si="48"/>
        <v>25600</v>
      </c>
      <c r="AR21" s="99">
        <v>800</v>
      </c>
      <c r="AS21" s="113"/>
      <c r="AT21" s="102">
        <f t="shared" si="49"/>
        <v>26400</v>
      </c>
      <c r="AU21" s="99">
        <v>800</v>
      </c>
      <c r="AV21" s="113"/>
      <c r="AW21" s="102">
        <f t="shared" si="50"/>
        <v>27200</v>
      </c>
      <c r="AX21" s="99">
        <v>800</v>
      </c>
      <c r="AY21" s="113"/>
      <c r="AZ21" s="102">
        <f t="shared" si="51"/>
        <v>28000</v>
      </c>
      <c r="BA21" s="99">
        <v>800</v>
      </c>
      <c r="BB21" s="113"/>
      <c r="BC21" s="102">
        <f t="shared" si="52"/>
        <v>28800</v>
      </c>
      <c r="BD21" s="99">
        <v>800</v>
      </c>
      <c r="BE21" s="113"/>
      <c r="BF21" s="102">
        <f t="shared" si="53"/>
        <v>29600</v>
      </c>
      <c r="BG21" s="99">
        <v>800</v>
      </c>
      <c r="BH21" s="113"/>
      <c r="BI21" s="102">
        <f t="shared" si="54"/>
        <v>30400</v>
      </c>
      <c r="BJ21" s="99">
        <v>800</v>
      </c>
      <c r="BK21" s="113"/>
      <c r="BL21" s="102">
        <f t="shared" si="55"/>
        <v>31200</v>
      </c>
      <c r="BM21" s="99">
        <v>800</v>
      </c>
      <c r="BN21" s="113"/>
      <c r="BO21" s="102">
        <f t="shared" si="56"/>
        <v>32000</v>
      </c>
      <c r="BP21" s="99">
        <v>800</v>
      </c>
      <c r="BQ21" s="113"/>
      <c r="BR21" s="102">
        <f t="shared" si="57"/>
        <v>32800</v>
      </c>
      <c r="BS21" s="99">
        <v>800</v>
      </c>
      <c r="BT21" s="113"/>
      <c r="BU21" s="102">
        <f t="shared" si="58"/>
        <v>33600</v>
      </c>
      <c r="BV21" s="99">
        <v>800</v>
      </c>
      <c r="BW21" s="113"/>
      <c r="BX21" s="102">
        <f t="shared" si="59"/>
        <v>34400</v>
      </c>
      <c r="BY21" s="99">
        <v>800</v>
      </c>
      <c r="BZ21" s="113"/>
      <c r="CA21" s="102">
        <f t="shared" si="60"/>
        <v>35200</v>
      </c>
      <c r="CB21" s="99">
        <v>800</v>
      </c>
      <c r="CC21" s="113"/>
      <c r="CD21" s="102">
        <f t="shared" si="61"/>
        <v>36000</v>
      </c>
      <c r="CE21" s="99">
        <v>800</v>
      </c>
      <c r="CF21" s="113"/>
      <c r="CG21" s="102">
        <f t="shared" si="62"/>
        <v>36800</v>
      </c>
      <c r="CH21" s="99">
        <v>800</v>
      </c>
      <c r="CI21" s="113"/>
      <c r="CJ21" s="102">
        <f t="shared" si="63"/>
        <v>37600</v>
      </c>
      <c r="CK21" s="99">
        <v>800</v>
      </c>
      <c r="CL21" s="113"/>
      <c r="CM21" s="102">
        <f t="shared" si="64"/>
        <v>38400</v>
      </c>
      <c r="CN21" s="99">
        <v>800</v>
      </c>
      <c r="CO21" s="113"/>
      <c r="CP21" s="102">
        <f t="shared" si="65"/>
        <v>39200</v>
      </c>
      <c r="CQ21" s="99">
        <v>800</v>
      </c>
      <c r="CR21" s="113"/>
      <c r="CS21" s="102">
        <f t="shared" si="66"/>
        <v>40000</v>
      </c>
      <c r="CT21" s="99">
        <v>800</v>
      </c>
      <c r="CU21" s="113"/>
      <c r="CV21" s="102">
        <f t="shared" si="67"/>
        <v>40800</v>
      </c>
      <c r="CW21" s="99">
        <v>800</v>
      </c>
      <c r="CX21" s="113"/>
      <c r="CY21" s="102">
        <f t="shared" si="68"/>
        <v>41600</v>
      </c>
    </row>
    <row r="22" spans="1:103" ht="24">
      <c r="A22" s="41" t="e">
        <f>VLOOKUP(B22,справочник!$B$2:$E$322,4,FALSE)</f>
        <v>#N/A</v>
      </c>
      <c r="B22" t="str">
        <f t="shared" si="4"/>
        <v>199Бадирьян Тамара Викторовна (новый собственник Морженкова Алла Николаевна)</v>
      </c>
      <c r="C22" s="1">
        <v>199</v>
      </c>
      <c r="D22" s="2" t="s">
        <v>817</v>
      </c>
      <c r="E22" s="1" t="s">
        <v>336</v>
      </c>
      <c r="F22" s="1"/>
      <c r="G22" s="1"/>
      <c r="H22" s="17"/>
      <c r="I22" s="1">
        <f t="shared" si="2"/>
        <v>0</v>
      </c>
      <c r="J22" s="17"/>
      <c r="K22" s="17"/>
      <c r="L22" s="18">
        <f t="shared" si="3"/>
        <v>0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8">
        <f t="shared" si="5"/>
        <v>0</v>
      </c>
      <c r="Z22" s="96">
        <v>12</v>
      </c>
      <c r="AA22" s="96">
        <f t="shared" si="6"/>
        <v>9600</v>
      </c>
      <c r="AB22" s="96">
        <f t="shared" si="7"/>
        <v>9600</v>
      </c>
      <c r="AC22" s="99">
        <v>800</v>
      </c>
      <c r="AD22" s="98"/>
      <c r="AE22" s="102">
        <f t="shared" si="8"/>
        <v>10400</v>
      </c>
      <c r="AF22" s="99">
        <v>800</v>
      </c>
      <c r="AG22" s="98"/>
      <c r="AH22" s="102">
        <f t="shared" si="45"/>
        <v>11200</v>
      </c>
      <c r="AI22" s="99">
        <v>800</v>
      </c>
      <c r="AJ22" s="98"/>
      <c r="AK22" s="102">
        <f t="shared" si="46"/>
        <v>12000</v>
      </c>
      <c r="AL22" s="99">
        <v>800</v>
      </c>
      <c r="AM22" s="98"/>
      <c r="AN22" s="102">
        <f t="shared" si="47"/>
        <v>12800</v>
      </c>
      <c r="AO22" s="99">
        <v>800</v>
      </c>
      <c r="AP22" s="113"/>
      <c r="AQ22" s="102">
        <f t="shared" si="48"/>
        <v>13600</v>
      </c>
      <c r="AR22" s="99">
        <v>800</v>
      </c>
      <c r="AS22" s="113"/>
      <c r="AT22" s="102">
        <f t="shared" si="49"/>
        <v>14400</v>
      </c>
      <c r="AU22" s="99">
        <v>800</v>
      </c>
      <c r="AV22" s="113"/>
      <c r="AW22" s="102">
        <f t="shared" si="50"/>
        <v>15200</v>
      </c>
      <c r="AX22" s="99">
        <v>800</v>
      </c>
      <c r="AY22" s="113"/>
      <c r="AZ22" s="102">
        <f t="shared" si="51"/>
        <v>16000</v>
      </c>
      <c r="BA22" s="99">
        <v>800</v>
      </c>
      <c r="BB22" s="113"/>
      <c r="BC22" s="102">
        <f t="shared" si="52"/>
        <v>16800</v>
      </c>
      <c r="BD22" s="99">
        <v>800</v>
      </c>
      <c r="BE22" s="113"/>
      <c r="BF22" s="102">
        <f t="shared" si="53"/>
        <v>17600</v>
      </c>
      <c r="BG22" s="99">
        <v>800</v>
      </c>
      <c r="BH22" s="113">
        <v>3000</v>
      </c>
      <c r="BI22" s="102">
        <f t="shared" si="54"/>
        <v>15400</v>
      </c>
      <c r="BJ22" s="99">
        <v>800</v>
      </c>
      <c r="BK22" s="113"/>
      <c r="BL22" s="102">
        <f t="shared" si="55"/>
        <v>16200</v>
      </c>
      <c r="BM22" s="99">
        <v>800</v>
      </c>
      <c r="BN22" s="113">
        <v>4800</v>
      </c>
      <c r="BO22" s="102">
        <f t="shared" si="56"/>
        <v>12200</v>
      </c>
      <c r="BP22" s="99">
        <v>800</v>
      </c>
      <c r="BQ22" s="113"/>
      <c r="BR22" s="102">
        <f t="shared" si="57"/>
        <v>13000</v>
      </c>
      <c r="BS22" s="99">
        <v>800</v>
      </c>
      <c r="BT22" s="113"/>
      <c r="BU22" s="102">
        <f t="shared" si="58"/>
        <v>13800</v>
      </c>
      <c r="BV22" s="99">
        <v>800</v>
      </c>
      <c r="BW22" s="113"/>
      <c r="BX22" s="102">
        <f t="shared" si="59"/>
        <v>14600</v>
      </c>
      <c r="BY22" s="99">
        <v>800</v>
      </c>
      <c r="BZ22" s="113"/>
      <c r="CA22" s="102">
        <f t="shared" si="60"/>
        <v>15400</v>
      </c>
      <c r="CB22" s="99">
        <v>800</v>
      </c>
      <c r="CC22" s="113"/>
      <c r="CD22" s="102">
        <f t="shared" si="61"/>
        <v>16200</v>
      </c>
      <c r="CE22" s="99">
        <v>800</v>
      </c>
      <c r="CF22" s="113"/>
      <c r="CG22" s="102">
        <f t="shared" si="62"/>
        <v>17000</v>
      </c>
      <c r="CH22" s="99">
        <v>800</v>
      </c>
      <c r="CI22" s="113">
        <v>4800</v>
      </c>
      <c r="CJ22" s="102">
        <f t="shared" si="63"/>
        <v>13000</v>
      </c>
      <c r="CK22" s="99">
        <v>800</v>
      </c>
      <c r="CL22" s="113"/>
      <c r="CM22" s="102">
        <f t="shared" si="64"/>
        <v>13800</v>
      </c>
      <c r="CN22" s="99">
        <v>800</v>
      </c>
      <c r="CO22" s="113"/>
      <c r="CP22" s="102">
        <f t="shared" si="65"/>
        <v>14600</v>
      </c>
      <c r="CQ22" s="99">
        <v>800</v>
      </c>
      <c r="CR22" s="113"/>
      <c r="CS22" s="102">
        <f t="shared" si="66"/>
        <v>15400</v>
      </c>
      <c r="CT22" s="99">
        <v>800</v>
      </c>
      <c r="CU22" s="113"/>
      <c r="CV22" s="102">
        <f t="shared" si="67"/>
        <v>16200</v>
      </c>
      <c r="CW22" s="99">
        <v>800</v>
      </c>
      <c r="CX22" s="113"/>
      <c r="CY22" s="102">
        <f t="shared" si="68"/>
        <v>17000</v>
      </c>
    </row>
    <row r="23" spans="1:103">
      <c r="A23" s="41" t="e">
        <f>VLOOKUP(B23,справочник!$B$2:$E$322,4,FALSE)</f>
        <v>#N/A</v>
      </c>
      <c r="B23" t="str">
        <f t="shared" si="4"/>
        <v>260Байбикова Руфия 1/2 и Рузалия Равилевны ½</v>
      </c>
      <c r="C23" s="1">
        <v>260</v>
      </c>
      <c r="D23" s="2" t="s">
        <v>831</v>
      </c>
      <c r="E23" s="1" t="s">
        <v>337</v>
      </c>
      <c r="F23" s="16">
        <v>41604</v>
      </c>
      <c r="G23" s="16">
        <v>41609</v>
      </c>
      <c r="H23" s="17">
        <f t="shared" ref="H23:H30" si="69">INT(($H$326-G23)/30)</f>
        <v>25</v>
      </c>
      <c r="I23" s="1">
        <f t="shared" si="2"/>
        <v>25000</v>
      </c>
      <c r="J23" s="17">
        <f>1000</f>
        <v>1000</v>
      </c>
      <c r="K23" s="17"/>
      <c r="L23" s="18">
        <f t="shared" si="3"/>
        <v>24000</v>
      </c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18">
        <f t="shared" si="5"/>
        <v>0</v>
      </c>
      <c r="Z23" s="96">
        <v>12</v>
      </c>
      <c r="AA23" s="96">
        <f t="shared" si="6"/>
        <v>9600</v>
      </c>
      <c r="AB23" s="96">
        <f t="shared" si="7"/>
        <v>33600</v>
      </c>
      <c r="AC23" s="99">
        <v>800</v>
      </c>
      <c r="AD23" s="98"/>
      <c r="AE23" s="102">
        <f t="shared" si="8"/>
        <v>34400</v>
      </c>
      <c r="AF23" s="99">
        <v>800</v>
      </c>
      <c r="AG23" s="98"/>
      <c r="AH23" s="102">
        <f t="shared" si="45"/>
        <v>35200</v>
      </c>
      <c r="AI23" s="99">
        <v>800</v>
      </c>
      <c r="AJ23" s="98">
        <v>15000</v>
      </c>
      <c r="AK23" s="102">
        <f t="shared" si="46"/>
        <v>21000</v>
      </c>
      <c r="AL23" s="99">
        <v>800</v>
      </c>
      <c r="AM23" s="98"/>
      <c r="AN23" s="102">
        <f t="shared" si="47"/>
        <v>21800</v>
      </c>
      <c r="AO23" s="99">
        <v>800</v>
      </c>
      <c r="AP23" s="113"/>
      <c r="AQ23" s="102">
        <f t="shared" si="48"/>
        <v>22600</v>
      </c>
      <c r="AR23" s="99">
        <v>800</v>
      </c>
      <c r="AS23" s="113"/>
      <c r="AT23" s="102">
        <f t="shared" si="49"/>
        <v>23400</v>
      </c>
      <c r="AU23" s="99">
        <v>800</v>
      </c>
      <c r="AV23" s="113"/>
      <c r="AW23" s="102">
        <f t="shared" si="50"/>
        <v>24200</v>
      </c>
      <c r="AX23" s="99">
        <v>800</v>
      </c>
      <c r="AY23" s="113"/>
      <c r="AZ23" s="102">
        <f t="shared" si="51"/>
        <v>25000</v>
      </c>
      <c r="BA23" s="99">
        <v>800</v>
      </c>
      <c r="BB23" s="113"/>
      <c r="BC23" s="102">
        <f t="shared" si="52"/>
        <v>25800</v>
      </c>
      <c r="BD23" s="99">
        <v>800</v>
      </c>
      <c r="BE23" s="113"/>
      <c r="BF23" s="102">
        <f t="shared" si="53"/>
        <v>26600</v>
      </c>
      <c r="BG23" s="99">
        <v>800</v>
      </c>
      <c r="BH23" s="113"/>
      <c r="BI23" s="102">
        <f t="shared" si="54"/>
        <v>27400</v>
      </c>
      <c r="BJ23" s="99">
        <v>800</v>
      </c>
      <c r="BK23" s="113"/>
      <c r="BL23" s="102">
        <f t="shared" si="55"/>
        <v>28200</v>
      </c>
      <c r="BM23" s="99">
        <v>800</v>
      </c>
      <c r="BN23" s="113"/>
      <c r="BO23" s="102">
        <f t="shared" si="56"/>
        <v>29000</v>
      </c>
      <c r="BP23" s="99">
        <v>800</v>
      </c>
      <c r="BQ23" s="113"/>
      <c r="BR23" s="102">
        <f t="shared" si="57"/>
        <v>29800</v>
      </c>
      <c r="BS23" s="99">
        <v>800</v>
      </c>
      <c r="BT23" s="113"/>
      <c r="BU23" s="102">
        <f t="shared" si="58"/>
        <v>30600</v>
      </c>
      <c r="BV23" s="99">
        <v>800</v>
      </c>
      <c r="BW23" s="113"/>
      <c r="BX23" s="102">
        <f t="shared" si="59"/>
        <v>31400</v>
      </c>
      <c r="BY23" s="99">
        <v>800</v>
      </c>
      <c r="BZ23" s="113"/>
      <c r="CA23" s="102">
        <f t="shared" si="60"/>
        <v>32200</v>
      </c>
      <c r="CB23" s="99">
        <v>800</v>
      </c>
      <c r="CC23" s="113"/>
      <c r="CD23" s="102">
        <f t="shared" si="61"/>
        <v>33000</v>
      </c>
      <c r="CE23" s="99">
        <v>800</v>
      </c>
      <c r="CF23" s="113"/>
      <c r="CG23" s="102">
        <f t="shared" si="62"/>
        <v>33800</v>
      </c>
      <c r="CH23" s="99">
        <v>800</v>
      </c>
      <c r="CI23" s="113"/>
      <c r="CJ23" s="102">
        <f t="shared" si="63"/>
        <v>34600</v>
      </c>
      <c r="CK23" s="99">
        <v>800</v>
      </c>
      <c r="CL23" s="113"/>
      <c r="CM23" s="102">
        <f t="shared" si="64"/>
        <v>35400</v>
      </c>
      <c r="CN23" s="99">
        <v>800</v>
      </c>
      <c r="CO23" s="113"/>
      <c r="CP23" s="102">
        <f t="shared" si="65"/>
        <v>36200</v>
      </c>
      <c r="CQ23" s="99">
        <v>800</v>
      </c>
      <c r="CR23" s="113"/>
      <c r="CS23" s="102">
        <f t="shared" si="66"/>
        <v>37000</v>
      </c>
      <c r="CT23" s="99">
        <v>800</v>
      </c>
      <c r="CU23" s="113"/>
      <c r="CV23" s="102">
        <f t="shared" si="67"/>
        <v>37800</v>
      </c>
      <c r="CW23" s="99">
        <v>800</v>
      </c>
      <c r="CX23" s="113"/>
      <c r="CY23" s="102">
        <f t="shared" si="68"/>
        <v>38600</v>
      </c>
    </row>
    <row r="24" spans="1:103">
      <c r="A24" s="41">
        <f>VLOOKUP(B24,справочник!$B$2:$E$322,4,FALSE)</f>
        <v>72</v>
      </c>
      <c r="B24" t="str">
        <f t="shared" si="4"/>
        <v>78Лещёва Ольга Владимировна</v>
      </c>
      <c r="C24" s="1">
        <v>78</v>
      </c>
      <c r="D24" s="2" t="s">
        <v>21</v>
      </c>
      <c r="E24" s="1" t="s">
        <v>338</v>
      </c>
      <c r="F24" s="16">
        <v>40793</v>
      </c>
      <c r="G24" s="16">
        <v>40787</v>
      </c>
      <c r="H24" s="17">
        <f t="shared" si="69"/>
        <v>52</v>
      </c>
      <c r="I24" s="1">
        <f t="shared" si="2"/>
        <v>52000</v>
      </c>
      <c r="J24" s="17">
        <f>19000+1500+2500+23000</f>
        <v>46000</v>
      </c>
      <c r="K24" s="17"/>
      <c r="L24" s="18">
        <f t="shared" si="3"/>
        <v>6000</v>
      </c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84"/>
      <c r="X24" s="22"/>
      <c r="Y24" s="18">
        <f t="shared" si="5"/>
        <v>0</v>
      </c>
      <c r="Z24" s="96">
        <v>12</v>
      </c>
      <c r="AA24" s="96">
        <f t="shared" si="6"/>
        <v>9600</v>
      </c>
      <c r="AB24" s="96">
        <f t="shared" si="7"/>
        <v>15600</v>
      </c>
      <c r="AC24" s="99">
        <v>800</v>
      </c>
      <c r="AD24" s="98"/>
      <c r="AE24" s="102">
        <f t="shared" si="8"/>
        <v>16400</v>
      </c>
      <c r="AF24" s="99">
        <v>800</v>
      </c>
      <c r="AG24" s="98"/>
      <c r="AH24" s="102">
        <f t="shared" si="45"/>
        <v>17200</v>
      </c>
      <c r="AI24" s="99">
        <v>800</v>
      </c>
      <c r="AJ24" s="98"/>
      <c r="AK24" s="102">
        <f t="shared" si="46"/>
        <v>18000</v>
      </c>
      <c r="AL24" s="99">
        <v>800</v>
      </c>
      <c r="AM24" s="98"/>
      <c r="AN24" s="102">
        <f t="shared" si="47"/>
        <v>18800</v>
      </c>
      <c r="AO24" s="99">
        <v>800</v>
      </c>
      <c r="AP24" s="113"/>
      <c r="AQ24" s="102">
        <f t="shared" si="48"/>
        <v>19600</v>
      </c>
      <c r="AR24" s="99">
        <v>800</v>
      </c>
      <c r="AS24" s="113"/>
      <c r="AT24" s="102">
        <f t="shared" si="49"/>
        <v>20400</v>
      </c>
      <c r="AU24" s="99">
        <v>800</v>
      </c>
      <c r="AV24" s="113"/>
      <c r="AW24" s="102">
        <f t="shared" si="50"/>
        <v>21200</v>
      </c>
      <c r="AX24" s="99">
        <v>800</v>
      </c>
      <c r="AY24" s="113"/>
      <c r="AZ24" s="102">
        <f t="shared" si="51"/>
        <v>22000</v>
      </c>
      <c r="BA24" s="99">
        <v>800</v>
      </c>
      <c r="BB24" s="113"/>
      <c r="BC24" s="102">
        <f t="shared" si="52"/>
        <v>22800</v>
      </c>
      <c r="BD24" s="99">
        <v>800</v>
      </c>
      <c r="BE24" s="113"/>
      <c r="BF24" s="102">
        <f t="shared" si="53"/>
        <v>23600</v>
      </c>
      <c r="BG24" s="99">
        <v>800</v>
      </c>
      <c r="BH24" s="113"/>
      <c r="BI24" s="102">
        <f t="shared" si="54"/>
        <v>24400</v>
      </c>
      <c r="BJ24" s="99">
        <v>800</v>
      </c>
      <c r="BK24" s="113"/>
      <c r="BL24" s="102">
        <f t="shared" si="55"/>
        <v>25200</v>
      </c>
      <c r="BM24" s="99">
        <v>800</v>
      </c>
      <c r="BN24" s="113"/>
      <c r="BO24" s="102">
        <f t="shared" si="56"/>
        <v>26000</v>
      </c>
      <c r="BP24" s="99">
        <v>800</v>
      </c>
      <c r="BQ24" s="113"/>
      <c r="BR24" s="102">
        <f t="shared" si="57"/>
        <v>26800</v>
      </c>
      <c r="BS24" s="99">
        <v>800</v>
      </c>
      <c r="BT24" s="113">
        <v>28000</v>
      </c>
      <c r="BU24" s="102">
        <f t="shared" si="58"/>
        <v>-400</v>
      </c>
      <c r="BV24" s="99">
        <v>800</v>
      </c>
      <c r="BW24" s="113"/>
      <c r="BX24" s="102">
        <f t="shared" si="59"/>
        <v>400</v>
      </c>
      <c r="BY24" s="99">
        <v>800</v>
      </c>
      <c r="BZ24" s="113"/>
      <c r="CA24" s="102">
        <f t="shared" si="60"/>
        <v>1200</v>
      </c>
      <c r="CB24" s="99">
        <v>800</v>
      </c>
      <c r="CC24" s="113"/>
      <c r="CD24" s="102">
        <f t="shared" si="61"/>
        <v>2000</v>
      </c>
      <c r="CE24" s="99">
        <v>800</v>
      </c>
      <c r="CF24" s="113"/>
      <c r="CG24" s="102">
        <f t="shared" si="62"/>
        <v>2800</v>
      </c>
      <c r="CH24" s="99">
        <v>800</v>
      </c>
      <c r="CI24" s="113"/>
      <c r="CJ24" s="102">
        <f t="shared" si="63"/>
        <v>3600</v>
      </c>
      <c r="CK24" s="99">
        <v>800</v>
      </c>
      <c r="CL24" s="113"/>
      <c r="CM24" s="102">
        <f t="shared" si="64"/>
        <v>4400</v>
      </c>
      <c r="CN24" s="99">
        <v>800</v>
      </c>
      <c r="CO24" s="113"/>
      <c r="CP24" s="102">
        <f t="shared" si="65"/>
        <v>5200</v>
      </c>
      <c r="CQ24" s="99">
        <v>800</v>
      </c>
      <c r="CR24" s="113"/>
      <c r="CS24" s="102">
        <f t="shared" si="66"/>
        <v>6000</v>
      </c>
      <c r="CT24" s="99">
        <v>800</v>
      </c>
      <c r="CU24" s="113"/>
      <c r="CV24" s="102">
        <f t="shared" si="67"/>
        <v>6800</v>
      </c>
      <c r="CW24" s="99">
        <v>800</v>
      </c>
      <c r="CX24" s="113"/>
      <c r="CY24" s="102">
        <f t="shared" si="68"/>
        <v>7600</v>
      </c>
    </row>
    <row r="25" spans="1:103">
      <c r="A25" s="41">
        <f>VLOOKUP(B25,справочник!$B$2:$E$322,4,FALSE)</f>
        <v>125</v>
      </c>
      <c r="B25" t="str">
        <f t="shared" si="4"/>
        <v>130Безбородова Людмила Михайловна</v>
      </c>
      <c r="C25" s="1">
        <v>130</v>
      </c>
      <c r="D25" s="2" t="s">
        <v>22</v>
      </c>
      <c r="E25" s="1" t="s">
        <v>339</v>
      </c>
      <c r="F25" s="16">
        <v>41948</v>
      </c>
      <c r="G25" s="16">
        <v>41974</v>
      </c>
      <c r="H25" s="17">
        <f t="shared" si="69"/>
        <v>13</v>
      </c>
      <c r="I25" s="1">
        <f t="shared" si="2"/>
        <v>13000</v>
      </c>
      <c r="J25" s="17">
        <v>8000</v>
      </c>
      <c r="K25" s="17"/>
      <c r="L25" s="18">
        <f t="shared" si="3"/>
        <v>5000</v>
      </c>
      <c r="M25" s="22"/>
      <c r="N25" s="22"/>
      <c r="O25" s="22"/>
      <c r="P25" s="22"/>
      <c r="Q25" s="22"/>
      <c r="R25" s="22">
        <v>3000</v>
      </c>
      <c r="S25" s="22"/>
      <c r="T25" s="22"/>
      <c r="U25" s="22">
        <v>3000</v>
      </c>
      <c r="V25" s="22"/>
      <c r="W25" s="84">
        <v>3000</v>
      </c>
      <c r="X25" s="22"/>
      <c r="Y25" s="18">
        <f t="shared" si="5"/>
        <v>9000</v>
      </c>
      <c r="Z25" s="96">
        <v>12</v>
      </c>
      <c r="AA25" s="96">
        <f t="shared" si="6"/>
        <v>9600</v>
      </c>
      <c r="AB25" s="96">
        <f t="shared" si="7"/>
        <v>5600</v>
      </c>
      <c r="AC25" s="99">
        <v>800</v>
      </c>
      <c r="AD25" s="98"/>
      <c r="AE25" s="102">
        <f t="shared" si="8"/>
        <v>6400</v>
      </c>
      <c r="AF25" s="99">
        <v>800</v>
      </c>
      <c r="AG25" s="98"/>
      <c r="AH25" s="102">
        <f t="shared" si="45"/>
        <v>7200</v>
      </c>
      <c r="AI25" s="99">
        <v>800</v>
      </c>
      <c r="AJ25" s="98"/>
      <c r="AK25" s="102">
        <f t="shared" si="46"/>
        <v>8000</v>
      </c>
      <c r="AL25" s="99">
        <v>800</v>
      </c>
      <c r="AM25" s="98"/>
      <c r="AN25" s="102">
        <f t="shared" si="47"/>
        <v>8800</v>
      </c>
      <c r="AO25" s="99">
        <v>800</v>
      </c>
      <c r="AP25" s="113"/>
      <c r="AQ25" s="102">
        <f t="shared" si="48"/>
        <v>9600</v>
      </c>
      <c r="AR25" s="99">
        <v>800</v>
      </c>
      <c r="AS25" s="113"/>
      <c r="AT25" s="102">
        <f t="shared" si="49"/>
        <v>10400</v>
      </c>
      <c r="AU25" s="99">
        <v>800</v>
      </c>
      <c r="AV25" s="113"/>
      <c r="AW25" s="102">
        <f t="shared" si="50"/>
        <v>11200</v>
      </c>
      <c r="AX25" s="99">
        <v>800</v>
      </c>
      <c r="AY25" s="113"/>
      <c r="AZ25" s="102">
        <f t="shared" si="51"/>
        <v>12000</v>
      </c>
      <c r="BA25" s="99">
        <v>800</v>
      </c>
      <c r="BB25" s="113"/>
      <c r="BC25" s="102">
        <f t="shared" si="52"/>
        <v>12800</v>
      </c>
      <c r="BD25" s="99">
        <v>800</v>
      </c>
      <c r="BE25" s="113"/>
      <c r="BF25" s="102">
        <f t="shared" si="53"/>
        <v>13600</v>
      </c>
      <c r="BG25" s="99">
        <v>800</v>
      </c>
      <c r="BH25" s="113">
        <v>5000</v>
      </c>
      <c r="BI25" s="102">
        <f t="shared" si="54"/>
        <v>9400</v>
      </c>
      <c r="BJ25" s="99">
        <v>800</v>
      </c>
      <c r="BK25" s="113"/>
      <c r="BL25" s="102">
        <f t="shared" si="55"/>
        <v>10200</v>
      </c>
      <c r="BM25" s="99">
        <v>800</v>
      </c>
      <c r="BN25" s="113">
        <v>5000</v>
      </c>
      <c r="BO25" s="102">
        <f t="shared" si="56"/>
        <v>6000</v>
      </c>
      <c r="BP25" s="99">
        <v>800</v>
      </c>
      <c r="BQ25" s="113"/>
      <c r="BR25" s="102">
        <f t="shared" si="57"/>
        <v>6800</v>
      </c>
      <c r="BS25" s="99">
        <v>800</v>
      </c>
      <c r="BT25" s="113"/>
      <c r="BU25" s="102">
        <f t="shared" si="58"/>
        <v>7600</v>
      </c>
      <c r="BV25" s="99">
        <v>800</v>
      </c>
      <c r="BW25" s="113">
        <v>4000</v>
      </c>
      <c r="BX25" s="102">
        <f t="shared" si="59"/>
        <v>4400</v>
      </c>
      <c r="BY25" s="99">
        <v>800</v>
      </c>
      <c r="BZ25" s="113"/>
      <c r="CA25" s="102">
        <f t="shared" si="60"/>
        <v>5200</v>
      </c>
      <c r="CB25" s="99">
        <v>800</v>
      </c>
      <c r="CC25" s="113">
        <v>2000</v>
      </c>
      <c r="CD25" s="102">
        <f t="shared" si="61"/>
        <v>4000</v>
      </c>
      <c r="CE25" s="99">
        <v>800</v>
      </c>
      <c r="CF25" s="113"/>
      <c r="CG25" s="102">
        <f t="shared" si="62"/>
        <v>4800</v>
      </c>
      <c r="CH25" s="99">
        <v>800</v>
      </c>
      <c r="CI25" s="113">
        <v>4000</v>
      </c>
      <c r="CJ25" s="102">
        <f t="shared" si="63"/>
        <v>1600</v>
      </c>
      <c r="CK25" s="99">
        <v>800</v>
      </c>
      <c r="CL25" s="113"/>
      <c r="CM25" s="102">
        <f t="shared" si="64"/>
        <v>2400</v>
      </c>
      <c r="CN25" s="99">
        <v>800</v>
      </c>
      <c r="CO25" s="113"/>
      <c r="CP25" s="102">
        <f t="shared" si="65"/>
        <v>3200</v>
      </c>
      <c r="CQ25" s="99">
        <v>800</v>
      </c>
      <c r="CR25" s="113"/>
      <c r="CS25" s="102">
        <f t="shared" si="66"/>
        <v>4000</v>
      </c>
      <c r="CT25" s="99">
        <v>800</v>
      </c>
      <c r="CU25" s="113"/>
      <c r="CV25" s="102">
        <f t="shared" si="67"/>
        <v>4800</v>
      </c>
      <c r="CW25" s="99">
        <v>800</v>
      </c>
      <c r="CX25" s="113">
        <v>5000</v>
      </c>
      <c r="CY25" s="102">
        <f t="shared" si="68"/>
        <v>600</v>
      </c>
    </row>
    <row r="26" spans="1:103">
      <c r="A26" s="41">
        <f>VLOOKUP(B26,справочник!$B$2:$E$322,4,FALSE)</f>
        <v>229</v>
      </c>
      <c r="B26" t="str">
        <f t="shared" si="4"/>
        <v>238Безменова Татьяна Игоревна</v>
      </c>
      <c r="C26" s="1">
        <v>238</v>
      </c>
      <c r="D26" s="2" t="s">
        <v>23</v>
      </c>
      <c r="E26" s="1" t="s">
        <v>340</v>
      </c>
      <c r="F26" s="16">
        <v>41373</v>
      </c>
      <c r="G26" s="16">
        <v>41395</v>
      </c>
      <c r="H26" s="17">
        <f t="shared" si="69"/>
        <v>32</v>
      </c>
      <c r="I26" s="1">
        <f t="shared" si="2"/>
        <v>32000</v>
      </c>
      <c r="J26" s="17">
        <v>9000</v>
      </c>
      <c r="K26" s="17"/>
      <c r="L26" s="18">
        <f t="shared" si="3"/>
        <v>23000</v>
      </c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18">
        <f t="shared" si="5"/>
        <v>0</v>
      </c>
      <c r="Z26" s="96">
        <v>12</v>
      </c>
      <c r="AA26" s="96">
        <f t="shared" si="6"/>
        <v>9600</v>
      </c>
      <c r="AB26" s="96">
        <f t="shared" si="7"/>
        <v>32600</v>
      </c>
      <c r="AC26" s="99">
        <v>800</v>
      </c>
      <c r="AD26" s="98"/>
      <c r="AE26" s="102">
        <f t="shared" si="8"/>
        <v>33400</v>
      </c>
      <c r="AF26" s="99">
        <v>800</v>
      </c>
      <c r="AG26" s="98"/>
      <c r="AH26" s="102">
        <f t="shared" si="45"/>
        <v>34200</v>
      </c>
      <c r="AI26" s="99">
        <v>800</v>
      </c>
      <c r="AJ26" s="98"/>
      <c r="AK26" s="102">
        <f t="shared" si="46"/>
        <v>35000</v>
      </c>
      <c r="AL26" s="99">
        <v>800</v>
      </c>
      <c r="AM26" s="98"/>
      <c r="AN26" s="102">
        <f t="shared" si="47"/>
        <v>35800</v>
      </c>
      <c r="AO26" s="99">
        <v>800</v>
      </c>
      <c r="AP26" s="113"/>
      <c r="AQ26" s="102">
        <f t="shared" si="48"/>
        <v>36600</v>
      </c>
      <c r="AR26" s="99">
        <v>800</v>
      </c>
      <c r="AS26" s="113"/>
      <c r="AT26" s="102">
        <f t="shared" si="49"/>
        <v>37400</v>
      </c>
      <c r="AU26" s="99">
        <v>800</v>
      </c>
      <c r="AV26" s="113"/>
      <c r="AW26" s="102">
        <f t="shared" si="50"/>
        <v>38200</v>
      </c>
      <c r="AX26" s="99">
        <v>800</v>
      </c>
      <c r="AY26" s="113"/>
      <c r="AZ26" s="102">
        <f t="shared" si="51"/>
        <v>39000</v>
      </c>
      <c r="BA26" s="99">
        <v>800</v>
      </c>
      <c r="BB26" s="113"/>
      <c r="BC26" s="102">
        <f t="shared" si="52"/>
        <v>39800</v>
      </c>
      <c r="BD26" s="99">
        <v>800</v>
      </c>
      <c r="BE26" s="113"/>
      <c r="BF26" s="102">
        <f t="shared" si="53"/>
        <v>40600</v>
      </c>
      <c r="BG26" s="99">
        <v>800</v>
      </c>
      <c r="BH26" s="113"/>
      <c r="BI26" s="102">
        <f t="shared" si="54"/>
        <v>41400</v>
      </c>
      <c r="BJ26" s="99">
        <v>800</v>
      </c>
      <c r="BK26" s="113"/>
      <c r="BL26" s="102">
        <f t="shared" si="55"/>
        <v>42200</v>
      </c>
      <c r="BM26" s="99">
        <v>800</v>
      </c>
      <c r="BN26" s="113"/>
      <c r="BO26" s="102">
        <f t="shared" si="56"/>
        <v>43000</v>
      </c>
      <c r="BP26" s="99">
        <v>800</v>
      </c>
      <c r="BQ26" s="113"/>
      <c r="BR26" s="102">
        <f t="shared" si="57"/>
        <v>43800</v>
      </c>
      <c r="BS26" s="99">
        <v>800</v>
      </c>
      <c r="BT26" s="113"/>
      <c r="BU26" s="102">
        <f t="shared" si="58"/>
        <v>44600</v>
      </c>
      <c r="BV26" s="99">
        <v>800</v>
      </c>
      <c r="BW26" s="113"/>
      <c r="BX26" s="102">
        <f t="shared" si="59"/>
        <v>45400</v>
      </c>
      <c r="BY26" s="99">
        <v>800</v>
      </c>
      <c r="BZ26" s="113"/>
      <c r="CA26" s="102">
        <f t="shared" si="60"/>
        <v>46200</v>
      </c>
      <c r="CB26" s="99">
        <v>800</v>
      </c>
      <c r="CC26" s="113"/>
      <c r="CD26" s="102">
        <f t="shared" si="61"/>
        <v>47000</v>
      </c>
      <c r="CE26" s="99">
        <v>800</v>
      </c>
      <c r="CF26" s="113"/>
      <c r="CG26" s="102">
        <f t="shared" si="62"/>
        <v>47800</v>
      </c>
      <c r="CH26" s="99">
        <v>800</v>
      </c>
      <c r="CI26" s="113"/>
      <c r="CJ26" s="102">
        <f t="shared" si="63"/>
        <v>48600</v>
      </c>
      <c r="CK26" s="99">
        <v>800</v>
      </c>
      <c r="CL26" s="113"/>
      <c r="CM26" s="102">
        <f t="shared" si="64"/>
        <v>49400</v>
      </c>
      <c r="CN26" s="99">
        <v>800</v>
      </c>
      <c r="CO26" s="113"/>
      <c r="CP26" s="102">
        <f t="shared" si="65"/>
        <v>50200</v>
      </c>
      <c r="CQ26" s="99">
        <v>800</v>
      </c>
      <c r="CR26" s="113"/>
      <c r="CS26" s="102">
        <f t="shared" si="66"/>
        <v>51000</v>
      </c>
      <c r="CT26" s="99">
        <v>800</v>
      </c>
      <c r="CU26" s="113"/>
      <c r="CV26" s="102">
        <f t="shared" si="67"/>
        <v>51800</v>
      </c>
      <c r="CW26" s="99">
        <v>800</v>
      </c>
      <c r="CX26" s="113"/>
      <c r="CY26" s="102">
        <f t="shared" si="68"/>
        <v>52600</v>
      </c>
    </row>
    <row r="27" spans="1:103">
      <c r="A27" s="41" t="e">
        <f>VLOOKUP(B27,справочник!$B$2:$E$322,4,FALSE)</f>
        <v>#N/A</v>
      </c>
      <c r="B27" t="str">
        <f t="shared" si="4"/>
        <v>311Бекмансурова Динара Васильевна</v>
      </c>
      <c r="C27" s="1">
        <v>311</v>
      </c>
      <c r="D27" s="2" t="s">
        <v>807</v>
      </c>
      <c r="E27" s="1" t="s">
        <v>341</v>
      </c>
      <c r="F27" s="16">
        <v>41008</v>
      </c>
      <c r="G27" s="16">
        <v>41000</v>
      </c>
      <c r="H27" s="17">
        <f t="shared" si="69"/>
        <v>45</v>
      </c>
      <c r="I27" s="1">
        <f t="shared" si="2"/>
        <v>45000</v>
      </c>
      <c r="J27" s="17">
        <v>1000</v>
      </c>
      <c r="K27" s="17"/>
      <c r="L27" s="18">
        <f t="shared" si="3"/>
        <v>44000</v>
      </c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18">
        <f t="shared" si="5"/>
        <v>0</v>
      </c>
      <c r="Z27" s="96">
        <v>12</v>
      </c>
      <c r="AA27" s="96">
        <f t="shared" si="6"/>
        <v>9600</v>
      </c>
      <c r="AB27" s="96">
        <f t="shared" si="7"/>
        <v>53600</v>
      </c>
      <c r="AC27" s="99">
        <v>800</v>
      </c>
      <c r="AD27" s="98"/>
      <c r="AE27" s="102">
        <f t="shared" si="8"/>
        <v>54400</v>
      </c>
      <c r="AF27" s="99">
        <v>800</v>
      </c>
      <c r="AG27" s="98"/>
      <c r="AH27" s="102">
        <f t="shared" si="45"/>
        <v>55200</v>
      </c>
      <c r="AI27" s="99">
        <v>800</v>
      </c>
      <c r="AJ27" s="98"/>
      <c r="AK27" s="102">
        <f t="shared" si="46"/>
        <v>56000</v>
      </c>
      <c r="AL27" s="99">
        <v>800</v>
      </c>
      <c r="AM27" s="98"/>
      <c r="AN27" s="102">
        <f t="shared" si="47"/>
        <v>56800</v>
      </c>
      <c r="AO27" s="99">
        <v>800</v>
      </c>
      <c r="AP27" s="113"/>
      <c r="AQ27" s="102">
        <f t="shared" si="48"/>
        <v>57600</v>
      </c>
      <c r="AR27" s="99">
        <v>800</v>
      </c>
      <c r="AS27" s="113"/>
      <c r="AT27" s="102">
        <f t="shared" si="49"/>
        <v>58400</v>
      </c>
      <c r="AU27" s="99">
        <v>800</v>
      </c>
      <c r="AV27" s="113"/>
      <c r="AW27" s="102">
        <f t="shared" si="50"/>
        <v>59200</v>
      </c>
      <c r="AX27" s="99">
        <v>800</v>
      </c>
      <c r="AY27" s="113"/>
      <c r="AZ27" s="102">
        <f t="shared" si="51"/>
        <v>60000</v>
      </c>
      <c r="BA27" s="99">
        <v>800</v>
      </c>
      <c r="BB27" s="113"/>
      <c r="BC27" s="102">
        <f t="shared" si="52"/>
        <v>60800</v>
      </c>
      <c r="BD27" s="99">
        <v>800</v>
      </c>
      <c r="BE27" s="113"/>
      <c r="BF27" s="102">
        <f t="shared" si="53"/>
        <v>61600</v>
      </c>
      <c r="BG27" s="99">
        <v>800</v>
      </c>
      <c r="BH27" s="113"/>
      <c r="BI27" s="102">
        <f t="shared" si="54"/>
        <v>62400</v>
      </c>
      <c r="BJ27" s="99">
        <v>800</v>
      </c>
      <c r="BK27" s="113"/>
      <c r="BL27" s="102">
        <f t="shared" si="55"/>
        <v>63200</v>
      </c>
      <c r="BM27" s="99">
        <v>800</v>
      </c>
      <c r="BN27" s="113"/>
      <c r="BO27" s="102">
        <f t="shared" si="56"/>
        <v>64000</v>
      </c>
      <c r="BP27" s="99">
        <v>800</v>
      </c>
      <c r="BQ27" s="113"/>
      <c r="BR27" s="102">
        <f t="shared" si="57"/>
        <v>64800</v>
      </c>
      <c r="BS27" s="99">
        <v>800</v>
      </c>
      <c r="BT27" s="113"/>
      <c r="BU27" s="102">
        <f t="shared" si="58"/>
        <v>65600</v>
      </c>
      <c r="BV27" s="99">
        <v>800</v>
      </c>
      <c r="BW27" s="113"/>
      <c r="BX27" s="102">
        <f t="shared" si="59"/>
        <v>66400</v>
      </c>
      <c r="BY27" s="99">
        <v>800</v>
      </c>
      <c r="BZ27" s="113">
        <v>67200</v>
      </c>
      <c r="CA27" s="102">
        <f t="shared" si="60"/>
        <v>0</v>
      </c>
      <c r="CB27" s="99">
        <v>800</v>
      </c>
      <c r="CC27" s="113"/>
      <c r="CD27" s="102">
        <f t="shared" si="61"/>
        <v>800</v>
      </c>
      <c r="CE27" s="99">
        <v>800</v>
      </c>
      <c r="CF27" s="113"/>
      <c r="CG27" s="102">
        <f t="shared" si="62"/>
        <v>1600</v>
      </c>
      <c r="CH27" s="99">
        <v>800</v>
      </c>
      <c r="CI27" s="113"/>
      <c r="CJ27" s="102">
        <f t="shared" si="63"/>
        <v>2400</v>
      </c>
      <c r="CK27" s="99">
        <v>800</v>
      </c>
      <c r="CL27" s="113"/>
      <c r="CM27" s="102">
        <f t="shared" si="64"/>
        <v>3200</v>
      </c>
      <c r="CN27" s="99">
        <v>800</v>
      </c>
      <c r="CO27" s="113"/>
      <c r="CP27" s="102">
        <f t="shared" si="65"/>
        <v>4000</v>
      </c>
      <c r="CQ27" s="99">
        <v>800</v>
      </c>
      <c r="CR27" s="113"/>
      <c r="CS27" s="102">
        <f t="shared" si="66"/>
        <v>4800</v>
      </c>
      <c r="CT27" s="99">
        <v>800</v>
      </c>
      <c r="CU27" s="113"/>
      <c r="CV27" s="102">
        <f t="shared" si="67"/>
        <v>5600</v>
      </c>
      <c r="CW27" s="99">
        <v>800</v>
      </c>
      <c r="CX27" s="113">
        <v>6400</v>
      </c>
      <c r="CY27" s="102">
        <f t="shared" si="68"/>
        <v>0</v>
      </c>
    </row>
    <row r="28" spans="1:103">
      <c r="A28" s="41" t="e">
        <f>VLOOKUP(B28,справочник!$B$2:$E$322,4,FALSE)</f>
        <v>#N/A</v>
      </c>
      <c r="B28" t="str">
        <f t="shared" si="4"/>
        <v>293Белов Семён Иванович</v>
      </c>
      <c r="C28" s="89">
        <v>293</v>
      </c>
      <c r="D28" s="2" t="s">
        <v>803</v>
      </c>
      <c r="E28" s="1" t="s">
        <v>342</v>
      </c>
      <c r="F28" s="16">
        <v>41766</v>
      </c>
      <c r="G28" s="16">
        <v>41791</v>
      </c>
      <c r="H28" s="17">
        <f t="shared" si="69"/>
        <v>19</v>
      </c>
      <c r="I28" s="1">
        <f t="shared" si="2"/>
        <v>19000</v>
      </c>
      <c r="J28" s="17">
        <v>1000</v>
      </c>
      <c r="K28" s="17"/>
      <c r="L28" s="18">
        <f t="shared" si="3"/>
        <v>18000</v>
      </c>
      <c r="M28" s="22"/>
      <c r="N28" s="22"/>
      <c r="O28" s="22"/>
      <c r="P28" s="22"/>
      <c r="Q28" s="22"/>
      <c r="R28" s="22"/>
      <c r="S28" s="22"/>
      <c r="T28" s="22"/>
      <c r="U28" s="22">
        <v>10000</v>
      </c>
      <c r="V28" s="22"/>
      <c r="W28" s="22"/>
      <c r="X28" s="22"/>
      <c r="Y28" s="18">
        <f t="shared" si="5"/>
        <v>10000</v>
      </c>
      <c r="Z28" s="96">
        <v>12</v>
      </c>
      <c r="AA28" s="96">
        <f t="shared" si="6"/>
        <v>9600</v>
      </c>
      <c r="AB28" s="96">
        <f t="shared" si="7"/>
        <v>17600</v>
      </c>
      <c r="AC28" s="99">
        <v>800</v>
      </c>
      <c r="AD28" s="98">
        <v>15000</v>
      </c>
      <c r="AE28" s="102">
        <f t="shared" si="8"/>
        <v>3400</v>
      </c>
      <c r="AF28" s="99">
        <v>800</v>
      </c>
      <c r="AG28" s="98"/>
      <c r="AH28" s="102">
        <f t="shared" si="45"/>
        <v>4200</v>
      </c>
      <c r="AI28" s="99">
        <v>800</v>
      </c>
      <c r="AJ28" s="98"/>
      <c r="AK28" s="102">
        <f t="shared" si="46"/>
        <v>5000</v>
      </c>
      <c r="AL28" s="99">
        <v>800</v>
      </c>
      <c r="AM28" s="98"/>
      <c r="AN28" s="102">
        <f t="shared" si="47"/>
        <v>5800</v>
      </c>
      <c r="AO28" s="99">
        <v>800</v>
      </c>
      <c r="AP28" s="113"/>
      <c r="AQ28" s="102">
        <f t="shared" si="48"/>
        <v>6600</v>
      </c>
      <c r="AR28" s="99">
        <v>800</v>
      </c>
      <c r="AS28" s="113"/>
      <c r="AT28" s="102">
        <f t="shared" si="49"/>
        <v>7400</v>
      </c>
      <c r="AU28" s="99">
        <v>800</v>
      </c>
      <c r="AV28" s="113"/>
      <c r="AW28" s="102">
        <f t="shared" si="50"/>
        <v>8200</v>
      </c>
      <c r="AX28" s="99">
        <v>800</v>
      </c>
      <c r="AY28" s="113"/>
      <c r="AZ28" s="102">
        <f t="shared" si="51"/>
        <v>9000</v>
      </c>
      <c r="BA28" s="99">
        <v>800</v>
      </c>
      <c r="BB28" s="113"/>
      <c r="BC28" s="102">
        <f t="shared" si="52"/>
        <v>9800</v>
      </c>
      <c r="BD28" s="99">
        <v>800</v>
      </c>
      <c r="BE28" s="113"/>
      <c r="BF28" s="102">
        <f t="shared" si="53"/>
        <v>10600</v>
      </c>
      <c r="BG28" s="99">
        <v>800</v>
      </c>
      <c r="BH28" s="113"/>
      <c r="BI28" s="102">
        <f t="shared" si="54"/>
        <v>11400</v>
      </c>
      <c r="BJ28" s="99">
        <v>800</v>
      </c>
      <c r="BK28" s="113"/>
      <c r="BL28" s="102">
        <f t="shared" si="55"/>
        <v>12200</v>
      </c>
      <c r="BM28" s="99">
        <v>800</v>
      </c>
      <c r="BN28" s="113"/>
      <c r="BO28" s="102">
        <f t="shared" si="56"/>
        <v>13000</v>
      </c>
      <c r="BP28" s="99">
        <v>800</v>
      </c>
      <c r="BQ28" s="113"/>
      <c r="BR28" s="102">
        <f t="shared" si="57"/>
        <v>13800</v>
      </c>
      <c r="BS28" s="99">
        <v>800</v>
      </c>
      <c r="BT28" s="113"/>
      <c r="BU28" s="102">
        <f t="shared" si="58"/>
        <v>14600</v>
      </c>
      <c r="BV28" s="99">
        <v>800</v>
      </c>
      <c r="BW28" s="113"/>
      <c r="BX28" s="102">
        <f t="shared" si="59"/>
        <v>15400</v>
      </c>
      <c r="BY28" s="99">
        <v>800</v>
      </c>
      <c r="BZ28" s="113"/>
      <c r="CA28" s="102">
        <f t="shared" si="60"/>
        <v>16200</v>
      </c>
      <c r="CB28" s="99">
        <v>800</v>
      </c>
      <c r="CC28" s="113"/>
      <c r="CD28" s="102">
        <f t="shared" si="61"/>
        <v>17000</v>
      </c>
      <c r="CE28" s="99">
        <v>800</v>
      </c>
      <c r="CF28" s="113"/>
      <c r="CG28" s="102">
        <f t="shared" si="62"/>
        <v>17800</v>
      </c>
      <c r="CH28" s="99">
        <v>800</v>
      </c>
      <c r="CI28" s="113"/>
      <c r="CJ28" s="102">
        <f t="shared" si="63"/>
        <v>18600</v>
      </c>
      <c r="CK28" s="99">
        <v>800</v>
      </c>
      <c r="CL28" s="113"/>
      <c r="CM28" s="102">
        <f t="shared" si="64"/>
        <v>19400</v>
      </c>
      <c r="CN28" s="99">
        <v>800</v>
      </c>
      <c r="CO28" s="113"/>
      <c r="CP28" s="102">
        <f t="shared" si="65"/>
        <v>20200</v>
      </c>
      <c r="CQ28" s="99">
        <v>800</v>
      </c>
      <c r="CR28" s="113"/>
      <c r="CS28" s="102">
        <f t="shared" si="66"/>
        <v>21000</v>
      </c>
      <c r="CT28" s="99">
        <v>800</v>
      </c>
      <c r="CU28" s="113"/>
      <c r="CV28" s="102">
        <f t="shared" si="67"/>
        <v>21800</v>
      </c>
      <c r="CW28" s="99">
        <v>800</v>
      </c>
      <c r="CX28" s="113"/>
      <c r="CY28" s="102">
        <f t="shared" si="68"/>
        <v>22600</v>
      </c>
    </row>
    <row r="29" spans="1:103">
      <c r="A29" s="41">
        <f>VLOOKUP(B29,справочник!$B$2:$E$322,4,FALSE)</f>
        <v>198</v>
      </c>
      <c r="B29" t="str">
        <f t="shared" si="4"/>
        <v>206Белоглазова Людмила Ивановна</v>
      </c>
      <c r="C29" s="1">
        <v>206</v>
      </c>
      <c r="D29" s="2" t="s">
        <v>26</v>
      </c>
      <c r="E29" s="1" t="s">
        <v>343</v>
      </c>
      <c r="F29" s="16">
        <v>40816</v>
      </c>
      <c r="G29" s="16">
        <v>40787</v>
      </c>
      <c r="H29" s="17">
        <f t="shared" si="69"/>
        <v>52</v>
      </c>
      <c r="I29" s="1">
        <f t="shared" si="2"/>
        <v>52000</v>
      </c>
      <c r="J29" s="17">
        <f>50000+1000</f>
        <v>51000</v>
      </c>
      <c r="K29" s="17">
        <v>1000</v>
      </c>
      <c r="L29" s="18">
        <f t="shared" si="3"/>
        <v>0</v>
      </c>
      <c r="M29" s="22"/>
      <c r="N29" s="22"/>
      <c r="O29" s="22">
        <v>3200</v>
      </c>
      <c r="P29" s="22"/>
      <c r="Q29" s="22">
        <v>800</v>
      </c>
      <c r="R29" s="22"/>
      <c r="S29" s="22"/>
      <c r="T29">
        <v>3200</v>
      </c>
      <c r="U29" s="22"/>
      <c r="V29" s="22">
        <v>800</v>
      </c>
      <c r="W29" s="84">
        <v>1600</v>
      </c>
      <c r="X29" s="22"/>
      <c r="Y29" s="18">
        <f t="shared" si="5"/>
        <v>9600</v>
      </c>
      <c r="Z29" s="96">
        <v>12</v>
      </c>
      <c r="AA29" s="96">
        <f t="shared" si="6"/>
        <v>9600</v>
      </c>
      <c r="AB29" s="96">
        <f t="shared" si="7"/>
        <v>0</v>
      </c>
      <c r="AC29" s="99">
        <v>800</v>
      </c>
      <c r="AD29" s="98"/>
      <c r="AE29" s="102">
        <f t="shared" si="8"/>
        <v>800</v>
      </c>
      <c r="AF29" s="99">
        <v>800</v>
      </c>
      <c r="AG29" s="98">
        <v>1600</v>
      </c>
      <c r="AH29" s="102">
        <f t="shared" si="45"/>
        <v>0</v>
      </c>
      <c r="AI29" s="99">
        <v>800</v>
      </c>
      <c r="AJ29" s="98"/>
      <c r="AK29" s="102">
        <f t="shared" si="46"/>
        <v>800</v>
      </c>
      <c r="AL29" s="99">
        <v>800</v>
      </c>
      <c r="AM29" s="98">
        <v>1600</v>
      </c>
      <c r="AN29" s="102">
        <f t="shared" si="47"/>
        <v>0</v>
      </c>
      <c r="AO29" s="99">
        <v>800</v>
      </c>
      <c r="AP29" s="113"/>
      <c r="AQ29" s="102">
        <f t="shared" si="48"/>
        <v>800</v>
      </c>
      <c r="AR29" s="99">
        <v>800</v>
      </c>
      <c r="AS29" s="113">
        <v>1600</v>
      </c>
      <c r="AT29" s="102">
        <f t="shared" si="49"/>
        <v>0</v>
      </c>
      <c r="AU29" s="99">
        <v>800</v>
      </c>
      <c r="AV29" s="113"/>
      <c r="AW29" s="102">
        <f t="shared" si="50"/>
        <v>800</v>
      </c>
      <c r="AX29" s="99">
        <v>800</v>
      </c>
      <c r="AY29" s="113">
        <v>1600</v>
      </c>
      <c r="AZ29" s="102">
        <f t="shared" si="51"/>
        <v>0</v>
      </c>
      <c r="BA29" s="99">
        <v>800</v>
      </c>
      <c r="BB29" s="113">
        <v>1600</v>
      </c>
      <c r="BC29" s="102">
        <f t="shared" si="52"/>
        <v>-800</v>
      </c>
      <c r="BD29" s="99">
        <v>800</v>
      </c>
      <c r="BE29" s="113">
        <v>1600</v>
      </c>
      <c r="BF29" s="102">
        <f t="shared" si="53"/>
        <v>-1600</v>
      </c>
      <c r="BG29" s="99">
        <v>800</v>
      </c>
      <c r="BH29" s="113"/>
      <c r="BI29" s="102">
        <f t="shared" si="54"/>
        <v>-800</v>
      </c>
      <c r="BJ29" s="99">
        <v>800</v>
      </c>
      <c r="BK29" s="113">
        <v>1600</v>
      </c>
      <c r="BL29" s="102">
        <f t="shared" si="55"/>
        <v>-1600</v>
      </c>
      <c r="BM29" s="99">
        <v>800</v>
      </c>
      <c r="BN29" s="113"/>
      <c r="BO29" s="102">
        <f t="shared" si="56"/>
        <v>-800</v>
      </c>
      <c r="BP29" s="99">
        <v>800</v>
      </c>
      <c r="BQ29" s="113"/>
      <c r="BR29" s="102">
        <f t="shared" si="57"/>
        <v>0</v>
      </c>
      <c r="BS29" s="99">
        <v>800</v>
      </c>
      <c r="BT29" s="113"/>
      <c r="BU29" s="102">
        <f t="shared" si="58"/>
        <v>800</v>
      </c>
      <c r="BV29" s="99">
        <v>800</v>
      </c>
      <c r="BW29" s="113">
        <v>2400</v>
      </c>
      <c r="BX29" s="102">
        <f t="shared" si="59"/>
        <v>-800</v>
      </c>
      <c r="BY29" s="99">
        <v>800</v>
      </c>
      <c r="BZ29" s="113"/>
      <c r="CA29" s="102">
        <f t="shared" si="60"/>
        <v>0</v>
      </c>
      <c r="CB29" s="99">
        <v>800</v>
      </c>
      <c r="CC29" s="113">
        <v>4800</v>
      </c>
      <c r="CD29" s="102">
        <f t="shared" si="61"/>
        <v>-4000</v>
      </c>
      <c r="CE29" s="99">
        <v>800</v>
      </c>
      <c r="CF29" s="113"/>
      <c r="CG29" s="102">
        <f t="shared" si="62"/>
        <v>-3200</v>
      </c>
      <c r="CH29" s="99">
        <v>800</v>
      </c>
      <c r="CI29" s="113"/>
      <c r="CJ29" s="102">
        <f t="shared" si="63"/>
        <v>-2400</v>
      </c>
      <c r="CK29" s="99">
        <v>800</v>
      </c>
      <c r="CL29" s="113"/>
      <c r="CM29" s="102">
        <f t="shared" si="64"/>
        <v>-1600</v>
      </c>
      <c r="CN29" s="99">
        <v>800</v>
      </c>
      <c r="CO29" s="113">
        <v>2400</v>
      </c>
      <c r="CP29" s="102">
        <f t="shared" si="65"/>
        <v>-3200</v>
      </c>
      <c r="CQ29" s="99">
        <v>800</v>
      </c>
      <c r="CR29" s="113"/>
      <c r="CS29" s="102">
        <f t="shared" si="66"/>
        <v>-2400</v>
      </c>
      <c r="CT29" s="99">
        <v>800</v>
      </c>
      <c r="CU29" s="113"/>
      <c r="CV29" s="102">
        <f t="shared" si="67"/>
        <v>-1600</v>
      </c>
      <c r="CW29" s="99">
        <v>800</v>
      </c>
      <c r="CX29" s="113"/>
      <c r="CY29" s="102">
        <f t="shared" si="68"/>
        <v>-800</v>
      </c>
    </row>
    <row r="30" spans="1:103" s="84" customFormat="1">
      <c r="A30" s="83" t="e">
        <f>VLOOKUP(B30,справочник!$B$2:$E$322,4,FALSE)</f>
        <v>#N/A</v>
      </c>
      <c r="B30" s="84" t="str">
        <f t="shared" si="4"/>
        <v>54Бельская Светлана Александровна</v>
      </c>
      <c r="C30" s="121">
        <v>54</v>
      </c>
      <c r="D30" s="2" t="s">
        <v>761</v>
      </c>
      <c r="E30" s="121" t="s">
        <v>344</v>
      </c>
      <c r="F30" s="16">
        <v>41016</v>
      </c>
      <c r="G30" s="16">
        <v>41000</v>
      </c>
      <c r="H30" s="17">
        <f t="shared" si="69"/>
        <v>45</v>
      </c>
      <c r="I30" s="121">
        <f t="shared" si="2"/>
        <v>45000</v>
      </c>
      <c r="J30" s="17">
        <v>40000</v>
      </c>
      <c r="K30" s="17">
        <v>5000</v>
      </c>
      <c r="L30" s="22">
        <v>5000</v>
      </c>
      <c r="M30" s="22">
        <v>3000</v>
      </c>
      <c r="N30" s="22">
        <v>2000</v>
      </c>
      <c r="O30" s="22">
        <v>800</v>
      </c>
      <c r="P30" s="22"/>
      <c r="Q30" s="22">
        <v>1600</v>
      </c>
      <c r="R30" s="22"/>
      <c r="S30" s="22"/>
      <c r="T30" s="126">
        <v>1600</v>
      </c>
      <c r="U30" s="22"/>
      <c r="V30" s="22">
        <v>800</v>
      </c>
      <c r="W30" s="22">
        <v>800</v>
      </c>
      <c r="X30" s="22"/>
      <c r="Y30" s="22">
        <f>SUM(M30:X30)</f>
        <v>10600</v>
      </c>
      <c r="Z30" s="99">
        <v>12</v>
      </c>
      <c r="AA30" s="99">
        <f t="shared" si="6"/>
        <v>9600</v>
      </c>
      <c r="AB30" s="127">
        <f>L30+AA30-Y30</f>
        <v>4000</v>
      </c>
      <c r="AC30" s="99">
        <v>800</v>
      </c>
      <c r="AD30" s="113"/>
      <c r="AE30" s="114">
        <f t="shared" si="8"/>
        <v>4800</v>
      </c>
      <c r="AF30" s="99">
        <v>800</v>
      </c>
      <c r="AG30" s="113"/>
      <c r="AH30" s="128">
        <f>AE30+AF30-AG30</f>
        <v>5600</v>
      </c>
      <c r="AI30" s="99">
        <v>800</v>
      </c>
      <c r="AJ30" s="113">
        <f>800+1600</f>
        <v>2400</v>
      </c>
      <c r="AK30" s="128">
        <f>AH30+AI30-AJ30</f>
        <v>4000</v>
      </c>
      <c r="AL30" s="99">
        <v>800</v>
      </c>
      <c r="AM30" s="113"/>
      <c r="AN30" s="128">
        <f>AK30+AL30-AM30</f>
        <v>4800</v>
      </c>
      <c r="AO30" s="99">
        <v>800</v>
      </c>
      <c r="AP30" s="113"/>
      <c r="AQ30" s="128">
        <f t="shared" si="48"/>
        <v>5600</v>
      </c>
      <c r="AR30" s="99">
        <v>800</v>
      </c>
      <c r="AS30" s="113"/>
      <c r="AT30" s="128">
        <f>AQ30+AR30-AS30</f>
        <v>6400</v>
      </c>
      <c r="AU30" s="99">
        <v>800</v>
      </c>
      <c r="AV30" s="113"/>
      <c r="AW30" s="128">
        <f>AT30+AU30-AV30</f>
        <v>7200</v>
      </c>
      <c r="AX30" s="99">
        <v>800</v>
      </c>
      <c r="AY30" s="113">
        <v>1600</v>
      </c>
      <c r="AZ30" s="128">
        <f>AW30+AX30-AY30</f>
        <v>6400</v>
      </c>
      <c r="BA30" s="99">
        <v>800</v>
      </c>
      <c r="BB30" s="113"/>
      <c r="BC30" s="128">
        <f>AZ30+BA30-BB30</f>
        <v>7200</v>
      </c>
      <c r="BD30" s="99">
        <v>800</v>
      </c>
      <c r="BE30" s="113">
        <v>1600</v>
      </c>
      <c r="BF30" s="128">
        <f>BC30+BD30-BE30</f>
        <v>6400</v>
      </c>
      <c r="BG30" s="99">
        <v>800</v>
      </c>
      <c r="BH30" s="113">
        <f>1600+800</f>
        <v>2400</v>
      </c>
      <c r="BI30" s="128">
        <f>BF30+BG30-BH30</f>
        <v>4800</v>
      </c>
      <c r="BJ30" s="99">
        <v>800</v>
      </c>
      <c r="BK30" s="113"/>
      <c r="BL30" s="128">
        <f>BI30+BJ30-BK30</f>
        <v>5600</v>
      </c>
      <c r="BM30" s="99">
        <v>800</v>
      </c>
      <c r="BN30" s="113">
        <v>1600</v>
      </c>
      <c r="BO30" s="128">
        <f>BL30+BM30-BN30</f>
        <v>4800</v>
      </c>
      <c r="BP30" s="99">
        <v>800</v>
      </c>
      <c r="BQ30" s="113">
        <v>1600</v>
      </c>
      <c r="BR30" s="128">
        <f>BO30+BP30-BQ30</f>
        <v>4000</v>
      </c>
      <c r="BS30" s="99">
        <v>800</v>
      </c>
      <c r="BT30" s="113">
        <v>1600</v>
      </c>
      <c r="BU30" s="128">
        <f>BR30+BS30-BT30</f>
        <v>3200</v>
      </c>
      <c r="BV30" s="99">
        <v>800</v>
      </c>
      <c r="BW30" s="113"/>
      <c r="BX30" s="128">
        <f>BU30+BV30-BW30</f>
        <v>4000</v>
      </c>
      <c r="BY30" s="99">
        <v>800</v>
      </c>
      <c r="BZ30" s="113"/>
      <c r="CA30" s="128">
        <f>BX30+BY30-BZ30</f>
        <v>4800</v>
      </c>
      <c r="CB30" s="99">
        <v>800</v>
      </c>
      <c r="CC30" s="113">
        <v>800</v>
      </c>
      <c r="CD30" s="128">
        <f>CA30+CB30-CC30</f>
        <v>4800</v>
      </c>
      <c r="CE30" s="99">
        <v>800</v>
      </c>
      <c r="CF30" s="113"/>
      <c r="CG30" s="128">
        <f>CD30+CE30-CF30</f>
        <v>5600</v>
      </c>
      <c r="CH30" s="99">
        <v>800</v>
      </c>
      <c r="CI30" s="113"/>
      <c r="CJ30" s="128">
        <f>CG30+CH30-CI30</f>
        <v>6400</v>
      </c>
      <c r="CK30" s="99">
        <v>800</v>
      </c>
      <c r="CL30" s="113"/>
      <c r="CM30" s="128">
        <f>CJ30+CK30-CL30</f>
        <v>7200</v>
      </c>
      <c r="CN30" s="99">
        <v>800</v>
      </c>
      <c r="CO30" s="113">
        <v>1600</v>
      </c>
      <c r="CP30" s="128">
        <f>CM30+CN30-CO30</f>
        <v>6400</v>
      </c>
      <c r="CQ30" s="99">
        <v>800</v>
      </c>
      <c r="CR30" s="113"/>
      <c r="CS30" s="102">
        <f t="shared" si="66"/>
        <v>7200</v>
      </c>
      <c r="CT30" s="99">
        <v>800</v>
      </c>
      <c r="CU30" s="113"/>
      <c r="CV30" s="102">
        <f t="shared" si="67"/>
        <v>8000</v>
      </c>
      <c r="CW30" s="99">
        <v>800</v>
      </c>
      <c r="CX30" s="113"/>
      <c r="CY30" s="102">
        <f t="shared" si="68"/>
        <v>8800</v>
      </c>
    </row>
    <row r="31" spans="1:103" s="84" customFormat="1">
      <c r="A31" s="83" t="e">
        <f>VLOOKUP(B31,справочник!$B$2:$E$322,4,FALSE)</f>
        <v>#N/A</v>
      </c>
      <c r="B31" s="84" t="str">
        <f t="shared" si="4"/>
        <v>53Бельский Владимир Владимирович</v>
      </c>
      <c r="C31" s="121">
        <v>53</v>
      </c>
      <c r="D31" s="2" t="s">
        <v>762</v>
      </c>
      <c r="E31" s="121" t="s">
        <v>345</v>
      </c>
      <c r="F31" s="16">
        <v>41016</v>
      </c>
      <c r="G31" s="16">
        <v>41000</v>
      </c>
      <c r="H31" s="17">
        <v>43</v>
      </c>
      <c r="I31" s="121">
        <f t="shared" si="2"/>
        <v>43000</v>
      </c>
      <c r="J31" s="17">
        <v>28000</v>
      </c>
      <c r="K31" s="17">
        <v>7000</v>
      </c>
      <c r="L31" s="22">
        <v>5000</v>
      </c>
      <c r="M31" s="22">
        <v>3000</v>
      </c>
      <c r="N31" s="22">
        <v>2000</v>
      </c>
      <c r="O31" s="22">
        <v>800</v>
      </c>
      <c r="P31" s="22"/>
      <c r="Q31" s="22">
        <v>1600</v>
      </c>
      <c r="R31" s="22"/>
      <c r="S31" s="22"/>
      <c r="T31" s="126">
        <v>1600</v>
      </c>
      <c r="U31" s="22">
        <v>800</v>
      </c>
      <c r="V31" s="22"/>
      <c r="W31" s="22">
        <v>800</v>
      </c>
      <c r="X31" s="22"/>
      <c r="Y31" s="22">
        <f t="shared" si="5"/>
        <v>10600</v>
      </c>
      <c r="Z31" s="99">
        <v>12</v>
      </c>
      <c r="AA31" s="99">
        <f>Z31*800</f>
        <v>9600</v>
      </c>
      <c r="AB31" s="127">
        <f>L31+AA31-Y31</f>
        <v>4000</v>
      </c>
      <c r="AC31" s="99">
        <v>800</v>
      </c>
      <c r="AD31" s="113"/>
      <c r="AE31" s="114">
        <f t="shared" si="8"/>
        <v>4800</v>
      </c>
      <c r="AF31" s="99">
        <v>800</v>
      </c>
      <c r="AG31" s="113"/>
      <c r="AH31" s="128">
        <f>AE31+AF31-AG31</f>
        <v>5600</v>
      </c>
      <c r="AI31" s="99">
        <v>800</v>
      </c>
      <c r="AJ31" s="113"/>
      <c r="AK31" s="128">
        <f>AH31+AI31-AJ31</f>
        <v>6400</v>
      </c>
      <c r="AL31" s="99">
        <v>800</v>
      </c>
      <c r="AM31" s="113"/>
      <c r="AN31" s="128">
        <f>AK31+AL31-AM31</f>
        <v>7200</v>
      </c>
      <c r="AO31" s="99">
        <v>800</v>
      </c>
      <c r="AP31" s="113"/>
      <c r="AQ31" s="128">
        <f t="shared" si="48"/>
        <v>8000</v>
      </c>
      <c r="AR31" s="99">
        <v>800</v>
      </c>
      <c r="AS31" s="113"/>
      <c r="AT31" s="128">
        <f>AQ31+AR31-AS31</f>
        <v>8800</v>
      </c>
      <c r="AU31" s="99">
        <v>800</v>
      </c>
      <c r="AV31" s="113"/>
      <c r="AW31" s="128">
        <f>AT31+AU31-AV31</f>
        <v>9600</v>
      </c>
      <c r="AX31" s="99">
        <v>800</v>
      </c>
      <c r="AY31" s="113"/>
      <c r="AZ31" s="128">
        <f>AW31+AX31-AY31</f>
        <v>10400</v>
      </c>
      <c r="BA31" s="99">
        <v>800</v>
      </c>
      <c r="BB31" s="113"/>
      <c r="BC31" s="128">
        <f>AZ31+BA31-BB31</f>
        <v>11200</v>
      </c>
      <c r="BD31" s="99">
        <v>800</v>
      </c>
      <c r="BE31" s="113"/>
      <c r="BF31" s="128">
        <f>BC31+BD31-BE31</f>
        <v>12000</v>
      </c>
      <c r="BG31" s="99">
        <v>800</v>
      </c>
      <c r="BH31" s="113"/>
      <c r="BI31" s="128">
        <f>BF31+BG31-BH31</f>
        <v>12800</v>
      </c>
      <c r="BJ31" s="99">
        <v>800</v>
      </c>
      <c r="BK31" s="113"/>
      <c r="BL31" s="128">
        <f>BI31+BJ31-BK31</f>
        <v>13600</v>
      </c>
      <c r="BM31" s="99">
        <v>800</v>
      </c>
      <c r="BN31" s="113"/>
      <c r="BO31" s="128">
        <f>BL31+BM31-BN31</f>
        <v>14400</v>
      </c>
      <c r="BP31" s="99">
        <v>800</v>
      </c>
      <c r="BQ31" s="113"/>
      <c r="BR31" s="128">
        <f>BO31+BP31-BQ31</f>
        <v>15200</v>
      </c>
      <c r="BS31" s="99">
        <v>800</v>
      </c>
      <c r="BT31" s="113"/>
      <c r="BU31" s="128">
        <f>BR31+BS31-BT31</f>
        <v>16000</v>
      </c>
      <c r="BV31" s="99">
        <v>800</v>
      </c>
      <c r="BW31" s="113"/>
      <c r="BX31" s="128">
        <f>BU31+BV31-BW31</f>
        <v>16800</v>
      </c>
      <c r="BY31" s="99">
        <v>800</v>
      </c>
      <c r="BZ31" s="113"/>
      <c r="CA31" s="128">
        <f>BX31+BY31-BZ31</f>
        <v>17600</v>
      </c>
      <c r="CB31" s="99">
        <v>800</v>
      </c>
      <c r="CC31" s="113"/>
      <c r="CD31" s="128">
        <f>CA31+CB31-CC31</f>
        <v>18400</v>
      </c>
      <c r="CE31" s="99">
        <v>800</v>
      </c>
      <c r="CF31" s="113"/>
      <c r="CG31" s="128">
        <f>CD31+CE31-CF31</f>
        <v>19200</v>
      </c>
      <c r="CH31" s="99">
        <v>800</v>
      </c>
      <c r="CI31" s="113"/>
      <c r="CJ31" s="128">
        <f>CG31+CH31-CI31</f>
        <v>20000</v>
      </c>
      <c r="CK31" s="99">
        <v>800</v>
      </c>
      <c r="CL31" s="113"/>
      <c r="CM31" s="128">
        <f>CJ31+CK31-CL31</f>
        <v>20800</v>
      </c>
      <c r="CN31" s="99">
        <v>800</v>
      </c>
      <c r="CO31" s="113"/>
      <c r="CP31" s="128">
        <f>CM31+CN31-CO31</f>
        <v>21600</v>
      </c>
      <c r="CQ31" s="99">
        <v>800</v>
      </c>
      <c r="CR31" s="113"/>
      <c r="CS31" s="102">
        <f t="shared" si="66"/>
        <v>22400</v>
      </c>
      <c r="CT31" s="99">
        <v>800</v>
      </c>
      <c r="CU31" s="113"/>
      <c r="CV31" s="102">
        <f t="shared" si="67"/>
        <v>23200</v>
      </c>
      <c r="CW31" s="99">
        <v>800</v>
      </c>
      <c r="CX31" s="113"/>
      <c r="CY31" s="102">
        <f t="shared" si="68"/>
        <v>24000</v>
      </c>
    </row>
    <row r="32" spans="1:103">
      <c r="A32" s="41">
        <f>VLOOKUP(B32,справочник!$B$2:$E$322,4,FALSE)</f>
        <v>136</v>
      </c>
      <c r="B32" t="str">
        <f t="shared" si="4"/>
        <v>144Беляков Виктор Михайлович</v>
      </c>
      <c r="C32" s="1">
        <v>144</v>
      </c>
      <c r="D32" s="2" t="s">
        <v>29</v>
      </c>
      <c r="E32" s="1" t="s">
        <v>346</v>
      </c>
      <c r="F32" s="16">
        <v>41204</v>
      </c>
      <c r="G32" s="16">
        <v>41214</v>
      </c>
      <c r="H32" s="17">
        <f t="shared" ref="H32:H37" si="70">INT(($H$326-G32)/30)</f>
        <v>38</v>
      </c>
      <c r="I32" s="1">
        <f t="shared" si="2"/>
        <v>38000</v>
      </c>
      <c r="J32" s="17">
        <v>28000</v>
      </c>
      <c r="K32" s="17"/>
      <c r="L32" s="18">
        <f t="shared" ref="L32:L95" si="71">I32-J32-K32</f>
        <v>10000</v>
      </c>
      <c r="M32" s="22"/>
      <c r="N32" s="22"/>
      <c r="O32" s="22"/>
      <c r="P32" s="22"/>
      <c r="Q32" s="22"/>
      <c r="R32" s="22"/>
      <c r="S32" s="22">
        <v>6000</v>
      </c>
      <c r="T32">
        <v>4800</v>
      </c>
      <c r="U32" s="22"/>
      <c r="V32" s="22"/>
      <c r="W32" s="22"/>
      <c r="X32" s="22">
        <v>4800</v>
      </c>
      <c r="Y32" s="18">
        <f t="shared" si="5"/>
        <v>15600</v>
      </c>
      <c r="Z32" s="96">
        <v>12</v>
      </c>
      <c r="AA32" s="96">
        <f t="shared" si="6"/>
        <v>9600</v>
      </c>
      <c r="AB32" s="96">
        <f t="shared" si="7"/>
        <v>4000</v>
      </c>
      <c r="AC32" s="99">
        <v>800</v>
      </c>
      <c r="AD32" s="98"/>
      <c r="AE32" s="102">
        <f t="shared" si="8"/>
        <v>4800</v>
      </c>
      <c r="AF32" s="99">
        <v>800</v>
      </c>
      <c r="AG32" s="98"/>
      <c r="AH32" s="102">
        <f t="shared" si="45"/>
        <v>5600</v>
      </c>
      <c r="AI32" s="99">
        <v>800</v>
      </c>
      <c r="AJ32" s="98"/>
      <c r="AK32" s="102">
        <f t="shared" ref="AK32:AK37" si="72">AH32+AI32-AJ32</f>
        <v>6400</v>
      </c>
      <c r="AL32" s="99">
        <v>800</v>
      </c>
      <c r="AM32" s="98"/>
      <c r="AN32" s="102">
        <f t="shared" ref="AN32:AN37" si="73">AK32+AL32-AM32</f>
        <v>7200</v>
      </c>
      <c r="AO32" s="99">
        <v>800</v>
      </c>
      <c r="AP32" s="113"/>
      <c r="AQ32" s="102">
        <f t="shared" ref="AQ32:AQ37" si="74">AN32+AO32-AP32</f>
        <v>8000</v>
      </c>
      <c r="AR32" s="99">
        <v>800</v>
      </c>
      <c r="AS32" s="113"/>
      <c r="AT32" s="102">
        <f t="shared" ref="AT32:AT37" si="75">AQ32+AR32-AS32</f>
        <v>8800</v>
      </c>
      <c r="AU32" s="99">
        <v>800</v>
      </c>
      <c r="AV32" s="113"/>
      <c r="AW32" s="102">
        <f t="shared" ref="AW32:AW37" si="76">AT32+AU32-AV32</f>
        <v>9600</v>
      </c>
      <c r="AX32" s="99">
        <v>800</v>
      </c>
      <c r="AY32" s="113"/>
      <c r="AZ32" s="102">
        <f t="shared" ref="AZ32:AZ37" si="77">AW32+AX32-AY32</f>
        <v>10400</v>
      </c>
      <c r="BA32" s="99">
        <v>800</v>
      </c>
      <c r="BB32" s="113"/>
      <c r="BC32" s="102">
        <f t="shared" ref="BC32:BC37" si="78">AZ32+BA32-BB32</f>
        <v>11200</v>
      </c>
      <c r="BD32" s="99">
        <v>800</v>
      </c>
      <c r="BE32" s="113"/>
      <c r="BF32" s="102">
        <f t="shared" ref="BF32:BF37" si="79">BC32+BD32-BE32</f>
        <v>12000</v>
      </c>
      <c r="BG32" s="99">
        <v>800</v>
      </c>
      <c r="BH32" s="113"/>
      <c r="BI32" s="102">
        <f t="shared" ref="BI32:BI37" si="80">BF32+BG32-BH32</f>
        <v>12800</v>
      </c>
      <c r="BJ32" s="99">
        <v>800</v>
      </c>
      <c r="BK32" s="113"/>
      <c r="BL32" s="102">
        <f t="shared" ref="BL32:BL37" si="81">BI32+BJ32-BK32</f>
        <v>13600</v>
      </c>
      <c r="BM32" s="99">
        <v>800</v>
      </c>
      <c r="BN32" s="113"/>
      <c r="BO32" s="102">
        <f t="shared" ref="BO32:BO37" si="82">BL32+BM32-BN32</f>
        <v>14400</v>
      </c>
      <c r="BP32" s="99">
        <v>800</v>
      </c>
      <c r="BQ32" s="113"/>
      <c r="BR32" s="102">
        <f t="shared" ref="BR32:BR37" si="83">BO32+BP32-BQ32</f>
        <v>15200</v>
      </c>
      <c r="BS32" s="99">
        <v>800</v>
      </c>
      <c r="BT32" s="113"/>
      <c r="BU32" s="102">
        <f t="shared" ref="BU32:BU37" si="84">BR32+BS32-BT32</f>
        <v>16000</v>
      </c>
      <c r="BV32" s="99">
        <v>800</v>
      </c>
      <c r="BW32" s="113">
        <v>15200</v>
      </c>
      <c r="BX32" s="102">
        <f t="shared" ref="BX32:BX37" si="85">BU32+BV32-BW32</f>
        <v>1600</v>
      </c>
      <c r="BY32" s="99">
        <v>800</v>
      </c>
      <c r="BZ32" s="113"/>
      <c r="CA32" s="102">
        <f t="shared" ref="CA32:CA37" si="86">BX32+BY32-BZ32</f>
        <v>2400</v>
      </c>
      <c r="CB32" s="99">
        <v>800</v>
      </c>
      <c r="CC32" s="113"/>
      <c r="CD32" s="102">
        <f t="shared" ref="CD32:CD37" si="87">CA32+CB32-CC32</f>
        <v>3200</v>
      </c>
      <c r="CE32" s="99">
        <v>800</v>
      </c>
      <c r="CF32" s="113"/>
      <c r="CG32" s="102">
        <f t="shared" ref="CG32:CG37" si="88">CD32+CE32-CF32</f>
        <v>4000</v>
      </c>
      <c r="CH32" s="99">
        <v>800</v>
      </c>
      <c r="CI32" s="113"/>
      <c r="CJ32" s="102">
        <f t="shared" ref="CJ32:CJ37" si="89">CG32+CH32-CI32</f>
        <v>4800</v>
      </c>
      <c r="CK32" s="99">
        <v>800</v>
      </c>
      <c r="CL32" s="113"/>
      <c r="CM32" s="102">
        <f t="shared" ref="CM32:CM37" si="90">CJ32+CK32-CL32</f>
        <v>5600</v>
      </c>
      <c r="CN32" s="99">
        <v>800</v>
      </c>
      <c r="CO32" s="113"/>
      <c r="CP32" s="102">
        <f t="shared" ref="CP32:CP37" si="91">CM32+CN32-CO32</f>
        <v>6400</v>
      </c>
      <c r="CQ32" s="99">
        <v>800</v>
      </c>
      <c r="CR32" s="113"/>
      <c r="CS32" s="102">
        <f t="shared" si="66"/>
        <v>7200</v>
      </c>
      <c r="CT32" s="99">
        <v>800</v>
      </c>
      <c r="CU32" s="113"/>
      <c r="CV32" s="102">
        <f t="shared" si="67"/>
        <v>8000</v>
      </c>
      <c r="CW32" s="99">
        <v>800</v>
      </c>
      <c r="CX32" s="113"/>
      <c r="CY32" s="102">
        <f t="shared" si="68"/>
        <v>8800</v>
      </c>
    </row>
    <row r="33" spans="1:103">
      <c r="A33" s="41" t="e">
        <f>VLOOKUP(B33,справочник!$B$2:$E$322,4,FALSE)</f>
        <v>#N/A</v>
      </c>
      <c r="B33" t="str">
        <f t="shared" si="4"/>
        <v>11Бенгя Владимир Михайлович</v>
      </c>
      <c r="C33" s="1">
        <v>11</v>
      </c>
      <c r="D33" s="2" t="s">
        <v>766</v>
      </c>
      <c r="E33" s="1" t="s">
        <v>347</v>
      </c>
      <c r="F33" s="16">
        <v>41204</v>
      </c>
      <c r="G33" s="16">
        <v>41214</v>
      </c>
      <c r="H33" s="17">
        <f t="shared" si="70"/>
        <v>38</v>
      </c>
      <c r="I33" s="1">
        <f t="shared" si="2"/>
        <v>38000</v>
      </c>
      <c r="J33" s="17">
        <v>26000</v>
      </c>
      <c r="K33" s="17"/>
      <c r="L33" s="18">
        <f t="shared" si="71"/>
        <v>12000</v>
      </c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18">
        <f t="shared" si="5"/>
        <v>0</v>
      </c>
      <c r="Z33" s="96">
        <v>12</v>
      </c>
      <c r="AA33" s="96">
        <f t="shared" si="6"/>
        <v>9600</v>
      </c>
      <c r="AB33" s="96">
        <f t="shared" si="7"/>
        <v>21600</v>
      </c>
      <c r="AC33" s="99">
        <v>800</v>
      </c>
      <c r="AD33" s="98"/>
      <c r="AE33" s="102">
        <f t="shared" si="8"/>
        <v>22400</v>
      </c>
      <c r="AF33" s="99">
        <v>800</v>
      </c>
      <c r="AG33" s="98"/>
      <c r="AH33" s="102">
        <f t="shared" si="45"/>
        <v>23200</v>
      </c>
      <c r="AI33" s="99">
        <v>800</v>
      </c>
      <c r="AJ33" s="98"/>
      <c r="AK33" s="102">
        <f t="shared" si="72"/>
        <v>24000</v>
      </c>
      <c r="AL33" s="99">
        <v>800</v>
      </c>
      <c r="AM33" s="98"/>
      <c r="AN33" s="102">
        <f t="shared" si="73"/>
        <v>24800</v>
      </c>
      <c r="AO33" s="99">
        <v>800</v>
      </c>
      <c r="AP33" s="113"/>
      <c r="AQ33" s="102">
        <f t="shared" si="74"/>
        <v>25600</v>
      </c>
      <c r="AR33" s="99">
        <v>800</v>
      </c>
      <c r="AS33" s="113"/>
      <c r="AT33" s="102">
        <f t="shared" si="75"/>
        <v>26400</v>
      </c>
      <c r="AU33" s="99">
        <v>800</v>
      </c>
      <c r="AV33" s="113"/>
      <c r="AW33" s="102">
        <f t="shared" si="76"/>
        <v>27200</v>
      </c>
      <c r="AX33" s="99">
        <v>800</v>
      </c>
      <c r="AY33" s="113"/>
      <c r="AZ33" s="102">
        <f t="shared" si="77"/>
        <v>28000</v>
      </c>
      <c r="BA33" s="99">
        <v>800</v>
      </c>
      <c r="BB33" s="113"/>
      <c r="BC33" s="102">
        <f t="shared" si="78"/>
        <v>28800</v>
      </c>
      <c r="BD33" s="99">
        <v>800</v>
      </c>
      <c r="BE33" s="113"/>
      <c r="BF33" s="102">
        <f t="shared" si="79"/>
        <v>29600</v>
      </c>
      <c r="BG33" s="99">
        <v>800</v>
      </c>
      <c r="BH33" s="113">
        <v>5000</v>
      </c>
      <c r="BI33" s="102">
        <f t="shared" si="80"/>
        <v>25400</v>
      </c>
      <c r="BJ33" s="99">
        <v>800</v>
      </c>
      <c r="BK33" s="113"/>
      <c r="BL33" s="102">
        <f t="shared" si="81"/>
        <v>26200</v>
      </c>
      <c r="BM33" s="99">
        <v>800</v>
      </c>
      <c r="BN33" s="113"/>
      <c r="BO33" s="102">
        <f t="shared" si="82"/>
        <v>27000</v>
      </c>
      <c r="BP33" s="99">
        <v>800</v>
      </c>
      <c r="BQ33" s="113"/>
      <c r="BR33" s="102">
        <f t="shared" si="83"/>
        <v>27800</v>
      </c>
      <c r="BS33" s="99">
        <v>800</v>
      </c>
      <c r="BT33" s="113"/>
      <c r="BU33" s="102">
        <f t="shared" si="84"/>
        <v>28600</v>
      </c>
      <c r="BV33" s="99">
        <v>800</v>
      </c>
      <c r="BW33" s="113"/>
      <c r="BX33" s="102">
        <f t="shared" si="85"/>
        <v>29400</v>
      </c>
      <c r="BY33" s="99">
        <v>800</v>
      </c>
      <c r="BZ33" s="113"/>
      <c r="CA33" s="102">
        <f t="shared" si="86"/>
        <v>30200</v>
      </c>
      <c r="CB33" s="99">
        <v>800</v>
      </c>
      <c r="CC33" s="113"/>
      <c r="CD33" s="102">
        <f t="shared" si="87"/>
        <v>31000</v>
      </c>
      <c r="CE33" s="99">
        <v>800</v>
      </c>
      <c r="CF33" s="113"/>
      <c r="CG33" s="102">
        <f t="shared" si="88"/>
        <v>31800</v>
      </c>
      <c r="CH33" s="99">
        <v>800</v>
      </c>
      <c r="CI33" s="113"/>
      <c r="CJ33" s="102">
        <f t="shared" si="89"/>
        <v>32600</v>
      </c>
      <c r="CK33" s="99">
        <v>800</v>
      </c>
      <c r="CL33" s="113"/>
      <c r="CM33" s="102">
        <f t="shared" si="90"/>
        <v>33400</v>
      </c>
      <c r="CN33" s="99">
        <v>800</v>
      </c>
      <c r="CO33" s="113"/>
      <c r="CP33" s="102">
        <f t="shared" si="91"/>
        <v>34200</v>
      </c>
      <c r="CQ33" s="99">
        <v>800</v>
      </c>
      <c r="CR33" s="113">
        <v>20000</v>
      </c>
      <c r="CS33" s="102">
        <f t="shared" si="66"/>
        <v>15000</v>
      </c>
      <c r="CT33" s="99">
        <v>800</v>
      </c>
      <c r="CU33" s="113"/>
      <c r="CV33" s="102">
        <f t="shared" si="67"/>
        <v>15800</v>
      </c>
      <c r="CW33" s="99">
        <v>800</v>
      </c>
      <c r="CX33" s="113"/>
      <c r="CY33" s="102">
        <f t="shared" si="68"/>
        <v>16600</v>
      </c>
    </row>
    <row r="34" spans="1:103" ht="24">
      <c r="A34" s="41" t="e">
        <f>VLOOKUP(B34,справочник!$B$2:$E$322,4,FALSE)</f>
        <v>#N/A</v>
      </c>
      <c r="B34" t="str">
        <f t="shared" si="4"/>
        <v>119Беспаленко Зинаида Александровна (новый собственник Киреева Галина Михайловна)</v>
      </c>
      <c r="C34" s="1">
        <v>119</v>
      </c>
      <c r="D34" s="2" t="s">
        <v>814</v>
      </c>
      <c r="E34" s="1" t="s">
        <v>348</v>
      </c>
      <c r="F34" s="16">
        <v>41262</v>
      </c>
      <c r="G34" s="16">
        <v>41275</v>
      </c>
      <c r="H34" s="17">
        <f t="shared" si="70"/>
        <v>36</v>
      </c>
      <c r="I34" s="1">
        <f t="shared" si="2"/>
        <v>36000</v>
      </c>
      <c r="J34" s="17">
        <v>1000</v>
      </c>
      <c r="K34" s="17"/>
      <c r="L34" s="18">
        <f t="shared" si="71"/>
        <v>35000</v>
      </c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18">
        <f t="shared" si="5"/>
        <v>0</v>
      </c>
      <c r="Z34" s="96">
        <v>12</v>
      </c>
      <c r="AA34" s="96">
        <f t="shared" si="6"/>
        <v>9600</v>
      </c>
      <c r="AB34" s="96">
        <f t="shared" si="7"/>
        <v>44600</v>
      </c>
      <c r="AC34" s="99">
        <v>800</v>
      </c>
      <c r="AD34" s="98"/>
      <c r="AE34" s="102">
        <f t="shared" si="8"/>
        <v>45400</v>
      </c>
      <c r="AF34" s="99">
        <v>800</v>
      </c>
      <c r="AG34" s="98"/>
      <c r="AH34" s="102">
        <f t="shared" si="45"/>
        <v>46200</v>
      </c>
      <c r="AI34" s="99">
        <v>800</v>
      </c>
      <c r="AJ34" s="98"/>
      <c r="AK34" s="102">
        <f t="shared" si="72"/>
        <v>47000</v>
      </c>
      <c r="AL34" s="99">
        <v>800</v>
      </c>
      <c r="AM34" s="98"/>
      <c r="AN34" s="102">
        <f t="shared" si="73"/>
        <v>47800</v>
      </c>
      <c r="AO34" s="99">
        <v>800</v>
      </c>
      <c r="AP34" s="113"/>
      <c r="AQ34" s="102">
        <f t="shared" si="74"/>
        <v>48600</v>
      </c>
      <c r="AR34" s="99">
        <v>800</v>
      </c>
      <c r="AS34" s="113">
        <v>4800</v>
      </c>
      <c r="AT34" s="102">
        <f t="shared" si="75"/>
        <v>44600</v>
      </c>
      <c r="AU34" s="99">
        <v>800</v>
      </c>
      <c r="AV34" s="113"/>
      <c r="AW34" s="102">
        <f t="shared" si="76"/>
        <v>45400</v>
      </c>
      <c r="AX34" s="99">
        <v>800</v>
      </c>
      <c r="AY34" s="113"/>
      <c r="AZ34" s="102">
        <f t="shared" si="77"/>
        <v>46200</v>
      </c>
      <c r="BA34" s="99">
        <v>800</v>
      </c>
      <c r="BB34" s="113"/>
      <c r="BC34" s="102">
        <f t="shared" si="78"/>
        <v>47000</v>
      </c>
      <c r="BD34" s="99">
        <v>800</v>
      </c>
      <c r="BE34" s="113"/>
      <c r="BF34" s="102">
        <f t="shared" si="79"/>
        <v>47800</v>
      </c>
      <c r="BG34" s="99">
        <v>800</v>
      </c>
      <c r="BH34" s="113">
        <v>4800</v>
      </c>
      <c r="BI34" s="102">
        <f t="shared" si="80"/>
        <v>43800</v>
      </c>
      <c r="BJ34" s="99">
        <v>800</v>
      </c>
      <c r="BK34" s="113">
        <f>4800+2400</f>
        <v>7200</v>
      </c>
      <c r="BL34" s="102">
        <f t="shared" si="81"/>
        <v>37400</v>
      </c>
      <c r="BM34" s="99">
        <v>800</v>
      </c>
      <c r="BN34" s="113"/>
      <c r="BO34" s="102">
        <f t="shared" si="82"/>
        <v>38200</v>
      </c>
      <c r="BP34" s="99">
        <v>800</v>
      </c>
      <c r="BQ34" s="113">
        <v>800</v>
      </c>
      <c r="BR34" s="102">
        <f t="shared" si="83"/>
        <v>38200</v>
      </c>
      <c r="BS34" s="99">
        <v>800</v>
      </c>
      <c r="BT34" s="113">
        <v>800</v>
      </c>
      <c r="BU34" s="102">
        <f t="shared" si="84"/>
        <v>38200</v>
      </c>
      <c r="BV34" s="99">
        <v>800</v>
      </c>
      <c r="BW34" s="113">
        <v>800</v>
      </c>
      <c r="BX34" s="102">
        <f t="shared" si="85"/>
        <v>38200</v>
      </c>
      <c r="BY34" s="99">
        <v>800</v>
      </c>
      <c r="BZ34" s="113">
        <v>800</v>
      </c>
      <c r="CA34" s="102">
        <f t="shared" si="86"/>
        <v>38200</v>
      </c>
      <c r="CB34" s="99">
        <v>800</v>
      </c>
      <c r="CC34" s="113"/>
      <c r="CD34" s="102">
        <f t="shared" si="87"/>
        <v>39000</v>
      </c>
      <c r="CE34" s="99">
        <v>800</v>
      </c>
      <c r="CF34" s="113"/>
      <c r="CG34" s="102">
        <f t="shared" si="88"/>
        <v>39800</v>
      </c>
      <c r="CH34" s="99">
        <v>800</v>
      </c>
      <c r="CI34" s="113"/>
      <c r="CJ34" s="102">
        <f t="shared" si="89"/>
        <v>40600</v>
      </c>
      <c r="CK34" s="99">
        <v>800</v>
      </c>
      <c r="CL34" s="113">
        <v>3200</v>
      </c>
      <c r="CM34" s="102">
        <f t="shared" si="90"/>
        <v>38200</v>
      </c>
      <c r="CN34" s="99">
        <v>800</v>
      </c>
      <c r="CO34" s="113"/>
      <c r="CP34" s="102">
        <f t="shared" si="91"/>
        <v>39000</v>
      </c>
      <c r="CQ34" s="99">
        <v>800</v>
      </c>
      <c r="CR34" s="113"/>
      <c r="CS34" s="102">
        <f>CP34+CQ34-CR34</f>
        <v>39800</v>
      </c>
      <c r="CT34" s="99">
        <v>800</v>
      </c>
      <c r="CU34" s="113">
        <v>3200</v>
      </c>
      <c r="CV34" s="102">
        <f>CS34+CT34-CU34</f>
        <v>37400</v>
      </c>
      <c r="CW34" s="99">
        <v>800</v>
      </c>
      <c r="CX34" s="113"/>
      <c r="CY34" s="102">
        <f>CV34+CW34-CX34</f>
        <v>38200</v>
      </c>
    </row>
    <row r="35" spans="1:103">
      <c r="A35" s="41">
        <f>VLOOKUP(B35,справочник!$B$2:$E$322,4,FALSE)</f>
        <v>151</v>
      </c>
      <c r="B35" t="str">
        <f t="shared" si="4"/>
        <v>159Бирюков Александр Сергеевич</v>
      </c>
      <c r="C35" s="1">
        <v>159</v>
      </c>
      <c r="D35" s="2" t="s">
        <v>32</v>
      </c>
      <c r="E35" s="1" t="s">
        <v>349</v>
      </c>
      <c r="F35" s="16">
        <v>41121</v>
      </c>
      <c r="G35" s="16">
        <v>41122</v>
      </c>
      <c r="H35" s="17">
        <f t="shared" si="70"/>
        <v>41</v>
      </c>
      <c r="I35" s="1">
        <f t="shared" si="2"/>
        <v>41000</v>
      </c>
      <c r="J35" s="17">
        <v>17000</v>
      </c>
      <c r="K35" s="17"/>
      <c r="L35" s="18">
        <f t="shared" si="71"/>
        <v>24000</v>
      </c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18">
        <f t="shared" si="5"/>
        <v>0</v>
      </c>
      <c r="Z35" s="96">
        <v>12</v>
      </c>
      <c r="AA35" s="96">
        <f t="shared" si="6"/>
        <v>9600</v>
      </c>
      <c r="AB35" s="96">
        <f t="shared" si="7"/>
        <v>33600</v>
      </c>
      <c r="AC35" s="99">
        <v>800</v>
      </c>
      <c r="AD35" s="98"/>
      <c r="AE35" s="102">
        <f t="shared" si="8"/>
        <v>34400</v>
      </c>
      <c r="AF35" s="99">
        <v>800</v>
      </c>
      <c r="AG35" s="98"/>
      <c r="AH35" s="102">
        <f t="shared" si="45"/>
        <v>35200</v>
      </c>
      <c r="AI35" s="99">
        <v>800</v>
      </c>
      <c r="AJ35" s="98"/>
      <c r="AK35" s="102">
        <f t="shared" si="72"/>
        <v>36000</v>
      </c>
      <c r="AL35" s="99">
        <v>800</v>
      </c>
      <c r="AM35" s="98"/>
      <c r="AN35" s="102">
        <f t="shared" si="73"/>
        <v>36800</v>
      </c>
      <c r="AO35" s="99">
        <v>800</v>
      </c>
      <c r="AP35" s="113"/>
      <c r="AQ35" s="102">
        <f t="shared" si="74"/>
        <v>37600</v>
      </c>
      <c r="AR35" s="99">
        <v>800</v>
      </c>
      <c r="AS35" s="113"/>
      <c r="AT35" s="102">
        <f t="shared" si="75"/>
        <v>38400</v>
      </c>
      <c r="AU35" s="99">
        <v>800</v>
      </c>
      <c r="AV35" s="113"/>
      <c r="AW35" s="102">
        <f t="shared" si="76"/>
        <v>39200</v>
      </c>
      <c r="AX35" s="99">
        <v>800</v>
      </c>
      <c r="AY35" s="113"/>
      <c r="AZ35" s="102">
        <f t="shared" si="77"/>
        <v>40000</v>
      </c>
      <c r="BA35" s="99">
        <v>800</v>
      </c>
      <c r="BB35" s="113"/>
      <c r="BC35" s="102">
        <f t="shared" si="78"/>
        <v>40800</v>
      </c>
      <c r="BD35" s="99">
        <v>800</v>
      </c>
      <c r="BE35" s="113"/>
      <c r="BF35" s="102">
        <f t="shared" si="79"/>
        <v>41600</v>
      </c>
      <c r="BG35" s="99">
        <v>800</v>
      </c>
      <c r="BH35" s="113"/>
      <c r="BI35" s="102">
        <f t="shared" si="80"/>
        <v>42400</v>
      </c>
      <c r="BJ35" s="99">
        <v>800</v>
      </c>
      <c r="BK35" s="113"/>
      <c r="BL35" s="102">
        <f t="shared" si="81"/>
        <v>43200</v>
      </c>
      <c r="BM35" s="99">
        <v>800</v>
      </c>
      <c r="BN35" s="113"/>
      <c r="BO35" s="102">
        <f t="shared" si="82"/>
        <v>44000</v>
      </c>
      <c r="BP35" s="99">
        <v>800</v>
      </c>
      <c r="BQ35" s="113"/>
      <c r="BR35" s="102">
        <f t="shared" si="83"/>
        <v>44800</v>
      </c>
      <c r="BS35" s="99">
        <v>800</v>
      </c>
      <c r="BT35" s="113"/>
      <c r="BU35" s="102">
        <f t="shared" si="84"/>
        <v>45600</v>
      </c>
      <c r="BV35" s="99">
        <v>800</v>
      </c>
      <c r="BW35" s="113"/>
      <c r="BX35" s="102">
        <f t="shared" si="85"/>
        <v>46400</v>
      </c>
      <c r="BY35" s="99">
        <v>800</v>
      </c>
      <c r="BZ35" s="113"/>
      <c r="CA35" s="102">
        <f t="shared" si="86"/>
        <v>47200</v>
      </c>
      <c r="CB35" s="99">
        <v>800</v>
      </c>
      <c r="CC35" s="113"/>
      <c r="CD35" s="102">
        <f t="shared" si="87"/>
        <v>48000</v>
      </c>
      <c r="CE35" s="99">
        <v>800</v>
      </c>
      <c r="CF35" s="113"/>
      <c r="CG35" s="102">
        <f t="shared" si="88"/>
        <v>48800</v>
      </c>
      <c r="CH35" s="99">
        <v>800</v>
      </c>
      <c r="CI35" s="113"/>
      <c r="CJ35" s="102">
        <f t="shared" si="89"/>
        <v>49600</v>
      </c>
      <c r="CK35" s="99">
        <v>800</v>
      </c>
      <c r="CL35" s="113"/>
      <c r="CM35" s="102">
        <f t="shared" si="90"/>
        <v>50400</v>
      </c>
      <c r="CN35" s="99">
        <v>800</v>
      </c>
      <c r="CO35" s="113"/>
      <c r="CP35" s="102">
        <f t="shared" si="91"/>
        <v>51200</v>
      </c>
      <c r="CQ35" s="99">
        <v>800</v>
      </c>
      <c r="CR35" s="113"/>
      <c r="CS35" s="102">
        <f t="shared" si="66"/>
        <v>52000</v>
      </c>
      <c r="CT35" s="99">
        <v>800</v>
      </c>
      <c r="CU35" s="113"/>
      <c r="CV35" s="102">
        <f t="shared" ref="CV35:CV37" si="92">CS35+CT35-CU35</f>
        <v>52800</v>
      </c>
      <c r="CW35" s="99">
        <v>800</v>
      </c>
      <c r="CX35" s="113"/>
      <c r="CY35" s="102">
        <f t="shared" ref="CY35:CY37" si="93">CV35+CW35-CX35</f>
        <v>53600</v>
      </c>
    </row>
    <row r="36" spans="1:103">
      <c r="A36" s="41">
        <f>VLOOKUP(B36,справочник!$B$2:$E$322,4,FALSE)</f>
        <v>142</v>
      </c>
      <c r="B36" t="str">
        <f t="shared" si="4"/>
        <v>150Блинков Анатолий Сергеевич</v>
      </c>
      <c r="C36" s="1">
        <v>150</v>
      </c>
      <c r="D36" s="2" t="s">
        <v>33</v>
      </c>
      <c r="E36" s="1" t="s">
        <v>350</v>
      </c>
      <c r="F36" s="16">
        <v>40771</v>
      </c>
      <c r="G36" s="16">
        <v>40787</v>
      </c>
      <c r="H36" s="17">
        <f t="shared" si="70"/>
        <v>52</v>
      </c>
      <c r="I36" s="1">
        <f t="shared" si="2"/>
        <v>52000</v>
      </c>
      <c r="J36" s="17">
        <f>32000+1000</f>
        <v>33000</v>
      </c>
      <c r="K36" s="17">
        <v>19000</v>
      </c>
      <c r="L36" s="18">
        <f t="shared" si="71"/>
        <v>0</v>
      </c>
      <c r="M36" s="22"/>
      <c r="N36" s="22"/>
      <c r="O36" s="22"/>
      <c r="P36" s="22"/>
      <c r="Q36" s="22"/>
      <c r="R36" s="22"/>
      <c r="S36" s="22">
        <v>6400</v>
      </c>
      <c r="T36" s="22"/>
      <c r="U36" s="22"/>
      <c r="V36" s="22"/>
      <c r="W36" s="22"/>
      <c r="X36" s="22"/>
      <c r="Y36" s="18">
        <f t="shared" si="5"/>
        <v>6400</v>
      </c>
      <c r="Z36" s="96">
        <v>12</v>
      </c>
      <c r="AA36" s="96">
        <f t="shared" si="6"/>
        <v>9600</v>
      </c>
      <c r="AB36" s="96">
        <f t="shared" si="7"/>
        <v>3200</v>
      </c>
      <c r="AC36" s="99">
        <v>800</v>
      </c>
      <c r="AD36" s="98"/>
      <c r="AE36" s="102">
        <f t="shared" si="8"/>
        <v>4000</v>
      </c>
      <c r="AF36" s="99">
        <v>800</v>
      </c>
      <c r="AG36" s="98"/>
      <c r="AH36" s="102">
        <f t="shared" si="45"/>
        <v>4800</v>
      </c>
      <c r="AI36" s="99">
        <v>800</v>
      </c>
      <c r="AJ36" s="98"/>
      <c r="AK36" s="102">
        <f t="shared" si="72"/>
        <v>5600</v>
      </c>
      <c r="AL36" s="99">
        <v>800</v>
      </c>
      <c r="AM36" s="98"/>
      <c r="AN36" s="102">
        <f t="shared" si="73"/>
        <v>6400</v>
      </c>
      <c r="AO36" s="99">
        <v>800</v>
      </c>
      <c r="AP36" s="113"/>
      <c r="AQ36" s="102">
        <f t="shared" si="74"/>
        <v>7200</v>
      </c>
      <c r="AR36" s="99">
        <v>800</v>
      </c>
      <c r="AS36" s="113"/>
      <c r="AT36" s="102">
        <f t="shared" si="75"/>
        <v>8000</v>
      </c>
      <c r="AU36" s="99">
        <v>800</v>
      </c>
      <c r="AV36" s="113"/>
      <c r="AW36" s="102">
        <f t="shared" si="76"/>
        <v>8800</v>
      </c>
      <c r="AX36" s="99">
        <v>800</v>
      </c>
      <c r="AY36" s="113"/>
      <c r="AZ36" s="102">
        <f t="shared" si="77"/>
        <v>9600</v>
      </c>
      <c r="BA36" s="99">
        <v>800</v>
      </c>
      <c r="BB36" s="113"/>
      <c r="BC36" s="102">
        <f t="shared" si="78"/>
        <v>10400</v>
      </c>
      <c r="BD36" s="99">
        <v>800</v>
      </c>
      <c r="BE36" s="113"/>
      <c r="BF36" s="102">
        <f t="shared" si="79"/>
        <v>11200</v>
      </c>
      <c r="BG36" s="99">
        <v>800</v>
      </c>
      <c r="BH36" s="113"/>
      <c r="BI36" s="102">
        <f t="shared" si="80"/>
        <v>12000</v>
      </c>
      <c r="BJ36" s="99">
        <v>800</v>
      </c>
      <c r="BK36" s="113"/>
      <c r="BL36" s="102">
        <f t="shared" si="81"/>
        <v>12800</v>
      </c>
      <c r="BM36" s="99">
        <v>800</v>
      </c>
      <c r="BN36" s="113"/>
      <c r="BO36" s="102">
        <f t="shared" si="82"/>
        <v>13600</v>
      </c>
      <c r="BP36" s="99">
        <v>800</v>
      </c>
      <c r="BQ36" s="113"/>
      <c r="BR36" s="102">
        <f t="shared" si="83"/>
        <v>14400</v>
      </c>
      <c r="BS36" s="99">
        <v>800</v>
      </c>
      <c r="BT36" s="113"/>
      <c r="BU36" s="102">
        <f t="shared" si="84"/>
        <v>15200</v>
      </c>
      <c r="BV36" s="99">
        <v>800</v>
      </c>
      <c r="BW36" s="113"/>
      <c r="BX36" s="102">
        <f t="shared" si="85"/>
        <v>16000</v>
      </c>
      <c r="BY36" s="99">
        <v>800</v>
      </c>
      <c r="BZ36" s="113"/>
      <c r="CA36" s="102">
        <f t="shared" si="86"/>
        <v>16800</v>
      </c>
      <c r="CB36" s="99">
        <v>800</v>
      </c>
      <c r="CC36" s="113"/>
      <c r="CD36" s="102">
        <f t="shared" si="87"/>
        <v>17600</v>
      </c>
      <c r="CE36" s="99">
        <v>800</v>
      </c>
      <c r="CF36" s="113"/>
      <c r="CG36" s="102">
        <f t="shared" si="88"/>
        <v>18400</v>
      </c>
      <c r="CH36" s="99">
        <v>800</v>
      </c>
      <c r="CI36" s="113"/>
      <c r="CJ36" s="102">
        <f t="shared" si="89"/>
        <v>19200</v>
      </c>
      <c r="CK36" s="99">
        <v>800</v>
      </c>
      <c r="CL36" s="113"/>
      <c r="CM36" s="102">
        <f t="shared" si="90"/>
        <v>20000</v>
      </c>
      <c r="CN36" s="99">
        <v>800</v>
      </c>
      <c r="CO36" s="113"/>
      <c r="CP36" s="102">
        <f t="shared" si="91"/>
        <v>20800</v>
      </c>
      <c r="CQ36" s="99">
        <v>800</v>
      </c>
      <c r="CR36" s="113"/>
      <c r="CS36" s="102">
        <f t="shared" si="66"/>
        <v>21600</v>
      </c>
      <c r="CT36" s="99">
        <v>800</v>
      </c>
      <c r="CU36" s="113"/>
      <c r="CV36" s="102">
        <f t="shared" si="92"/>
        <v>22400</v>
      </c>
      <c r="CW36" s="99">
        <v>800</v>
      </c>
      <c r="CX36" s="113"/>
      <c r="CY36" s="102">
        <f t="shared" si="93"/>
        <v>23200</v>
      </c>
    </row>
    <row r="37" spans="1:103">
      <c r="A37" s="41">
        <f>VLOOKUP(B37,справочник!$B$2:$E$322,4,FALSE)</f>
        <v>245</v>
      </c>
      <c r="B37" t="str">
        <f t="shared" si="4"/>
        <v>256Бондарев Станислав Дмитриевич</v>
      </c>
      <c r="C37" s="1">
        <v>256</v>
      </c>
      <c r="D37" s="2" t="s">
        <v>34</v>
      </c>
      <c r="E37" s="1" t="s">
        <v>351</v>
      </c>
      <c r="F37" s="16">
        <v>41930</v>
      </c>
      <c r="G37" s="16">
        <v>41944</v>
      </c>
      <c r="H37" s="17">
        <f t="shared" si="70"/>
        <v>14</v>
      </c>
      <c r="I37" s="1">
        <f t="shared" si="2"/>
        <v>14000</v>
      </c>
      <c r="J37" s="17">
        <v>9000</v>
      </c>
      <c r="K37" s="17"/>
      <c r="L37" s="18">
        <f t="shared" si="71"/>
        <v>5000</v>
      </c>
      <c r="M37" s="22"/>
      <c r="N37" s="22"/>
      <c r="O37" s="22"/>
      <c r="P37" s="22"/>
      <c r="Q37" s="22"/>
      <c r="R37" s="22">
        <v>9000</v>
      </c>
      <c r="S37" s="22"/>
      <c r="T37" s="22"/>
      <c r="U37" s="22"/>
      <c r="V37" s="22"/>
      <c r="W37" s="22"/>
      <c r="X37" s="22"/>
      <c r="Y37" s="18">
        <f t="shared" si="5"/>
        <v>9000</v>
      </c>
      <c r="Z37" s="96">
        <v>12</v>
      </c>
      <c r="AA37" s="96">
        <f t="shared" si="6"/>
        <v>9600</v>
      </c>
      <c r="AB37" s="96">
        <f t="shared" si="7"/>
        <v>5600</v>
      </c>
      <c r="AC37" s="99">
        <v>800</v>
      </c>
      <c r="AD37" s="98"/>
      <c r="AE37" s="102">
        <f t="shared" si="8"/>
        <v>6400</v>
      </c>
      <c r="AF37" s="99">
        <v>800</v>
      </c>
      <c r="AG37" s="98"/>
      <c r="AH37" s="102">
        <f t="shared" si="45"/>
        <v>7200</v>
      </c>
      <c r="AI37" s="99">
        <v>800</v>
      </c>
      <c r="AJ37" s="98"/>
      <c r="AK37" s="102">
        <f t="shared" si="72"/>
        <v>8000</v>
      </c>
      <c r="AL37" s="99">
        <v>800</v>
      </c>
      <c r="AM37" s="98">
        <v>3500</v>
      </c>
      <c r="AN37" s="102">
        <f t="shared" si="73"/>
        <v>5300</v>
      </c>
      <c r="AO37" s="99">
        <v>800</v>
      </c>
      <c r="AP37" s="113"/>
      <c r="AQ37" s="102">
        <f t="shared" si="74"/>
        <v>6100</v>
      </c>
      <c r="AR37" s="99">
        <v>800</v>
      </c>
      <c r="AS37" s="113">
        <v>6100</v>
      </c>
      <c r="AT37" s="102">
        <f t="shared" si="75"/>
        <v>800</v>
      </c>
      <c r="AU37" s="99">
        <v>800</v>
      </c>
      <c r="AV37" s="113"/>
      <c r="AW37" s="102">
        <f t="shared" si="76"/>
        <v>1600</v>
      </c>
      <c r="AX37" s="99">
        <v>800</v>
      </c>
      <c r="AY37" s="113">
        <v>2000</v>
      </c>
      <c r="AZ37" s="102">
        <f t="shared" si="77"/>
        <v>400</v>
      </c>
      <c r="BA37" s="99">
        <v>800</v>
      </c>
      <c r="BB37" s="113"/>
      <c r="BC37" s="102">
        <f t="shared" si="78"/>
        <v>1200</v>
      </c>
      <c r="BD37" s="99">
        <v>800</v>
      </c>
      <c r="BE37" s="113"/>
      <c r="BF37" s="102">
        <f t="shared" si="79"/>
        <v>2000</v>
      </c>
      <c r="BG37" s="99">
        <v>800</v>
      </c>
      <c r="BH37" s="113"/>
      <c r="BI37" s="102">
        <f t="shared" si="80"/>
        <v>2800</v>
      </c>
      <c r="BJ37" s="99">
        <v>800</v>
      </c>
      <c r="BK37" s="113"/>
      <c r="BL37" s="102">
        <f t="shared" si="81"/>
        <v>3600</v>
      </c>
      <c r="BM37" s="99">
        <v>800</v>
      </c>
      <c r="BN37" s="113">
        <v>3600</v>
      </c>
      <c r="BO37" s="102">
        <f t="shared" si="82"/>
        <v>800</v>
      </c>
      <c r="BP37" s="99">
        <v>800</v>
      </c>
      <c r="BQ37" s="113"/>
      <c r="BR37" s="102">
        <f t="shared" si="83"/>
        <v>1600</v>
      </c>
      <c r="BS37" s="99">
        <v>800</v>
      </c>
      <c r="BT37" s="113"/>
      <c r="BU37" s="102">
        <f t="shared" si="84"/>
        <v>2400</v>
      </c>
      <c r="BV37" s="99">
        <v>800</v>
      </c>
      <c r="BW37" s="113">
        <v>2500</v>
      </c>
      <c r="BX37" s="102">
        <f t="shared" si="85"/>
        <v>700</v>
      </c>
      <c r="BY37" s="99">
        <v>800</v>
      </c>
      <c r="BZ37" s="113"/>
      <c r="CA37" s="102">
        <f t="shared" si="86"/>
        <v>1500</v>
      </c>
      <c r="CB37" s="99">
        <v>800</v>
      </c>
      <c r="CC37" s="113"/>
      <c r="CD37" s="102">
        <f t="shared" si="87"/>
        <v>2300</v>
      </c>
      <c r="CE37" s="99">
        <v>800</v>
      </c>
      <c r="CF37" s="113"/>
      <c r="CG37" s="102">
        <f t="shared" si="88"/>
        <v>3100</v>
      </c>
      <c r="CH37" s="99">
        <v>800</v>
      </c>
      <c r="CI37" s="113">
        <v>3000</v>
      </c>
      <c r="CJ37" s="102">
        <f t="shared" si="89"/>
        <v>900</v>
      </c>
      <c r="CK37" s="99">
        <v>800</v>
      </c>
      <c r="CL37" s="113"/>
      <c r="CM37" s="102">
        <f t="shared" si="90"/>
        <v>1700</v>
      </c>
      <c r="CN37" s="99">
        <v>800</v>
      </c>
      <c r="CO37" s="113"/>
      <c r="CP37" s="102">
        <f t="shared" si="91"/>
        <v>2500</v>
      </c>
      <c r="CQ37" s="99">
        <v>800</v>
      </c>
      <c r="CR37" s="113"/>
      <c r="CS37" s="102">
        <f t="shared" si="66"/>
        <v>3300</v>
      </c>
      <c r="CT37" s="99">
        <v>800</v>
      </c>
      <c r="CU37" s="113">
        <v>2500</v>
      </c>
      <c r="CV37" s="102">
        <f t="shared" si="92"/>
        <v>1600</v>
      </c>
      <c r="CW37" s="99">
        <v>800</v>
      </c>
      <c r="CX37" s="113"/>
      <c r="CY37" s="102">
        <f t="shared" si="93"/>
        <v>2400</v>
      </c>
    </row>
    <row r="38" spans="1:103" s="80" customFormat="1">
      <c r="A38" s="103">
        <f>VLOOKUP(B38,справочник!$B$2:$E$322,4,FALSE)</f>
        <v>188</v>
      </c>
      <c r="B38" s="80" t="str">
        <f t="shared" si="4"/>
        <v>196Бондаренко Владимир Иванович</v>
      </c>
      <c r="C38" s="5">
        <v>196</v>
      </c>
      <c r="D38" s="7" t="s">
        <v>35</v>
      </c>
      <c r="E38" s="5" t="s">
        <v>352</v>
      </c>
      <c r="F38" s="19">
        <v>41674</v>
      </c>
      <c r="G38" s="19">
        <v>41671</v>
      </c>
      <c r="H38" s="20">
        <v>20</v>
      </c>
      <c r="I38" s="5">
        <f t="shared" si="2"/>
        <v>20000</v>
      </c>
      <c r="J38" s="20">
        <v>10000</v>
      </c>
      <c r="K38" s="20"/>
      <c r="L38" s="21">
        <f t="shared" si="71"/>
        <v>10000</v>
      </c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>
        <f t="shared" si="5"/>
        <v>0</v>
      </c>
      <c r="Z38" s="104">
        <v>12</v>
      </c>
      <c r="AA38" s="104">
        <f t="shared" si="6"/>
        <v>9600</v>
      </c>
      <c r="AB38" s="104">
        <f t="shared" si="7"/>
        <v>19600</v>
      </c>
      <c r="AC38" s="104">
        <v>800</v>
      </c>
      <c r="AD38" s="105"/>
      <c r="AE38" s="227">
        <f>SUM(AB38:AB39)+SUM(AC38:AC39)-SUM(AD38:AD39)</f>
        <v>29400</v>
      </c>
      <c r="AF38" s="104">
        <v>800</v>
      </c>
      <c r="AG38" s="105"/>
      <c r="AH38" s="227">
        <f>SUM(AE38:AE39)+SUM(AF38:AF39)-SUM(AG38:AG39)</f>
        <v>30200</v>
      </c>
      <c r="AI38" s="104">
        <v>800</v>
      </c>
      <c r="AJ38" s="105"/>
      <c r="AK38" s="227">
        <f>SUM(AH38:AH39)+SUM(AI38:AI39)-SUM(AJ38:AJ39)</f>
        <v>31000</v>
      </c>
      <c r="AL38" s="104">
        <v>800</v>
      </c>
      <c r="AM38" s="105"/>
      <c r="AN38" s="227">
        <f>SUM(AK38:AK39)+SUM(AL38:AL39)-SUM(AM38:AM39)</f>
        <v>-800</v>
      </c>
      <c r="AO38" s="104">
        <v>800</v>
      </c>
      <c r="AP38" s="105"/>
      <c r="AQ38" s="227">
        <f>SUM(AN38:AN39)+SUM(AO38:AO39)-SUM(AP38:AP39)</f>
        <v>0</v>
      </c>
      <c r="AR38" s="104">
        <v>800</v>
      </c>
      <c r="AS38" s="105"/>
      <c r="AT38" s="227">
        <f>SUM(AQ38:AQ39)+SUM(AR38:AR39)-SUM(AS38:AS39)</f>
        <v>800</v>
      </c>
      <c r="AU38" s="104">
        <v>800</v>
      </c>
      <c r="AV38" s="105"/>
      <c r="AW38" s="212">
        <f>SUM(AT38:AT39)+SUM(AU38:AU39)-SUM(AV38:AV39)</f>
        <v>1600</v>
      </c>
      <c r="AX38" s="104">
        <v>800</v>
      </c>
      <c r="AY38" s="105"/>
      <c r="AZ38" s="212">
        <f>SUM(AW38:AW39)+SUM(AX38:AX39)-SUM(AY38:AY39)</f>
        <v>2400</v>
      </c>
      <c r="BA38" s="104">
        <v>800</v>
      </c>
      <c r="BB38" s="105"/>
      <c r="BC38" s="212">
        <f>SUM(AZ38:AZ39)+SUM(BA38:BA39)-SUM(BB38:BB39)</f>
        <v>3200</v>
      </c>
      <c r="BD38" s="104">
        <v>800</v>
      </c>
      <c r="BE38" s="105"/>
      <c r="BF38" s="212">
        <f>SUM(BC38:BC39)+SUM(BD38:BD39)-SUM(BE38:BE39)</f>
        <v>4000</v>
      </c>
      <c r="BG38" s="104">
        <v>800</v>
      </c>
      <c r="BH38" s="105"/>
      <c r="BI38" s="212">
        <f>SUM(BF38:BF39)+SUM(BG38:BG39)-SUM(BH38:BH39)</f>
        <v>4800</v>
      </c>
      <c r="BJ38" s="104">
        <v>800</v>
      </c>
      <c r="BK38" s="105">
        <v>5600</v>
      </c>
      <c r="BL38" s="212">
        <f>SUM(BI38:BI39)+SUM(BJ38:BJ39)-SUM(BK38:BK39)</f>
        <v>0</v>
      </c>
      <c r="BM38" s="104">
        <v>800</v>
      </c>
      <c r="BN38" s="105"/>
      <c r="BO38" s="212">
        <f>SUM(BL38:BL39)+SUM(BM38:BM39)-SUM(BN38:BN39)</f>
        <v>800</v>
      </c>
      <c r="BP38" s="104">
        <v>800</v>
      </c>
      <c r="BQ38" s="105"/>
      <c r="BR38" s="212">
        <f>SUM(BO38:BO39)+SUM(BP38:BP39)-SUM(BQ38:BQ39)</f>
        <v>1600</v>
      </c>
      <c r="BS38" s="104">
        <v>800</v>
      </c>
      <c r="BT38" s="105"/>
      <c r="BU38" s="212">
        <f>SUM(BR38:BR39)+SUM(BS38:BS39)-SUM(BT38:BT39)</f>
        <v>2400</v>
      </c>
      <c r="BV38" s="104">
        <v>800</v>
      </c>
      <c r="BW38" s="105"/>
      <c r="BX38" s="212">
        <f>SUM(BU38:BU39)+SUM(BV38:BV39)-SUM(BW38:BW39)</f>
        <v>3200</v>
      </c>
      <c r="BY38" s="104">
        <v>800</v>
      </c>
      <c r="BZ38" s="105">
        <v>4000</v>
      </c>
      <c r="CA38" s="212">
        <f>SUM(BX38:BX39)+SUM(BY38:BY39)-SUM(BZ38:BZ39)</f>
        <v>0</v>
      </c>
      <c r="CB38" s="104">
        <v>800</v>
      </c>
      <c r="CC38" s="105"/>
      <c r="CD38" s="212">
        <f>SUM(CA38:CA39)+SUM(CB38:CB39)-SUM(CC38:CC39)</f>
        <v>800</v>
      </c>
      <c r="CE38" s="104">
        <v>800</v>
      </c>
      <c r="CF38" s="105"/>
      <c r="CG38" s="212">
        <f>SUM(CD38:CD39)+SUM(CE38:CE39)-SUM(CF38:CF39)</f>
        <v>1600</v>
      </c>
      <c r="CH38" s="104">
        <v>800</v>
      </c>
      <c r="CI38" s="105"/>
      <c r="CJ38" s="212">
        <f>SUM(CG38:CG39)+SUM(CH38:CH39)-SUM(CI38:CI39)</f>
        <v>2400</v>
      </c>
      <c r="CK38" s="104">
        <v>800</v>
      </c>
      <c r="CL38" s="105"/>
      <c r="CM38" s="212">
        <f>SUM(CJ38:CJ39)+SUM(CK38:CK39)-SUM(CL38:CL39)</f>
        <v>3200</v>
      </c>
      <c r="CN38" s="104">
        <v>800</v>
      </c>
      <c r="CO38" s="105"/>
      <c r="CP38" s="212">
        <f>SUM(CM38:CM39)+SUM(CN38:CN39)-SUM(CO38:CO39)</f>
        <v>4000</v>
      </c>
      <c r="CQ38" s="104">
        <v>800</v>
      </c>
      <c r="CR38" s="105"/>
      <c r="CS38" s="212">
        <f>CP38+CQ38-CR38</f>
        <v>4800</v>
      </c>
      <c r="CT38" s="104">
        <v>800</v>
      </c>
      <c r="CU38" s="105"/>
      <c r="CV38" s="212">
        <f>CS38+CT38-CU38</f>
        <v>5600</v>
      </c>
      <c r="CW38" s="104">
        <v>800</v>
      </c>
      <c r="CX38" s="105">
        <v>6400</v>
      </c>
      <c r="CY38" s="212">
        <f>CV38+CW38-CX38</f>
        <v>0</v>
      </c>
    </row>
    <row r="39" spans="1:103" s="80" customFormat="1">
      <c r="A39" s="103">
        <f>VLOOKUP(B39,справочник!$B$2:$E$322,4,FALSE)</f>
        <v>188</v>
      </c>
      <c r="B39" s="80" t="str">
        <f t="shared" si="4"/>
        <v>197Бондаренко Владимир Иванович</v>
      </c>
      <c r="C39" s="5">
        <v>197</v>
      </c>
      <c r="D39" s="7" t="s">
        <v>35</v>
      </c>
      <c r="E39" s="5"/>
      <c r="F39" s="19">
        <v>41674</v>
      </c>
      <c r="G39" s="19">
        <v>41671</v>
      </c>
      <c r="H39" s="20">
        <v>9</v>
      </c>
      <c r="I39" s="5">
        <f t="shared" si="2"/>
        <v>9000</v>
      </c>
      <c r="J39" s="20"/>
      <c r="K39" s="20"/>
      <c r="L39" s="21">
        <f t="shared" si="71"/>
        <v>9000</v>
      </c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>
        <f t="shared" si="5"/>
        <v>0</v>
      </c>
      <c r="Z39" s="104">
        <v>0</v>
      </c>
      <c r="AA39" s="104">
        <f t="shared" si="6"/>
        <v>0</v>
      </c>
      <c r="AB39" s="104">
        <f t="shared" si="7"/>
        <v>9000</v>
      </c>
      <c r="AC39" s="104">
        <v>0</v>
      </c>
      <c r="AD39" s="105"/>
      <c r="AE39" s="228"/>
      <c r="AF39" s="104">
        <v>0</v>
      </c>
      <c r="AG39" s="105"/>
      <c r="AH39" s="228"/>
      <c r="AI39" s="104">
        <v>0</v>
      </c>
      <c r="AJ39" s="105"/>
      <c r="AK39" s="228"/>
      <c r="AL39" s="104">
        <v>0</v>
      </c>
      <c r="AM39" s="105">
        <v>32600</v>
      </c>
      <c r="AN39" s="228"/>
      <c r="AO39" s="104">
        <v>0</v>
      </c>
      <c r="AP39" s="105"/>
      <c r="AQ39" s="228"/>
      <c r="AR39" s="104">
        <v>0</v>
      </c>
      <c r="AS39" s="105"/>
      <c r="AT39" s="228"/>
      <c r="AU39" s="104">
        <v>0</v>
      </c>
      <c r="AV39" s="105"/>
      <c r="AW39" s="214"/>
      <c r="AX39" s="104">
        <v>0</v>
      </c>
      <c r="AY39" s="105"/>
      <c r="AZ39" s="214"/>
      <c r="BA39" s="104">
        <v>0</v>
      </c>
      <c r="BB39" s="105"/>
      <c r="BC39" s="214"/>
      <c r="BD39" s="104">
        <v>0</v>
      </c>
      <c r="BE39" s="105"/>
      <c r="BF39" s="214"/>
      <c r="BG39" s="104">
        <v>0</v>
      </c>
      <c r="BH39" s="105"/>
      <c r="BI39" s="214"/>
      <c r="BJ39" s="104">
        <v>0</v>
      </c>
      <c r="BK39" s="105"/>
      <c r="BL39" s="214"/>
      <c r="BM39" s="104">
        <v>0</v>
      </c>
      <c r="BN39" s="105"/>
      <c r="BO39" s="214"/>
      <c r="BP39" s="104">
        <v>0</v>
      </c>
      <c r="BQ39" s="105"/>
      <c r="BR39" s="214"/>
      <c r="BS39" s="104">
        <v>0</v>
      </c>
      <c r="BT39" s="105"/>
      <c r="BU39" s="214"/>
      <c r="BV39" s="104">
        <v>0</v>
      </c>
      <c r="BW39" s="105"/>
      <c r="BX39" s="214"/>
      <c r="BY39" s="104">
        <v>0</v>
      </c>
      <c r="BZ39" s="105"/>
      <c r="CA39" s="214"/>
      <c r="CB39" s="104">
        <v>0</v>
      </c>
      <c r="CC39" s="105"/>
      <c r="CD39" s="214"/>
      <c r="CE39" s="104">
        <v>0</v>
      </c>
      <c r="CF39" s="105"/>
      <c r="CG39" s="214"/>
      <c r="CH39" s="104">
        <v>0</v>
      </c>
      <c r="CI39" s="105"/>
      <c r="CJ39" s="214"/>
      <c r="CK39" s="104">
        <v>0</v>
      </c>
      <c r="CL39" s="105"/>
      <c r="CM39" s="214"/>
      <c r="CN39" s="104">
        <v>0</v>
      </c>
      <c r="CO39" s="105"/>
      <c r="CP39" s="214"/>
      <c r="CQ39" s="104">
        <v>0</v>
      </c>
      <c r="CR39" s="105"/>
      <c r="CS39" s="214"/>
      <c r="CT39" s="104">
        <v>0</v>
      </c>
      <c r="CU39" s="105"/>
      <c r="CV39" s="214"/>
      <c r="CW39" s="104">
        <v>0</v>
      </c>
      <c r="CX39" s="105"/>
      <c r="CY39" s="214"/>
    </row>
    <row r="40" spans="1:103">
      <c r="A40" s="41">
        <f>VLOOKUP(B40,справочник!$B$2:$E$322,4,FALSE)</f>
        <v>219</v>
      </c>
      <c r="B40" t="str">
        <f t="shared" si="4"/>
        <v>228Бондарь Василий Дмитриевич</v>
      </c>
      <c r="C40" s="1">
        <v>228</v>
      </c>
      <c r="D40" s="2" t="s">
        <v>36</v>
      </c>
      <c r="E40" s="1" t="s">
        <v>353</v>
      </c>
      <c r="F40" s="16">
        <v>41848</v>
      </c>
      <c r="G40" s="16">
        <v>41883</v>
      </c>
      <c r="H40" s="17">
        <f t="shared" ref="H40:H45" si="94">INT(($H$326-G40)/30)</f>
        <v>16</v>
      </c>
      <c r="I40" s="1">
        <f t="shared" si="2"/>
        <v>16000</v>
      </c>
      <c r="J40" s="17">
        <v>13000</v>
      </c>
      <c r="K40" s="17">
        <v>3000</v>
      </c>
      <c r="L40" s="18">
        <f t="shared" si="71"/>
        <v>0</v>
      </c>
      <c r="M40" s="22"/>
      <c r="N40" s="22"/>
      <c r="O40" s="22">
        <v>3000</v>
      </c>
      <c r="P40" s="22"/>
      <c r="Q40" s="22"/>
      <c r="R40" s="22">
        <v>3000</v>
      </c>
      <c r="S40" s="22"/>
      <c r="T40" s="22"/>
      <c r="U40" s="22">
        <v>3000</v>
      </c>
      <c r="V40" s="22">
        <f>3600+600</f>
        <v>4200</v>
      </c>
      <c r="W40" s="22"/>
      <c r="X40" s="22"/>
      <c r="Y40" s="18">
        <f t="shared" si="5"/>
        <v>13200</v>
      </c>
      <c r="Z40" s="96">
        <v>12</v>
      </c>
      <c r="AA40" s="96">
        <f t="shared" si="6"/>
        <v>9600</v>
      </c>
      <c r="AB40" s="96">
        <f t="shared" si="7"/>
        <v>-3600</v>
      </c>
      <c r="AC40" s="99">
        <v>800</v>
      </c>
      <c r="AD40" s="98"/>
      <c r="AE40" s="102">
        <f t="shared" si="8"/>
        <v>-2800</v>
      </c>
      <c r="AF40" s="99">
        <v>800</v>
      </c>
      <c r="AG40" s="98">
        <v>800</v>
      </c>
      <c r="AH40" s="102">
        <f t="shared" ref="AH40:AH44" si="95">AE40+AF40-AG40</f>
        <v>-2800</v>
      </c>
      <c r="AI40" s="99">
        <v>800</v>
      </c>
      <c r="AJ40" s="98">
        <v>800</v>
      </c>
      <c r="AK40" s="102">
        <f t="shared" ref="AK40:AK44" si="96">AH40+AI40-AJ40</f>
        <v>-2800</v>
      </c>
      <c r="AL40" s="99">
        <v>800</v>
      </c>
      <c r="AM40" s="98">
        <v>800</v>
      </c>
      <c r="AN40" s="102">
        <f t="shared" ref="AN40:AN44" si="97">AK40+AL40-AM40</f>
        <v>-2800</v>
      </c>
      <c r="AO40" s="99">
        <v>800</v>
      </c>
      <c r="AP40" s="113"/>
      <c r="AQ40" s="102">
        <f t="shared" ref="AQ40:AQ44" si="98">AN40+AO40-AP40</f>
        <v>-2000</v>
      </c>
      <c r="AR40" s="99">
        <v>800</v>
      </c>
      <c r="AS40" s="113"/>
      <c r="AT40" s="102">
        <f t="shared" ref="AT40:AT44" si="99">AQ40+AR40-AS40</f>
        <v>-1200</v>
      </c>
      <c r="AU40" s="99">
        <v>800</v>
      </c>
      <c r="AV40" s="113"/>
      <c r="AW40" s="102">
        <f t="shared" ref="AW40:AW44" si="100">AT40+AU40-AV40</f>
        <v>-400</v>
      </c>
      <c r="AX40" s="99">
        <v>800</v>
      </c>
      <c r="AY40" s="113"/>
      <c r="AZ40" s="102">
        <f t="shared" ref="AZ40:AZ44" si="101">AW40+AX40-AY40</f>
        <v>400</v>
      </c>
      <c r="BA40" s="99">
        <v>800</v>
      </c>
      <c r="BB40" s="113"/>
      <c r="BC40" s="102">
        <f t="shared" ref="BC40:BC44" si="102">AZ40+BA40-BB40</f>
        <v>1200</v>
      </c>
      <c r="BD40" s="99">
        <v>800</v>
      </c>
      <c r="BE40" s="113"/>
      <c r="BF40" s="102">
        <f t="shared" ref="BF40:BF44" si="103">BC40+BD40-BE40</f>
        <v>2000</v>
      </c>
      <c r="BG40" s="99">
        <v>800</v>
      </c>
      <c r="BH40" s="113">
        <f>2000+1600</f>
        <v>3600</v>
      </c>
      <c r="BI40" s="102">
        <f t="shared" ref="BI40:BI44" si="104">BF40+BG40-BH40</f>
        <v>-800</v>
      </c>
      <c r="BJ40" s="99">
        <v>800</v>
      </c>
      <c r="BK40" s="113"/>
      <c r="BL40" s="102">
        <f t="shared" ref="BL40:BL44" si="105">BI40+BJ40-BK40</f>
        <v>0</v>
      </c>
      <c r="BM40" s="99">
        <v>800</v>
      </c>
      <c r="BN40" s="113">
        <v>800</v>
      </c>
      <c r="BO40" s="102">
        <f t="shared" ref="BO40:BO44" si="106">BL40+BM40-BN40</f>
        <v>0</v>
      </c>
      <c r="BP40" s="99">
        <v>800</v>
      </c>
      <c r="BQ40" s="113"/>
      <c r="BR40" s="102">
        <f t="shared" ref="BR40:BR44" si="107">BO40+BP40-BQ40</f>
        <v>800</v>
      </c>
      <c r="BS40" s="99">
        <v>800</v>
      </c>
      <c r="BT40" s="113">
        <v>2400</v>
      </c>
      <c r="BU40" s="102">
        <f t="shared" ref="BU40:BU44" si="108">BR40+BS40-BT40</f>
        <v>-800</v>
      </c>
      <c r="BV40" s="99">
        <v>800</v>
      </c>
      <c r="BW40" s="113"/>
      <c r="BX40" s="102">
        <f t="shared" ref="BX40:BX44" si="109">BU40+BV40-BW40</f>
        <v>0</v>
      </c>
      <c r="BY40" s="99">
        <v>800</v>
      </c>
      <c r="BZ40" s="113">
        <v>1600</v>
      </c>
      <c r="CA40" s="102">
        <f t="shared" ref="CA40:CA44" si="110">BX40+BY40-BZ40</f>
        <v>-800</v>
      </c>
      <c r="CB40" s="99">
        <v>800</v>
      </c>
      <c r="CC40" s="113"/>
      <c r="CD40" s="102">
        <f t="shared" ref="CD40:CD44" si="111">CA40+CB40-CC40</f>
        <v>0</v>
      </c>
      <c r="CE40" s="99">
        <v>800</v>
      </c>
      <c r="CF40" s="113"/>
      <c r="CG40" s="102">
        <f t="shared" ref="CG40:CG44" si="112">CD40+CE40-CF40</f>
        <v>800</v>
      </c>
      <c r="CH40" s="99">
        <v>800</v>
      </c>
      <c r="CI40" s="113">
        <v>3000</v>
      </c>
      <c r="CJ40" s="102">
        <f t="shared" ref="CJ40:CJ44" si="113">CG40+CH40-CI40</f>
        <v>-1400</v>
      </c>
      <c r="CK40" s="99">
        <v>800</v>
      </c>
      <c r="CL40" s="113"/>
      <c r="CM40" s="102">
        <f t="shared" ref="CM40:CM44" si="114">CJ40+CK40-CL40</f>
        <v>-600</v>
      </c>
      <c r="CN40" s="99">
        <v>800</v>
      </c>
      <c r="CO40" s="113"/>
      <c r="CP40" s="102">
        <f t="shared" ref="CP40:CP44" si="115">CM40+CN40-CO40</f>
        <v>200</v>
      </c>
      <c r="CQ40" s="99">
        <v>800</v>
      </c>
      <c r="CR40" s="113"/>
      <c r="CS40" s="102">
        <f>CP40+CQ40-CR40</f>
        <v>1000</v>
      </c>
      <c r="CT40" s="99">
        <v>800</v>
      </c>
      <c r="CU40" s="113">
        <v>1800</v>
      </c>
      <c r="CV40" s="102">
        <f>CS40+CT40-CU40</f>
        <v>0</v>
      </c>
      <c r="CW40" s="99">
        <v>800</v>
      </c>
      <c r="CX40" s="113"/>
      <c r="CY40" s="102">
        <f>CV40+CW40-CX40</f>
        <v>800</v>
      </c>
    </row>
    <row r="41" spans="1:103">
      <c r="A41" s="41">
        <f>VLOOKUP(B41,справочник!$B$2:$E$322,4,FALSE)</f>
        <v>223</v>
      </c>
      <c r="B41" t="str">
        <f t="shared" si="4"/>
        <v>232Борисов Олег Александрович</v>
      </c>
      <c r="C41" s="1">
        <v>232</v>
      </c>
      <c r="D41" s="2" t="s">
        <v>37</v>
      </c>
      <c r="E41" s="1" t="s">
        <v>354</v>
      </c>
      <c r="F41" s="16">
        <v>40955</v>
      </c>
      <c r="G41" s="16">
        <v>40940</v>
      </c>
      <c r="H41" s="17">
        <f t="shared" si="94"/>
        <v>47</v>
      </c>
      <c r="I41" s="1">
        <f t="shared" si="2"/>
        <v>47000</v>
      </c>
      <c r="J41" s="17">
        <v>1000</v>
      </c>
      <c r="K41" s="17">
        <v>45000</v>
      </c>
      <c r="L41" s="18">
        <f t="shared" si="71"/>
        <v>1000</v>
      </c>
      <c r="M41" s="22"/>
      <c r="N41" s="22"/>
      <c r="O41" s="22"/>
      <c r="P41" s="22"/>
      <c r="Q41" s="22"/>
      <c r="R41" s="22"/>
      <c r="S41" s="22"/>
      <c r="T41" s="22"/>
      <c r="U41" s="22">
        <v>10000</v>
      </c>
      <c r="V41" s="22"/>
      <c r="W41" s="22"/>
      <c r="X41" s="22"/>
      <c r="Y41" s="18">
        <f t="shared" si="5"/>
        <v>10000</v>
      </c>
      <c r="Z41" s="96">
        <v>12</v>
      </c>
      <c r="AA41" s="96">
        <f t="shared" si="6"/>
        <v>9600</v>
      </c>
      <c r="AB41" s="96">
        <f t="shared" si="7"/>
        <v>600</v>
      </c>
      <c r="AC41" s="99">
        <v>800</v>
      </c>
      <c r="AD41" s="98"/>
      <c r="AE41" s="102">
        <f t="shared" si="8"/>
        <v>1400</v>
      </c>
      <c r="AF41" s="99">
        <v>800</v>
      </c>
      <c r="AG41" s="98"/>
      <c r="AH41" s="102">
        <f t="shared" si="95"/>
        <v>2200</v>
      </c>
      <c r="AI41" s="99">
        <v>800</v>
      </c>
      <c r="AJ41" s="98">
        <v>1500</v>
      </c>
      <c r="AK41" s="102">
        <f t="shared" si="96"/>
        <v>1500</v>
      </c>
      <c r="AL41" s="99">
        <v>800</v>
      </c>
      <c r="AM41" s="98"/>
      <c r="AN41" s="102">
        <f t="shared" si="97"/>
        <v>2300</v>
      </c>
      <c r="AO41" s="99">
        <v>800</v>
      </c>
      <c r="AP41" s="113"/>
      <c r="AQ41" s="102">
        <f t="shared" si="98"/>
        <v>3100</v>
      </c>
      <c r="AR41" s="99">
        <v>800</v>
      </c>
      <c r="AS41" s="113"/>
      <c r="AT41" s="102">
        <f t="shared" si="99"/>
        <v>3900</v>
      </c>
      <c r="AU41" s="99">
        <v>800</v>
      </c>
      <c r="AV41" s="113"/>
      <c r="AW41" s="102">
        <f t="shared" si="100"/>
        <v>4700</v>
      </c>
      <c r="AX41" s="99">
        <v>800</v>
      </c>
      <c r="AY41" s="113"/>
      <c r="AZ41" s="102">
        <f t="shared" si="101"/>
        <v>5500</v>
      </c>
      <c r="BA41" s="99">
        <v>800</v>
      </c>
      <c r="BB41" s="113">
        <v>5500</v>
      </c>
      <c r="BC41" s="102">
        <f t="shared" si="102"/>
        <v>800</v>
      </c>
      <c r="BD41" s="99">
        <v>800</v>
      </c>
      <c r="BE41" s="113"/>
      <c r="BF41" s="102">
        <f t="shared" si="103"/>
        <v>1600</v>
      </c>
      <c r="BG41" s="99">
        <v>800</v>
      </c>
      <c r="BH41" s="113"/>
      <c r="BI41" s="102">
        <f t="shared" si="104"/>
        <v>2400</v>
      </c>
      <c r="BJ41" s="99">
        <v>800</v>
      </c>
      <c r="BK41" s="113">
        <v>800</v>
      </c>
      <c r="BL41" s="102">
        <f t="shared" si="105"/>
        <v>2400</v>
      </c>
      <c r="BM41" s="99">
        <v>800</v>
      </c>
      <c r="BN41" s="113"/>
      <c r="BO41" s="102">
        <f t="shared" si="106"/>
        <v>3200</v>
      </c>
      <c r="BP41" s="99">
        <v>800</v>
      </c>
      <c r="BQ41" s="113">
        <v>5000</v>
      </c>
      <c r="BR41" s="102">
        <f t="shared" si="107"/>
        <v>-1000</v>
      </c>
      <c r="BS41" s="99">
        <v>800</v>
      </c>
      <c r="BT41" s="113"/>
      <c r="BU41" s="102">
        <f t="shared" si="108"/>
        <v>-200</v>
      </c>
      <c r="BV41" s="99">
        <v>800</v>
      </c>
      <c r="BW41" s="113"/>
      <c r="BX41" s="102">
        <f t="shared" si="109"/>
        <v>600</v>
      </c>
      <c r="BY41" s="99">
        <v>800</v>
      </c>
      <c r="BZ41" s="113"/>
      <c r="CA41" s="102">
        <f t="shared" si="110"/>
        <v>1400</v>
      </c>
      <c r="CB41" s="99">
        <v>800</v>
      </c>
      <c r="CC41" s="113"/>
      <c r="CD41" s="102">
        <f t="shared" si="111"/>
        <v>2200</v>
      </c>
      <c r="CE41" s="99">
        <v>800</v>
      </c>
      <c r="CF41" s="113">
        <v>3800</v>
      </c>
      <c r="CG41" s="102">
        <f t="shared" si="112"/>
        <v>-800</v>
      </c>
      <c r="CH41" s="99">
        <v>800</v>
      </c>
      <c r="CI41" s="113"/>
      <c r="CJ41" s="102">
        <f t="shared" si="113"/>
        <v>0</v>
      </c>
      <c r="CK41" s="99">
        <v>800</v>
      </c>
      <c r="CL41" s="113"/>
      <c r="CM41" s="102">
        <f t="shared" si="114"/>
        <v>800</v>
      </c>
      <c r="CN41" s="99">
        <v>800</v>
      </c>
      <c r="CO41" s="113">
        <v>3200</v>
      </c>
      <c r="CP41" s="102">
        <f t="shared" si="115"/>
        <v>-1600</v>
      </c>
      <c r="CQ41" s="99">
        <v>800</v>
      </c>
      <c r="CR41" s="113"/>
      <c r="CS41" s="102">
        <f t="shared" ref="CS41:CS44" si="116">CP41+CQ41-CR41</f>
        <v>-800</v>
      </c>
      <c r="CT41" s="99">
        <v>800</v>
      </c>
      <c r="CU41" s="113"/>
      <c r="CV41" s="102">
        <f t="shared" ref="CV41:CV44" si="117">CS41+CT41-CU41</f>
        <v>0</v>
      </c>
      <c r="CW41" s="99">
        <v>800</v>
      </c>
      <c r="CX41" s="113"/>
      <c r="CY41" s="102">
        <f t="shared" ref="CY41:CY44" si="118">CV41+CW41-CX41</f>
        <v>800</v>
      </c>
    </row>
    <row r="42" spans="1:103">
      <c r="A42" s="41">
        <f>VLOOKUP(B42,справочник!$B$2:$E$322,4,FALSE)</f>
        <v>137</v>
      </c>
      <c r="B42" t="str">
        <f t="shared" si="4"/>
        <v>145Бранцова Татьяна Валерьевна</v>
      </c>
      <c r="C42" s="1">
        <v>145</v>
      </c>
      <c r="D42" s="2" t="s">
        <v>38</v>
      </c>
      <c r="E42" s="1" t="s">
        <v>355</v>
      </c>
      <c r="F42" s="16">
        <v>41030</v>
      </c>
      <c r="G42" s="16">
        <v>41030</v>
      </c>
      <c r="H42" s="17">
        <f t="shared" si="94"/>
        <v>44</v>
      </c>
      <c r="I42" s="1">
        <f t="shared" si="2"/>
        <v>44000</v>
      </c>
      <c r="J42" s="17">
        <v>44000</v>
      </c>
      <c r="K42" s="17"/>
      <c r="L42" s="18">
        <f t="shared" si="71"/>
        <v>0</v>
      </c>
      <c r="M42" s="22"/>
      <c r="N42" s="22">
        <v>1600</v>
      </c>
      <c r="O42" s="22"/>
      <c r="P42" s="22"/>
      <c r="Q42" s="22"/>
      <c r="R42" s="22">
        <v>800</v>
      </c>
      <c r="S42" s="22"/>
      <c r="T42" s="22"/>
      <c r="U42" s="22"/>
      <c r="V42" s="22"/>
      <c r="W42" s="22"/>
      <c r="X42" s="22"/>
      <c r="Y42" s="18">
        <f t="shared" si="5"/>
        <v>2400</v>
      </c>
      <c r="Z42" s="96">
        <v>12</v>
      </c>
      <c r="AA42" s="96">
        <f t="shared" si="6"/>
        <v>9600</v>
      </c>
      <c r="AB42" s="96">
        <f t="shared" si="7"/>
        <v>7200</v>
      </c>
      <c r="AC42" s="99">
        <v>800</v>
      </c>
      <c r="AD42" s="98"/>
      <c r="AE42" s="102">
        <f t="shared" si="8"/>
        <v>8000</v>
      </c>
      <c r="AF42" s="99">
        <v>800</v>
      </c>
      <c r="AG42" s="98"/>
      <c r="AH42" s="102">
        <f t="shared" si="95"/>
        <v>8800</v>
      </c>
      <c r="AI42" s="99">
        <v>800</v>
      </c>
      <c r="AJ42" s="98"/>
      <c r="AK42" s="102">
        <f t="shared" si="96"/>
        <v>9600</v>
      </c>
      <c r="AL42" s="99">
        <v>800</v>
      </c>
      <c r="AM42" s="98"/>
      <c r="AN42" s="102">
        <f t="shared" si="97"/>
        <v>10400</v>
      </c>
      <c r="AO42" s="99">
        <v>800</v>
      </c>
      <c r="AP42" s="113"/>
      <c r="AQ42" s="102">
        <f t="shared" si="98"/>
        <v>11200</v>
      </c>
      <c r="AR42" s="99">
        <v>800</v>
      </c>
      <c r="AS42" s="113"/>
      <c r="AT42" s="102">
        <f t="shared" si="99"/>
        <v>12000</v>
      </c>
      <c r="AU42" s="99">
        <v>800</v>
      </c>
      <c r="AV42" s="113">
        <v>500</v>
      </c>
      <c r="AW42" s="102">
        <f t="shared" si="100"/>
        <v>12300</v>
      </c>
      <c r="AX42" s="99">
        <v>800</v>
      </c>
      <c r="AY42" s="113"/>
      <c r="AZ42" s="102">
        <f t="shared" si="101"/>
        <v>13100</v>
      </c>
      <c r="BA42" s="99">
        <v>800</v>
      </c>
      <c r="BB42" s="113"/>
      <c r="BC42" s="102">
        <f t="shared" si="102"/>
        <v>13900</v>
      </c>
      <c r="BD42" s="99">
        <v>800</v>
      </c>
      <c r="BE42" s="113"/>
      <c r="BF42" s="102">
        <f t="shared" si="103"/>
        <v>14700</v>
      </c>
      <c r="BG42" s="99">
        <v>800</v>
      </c>
      <c r="BH42" s="113"/>
      <c r="BI42" s="102">
        <f t="shared" si="104"/>
        <v>15500</v>
      </c>
      <c r="BJ42" s="99">
        <v>800</v>
      </c>
      <c r="BK42" s="113"/>
      <c r="BL42" s="102">
        <f t="shared" si="105"/>
        <v>16300</v>
      </c>
      <c r="BM42" s="99">
        <v>800</v>
      </c>
      <c r="BN42" s="113"/>
      <c r="BO42" s="102">
        <f t="shared" si="106"/>
        <v>17100</v>
      </c>
      <c r="BP42" s="99">
        <v>800</v>
      </c>
      <c r="BQ42" s="113"/>
      <c r="BR42" s="102">
        <f t="shared" si="107"/>
        <v>17900</v>
      </c>
      <c r="BS42" s="99">
        <v>800</v>
      </c>
      <c r="BT42" s="113"/>
      <c r="BU42" s="102">
        <f t="shared" si="108"/>
        <v>18700</v>
      </c>
      <c r="BV42" s="99">
        <v>800</v>
      </c>
      <c r="BW42" s="113"/>
      <c r="BX42" s="102">
        <f t="shared" si="109"/>
        <v>19500</v>
      </c>
      <c r="BY42" s="99">
        <v>800</v>
      </c>
      <c r="BZ42" s="113"/>
      <c r="CA42" s="102">
        <f t="shared" si="110"/>
        <v>20300</v>
      </c>
      <c r="CB42" s="99">
        <v>800</v>
      </c>
      <c r="CC42" s="113"/>
      <c r="CD42" s="102">
        <f t="shared" si="111"/>
        <v>21100</v>
      </c>
      <c r="CE42" s="99">
        <v>800</v>
      </c>
      <c r="CF42" s="113"/>
      <c r="CG42" s="102">
        <f t="shared" si="112"/>
        <v>21900</v>
      </c>
      <c r="CH42" s="99">
        <v>800</v>
      </c>
      <c r="CI42" s="113"/>
      <c r="CJ42" s="102">
        <f t="shared" si="113"/>
        <v>22700</v>
      </c>
      <c r="CK42" s="99">
        <v>800</v>
      </c>
      <c r="CL42" s="113"/>
      <c r="CM42" s="102">
        <f t="shared" si="114"/>
        <v>23500</v>
      </c>
      <c r="CN42" s="99">
        <v>800</v>
      </c>
      <c r="CO42" s="113"/>
      <c r="CP42" s="102">
        <f t="shared" si="115"/>
        <v>24300</v>
      </c>
      <c r="CQ42" s="99">
        <v>800</v>
      </c>
      <c r="CR42" s="113"/>
      <c r="CS42" s="102">
        <f t="shared" si="116"/>
        <v>25100</v>
      </c>
      <c r="CT42" s="99">
        <v>800</v>
      </c>
      <c r="CU42" s="113">
        <v>2000</v>
      </c>
      <c r="CV42" s="102">
        <f t="shared" si="117"/>
        <v>23900</v>
      </c>
      <c r="CW42" s="99">
        <v>800</v>
      </c>
      <c r="CX42" s="113">
        <v>1000</v>
      </c>
      <c r="CY42" s="102">
        <f t="shared" si="118"/>
        <v>23700</v>
      </c>
    </row>
    <row r="43" spans="1:103">
      <c r="A43" s="41">
        <f>VLOOKUP(B43,справочник!$B$2:$E$322,4,FALSE)</f>
        <v>105</v>
      </c>
      <c r="B43" t="str">
        <f t="shared" si="4"/>
        <v>110Брылёв Андрей Вячеславович</v>
      </c>
      <c r="C43" s="1">
        <v>110</v>
      </c>
      <c r="D43" s="2" t="s">
        <v>39</v>
      </c>
      <c r="E43" s="1" t="s">
        <v>356</v>
      </c>
      <c r="F43" s="16">
        <v>40925</v>
      </c>
      <c r="G43" s="16">
        <v>40909</v>
      </c>
      <c r="H43" s="17">
        <f t="shared" si="94"/>
        <v>48</v>
      </c>
      <c r="I43" s="1">
        <f t="shared" si="2"/>
        <v>48000</v>
      </c>
      <c r="J43" s="17">
        <v>28000</v>
      </c>
      <c r="K43" s="17"/>
      <c r="L43" s="18">
        <f t="shared" si="71"/>
        <v>20000</v>
      </c>
      <c r="M43" s="22">
        <v>3000</v>
      </c>
      <c r="N43" s="22"/>
      <c r="O43" s="22"/>
      <c r="P43" s="22"/>
      <c r="Q43" s="22"/>
      <c r="R43" s="22">
        <v>800</v>
      </c>
      <c r="S43" s="22"/>
      <c r="T43" s="22"/>
      <c r="U43" s="22">
        <v>1600</v>
      </c>
      <c r="V43" s="22"/>
      <c r="W43" s="22"/>
      <c r="X43" s="22">
        <v>800</v>
      </c>
      <c r="Y43" s="18">
        <f t="shared" si="5"/>
        <v>6200</v>
      </c>
      <c r="Z43" s="96">
        <v>12</v>
      </c>
      <c r="AA43" s="96">
        <f t="shared" si="6"/>
        <v>9600</v>
      </c>
      <c r="AB43" s="96">
        <f t="shared" si="7"/>
        <v>23400</v>
      </c>
      <c r="AC43" s="99">
        <v>800</v>
      </c>
      <c r="AD43" s="98"/>
      <c r="AE43" s="102">
        <f t="shared" si="8"/>
        <v>24200</v>
      </c>
      <c r="AF43" s="99">
        <v>800</v>
      </c>
      <c r="AG43" s="98"/>
      <c r="AH43" s="102">
        <f t="shared" si="95"/>
        <v>25000</v>
      </c>
      <c r="AI43" s="99">
        <v>800</v>
      </c>
      <c r="AJ43" s="98">
        <v>800</v>
      </c>
      <c r="AK43" s="102">
        <f t="shared" si="96"/>
        <v>25000</v>
      </c>
      <c r="AL43" s="99">
        <v>800</v>
      </c>
      <c r="AM43" s="98"/>
      <c r="AN43" s="102">
        <f t="shared" si="97"/>
        <v>25800</v>
      </c>
      <c r="AO43" s="99">
        <v>800</v>
      </c>
      <c r="AP43" s="113"/>
      <c r="AQ43" s="102">
        <f t="shared" si="98"/>
        <v>26600</v>
      </c>
      <c r="AR43" s="99">
        <v>800</v>
      </c>
      <c r="AS43" s="113"/>
      <c r="AT43" s="102">
        <f t="shared" si="99"/>
        <v>27400</v>
      </c>
      <c r="AU43" s="99">
        <v>800</v>
      </c>
      <c r="AV43" s="113"/>
      <c r="AW43" s="102">
        <f t="shared" si="100"/>
        <v>28200</v>
      </c>
      <c r="AX43" s="99">
        <v>800</v>
      </c>
      <c r="AY43" s="113"/>
      <c r="AZ43" s="102">
        <f t="shared" si="101"/>
        <v>29000</v>
      </c>
      <c r="BA43" s="99">
        <v>800</v>
      </c>
      <c r="BB43" s="113"/>
      <c r="BC43" s="102">
        <f t="shared" si="102"/>
        <v>29800</v>
      </c>
      <c r="BD43" s="99">
        <v>800</v>
      </c>
      <c r="BE43" s="113"/>
      <c r="BF43" s="102">
        <f t="shared" si="103"/>
        <v>30600</v>
      </c>
      <c r="BG43" s="99">
        <v>800</v>
      </c>
      <c r="BH43" s="113"/>
      <c r="BI43" s="102">
        <f t="shared" si="104"/>
        <v>31400</v>
      </c>
      <c r="BJ43" s="99">
        <v>800</v>
      </c>
      <c r="BK43" s="113"/>
      <c r="BL43" s="102">
        <f t="shared" si="105"/>
        <v>32200</v>
      </c>
      <c r="BM43" s="99">
        <v>800</v>
      </c>
      <c r="BN43" s="113"/>
      <c r="BO43" s="102">
        <f t="shared" si="106"/>
        <v>33000</v>
      </c>
      <c r="BP43" s="99">
        <v>800</v>
      </c>
      <c r="BQ43" s="113"/>
      <c r="BR43" s="102">
        <f t="shared" si="107"/>
        <v>33800</v>
      </c>
      <c r="BS43" s="99">
        <v>800</v>
      </c>
      <c r="BT43" s="113"/>
      <c r="BU43" s="102">
        <f t="shared" si="108"/>
        <v>34600</v>
      </c>
      <c r="BV43" s="99">
        <v>800</v>
      </c>
      <c r="BW43" s="113"/>
      <c r="BX43" s="102">
        <f t="shared" si="109"/>
        <v>35400</v>
      </c>
      <c r="BY43" s="99">
        <v>800</v>
      </c>
      <c r="BZ43" s="113"/>
      <c r="CA43" s="102">
        <f t="shared" si="110"/>
        <v>36200</v>
      </c>
      <c r="CB43" s="99">
        <v>800</v>
      </c>
      <c r="CC43" s="113"/>
      <c r="CD43" s="102">
        <f t="shared" si="111"/>
        <v>37000</v>
      </c>
      <c r="CE43" s="99">
        <v>800</v>
      </c>
      <c r="CF43" s="113"/>
      <c r="CG43" s="102">
        <f t="shared" si="112"/>
        <v>37800</v>
      </c>
      <c r="CH43" s="99">
        <v>800</v>
      </c>
      <c r="CI43" s="113"/>
      <c r="CJ43" s="102">
        <f t="shared" si="113"/>
        <v>38600</v>
      </c>
      <c r="CK43" s="99">
        <v>800</v>
      </c>
      <c r="CL43" s="113"/>
      <c r="CM43" s="102">
        <f t="shared" si="114"/>
        <v>39400</v>
      </c>
      <c r="CN43" s="99">
        <v>800</v>
      </c>
      <c r="CO43" s="113"/>
      <c r="CP43" s="102">
        <f t="shared" si="115"/>
        <v>40200</v>
      </c>
      <c r="CQ43" s="99">
        <v>800</v>
      </c>
      <c r="CR43" s="113"/>
      <c r="CS43" s="102">
        <f t="shared" si="116"/>
        <v>41000</v>
      </c>
      <c r="CT43" s="99">
        <v>800</v>
      </c>
      <c r="CU43" s="113"/>
      <c r="CV43" s="102">
        <f t="shared" si="117"/>
        <v>41800</v>
      </c>
      <c r="CW43" s="99">
        <v>800</v>
      </c>
      <c r="CX43" s="113"/>
      <c r="CY43" s="102">
        <f t="shared" si="118"/>
        <v>42600</v>
      </c>
    </row>
    <row r="44" spans="1:103">
      <c r="A44" s="41">
        <f>VLOOKUP(B44,справочник!$B$2:$E$322,4,FALSE)</f>
        <v>98</v>
      </c>
      <c r="B44" t="str">
        <f t="shared" si="4"/>
        <v>103Бугрова Вероника Артуровна</v>
      </c>
      <c r="C44" s="1">
        <v>103</v>
      </c>
      <c r="D44" s="2" t="s">
        <v>40</v>
      </c>
      <c r="E44" s="1" t="s">
        <v>357</v>
      </c>
      <c r="F44" s="16">
        <v>40897</v>
      </c>
      <c r="G44" s="16">
        <v>40878</v>
      </c>
      <c r="H44" s="17">
        <f t="shared" si="94"/>
        <v>49</v>
      </c>
      <c r="I44" s="1">
        <f t="shared" si="2"/>
        <v>49000</v>
      </c>
      <c r="J44" s="17">
        <f>29000+1000</f>
        <v>30000</v>
      </c>
      <c r="K44" s="17"/>
      <c r="L44" s="18">
        <f t="shared" si="71"/>
        <v>19000</v>
      </c>
      <c r="M44" s="22"/>
      <c r="N44" s="22"/>
      <c r="O44" s="22"/>
      <c r="P44" s="22"/>
      <c r="Q44" s="22"/>
      <c r="R44" s="22"/>
      <c r="S44" s="22"/>
      <c r="T44">
        <v>4000</v>
      </c>
      <c r="U44" s="22"/>
      <c r="V44" s="22"/>
      <c r="W44" s="22"/>
      <c r="X44" s="22"/>
      <c r="Y44" s="18">
        <f t="shared" si="5"/>
        <v>4000</v>
      </c>
      <c r="Z44" s="96">
        <v>12</v>
      </c>
      <c r="AA44" s="96">
        <f t="shared" si="6"/>
        <v>9600</v>
      </c>
      <c r="AB44" s="96">
        <f t="shared" si="7"/>
        <v>24600</v>
      </c>
      <c r="AC44" s="99">
        <v>800</v>
      </c>
      <c r="AD44" s="98"/>
      <c r="AE44" s="102">
        <f t="shared" si="8"/>
        <v>25400</v>
      </c>
      <c r="AF44" s="99">
        <v>800</v>
      </c>
      <c r="AG44" s="98"/>
      <c r="AH44" s="102">
        <f t="shared" si="95"/>
        <v>26200</v>
      </c>
      <c r="AI44" s="99">
        <v>800</v>
      </c>
      <c r="AJ44" s="98"/>
      <c r="AK44" s="102">
        <f t="shared" si="96"/>
        <v>27000</v>
      </c>
      <c r="AL44" s="99">
        <v>800</v>
      </c>
      <c r="AM44" s="98"/>
      <c r="AN44" s="102">
        <f t="shared" si="97"/>
        <v>27800</v>
      </c>
      <c r="AO44" s="99">
        <v>800</v>
      </c>
      <c r="AP44" s="113"/>
      <c r="AQ44" s="102">
        <f t="shared" si="98"/>
        <v>28600</v>
      </c>
      <c r="AR44" s="99">
        <v>800</v>
      </c>
      <c r="AS44" s="113"/>
      <c r="AT44" s="102">
        <f t="shared" si="99"/>
        <v>29400</v>
      </c>
      <c r="AU44" s="99">
        <v>800</v>
      </c>
      <c r="AV44" s="113"/>
      <c r="AW44" s="102">
        <f t="shared" si="100"/>
        <v>30200</v>
      </c>
      <c r="AX44" s="99">
        <v>800</v>
      </c>
      <c r="AY44" s="113"/>
      <c r="AZ44" s="102">
        <f t="shared" si="101"/>
        <v>31000</v>
      </c>
      <c r="BA44" s="99">
        <v>800</v>
      </c>
      <c r="BB44" s="113"/>
      <c r="BC44" s="102">
        <f t="shared" si="102"/>
        <v>31800</v>
      </c>
      <c r="BD44" s="99">
        <v>800</v>
      </c>
      <c r="BE44" s="113"/>
      <c r="BF44" s="102">
        <f t="shared" si="103"/>
        <v>32600</v>
      </c>
      <c r="BG44" s="99">
        <v>800</v>
      </c>
      <c r="BH44" s="113"/>
      <c r="BI44" s="102">
        <f t="shared" si="104"/>
        <v>33400</v>
      </c>
      <c r="BJ44" s="99">
        <v>800</v>
      </c>
      <c r="BK44" s="113"/>
      <c r="BL44" s="102">
        <f t="shared" si="105"/>
        <v>34200</v>
      </c>
      <c r="BM44" s="99">
        <v>800</v>
      </c>
      <c r="BN44" s="113"/>
      <c r="BO44" s="102">
        <f t="shared" si="106"/>
        <v>35000</v>
      </c>
      <c r="BP44" s="99">
        <v>800</v>
      </c>
      <c r="BQ44" s="113"/>
      <c r="BR44" s="102">
        <f t="shared" si="107"/>
        <v>35800</v>
      </c>
      <c r="BS44" s="99">
        <v>800</v>
      </c>
      <c r="BT44" s="113"/>
      <c r="BU44" s="102">
        <f t="shared" si="108"/>
        <v>36600</v>
      </c>
      <c r="BV44" s="99">
        <v>800</v>
      </c>
      <c r="BW44" s="113"/>
      <c r="BX44" s="102">
        <f t="shared" si="109"/>
        <v>37400</v>
      </c>
      <c r="BY44" s="99">
        <v>800</v>
      </c>
      <c r="BZ44" s="113"/>
      <c r="CA44" s="102">
        <f t="shared" si="110"/>
        <v>38200</v>
      </c>
      <c r="CB44" s="99">
        <v>800</v>
      </c>
      <c r="CC44" s="113"/>
      <c r="CD44" s="102">
        <f t="shared" si="111"/>
        <v>39000</v>
      </c>
      <c r="CE44" s="99">
        <v>800</v>
      </c>
      <c r="CF44" s="113"/>
      <c r="CG44" s="102">
        <f t="shared" si="112"/>
        <v>39800</v>
      </c>
      <c r="CH44" s="99">
        <v>800</v>
      </c>
      <c r="CI44" s="113"/>
      <c r="CJ44" s="102">
        <f t="shared" si="113"/>
        <v>40600</v>
      </c>
      <c r="CK44" s="99">
        <v>800</v>
      </c>
      <c r="CL44" s="113"/>
      <c r="CM44" s="102">
        <f t="shared" si="114"/>
        <v>41400</v>
      </c>
      <c r="CN44" s="99">
        <v>800</v>
      </c>
      <c r="CO44" s="113"/>
      <c r="CP44" s="102">
        <f t="shared" si="115"/>
        <v>42200</v>
      </c>
      <c r="CQ44" s="99">
        <v>800</v>
      </c>
      <c r="CR44" s="113"/>
      <c r="CS44" s="102">
        <f t="shared" si="116"/>
        <v>43000</v>
      </c>
      <c r="CT44" s="99">
        <v>800</v>
      </c>
      <c r="CU44" s="113"/>
      <c r="CV44" s="102">
        <f t="shared" si="117"/>
        <v>43800</v>
      </c>
      <c r="CW44" s="99">
        <v>800</v>
      </c>
      <c r="CX44" s="113"/>
      <c r="CY44" s="102">
        <f t="shared" si="118"/>
        <v>44600</v>
      </c>
    </row>
    <row r="45" spans="1:103" s="80" customFormat="1">
      <c r="A45" s="103">
        <f>VLOOKUP(B45,справочник!$B$2:$E$322,4,FALSE)</f>
        <v>274</v>
      </c>
      <c r="B45" s="80" t="str">
        <f t="shared" si="4"/>
        <v>287Будаев Андрей Анатольевич</v>
      </c>
      <c r="C45" s="5">
        <v>287</v>
      </c>
      <c r="D45" s="7" t="s">
        <v>41</v>
      </c>
      <c r="E45" s="5"/>
      <c r="F45" s="19">
        <v>42023</v>
      </c>
      <c r="G45" s="19">
        <v>42036</v>
      </c>
      <c r="H45" s="20">
        <f t="shared" si="94"/>
        <v>11</v>
      </c>
      <c r="I45" s="5">
        <f t="shared" si="2"/>
        <v>11000</v>
      </c>
      <c r="J45" s="20">
        <v>2000</v>
      </c>
      <c r="K45" s="20"/>
      <c r="L45" s="21">
        <f t="shared" si="71"/>
        <v>9000</v>
      </c>
      <c r="M45" s="21"/>
      <c r="N45" s="21"/>
      <c r="O45" s="21">
        <v>1600</v>
      </c>
      <c r="P45" s="21"/>
      <c r="Q45" s="21"/>
      <c r="R45" s="21">
        <v>26800</v>
      </c>
      <c r="S45" s="21">
        <v>800</v>
      </c>
      <c r="T45" s="21"/>
      <c r="U45" s="21"/>
      <c r="V45" s="21"/>
      <c r="X45" s="21"/>
      <c r="Y45" s="21">
        <f t="shared" si="5"/>
        <v>29200</v>
      </c>
      <c r="Z45" s="104">
        <v>12</v>
      </c>
      <c r="AA45" s="104">
        <f t="shared" si="6"/>
        <v>9600</v>
      </c>
      <c r="AB45" s="104">
        <f t="shared" si="7"/>
        <v>-10600</v>
      </c>
      <c r="AC45" s="104">
        <v>0</v>
      </c>
      <c r="AD45" s="105"/>
      <c r="AE45" s="227">
        <f>SUM(AB45:AB46)+SUM(AC45:AC46)-SUM(AD45:AD46)</f>
        <v>-4800</v>
      </c>
      <c r="AF45" s="104">
        <v>0</v>
      </c>
      <c r="AG45" s="105"/>
      <c r="AH45" s="227">
        <f>SUM(AE45:AE46)+SUM(AF45:AF46)-SUM(AG45:AG46)</f>
        <v>-4800</v>
      </c>
      <c r="AI45" s="104">
        <v>0</v>
      </c>
      <c r="AJ45" s="105"/>
      <c r="AK45" s="227">
        <f>SUM(AH45:AH46)+SUM(AI45:AI46)-SUM(AJ45:AJ46)</f>
        <v>-4800</v>
      </c>
      <c r="AL45" s="104">
        <v>0</v>
      </c>
      <c r="AM45" s="105"/>
      <c r="AN45" s="227">
        <f>SUM(AK45:AK46)+SUM(AL45:AL46)-SUM(AM45:AM46)</f>
        <v>-4000</v>
      </c>
      <c r="AO45" s="104">
        <v>0</v>
      </c>
      <c r="AP45" s="105"/>
      <c r="AQ45" s="227">
        <f>SUM(AN45:AN46)+SUM(AO45:AO46)-SUM(AP45:AP46)</f>
        <v>-4000</v>
      </c>
      <c r="AR45" s="104">
        <v>0</v>
      </c>
      <c r="AS45" s="105"/>
      <c r="AT45" s="227">
        <f>SUM(AQ45:AQ46)+SUM(AR45:AR46)-SUM(AS45:AS46)</f>
        <v>-4400</v>
      </c>
      <c r="AU45" s="104">
        <v>0</v>
      </c>
      <c r="AV45" s="105"/>
      <c r="AW45" s="212">
        <f>SUM(AT45:AT46)+SUM(AU45:AU46)-SUM(AV45:AV46)</f>
        <v>-4800</v>
      </c>
      <c r="AX45" s="104">
        <v>0</v>
      </c>
      <c r="AY45" s="105"/>
      <c r="AZ45" s="212">
        <f>SUM(AW45:AW46)+SUM(AX45:AX46)-SUM(AY45:AY46)</f>
        <v>-9000</v>
      </c>
      <c r="BA45" s="104">
        <v>0</v>
      </c>
      <c r="BB45" s="105"/>
      <c r="BC45" s="212">
        <f>SUM(AZ45:AZ46)+SUM(BA45:BA46)-SUM(BB45:BB46)</f>
        <v>-8200</v>
      </c>
      <c r="BD45" s="104">
        <v>0</v>
      </c>
      <c r="BE45" s="105"/>
      <c r="BF45" s="212">
        <f>SUM(BC45:BC46)+SUM(BD45:BD46)-SUM(BE45:BE46)</f>
        <v>-7400</v>
      </c>
      <c r="BG45" s="104">
        <v>0</v>
      </c>
      <c r="BH45" s="105"/>
      <c r="BI45" s="212">
        <f>SUM(BF45:BF46)+SUM(BG45:BG46)-SUM(BH45:BH46)</f>
        <v>-6600</v>
      </c>
      <c r="BJ45" s="104">
        <v>0</v>
      </c>
      <c r="BK45" s="105"/>
      <c r="BL45" s="212">
        <f>SUM(BI45:BI46)+SUM(BJ45:BJ46)-SUM(BK45:BK46)</f>
        <v>-5800</v>
      </c>
      <c r="BM45" s="104">
        <v>0</v>
      </c>
      <c r="BN45" s="105"/>
      <c r="BO45" s="212">
        <f>SUM(BL45:BL46)+SUM(BM45:BM46)-SUM(BN45:BN46)</f>
        <v>-5000</v>
      </c>
      <c r="BP45" s="104">
        <v>0</v>
      </c>
      <c r="BQ45" s="105"/>
      <c r="BR45" s="212">
        <f>SUM(BO45:BO46)+SUM(BP45:BP46)-SUM(BQ45:BQ46)</f>
        <v>-4200</v>
      </c>
      <c r="BS45" s="104">
        <v>0</v>
      </c>
      <c r="BT45" s="105"/>
      <c r="BU45" s="212">
        <f>SUM(BR45:BR46)+SUM(BS45:BS46)-SUM(BT45:BT46)</f>
        <v>-3400</v>
      </c>
      <c r="BV45" s="104">
        <v>0</v>
      </c>
      <c r="BW45" s="105"/>
      <c r="BX45" s="212">
        <f>SUM(BU45:BU46)+SUM(BV45:BV46)-SUM(BW45:BW46)</f>
        <v>-2600</v>
      </c>
      <c r="BY45" s="104">
        <v>0</v>
      </c>
      <c r="BZ45" s="105"/>
      <c r="CA45" s="212">
        <f>SUM(BX45:BX46)+SUM(BY45:BY46)-SUM(BZ45:BZ46)</f>
        <v>-1800</v>
      </c>
      <c r="CB45" s="104">
        <v>0</v>
      </c>
      <c r="CC45" s="105"/>
      <c r="CD45" s="212">
        <f>SUM(CA45:CA46)+SUM(CB45:CB46)-SUM(CC45:CC46)</f>
        <v>-1000</v>
      </c>
      <c r="CE45" s="104">
        <v>0</v>
      </c>
      <c r="CF45" s="105"/>
      <c r="CG45" s="212">
        <f>SUM(CD45:CD46)+SUM(CE45:CE46)-SUM(CF45:CF46)</f>
        <v>-200</v>
      </c>
      <c r="CH45" s="104">
        <v>0</v>
      </c>
      <c r="CI45" s="105">
        <v>1000</v>
      </c>
      <c r="CJ45" s="212">
        <f>SUM(CG45:CG46)+SUM(CH45:CH46)-SUM(CI45:CI46)</f>
        <v>-400</v>
      </c>
      <c r="CK45" s="104">
        <v>0</v>
      </c>
      <c r="CL45" s="105">
        <v>800</v>
      </c>
      <c r="CM45" s="212">
        <f>SUM(CJ45:CJ46)+SUM(CK45:CK46)-SUM(CL45:CL46)</f>
        <v>-400</v>
      </c>
      <c r="CN45" s="104">
        <v>0</v>
      </c>
      <c r="CO45" s="105">
        <v>800</v>
      </c>
      <c r="CP45" s="212">
        <f>SUM(CM45:CM46)+SUM(CN45:CN46)-SUM(CO45:CO46)</f>
        <v>-400</v>
      </c>
      <c r="CQ45" s="104">
        <v>0</v>
      </c>
      <c r="CR45" s="105"/>
      <c r="CS45" s="212">
        <f>CP45+CQ46-CR46</f>
        <v>400</v>
      </c>
      <c r="CT45" s="104">
        <v>0</v>
      </c>
      <c r="CU45" s="105"/>
      <c r="CV45" s="212">
        <f>CS45+CT46-CU46</f>
        <v>-400</v>
      </c>
      <c r="CW45" s="104">
        <v>0</v>
      </c>
      <c r="CX45" s="105"/>
      <c r="CY45" s="212">
        <f>CV45+CW46-CX46</f>
        <v>-400</v>
      </c>
    </row>
    <row r="46" spans="1:103" s="80" customFormat="1">
      <c r="A46" s="103">
        <f>VLOOKUP(B46,справочник!$B$2:$E$322,4,FALSE)</f>
        <v>274</v>
      </c>
      <c r="B46" s="80" t="str">
        <f t="shared" si="4"/>
        <v>295Будаев Андрей Анатольевич</v>
      </c>
      <c r="C46" s="5">
        <v>295</v>
      </c>
      <c r="D46" s="7" t="s">
        <v>41</v>
      </c>
      <c r="E46" s="5"/>
      <c r="F46" s="19">
        <v>42023</v>
      </c>
      <c r="G46" s="19">
        <v>42036</v>
      </c>
      <c r="H46" s="20">
        <v>9</v>
      </c>
      <c r="I46" s="5">
        <f t="shared" si="2"/>
        <v>9000</v>
      </c>
      <c r="J46" s="20"/>
      <c r="K46" s="20"/>
      <c r="L46" s="21">
        <f t="shared" si="71"/>
        <v>9000</v>
      </c>
      <c r="M46" s="21"/>
      <c r="N46" s="21"/>
      <c r="O46" s="21"/>
      <c r="P46" s="21"/>
      <c r="Q46" s="21"/>
      <c r="R46" s="21"/>
      <c r="S46" s="21"/>
      <c r="T46" s="21"/>
      <c r="U46" s="21">
        <v>1600</v>
      </c>
      <c r="V46" s="21">
        <v>800</v>
      </c>
      <c r="W46" s="80">
        <v>800</v>
      </c>
      <c r="X46" s="21">
        <v>800</v>
      </c>
      <c r="Y46" s="21">
        <f t="shared" si="5"/>
        <v>4000</v>
      </c>
      <c r="Z46" s="104">
        <v>0</v>
      </c>
      <c r="AA46" s="104">
        <f t="shared" si="6"/>
        <v>0</v>
      </c>
      <c r="AB46" s="104">
        <f t="shared" si="7"/>
        <v>5000</v>
      </c>
      <c r="AC46" s="104">
        <v>800</v>
      </c>
      <c r="AD46" s="105"/>
      <c r="AE46" s="228"/>
      <c r="AF46" s="104">
        <v>800</v>
      </c>
      <c r="AG46" s="105">
        <v>800</v>
      </c>
      <c r="AH46" s="228"/>
      <c r="AI46" s="104">
        <v>800</v>
      </c>
      <c r="AJ46" s="105">
        <v>800</v>
      </c>
      <c r="AK46" s="228"/>
      <c r="AL46" s="104">
        <v>800</v>
      </c>
      <c r="AM46" s="105"/>
      <c r="AN46" s="228"/>
      <c r="AO46" s="104">
        <v>800</v>
      </c>
      <c r="AP46" s="105">
        <v>800</v>
      </c>
      <c r="AQ46" s="228"/>
      <c r="AR46" s="104">
        <v>800</v>
      </c>
      <c r="AS46" s="105">
        <v>1200</v>
      </c>
      <c r="AT46" s="228"/>
      <c r="AU46" s="104">
        <v>800</v>
      </c>
      <c r="AV46" s="105">
        <v>1200</v>
      </c>
      <c r="AW46" s="214"/>
      <c r="AX46" s="104">
        <v>800</v>
      </c>
      <c r="AY46" s="105">
        <v>5000</v>
      </c>
      <c r="AZ46" s="214"/>
      <c r="BA46" s="104">
        <v>800</v>
      </c>
      <c r="BB46" s="105"/>
      <c r="BC46" s="214"/>
      <c r="BD46" s="104">
        <v>800</v>
      </c>
      <c r="BE46" s="105"/>
      <c r="BF46" s="214"/>
      <c r="BG46" s="104">
        <v>800</v>
      </c>
      <c r="BH46" s="105"/>
      <c r="BI46" s="214"/>
      <c r="BJ46" s="104">
        <v>800</v>
      </c>
      <c r="BK46" s="105"/>
      <c r="BL46" s="214"/>
      <c r="BM46" s="104">
        <v>800</v>
      </c>
      <c r="BN46" s="105"/>
      <c r="BO46" s="214"/>
      <c r="BP46" s="104">
        <v>800</v>
      </c>
      <c r="BQ46" s="105"/>
      <c r="BR46" s="214"/>
      <c r="BS46" s="104">
        <v>800</v>
      </c>
      <c r="BT46" s="105"/>
      <c r="BU46" s="214"/>
      <c r="BV46" s="104">
        <v>800</v>
      </c>
      <c r="BW46" s="105"/>
      <c r="BX46" s="214"/>
      <c r="BY46" s="104">
        <v>800</v>
      </c>
      <c r="BZ46" s="105"/>
      <c r="CA46" s="214"/>
      <c r="CB46" s="104">
        <v>800</v>
      </c>
      <c r="CC46" s="105"/>
      <c r="CD46" s="214"/>
      <c r="CE46" s="104">
        <v>800</v>
      </c>
      <c r="CF46" s="105"/>
      <c r="CG46" s="214"/>
      <c r="CH46" s="104">
        <v>800</v>
      </c>
      <c r="CI46" s="105"/>
      <c r="CJ46" s="214"/>
      <c r="CK46" s="104">
        <v>800</v>
      </c>
      <c r="CL46" s="105"/>
      <c r="CM46" s="214"/>
      <c r="CN46" s="104">
        <v>800</v>
      </c>
      <c r="CO46" s="105"/>
      <c r="CP46" s="214"/>
      <c r="CQ46" s="104">
        <v>800</v>
      </c>
      <c r="CR46" s="105"/>
      <c r="CS46" s="214"/>
      <c r="CT46" s="104">
        <v>800</v>
      </c>
      <c r="CU46" s="105">
        <v>1600</v>
      </c>
      <c r="CV46" s="214"/>
      <c r="CW46" s="104">
        <v>800</v>
      </c>
      <c r="CX46" s="105">
        <v>800</v>
      </c>
      <c r="CY46" s="214"/>
    </row>
    <row r="47" spans="1:103" s="80" customFormat="1">
      <c r="A47" s="103">
        <f>VLOOKUP(B47,справочник!$B$2:$E$322,4,FALSE)</f>
        <v>175</v>
      </c>
      <c r="B47" s="80" t="str">
        <f t="shared" si="4"/>
        <v>183Буланова Лилия Михайловна</v>
      </c>
      <c r="C47" s="5">
        <v>183</v>
      </c>
      <c r="D47" s="7" t="s">
        <v>42</v>
      </c>
      <c r="E47" s="5" t="s">
        <v>358</v>
      </c>
      <c r="F47" s="19">
        <v>41865</v>
      </c>
      <c r="G47" s="19">
        <v>41883</v>
      </c>
      <c r="H47" s="20">
        <f>INT(($H$326-G47)/30)</f>
        <v>16</v>
      </c>
      <c r="I47" s="5">
        <f t="shared" si="2"/>
        <v>16000</v>
      </c>
      <c r="J47" s="20"/>
      <c r="K47" s="20"/>
      <c r="L47" s="21">
        <f t="shared" si="71"/>
        <v>16000</v>
      </c>
      <c r="M47" s="21"/>
      <c r="N47" s="21"/>
      <c r="O47" s="21"/>
      <c r="P47" s="21"/>
      <c r="Q47" s="21">
        <v>21600</v>
      </c>
      <c r="R47" s="21"/>
      <c r="S47" s="21"/>
      <c r="T47" s="21"/>
      <c r="U47" s="21">
        <v>20000</v>
      </c>
      <c r="V47" s="21"/>
      <c r="W47" s="21"/>
      <c r="X47" s="21"/>
      <c r="Y47" s="21">
        <f t="shared" si="5"/>
        <v>41600</v>
      </c>
      <c r="Z47" s="104">
        <v>12</v>
      </c>
      <c r="AA47" s="104">
        <f t="shared" si="6"/>
        <v>9600</v>
      </c>
      <c r="AB47" s="104">
        <f t="shared" si="7"/>
        <v>-16000</v>
      </c>
      <c r="AC47" s="104">
        <v>800</v>
      </c>
      <c r="AD47" s="105"/>
      <c r="AE47" s="227">
        <f>SUM(AB47:AB48)+SUM(AC47:AC48)</f>
        <v>-1200</v>
      </c>
      <c r="AF47" s="104">
        <v>800</v>
      </c>
      <c r="AG47" s="105"/>
      <c r="AH47" s="227">
        <f>SUM(AE47:AE48)+SUM(AF47:AF48)</f>
        <v>-400</v>
      </c>
      <c r="AI47" s="104">
        <v>800</v>
      </c>
      <c r="AJ47" s="105"/>
      <c r="AK47" s="227">
        <f>SUM(AH47:AH48)+SUM(AI47:AI48)</f>
        <v>400</v>
      </c>
      <c r="AL47" s="104">
        <v>800</v>
      </c>
      <c r="AM47" s="105"/>
      <c r="AN47" s="227">
        <f>SUM(AK47:AK48)+SUM(AL47:AL48)</f>
        <v>1200</v>
      </c>
      <c r="AO47" s="104">
        <v>800</v>
      </c>
      <c r="AP47" s="105"/>
      <c r="AQ47" s="227">
        <f>SUM(AN47:AN48)+SUM(AO47:AO48)</f>
        <v>2000</v>
      </c>
      <c r="AR47" s="104">
        <v>800</v>
      </c>
      <c r="AS47" s="105"/>
      <c r="AT47" s="227">
        <f>SUM(AQ47:AQ48)+SUM(AR47:AR48)</f>
        <v>2800</v>
      </c>
      <c r="AU47" s="104">
        <v>800</v>
      </c>
      <c r="AV47" s="105"/>
      <c r="AW47" s="212">
        <f>SUM(AT47:AT48)+SUM(AU47:AU48)</f>
        <v>3600</v>
      </c>
      <c r="AX47" s="104">
        <v>800</v>
      </c>
      <c r="AY47" s="105"/>
      <c r="AZ47" s="212">
        <f>SUM(AW47:AW48)+SUM(AX47:AX48)</f>
        <v>4400</v>
      </c>
      <c r="BA47" s="104">
        <v>800</v>
      </c>
      <c r="BB47" s="105"/>
      <c r="BC47" s="212">
        <f>SUM(AZ47:AZ48)+SUM(BA47:BA48)</f>
        <v>5200</v>
      </c>
      <c r="BD47" s="104">
        <v>800</v>
      </c>
      <c r="BE47" s="105"/>
      <c r="BF47" s="212">
        <f>SUM(BC47:BC48)+SUM(BD47:BD48)</f>
        <v>6000</v>
      </c>
      <c r="BG47" s="104">
        <v>800</v>
      </c>
      <c r="BH47" s="105"/>
      <c r="BI47" s="212">
        <f>SUM(BF47:BF48)+SUM(BG47:BG48)</f>
        <v>6800</v>
      </c>
      <c r="BJ47" s="104">
        <v>800</v>
      </c>
      <c r="BK47" s="218">
        <v>10000</v>
      </c>
      <c r="BL47" s="212">
        <f>SUM(BI47:BI48)+SUM(BJ47:BJ48)-BK47</f>
        <v>-2400</v>
      </c>
      <c r="BM47" s="104">
        <v>800</v>
      </c>
      <c r="BN47" s="105"/>
      <c r="BO47" s="212">
        <f>SUM(BL47:BL48)+SUM(BM47:BM48)</f>
        <v>-1600</v>
      </c>
      <c r="BP47" s="104">
        <v>800</v>
      </c>
      <c r="BQ47" s="105"/>
      <c r="BR47" s="212">
        <f>SUM(BO47:BO48)+SUM(BP47:BP48)</f>
        <v>-800</v>
      </c>
      <c r="BS47" s="104">
        <v>800</v>
      </c>
      <c r="BT47" s="105"/>
      <c r="BU47" s="212">
        <f>SUM(BR47:BR48)+SUM(BS47:BS48)</f>
        <v>0</v>
      </c>
      <c r="BV47" s="104">
        <v>800</v>
      </c>
      <c r="BW47" s="105"/>
      <c r="BX47" s="212">
        <f>SUM(BU47:BU48)+SUM(BV47:BV48)</f>
        <v>800</v>
      </c>
      <c r="BY47" s="104">
        <v>800</v>
      </c>
      <c r="BZ47" s="105"/>
      <c r="CA47" s="212">
        <f>SUM(BX47:BX48)+SUM(BY47:BY48)</f>
        <v>1600</v>
      </c>
      <c r="CB47" s="104">
        <v>800</v>
      </c>
      <c r="CC47" s="105"/>
      <c r="CD47" s="212">
        <f>SUM(CA47:CA48)+SUM(CB47:CB48)</f>
        <v>2400</v>
      </c>
      <c r="CE47" s="104">
        <v>800</v>
      </c>
      <c r="CF47" s="105">
        <v>5000</v>
      </c>
      <c r="CG47" s="212">
        <f>SUM(CD47:CD48)+SUM(CE47:CE48)</f>
        <v>3200</v>
      </c>
      <c r="CH47" s="104">
        <v>800</v>
      </c>
      <c r="CI47" s="105"/>
      <c r="CJ47" s="212">
        <f>SUM(CG47:CG48)+SUM(CH47:CH48)</f>
        <v>4000</v>
      </c>
      <c r="CK47" s="104">
        <v>800</v>
      </c>
      <c r="CL47" s="105">
        <v>5000</v>
      </c>
      <c r="CM47" s="212">
        <f>SUM(CJ47:CJ48)+SUM(CK47:CK48)</f>
        <v>4800</v>
      </c>
      <c r="CN47" s="104">
        <v>800</v>
      </c>
      <c r="CO47" s="105"/>
      <c r="CP47" s="212">
        <f>SUM(CM47:CM48)+SUM(CN47:CN48)</f>
        <v>5600</v>
      </c>
      <c r="CQ47" s="104">
        <v>800</v>
      </c>
      <c r="CR47" s="105"/>
      <c r="CS47" s="212">
        <f>CP47+CQ47-CR47</f>
        <v>6400</v>
      </c>
      <c r="CT47" s="104">
        <v>800</v>
      </c>
      <c r="CU47" s="105"/>
      <c r="CV47" s="212">
        <f>CS47+CT47-CU47</f>
        <v>7200</v>
      </c>
      <c r="CW47" s="104">
        <v>800</v>
      </c>
      <c r="CX47" s="105"/>
      <c r="CY47" s="212">
        <f>CV47+CW47-CX47</f>
        <v>8000</v>
      </c>
    </row>
    <row r="48" spans="1:103" s="80" customFormat="1">
      <c r="A48" s="103">
        <f>VLOOKUP(B48,справочник!$B$2:$E$322,4,FALSE)</f>
        <v>175</v>
      </c>
      <c r="B48" s="80" t="str">
        <f t="shared" si="4"/>
        <v>187Буланова Лилия Михайловна</v>
      </c>
      <c r="C48" s="5">
        <v>187</v>
      </c>
      <c r="D48" s="7" t="s">
        <v>42</v>
      </c>
      <c r="E48" s="5" t="s">
        <v>359</v>
      </c>
      <c r="F48" s="19">
        <v>41865</v>
      </c>
      <c r="G48" s="19">
        <v>41883</v>
      </c>
      <c r="H48" s="20">
        <v>14</v>
      </c>
      <c r="I48" s="5">
        <f t="shared" si="2"/>
        <v>14000</v>
      </c>
      <c r="J48" s="20"/>
      <c r="K48" s="20"/>
      <c r="L48" s="21">
        <f t="shared" si="71"/>
        <v>14000</v>
      </c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>
        <f t="shared" si="5"/>
        <v>0</v>
      </c>
      <c r="Z48" s="104">
        <v>0</v>
      </c>
      <c r="AA48" s="104">
        <f t="shared" si="6"/>
        <v>0</v>
      </c>
      <c r="AB48" s="104">
        <f t="shared" si="7"/>
        <v>14000</v>
      </c>
      <c r="AC48" s="104">
        <v>0</v>
      </c>
      <c r="AD48" s="105"/>
      <c r="AE48" s="228"/>
      <c r="AF48" s="104">
        <v>0</v>
      </c>
      <c r="AG48" s="105"/>
      <c r="AH48" s="228"/>
      <c r="AI48" s="104">
        <v>0</v>
      </c>
      <c r="AJ48" s="105"/>
      <c r="AK48" s="228"/>
      <c r="AL48" s="104">
        <v>0</v>
      </c>
      <c r="AM48" s="105"/>
      <c r="AN48" s="228"/>
      <c r="AO48" s="104">
        <v>0</v>
      </c>
      <c r="AP48" s="105"/>
      <c r="AQ48" s="228"/>
      <c r="AR48" s="104">
        <v>0</v>
      </c>
      <c r="AS48" s="105"/>
      <c r="AT48" s="228"/>
      <c r="AU48" s="104">
        <v>0</v>
      </c>
      <c r="AV48" s="105"/>
      <c r="AW48" s="214"/>
      <c r="AX48" s="104">
        <v>0</v>
      </c>
      <c r="AY48" s="105"/>
      <c r="AZ48" s="214"/>
      <c r="BA48" s="104">
        <v>0</v>
      </c>
      <c r="BB48" s="105"/>
      <c r="BC48" s="214"/>
      <c r="BD48" s="104">
        <v>0</v>
      </c>
      <c r="BE48" s="105"/>
      <c r="BF48" s="214"/>
      <c r="BG48" s="104">
        <v>0</v>
      </c>
      <c r="BH48" s="105"/>
      <c r="BI48" s="214"/>
      <c r="BJ48" s="104">
        <v>0</v>
      </c>
      <c r="BK48" s="219"/>
      <c r="BL48" s="214"/>
      <c r="BM48" s="104">
        <v>0</v>
      </c>
      <c r="BN48" s="105"/>
      <c r="BO48" s="214"/>
      <c r="BP48" s="104">
        <v>0</v>
      </c>
      <c r="BQ48" s="105"/>
      <c r="BR48" s="214"/>
      <c r="BS48" s="104">
        <v>0</v>
      </c>
      <c r="BT48" s="105"/>
      <c r="BU48" s="214"/>
      <c r="BV48" s="104">
        <v>0</v>
      </c>
      <c r="BW48" s="105"/>
      <c r="BX48" s="214"/>
      <c r="BY48" s="104">
        <v>0</v>
      </c>
      <c r="BZ48" s="105"/>
      <c r="CA48" s="214"/>
      <c r="CB48" s="104">
        <v>0</v>
      </c>
      <c r="CC48" s="105"/>
      <c r="CD48" s="214"/>
      <c r="CE48" s="104">
        <v>0</v>
      </c>
      <c r="CF48" s="105"/>
      <c r="CG48" s="214"/>
      <c r="CH48" s="104">
        <v>0</v>
      </c>
      <c r="CI48" s="105"/>
      <c r="CJ48" s="214"/>
      <c r="CK48" s="104">
        <v>0</v>
      </c>
      <c r="CL48" s="105"/>
      <c r="CM48" s="214"/>
      <c r="CN48" s="104">
        <v>0</v>
      </c>
      <c r="CO48" s="105"/>
      <c r="CP48" s="214"/>
      <c r="CQ48" s="104">
        <v>0</v>
      </c>
      <c r="CR48" s="105"/>
      <c r="CS48" s="214"/>
      <c r="CT48" s="104">
        <v>0</v>
      </c>
      <c r="CU48" s="105"/>
      <c r="CV48" s="214"/>
      <c r="CW48" s="104">
        <v>0</v>
      </c>
      <c r="CX48" s="105"/>
      <c r="CY48" s="214"/>
    </row>
    <row r="49" spans="1:103" s="80" customFormat="1">
      <c r="A49" s="103">
        <f>VLOOKUP(B49,справочник!$B$2:$E$322,4,FALSE)</f>
        <v>303</v>
      </c>
      <c r="B49" s="80" t="str">
        <f t="shared" si="4"/>
        <v>318Бурдух Юрие</v>
      </c>
      <c r="C49" s="5">
        <v>318</v>
      </c>
      <c r="D49" s="7" t="s">
        <v>43</v>
      </c>
      <c r="E49" s="5" t="s">
        <v>360</v>
      </c>
      <c r="F49" s="19">
        <v>42002</v>
      </c>
      <c r="G49" s="19">
        <v>42005</v>
      </c>
      <c r="H49" s="20">
        <f>INT(($H$326-G49)/30)</f>
        <v>12</v>
      </c>
      <c r="I49" s="5">
        <f t="shared" si="2"/>
        <v>12000</v>
      </c>
      <c r="J49" s="20"/>
      <c r="K49" s="20"/>
      <c r="L49" s="21">
        <f t="shared" si="71"/>
        <v>12000</v>
      </c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>
        <f t="shared" si="5"/>
        <v>0</v>
      </c>
      <c r="Z49" s="104">
        <v>12</v>
      </c>
      <c r="AA49" s="104">
        <f t="shared" si="6"/>
        <v>9600</v>
      </c>
      <c r="AB49" s="104">
        <f t="shared" si="7"/>
        <v>21600</v>
      </c>
      <c r="AC49" s="104">
        <v>800</v>
      </c>
      <c r="AD49" s="105"/>
      <c r="AE49" s="227">
        <f>SUM(AB49:AB50)+SUM(AC49:AC50)-SUM(AD49:AD50)</f>
        <v>32400</v>
      </c>
      <c r="AF49" s="104">
        <v>800</v>
      </c>
      <c r="AG49" s="105"/>
      <c r="AH49" s="227">
        <f>SUM(AE49:AE50)+SUM(AF49:AF50)-SUM(AG49:AG50)</f>
        <v>33200</v>
      </c>
      <c r="AI49" s="104">
        <v>800</v>
      </c>
      <c r="AJ49" s="105"/>
      <c r="AK49" s="227">
        <f>SUM(AH49:AH50)+SUM(AI49:AI50)-SUM(AJ49:AJ50)</f>
        <v>34000</v>
      </c>
      <c r="AL49" s="104">
        <v>800</v>
      </c>
      <c r="AM49" s="105"/>
      <c r="AN49" s="227">
        <f>SUM(AK49:AK50)+SUM(AL49:AL50)-SUM(AM49:AM50)</f>
        <v>34800</v>
      </c>
      <c r="AO49" s="104">
        <v>800</v>
      </c>
      <c r="AP49" s="105"/>
      <c r="AQ49" s="227">
        <f>SUM(AN49:AN50)+SUM(AO49:AO50)-SUM(AP49:AP50)</f>
        <v>35600</v>
      </c>
      <c r="AR49" s="104">
        <v>800</v>
      </c>
      <c r="AS49" s="105"/>
      <c r="AT49" s="227">
        <f>SUM(AQ49:AQ50)+SUM(AR49:AR50)-SUM(AS49:AS50)</f>
        <v>36400</v>
      </c>
      <c r="AU49" s="104">
        <v>800</v>
      </c>
      <c r="AV49" s="105"/>
      <c r="AW49" s="212">
        <f>SUM(AT49:AT50)+SUM(AU49:AU50)-SUM(AV49:AV50)</f>
        <v>37200</v>
      </c>
      <c r="AX49" s="104">
        <v>800</v>
      </c>
      <c r="AY49" s="105"/>
      <c r="AZ49" s="212">
        <f>SUM(AW49:AW50)+SUM(AX49:AX50)-SUM(AY49:AY50)</f>
        <v>38000</v>
      </c>
      <c r="BA49" s="104">
        <v>800</v>
      </c>
      <c r="BB49" s="105"/>
      <c r="BC49" s="212">
        <f>SUM(AZ49:AZ50)+SUM(BA49:BA50)-SUM(BB49:BB50)</f>
        <v>38800</v>
      </c>
      <c r="BD49" s="104">
        <v>800</v>
      </c>
      <c r="BE49" s="105"/>
      <c r="BF49" s="212">
        <f>SUM(BC49:BC50)+SUM(BD49:BD50)-SUM(BE49:BE50)</f>
        <v>39600</v>
      </c>
      <c r="BG49" s="104">
        <v>800</v>
      </c>
      <c r="BH49" s="105"/>
      <c r="BI49" s="212">
        <f>SUM(BF49:BF50)+SUM(BG49:BG50)-SUM(BH49:BH50)</f>
        <v>40400</v>
      </c>
      <c r="BJ49" s="104">
        <v>800</v>
      </c>
      <c r="BK49" s="105"/>
      <c r="BL49" s="212">
        <f>SUM(BI49:BI50)+SUM(BJ49:BJ50)-SUM(BK49:BK50)</f>
        <v>41200</v>
      </c>
      <c r="BM49" s="104">
        <v>800</v>
      </c>
      <c r="BN49" s="218">
        <v>41200</v>
      </c>
      <c r="BO49" s="212">
        <f>SUM(BL49:BL50)+SUM(BM49:BM50)-SUM(BN49:BN50)</f>
        <v>800</v>
      </c>
      <c r="BP49" s="104">
        <v>800</v>
      </c>
      <c r="BQ49" s="218"/>
      <c r="BR49" s="212">
        <f>SUM(BO49:BO50)+SUM(BP49:BP50)-SUM(BQ49:BQ50)</f>
        <v>1600</v>
      </c>
      <c r="BS49" s="104">
        <v>800</v>
      </c>
      <c r="BT49" s="218"/>
      <c r="BU49" s="212">
        <f>SUM(BR49:BR50)+SUM(BS49:BS50)-SUM(BT49:BT50)</f>
        <v>2400</v>
      </c>
      <c r="BV49" s="104">
        <v>800</v>
      </c>
      <c r="BW49" s="218"/>
      <c r="BX49" s="212">
        <f>SUM(BU49:BU50)+SUM(BV49:BV50)-SUM(BW49:BW50)</f>
        <v>3200</v>
      </c>
      <c r="BY49" s="104">
        <v>800</v>
      </c>
      <c r="BZ49" s="218"/>
      <c r="CA49" s="212">
        <f>SUM(BX49:BX50)+SUM(BY49:BY50)-SUM(BZ49:BZ50)</f>
        <v>4000</v>
      </c>
      <c r="CB49" s="104">
        <v>800</v>
      </c>
      <c r="CC49" s="218"/>
      <c r="CD49" s="212">
        <f>SUM(CA49:CA50)+SUM(CB49:CB50)-SUM(CC49:CC50)</f>
        <v>4800</v>
      </c>
      <c r="CE49" s="104">
        <v>800</v>
      </c>
      <c r="CF49" s="218"/>
      <c r="CG49" s="212">
        <f>SUM(CD49:CD50)+SUM(CE49:CE50)-SUM(CF49:CF50)</f>
        <v>5600</v>
      </c>
      <c r="CH49" s="104">
        <v>800</v>
      </c>
      <c r="CI49" s="218"/>
      <c r="CJ49" s="212">
        <f>SUM(CG49:CG50)+SUM(CH49:CH50)-SUM(CI49:CI50)</f>
        <v>6400</v>
      </c>
      <c r="CK49" s="104">
        <v>800</v>
      </c>
      <c r="CL49" s="218"/>
      <c r="CM49" s="212">
        <f>SUM(CJ49:CJ50)+SUM(CK49:CK50)-SUM(CL49:CL50)</f>
        <v>7200</v>
      </c>
      <c r="CN49" s="104">
        <v>800</v>
      </c>
      <c r="CO49" s="218"/>
      <c r="CP49" s="212">
        <f>SUM(CM49:CM50)+SUM(CN49:CN50)-SUM(CO49:CO50)</f>
        <v>8000</v>
      </c>
      <c r="CQ49" s="104">
        <v>800</v>
      </c>
      <c r="CR49" s="218"/>
      <c r="CS49" s="212">
        <f>CP49+CQ49-CR49</f>
        <v>8800</v>
      </c>
      <c r="CT49" s="104">
        <v>800</v>
      </c>
      <c r="CU49" s="218"/>
      <c r="CV49" s="212">
        <f>CS49+CT49-CU49</f>
        <v>9600</v>
      </c>
      <c r="CW49" s="104">
        <v>800</v>
      </c>
      <c r="CX49" s="218"/>
      <c r="CY49" s="212">
        <f>CV49+CW49-CX49</f>
        <v>10400</v>
      </c>
    </row>
    <row r="50" spans="1:103" s="80" customFormat="1">
      <c r="A50" s="103">
        <f>VLOOKUP(B50,справочник!$B$2:$E$322,4,FALSE)</f>
        <v>303</v>
      </c>
      <c r="B50" s="80" t="str">
        <f t="shared" si="4"/>
        <v>319Бурдух Юрие</v>
      </c>
      <c r="C50" s="5">
        <v>319</v>
      </c>
      <c r="D50" s="7" t="s">
        <v>43</v>
      </c>
      <c r="E50" s="5" t="s">
        <v>361</v>
      </c>
      <c r="F50" s="19">
        <v>42002</v>
      </c>
      <c r="G50" s="19">
        <v>42005</v>
      </c>
      <c r="H50" s="20">
        <v>10</v>
      </c>
      <c r="I50" s="5">
        <f t="shared" si="2"/>
        <v>10000</v>
      </c>
      <c r="J50" s="20"/>
      <c r="K50" s="20"/>
      <c r="L50" s="21">
        <f t="shared" si="71"/>
        <v>10000</v>
      </c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>
        <f t="shared" si="5"/>
        <v>0</v>
      </c>
      <c r="Z50" s="104">
        <v>0</v>
      </c>
      <c r="AA50" s="104">
        <f t="shared" si="6"/>
        <v>0</v>
      </c>
      <c r="AB50" s="104">
        <f t="shared" si="7"/>
        <v>10000</v>
      </c>
      <c r="AC50" s="104">
        <v>0</v>
      </c>
      <c r="AD50" s="105"/>
      <c r="AE50" s="228"/>
      <c r="AF50" s="104">
        <v>0</v>
      </c>
      <c r="AG50" s="105"/>
      <c r="AH50" s="228"/>
      <c r="AI50" s="104">
        <v>0</v>
      </c>
      <c r="AJ50" s="105"/>
      <c r="AK50" s="228"/>
      <c r="AL50" s="104">
        <v>0</v>
      </c>
      <c r="AM50" s="105"/>
      <c r="AN50" s="228"/>
      <c r="AO50" s="104">
        <v>0</v>
      </c>
      <c r="AP50" s="105"/>
      <c r="AQ50" s="228"/>
      <c r="AR50" s="104">
        <v>0</v>
      </c>
      <c r="AS50" s="105"/>
      <c r="AT50" s="228"/>
      <c r="AU50" s="104">
        <v>0</v>
      </c>
      <c r="AV50" s="105"/>
      <c r="AW50" s="214"/>
      <c r="AX50" s="104">
        <v>0</v>
      </c>
      <c r="AY50" s="105"/>
      <c r="AZ50" s="214"/>
      <c r="BA50" s="104">
        <v>0</v>
      </c>
      <c r="BB50" s="105"/>
      <c r="BC50" s="214"/>
      <c r="BD50" s="104">
        <v>0</v>
      </c>
      <c r="BE50" s="105"/>
      <c r="BF50" s="214"/>
      <c r="BG50" s="104">
        <v>0</v>
      </c>
      <c r="BH50" s="105"/>
      <c r="BI50" s="214"/>
      <c r="BJ50" s="104">
        <v>0</v>
      </c>
      <c r="BK50" s="105"/>
      <c r="BL50" s="214"/>
      <c r="BM50" s="104">
        <v>0</v>
      </c>
      <c r="BN50" s="219"/>
      <c r="BO50" s="214"/>
      <c r="BP50" s="104">
        <v>0</v>
      </c>
      <c r="BQ50" s="219"/>
      <c r="BR50" s="214"/>
      <c r="BS50" s="104">
        <v>0</v>
      </c>
      <c r="BT50" s="219"/>
      <c r="BU50" s="214"/>
      <c r="BV50" s="104">
        <v>0</v>
      </c>
      <c r="BW50" s="219"/>
      <c r="BX50" s="214"/>
      <c r="BY50" s="104">
        <v>0</v>
      </c>
      <c r="BZ50" s="219"/>
      <c r="CA50" s="214"/>
      <c r="CB50" s="104">
        <v>0</v>
      </c>
      <c r="CC50" s="219"/>
      <c r="CD50" s="214"/>
      <c r="CE50" s="104">
        <v>0</v>
      </c>
      <c r="CF50" s="219"/>
      <c r="CG50" s="214"/>
      <c r="CH50" s="104">
        <v>0</v>
      </c>
      <c r="CI50" s="219"/>
      <c r="CJ50" s="214"/>
      <c r="CK50" s="104">
        <v>0</v>
      </c>
      <c r="CL50" s="219"/>
      <c r="CM50" s="214"/>
      <c r="CN50" s="104">
        <v>0</v>
      </c>
      <c r="CO50" s="219"/>
      <c r="CP50" s="214"/>
      <c r="CQ50" s="104">
        <v>0</v>
      </c>
      <c r="CR50" s="219"/>
      <c r="CS50" s="214"/>
      <c r="CT50" s="104">
        <v>0</v>
      </c>
      <c r="CU50" s="219"/>
      <c r="CV50" s="214"/>
      <c r="CW50" s="104">
        <v>0</v>
      </c>
      <c r="CX50" s="219"/>
      <c r="CY50" s="214"/>
    </row>
    <row r="51" spans="1:103">
      <c r="A51" s="41">
        <f>VLOOKUP(B51,справочник!$B$2:$E$322,4,FALSE)</f>
        <v>90</v>
      </c>
      <c r="B51" t="str">
        <f t="shared" si="4"/>
        <v>95Быданцева Нина Юрьевна</v>
      </c>
      <c r="C51" s="1">
        <v>95</v>
      </c>
      <c r="D51" s="2" t="s">
        <v>44</v>
      </c>
      <c r="E51" s="1" t="s">
        <v>362</v>
      </c>
      <c r="F51" s="16">
        <v>40795</v>
      </c>
      <c r="G51" s="16">
        <v>40787</v>
      </c>
      <c r="H51" s="17">
        <f t="shared" ref="H51:H74" si="119">INT(($H$326-G51)/30)</f>
        <v>52</v>
      </c>
      <c r="I51" s="1">
        <f t="shared" si="2"/>
        <v>52000</v>
      </c>
      <c r="J51" s="17">
        <f>36000+4000+12000</f>
        <v>52000</v>
      </c>
      <c r="K51" s="17"/>
      <c r="L51" s="18">
        <f t="shared" si="71"/>
        <v>0</v>
      </c>
      <c r="M51" s="22"/>
      <c r="N51" s="22"/>
      <c r="O51" s="22"/>
      <c r="P51" s="22">
        <v>4800</v>
      </c>
      <c r="Q51" s="22"/>
      <c r="R51" s="22"/>
      <c r="S51" s="22"/>
      <c r="T51" s="22"/>
      <c r="U51" s="22">
        <v>4800</v>
      </c>
      <c r="V51" s="22"/>
      <c r="W51" s="22"/>
      <c r="X51" s="22"/>
      <c r="Y51" s="18">
        <f t="shared" si="5"/>
        <v>9600</v>
      </c>
      <c r="Z51" s="96">
        <v>12</v>
      </c>
      <c r="AA51" s="96">
        <f t="shared" si="6"/>
        <v>9600</v>
      </c>
      <c r="AB51" s="96">
        <f t="shared" si="7"/>
        <v>0</v>
      </c>
      <c r="AC51" s="99">
        <v>800</v>
      </c>
      <c r="AD51" s="98"/>
      <c r="AE51" s="102">
        <f t="shared" si="8"/>
        <v>800</v>
      </c>
      <c r="AF51" s="99">
        <v>800</v>
      </c>
      <c r="AG51" s="98"/>
      <c r="AH51" s="102">
        <f t="shared" ref="AH51:AH100" si="120">AE51+AF51-AG51</f>
        <v>1600</v>
      </c>
      <c r="AI51" s="99">
        <v>800</v>
      </c>
      <c r="AJ51" s="98">
        <v>4800</v>
      </c>
      <c r="AK51" s="102">
        <f t="shared" ref="AK51:AK52" si="121">AH51+AI51-AJ51</f>
        <v>-2400</v>
      </c>
      <c r="AL51" s="99">
        <v>800</v>
      </c>
      <c r="AM51" s="98"/>
      <c r="AN51" s="102">
        <f t="shared" ref="AN51:AN52" si="122">AK51+AL51-AM51</f>
        <v>-1600</v>
      </c>
      <c r="AO51" s="99">
        <v>800</v>
      </c>
      <c r="AP51" s="113"/>
      <c r="AQ51" s="102">
        <f t="shared" ref="AQ51:AQ52" si="123">AN51+AO51-AP51</f>
        <v>-800</v>
      </c>
      <c r="AR51" s="99">
        <v>800</v>
      </c>
      <c r="AS51" s="113"/>
      <c r="AT51" s="102">
        <f t="shared" ref="AT51:AT52" si="124">AQ51+AR51-AS51</f>
        <v>0</v>
      </c>
      <c r="AU51" s="99">
        <v>800</v>
      </c>
      <c r="AV51" s="113"/>
      <c r="AW51" s="102">
        <f t="shared" ref="AW51:AW52" si="125">AT51+AU51-AV51</f>
        <v>800</v>
      </c>
      <c r="AX51" s="99">
        <v>800</v>
      </c>
      <c r="AY51" s="113">
        <v>4800</v>
      </c>
      <c r="AZ51" s="102">
        <f t="shared" ref="AZ51:AZ52" si="126">AW51+AX51-AY51</f>
        <v>-3200</v>
      </c>
      <c r="BA51" s="99">
        <v>800</v>
      </c>
      <c r="BB51" s="113"/>
      <c r="BC51" s="102">
        <f t="shared" ref="BC51:BC52" si="127">AZ51+BA51-BB51</f>
        <v>-2400</v>
      </c>
      <c r="BD51" s="99">
        <v>800</v>
      </c>
      <c r="BE51" s="113"/>
      <c r="BF51" s="102">
        <f t="shared" ref="BF51:BF52" si="128">BC51+BD51-BE51</f>
        <v>-1600</v>
      </c>
      <c r="BG51" s="99">
        <v>800</v>
      </c>
      <c r="BH51" s="113"/>
      <c r="BI51" s="102">
        <f t="shared" ref="BI51:BI52" si="129">BF51+BG51-BH51</f>
        <v>-800</v>
      </c>
      <c r="BJ51" s="99">
        <v>800</v>
      </c>
      <c r="BK51" s="113"/>
      <c r="BL51" s="102">
        <f t="shared" ref="BL51" si="130">BI51+BJ51-BK51</f>
        <v>0</v>
      </c>
      <c r="BM51" s="99">
        <v>800</v>
      </c>
      <c r="BN51" s="113"/>
      <c r="BO51" s="102">
        <f t="shared" ref="BO51:BO52" si="131">BL51+BM51-BN51</f>
        <v>800</v>
      </c>
      <c r="BP51" s="99">
        <v>800</v>
      </c>
      <c r="BQ51" s="113"/>
      <c r="BR51" s="102">
        <f t="shared" ref="BR51:BR52" si="132">BO51+BP51-BQ51</f>
        <v>1600</v>
      </c>
      <c r="BS51" s="99">
        <v>800</v>
      </c>
      <c r="BT51" s="113"/>
      <c r="BU51" s="102">
        <f t="shared" ref="BU51:BU52" si="133">BR51+BS51-BT51</f>
        <v>2400</v>
      </c>
      <c r="BV51" s="99">
        <v>800</v>
      </c>
      <c r="BW51" s="113"/>
      <c r="BX51" s="102">
        <f t="shared" ref="BX51:BX52" si="134">BU51+BV51-BW51</f>
        <v>3200</v>
      </c>
      <c r="BY51" s="99">
        <v>800</v>
      </c>
      <c r="BZ51" s="113">
        <v>10800</v>
      </c>
      <c r="CA51" s="102">
        <f t="shared" ref="CA51:CA52" si="135">BX51+BY51-BZ51</f>
        <v>-6800</v>
      </c>
      <c r="CB51" s="99">
        <v>800</v>
      </c>
      <c r="CC51" s="113"/>
      <c r="CD51" s="102">
        <f t="shared" ref="CD51:CD52" si="136">CA51+CB51-CC51</f>
        <v>-6000</v>
      </c>
      <c r="CE51" s="99">
        <v>800</v>
      </c>
      <c r="CF51" s="113"/>
      <c r="CG51" s="102">
        <f t="shared" ref="CG51:CG52" si="137">CD51+CE51-CF51</f>
        <v>-5200</v>
      </c>
      <c r="CH51" s="99">
        <v>800</v>
      </c>
      <c r="CI51" s="113"/>
      <c r="CJ51" s="102">
        <f t="shared" ref="CJ51:CJ52" si="138">CG51+CH51-CI51</f>
        <v>-4400</v>
      </c>
      <c r="CK51" s="99">
        <v>800</v>
      </c>
      <c r="CL51" s="113"/>
      <c r="CM51" s="102">
        <f t="shared" ref="CM51:CM52" si="139">CJ51+CK51-CL51</f>
        <v>-3600</v>
      </c>
      <c r="CN51" s="99">
        <v>800</v>
      </c>
      <c r="CO51" s="113"/>
      <c r="CP51" s="102">
        <f t="shared" ref="CP51" si="140">CM51+CN51-CO51</f>
        <v>-2800</v>
      </c>
      <c r="CQ51" s="99">
        <v>800</v>
      </c>
      <c r="CR51" s="113"/>
      <c r="CS51" s="102">
        <f>CP51+CQ51-CR51</f>
        <v>-2000</v>
      </c>
      <c r="CT51" s="99">
        <v>800</v>
      </c>
      <c r="CU51" s="113"/>
      <c r="CV51" s="102">
        <f>CS51+CT51-CU51</f>
        <v>-1200</v>
      </c>
      <c r="CW51" s="99">
        <v>800</v>
      </c>
      <c r="CX51" s="113"/>
      <c r="CY51" s="102">
        <f>CV51+CW51-CX51</f>
        <v>-400</v>
      </c>
    </row>
    <row r="52" spans="1:103">
      <c r="A52" s="103">
        <f>VLOOKUP(B52,справочник!$B$2:$E$322,4,FALSE)</f>
        <v>206</v>
      </c>
      <c r="B52" s="80" t="str">
        <f t="shared" si="4"/>
        <v>216Валеев Артур Рашидович</v>
      </c>
      <c r="C52" s="5">
        <v>216</v>
      </c>
      <c r="D52" s="7" t="s">
        <v>45</v>
      </c>
      <c r="E52" s="5" t="s">
        <v>363</v>
      </c>
      <c r="F52" s="19">
        <v>40953</v>
      </c>
      <c r="G52" s="19">
        <v>40940</v>
      </c>
      <c r="H52" s="20">
        <f t="shared" si="119"/>
        <v>47</v>
      </c>
      <c r="I52" s="5">
        <f t="shared" si="2"/>
        <v>47000</v>
      </c>
      <c r="J52" s="20">
        <v>38000</v>
      </c>
      <c r="K52" s="20"/>
      <c r="L52" s="21">
        <f t="shared" si="71"/>
        <v>9000</v>
      </c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>
        <v>10000</v>
      </c>
      <c r="Y52" s="21">
        <f t="shared" si="5"/>
        <v>10000</v>
      </c>
      <c r="Z52" s="104">
        <v>12</v>
      </c>
      <c r="AA52" s="104">
        <f t="shared" si="6"/>
        <v>9600</v>
      </c>
      <c r="AB52" s="104">
        <f t="shared" si="7"/>
        <v>8600</v>
      </c>
      <c r="AC52" s="104">
        <v>800</v>
      </c>
      <c r="AD52" s="105"/>
      <c r="AE52" s="106">
        <f t="shared" si="8"/>
        <v>9400</v>
      </c>
      <c r="AF52" s="104">
        <v>800</v>
      </c>
      <c r="AG52" s="105"/>
      <c r="AH52" s="106">
        <f t="shared" si="120"/>
        <v>10200</v>
      </c>
      <c r="AI52" s="104">
        <v>800</v>
      </c>
      <c r="AJ52" s="105"/>
      <c r="AK52" s="106">
        <f t="shared" si="121"/>
        <v>11000</v>
      </c>
      <c r="AL52" s="104">
        <v>800</v>
      </c>
      <c r="AM52" s="105"/>
      <c r="AN52" s="106">
        <f t="shared" si="122"/>
        <v>11800</v>
      </c>
      <c r="AO52" s="104">
        <v>800</v>
      </c>
      <c r="AP52" s="105"/>
      <c r="AQ52" s="106">
        <f t="shared" si="123"/>
        <v>12600</v>
      </c>
      <c r="AR52" s="104">
        <v>800</v>
      </c>
      <c r="AS52" s="105"/>
      <c r="AT52" s="106">
        <f t="shared" si="124"/>
        <v>13400</v>
      </c>
      <c r="AU52" s="104">
        <v>800</v>
      </c>
      <c r="AV52" s="105"/>
      <c r="AW52" s="106">
        <f t="shared" si="125"/>
        <v>14200</v>
      </c>
      <c r="AX52" s="104">
        <v>800</v>
      </c>
      <c r="AY52" s="105"/>
      <c r="AZ52" s="106">
        <f t="shared" si="126"/>
        <v>15000</v>
      </c>
      <c r="BA52" s="104">
        <v>800</v>
      </c>
      <c r="BB52" s="105"/>
      <c r="BC52" s="106">
        <f t="shared" si="127"/>
        <v>15800</v>
      </c>
      <c r="BD52" s="104">
        <v>800</v>
      </c>
      <c r="BE52" s="105">
        <f>1000+4000</f>
        <v>5000</v>
      </c>
      <c r="BF52" s="106">
        <f t="shared" si="128"/>
        <v>11600</v>
      </c>
      <c r="BG52" s="104">
        <v>800</v>
      </c>
      <c r="BH52" s="105">
        <v>3000</v>
      </c>
      <c r="BI52" s="106">
        <f t="shared" si="129"/>
        <v>9400</v>
      </c>
      <c r="BJ52" s="104">
        <v>800</v>
      </c>
      <c r="BK52" s="105">
        <v>9400</v>
      </c>
      <c r="BL52" s="106">
        <f>BI52+BJ52-BK52</f>
        <v>800</v>
      </c>
      <c r="BM52" s="104">
        <v>800</v>
      </c>
      <c r="BN52" s="105">
        <v>3200</v>
      </c>
      <c r="BO52" s="106">
        <f t="shared" si="131"/>
        <v>-1600</v>
      </c>
      <c r="BP52" s="104">
        <v>800</v>
      </c>
      <c r="BQ52" s="105"/>
      <c r="BR52" s="106">
        <f t="shared" si="132"/>
        <v>-800</v>
      </c>
      <c r="BS52" s="104">
        <v>800</v>
      </c>
      <c r="BT52" s="105"/>
      <c r="BU52" s="106">
        <f t="shared" si="133"/>
        <v>0</v>
      </c>
      <c r="BV52" s="104">
        <v>800</v>
      </c>
      <c r="BW52" s="105"/>
      <c r="BX52" s="106">
        <f t="shared" si="134"/>
        <v>800</v>
      </c>
      <c r="BY52" s="104">
        <v>800</v>
      </c>
      <c r="BZ52" s="105"/>
      <c r="CA52" s="106">
        <f t="shared" si="135"/>
        <v>1600</v>
      </c>
      <c r="CB52" s="104">
        <v>800</v>
      </c>
      <c r="CC52" s="105"/>
      <c r="CD52" s="106">
        <f t="shared" si="136"/>
        <v>2400</v>
      </c>
      <c r="CE52" s="104">
        <v>800</v>
      </c>
      <c r="CF52" s="105"/>
      <c r="CG52" s="106">
        <f t="shared" si="137"/>
        <v>3200</v>
      </c>
      <c r="CH52" s="104">
        <v>800</v>
      </c>
      <c r="CI52" s="105"/>
      <c r="CJ52" s="106">
        <f t="shared" si="138"/>
        <v>4000</v>
      </c>
      <c r="CK52" s="104">
        <v>800</v>
      </c>
      <c r="CL52" s="105"/>
      <c r="CM52" s="106">
        <f t="shared" si="139"/>
        <v>4800</v>
      </c>
      <c r="CN52" s="104">
        <v>800</v>
      </c>
      <c r="CO52" s="105">
        <v>4000</v>
      </c>
      <c r="CP52" s="106">
        <f>CM52+CN52-CO52</f>
        <v>1600</v>
      </c>
      <c r="CQ52" s="104">
        <v>800</v>
      </c>
      <c r="CR52" s="105"/>
      <c r="CS52" s="106">
        <f>CP52+CQ52-CR52</f>
        <v>2400</v>
      </c>
      <c r="CT52" s="104">
        <v>800</v>
      </c>
      <c r="CU52" s="105"/>
      <c r="CV52" s="106">
        <f>CS52+CT52-CU52</f>
        <v>3200</v>
      </c>
      <c r="CW52" s="104">
        <v>800</v>
      </c>
      <c r="CX52" s="105"/>
      <c r="CY52" s="106">
        <f>CV52+CW52-CX52</f>
        <v>4000</v>
      </c>
    </row>
    <row r="53" spans="1:103">
      <c r="A53" s="41">
        <f>VLOOKUP(B53,справочник!$B$2:$E$322,4,FALSE)</f>
        <v>101</v>
      </c>
      <c r="B53" t="str">
        <f t="shared" si="4"/>
        <v>106Васильев Николай Владимирович</v>
      </c>
      <c r="C53" s="1">
        <v>106</v>
      </c>
      <c r="D53" s="2" t="s">
        <v>46</v>
      </c>
      <c r="E53" s="1" t="s">
        <v>364</v>
      </c>
      <c r="F53" s="16">
        <v>40816</v>
      </c>
      <c r="G53" s="16">
        <v>40787</v>
      </c>
      <c r="H53" s="17">
        <f t="shared" si="119"/>
        <v>52</v>
      </c>
      <c r="I53" s="1">
        <f t="shared" si="2"/>
        <v>52000</v>
      </c>
      <c r="J53" s="17">
        <f>42000+1000</f>
        <v>43000</v>
      </c>
      <c r="K53" s="17"/>
      <c r="L53" s="18">
        <f t="shared" si="71"/>
        <v>9000</v>
      </c>
      <c r="M53" s="22">
        <v>7000</v>
      </c>
      <c r="N53" s="22"/>
      <c r="O53" s="22"/>
      <c r="P53" s="22"/>
      <c r="Q53" s="22"/>
      <c r="R53" s="22">
        <v>4800</v>
      </c>
      <c r="S53" s="22"/>
      <c r="T53" s="22"/>
      <c r="U53" s="22"/>
      <c r="V53" s="22"/>
      <c r="W53" s="22"/>
      <c r="X53" s="22"/>
      <c r="Y53" s="18">
        <f>SUM(M53:X53)</f>
        <v>11800</v>
      </c>
      <c r="Z53" s="96">
        <v>12</v>
      </c>
      <c r="AA53" s="96">
        <f t="shared" si="6"/>
        <v>9600</v>
      </c>
      <c r="AB53" s="96">
        <f t="shared" si="7"/>
        <v>6800</v>
      </c>
      <c r="AC53" s="99">
        <v>800</v>
      </c>
      <c r="AD53" s="98"/>
      <c r="AE53" s="102">
        <f t="shared" si="8"/>
        <v>7600</v>
      </c>
      <c r="AF53" s="99">
        <v>800</v>
      </c>
      <c r="AG53" s="98"/>
      <c r="AH53" s="102">
        <f>AE53+AF53-AG53</f>
        <v>8400</v>
      </c>
      <c r="AI53" s="99">
        <v>800</v>
      </c>
      <c r="AJ53" s="98">
        <f>2400+4800</f>
        <v>7200</v>
      </c>
      <c r="AK53" s="102">
        <f>AH53+AI53-AJ53</f>
        <v>2000</v>
      </c>
      <c r="AL53" s="99">
        <v>800</v>
      </c>
      <c r="AM53" s="98"/>
      <c r="AN53" s="102">
        <f>AK53+AL53-AM53</f>
        <v>2800</v>
      </c>
      <c r="AO53" s="99">
        <v>800</v>
      </c>
      <c r="AP53" s="113"/>
      <c r="AQ53" s="102">
        <f>AN53+AO53-AP53</f>
        <v>3600</v>
      </c>
      <c r="AR53" s="99">
        <v>800</v>
      </c>
      <c r="AS53" s="113"/>
      <c r="AT53" s="102">
        <f>AQ53+AR53-AS53</f>
        <v>4400</v>
      </c>
      <c r="AU53" s="99">
        <v>800</v>
      </c>
      <c r="AV53" s="113">
        <v>2400</v>
      </c>
      <c r="AW53" s="102">
        <f>AT53+AU53-AV53</f>
        <v>2800</v>
      </c>
      <c r="AX53" s="99">
        <v>800</v>
      </c>
      <c r="AY53" s="113"/>
      <c r="AZ53" s="102">
        <f>AW53+AX53-AY53</f>
        <v>3600</v>
      </c>
      <c r="BA53" s="99">
        <v>800</v>
      </c>
      <c r="BB53" s="113">
        <v>2400</v>
      </c>
      <c r="BC53" s="102">
        <f>AZ53+BA53-BB53</f>
        <v>2000</v>
      </c>
      <c r="BD53" s="99">
        <v>800</v>
      </c>
      <c r="BE53" s="113"/>
      <c r="BF53" s="102">
        <f>BC53+BD53-BE53</f>
        <v>2800</v>
      </c>
      <c r="BG53" s="99">
        <v>800</v>
      </c>
      <c r="BH53" s="113"/>
      <c r="BI53" s="102">
        <f>BF53+BG53-BH53</f>
        <v>3600</v>
      </c>
      <c r="BJ53" s="99">
        <v>800</v>
      </c>
      <c r="BK53" s="113"/>
      <c r="BL53" s="102">
        <f>BI53+BJ53-BK53</f>
        <v>4400</v>
      </c>
      <c r="BM53" s="99">
        <v>800</v>
      </c>
      <c r="BN53" s="113">
        <v>4800</v>
      </c>
      <c r="BO53" s="102">
        <f>BL53+BM53-BN53</f>
        <v>400</v>
      </c>
      <c r="BP53" s="99">
        <v>800</v>
      </c>
      <c r="BQ53" s="113"/>
      <c r="BR53" s="102">
        <f>BO53+BP53-BQ53</f>
        <v>1200</v>
      </c>
      <c r="BS53" s="99">
        <v>800</v>
      </c>
      <c r="BT53" s="113"/>
      <c r="BU53" s="102">
        <f>BR53+BS53-BT53</f>
        <v>2000</v>
      </c>
      <c r="BV53" s="99">
        <v>800</v>
      </c>
      <c r="BW53" s="113">
        <v>2400</v>
      </c>
      <c r="BX53" s="102">
        <f>BU53+BV53-BW53</f>
        <v>400</v>
      </c>
      <c r="BY53" s="99">
        <v>800</v>
      </c>
      <c r="BZ53" s="113"/>
      <c r="CA53" s="102">
        <f>BX53+BY53-BZ53</f>
        <v>1200</v>
      </c>
      <c r="CB53" s="99">
        <v>800</v>
      </c>
      <c r="CC53" s="113"/>
      <c r="CD53" s="102">
        <f>CA53+CB53-CC53</f>
        <v>2000</v>
      </c>
      <c r="CE53" s="99">
        <v>800</v>
      </c>
      <c r="CF53" s="113"/>
      <c r="CG53" s="102">
        <f>CD53+CE53-CF53</f>
        <v>2800</v>
      </c>
      <c r="CH53" s="99">
        <v>800</v>
      </c>
      <c r="CI53" s="113">
        <v>2400</v>
      </c>
      <c r="CJ53" s="102">
        <f>CG53+CH53-CI53</f>
        <v>1200</v>
      </c>
      <c r="CK53" s="99">
        <v>800</v>
      </c>
      <c r="CL53" s="113"/>
      <c r="CM53" s="102">
        <f>CJ53+CK53-CL53</f>
        <v>2000</v>
      </c>
      <c r="CN53" s="99">
        <v>800</v>
      </c>
      <c r="CO53" s="113"/>
      <c r="CP53" s="102">
        <f>CM53+CN53-CO53</f>
        <v>2800</v>
      </c>
      <c r="CQ53" s="99">
        <v>800</v>
      </c>
      <c r="CR53" s="113">
        <v>2400</v>
      </c>
      <c r="CS53" s="183">
        <f t="shared" ref="CS53:CS89" si="141">CP53+CQ53-CR53</f>
        <v>1200</v>
      </c>
      <c r="CT53" s="99">
        <v>800</v>
      </c>
      <c r="CU53" s="113"/>
      <c r="CV53" s="183">
        <f t="shared" ref="CV53:CV54" si="142">CS53+CT53-CU53</f>
        <v>2000</v>
      </c>
      <c r="CW53" s="99">
        <v>800</v>
      </c>
      <c r="CX53" s="113"/>
      <c r="CY53" s="183">
        <f t="shared" ref="CY53:CY54" si="143">CV53+CW53-CX53</f>
        <v>2800</v>
      </c>
    </row>
    <row r="54" spans="1:103">
      <c r="A54" s="41">
        <f>VLOOKUP(B54,справочник!$B$2:$E$322,4,FALSE)</f>
        <v>86</v>
      </c>
      <c r="B54" t="str">
        <f t="shared" si="4"/>
        <v>91Васильева Ольга Александровна</v>
      </c>
      <c r="C54" s="1">
        <v>91</v>
      </c>
      <c r="D54" s="2" t="s">
        <v>47</v>
      </c>
      <c r="E54" s="1" t="s">
        <v>365</v>
      </c>
      <c r="F54" s="16">
        <v>40847</v>
      </c>
      <c r="G54" s="16">
        <v>40848</v>
      </c>
      <c r="H54" s="17">
        <f t="shared" si="119"/>
        <v>50</v>
      </c>
      <c r="I54" s="1">
        <f>H54*1000</f>
        <v>50000</v>
      </c>
      <c r="J54" s="17">
        <f>34000+13000</f>
        <v>47000</v>
      </c>
      <c r="K54" s="17">
        <v>4000</v>
      </c>
      <c r="L54" s="18">
        <f t="shared" si="71"/>
        <v>-1000</v>
      </c>
      <c r="M54" s="22"/>
      <c r="N54" s="22">
        <v>2000</v>
      </c>
      <c r="O54" s="22"/>
      <c r="P54" s="22">
        <v>1000</v>
      </c>
      <c r="Q54" s="22"/>
      <c r="R54" s="22">
        <v>1600</v>
      </c>
      <c r="S54" s="22"/>
      <c r="T54">
        <v>800</v>
      </c>
      <c r="U54" s="22">
        <v>800</v>
      </c>
      <c r="V54" s="22"/>
      <c r="W54" s="84">
        <v>2400</v>
      </c>
      <c r="X54" s="22"/>
      <c r="Y54" s="18">
        <f t="shared" si="5"/>
        <v>8600</v>
      </c>
      <c r="Z54" s="96">
        <v>12</v>
      </c>
      <c r="AA54" s="96">
        <f t="shared" si="6"/>
        <v>9600</v>
      </c>
      <c r="AB54" s="96">
        <f t="shared" si="7"/>
        <v>0</v>
      </c>
      <c r="AC54" s="99">
        <v>800</v>
      </c>
      <c r="AD54" s="98"/>
      <c r="AE54" s="102">
        <f t="shared" si="8"/>
        <v>800</v>
      </c>
      <c r="AF54" s="99">
        <v>800</v>
      </c>
      <c r="AG54" s="98">
        <v>800</v>
      </c>
      <c r="AH54" s="102">
        <f t="shared" si="120"/>
        <v>800</v>
      </c>
      <c r="AI54" s="99">
        <v>800</v>
      </c>
      <c r="AJ54" s="98">
        <v>1600</v>
      </c>
      <c r="AK54" s="102">
        <f t="shared" ref="AK54:AK100" si="144">AH54+AI54-AJ54</f>
        <v>0</v>
      </c>
      <c r="AL54" s="99">
        <v>800</v>
      </c>
      <c r="AM54" s="98"/>
      <c r="AN54" s="102">
        <f t="shared" ref="AN54:AN100" si="145">AK54+AL54-AM54</f>
        <v>800</v>
      </c>
      <c r="AO54" s="99">
        <v>800</v>
      </c>
      <c r="AP54" s="113">
        <v>1600</v>
      </c>
      <c r="AQ54" s="102">
        <f t="shared" ref="AQ54:AQ100" si="146">AN54+AO54-AP54</f>
        <v>0</v>
      </c>
      <c r="AR54" s="99">
        <v>800</v>
      </c>
      <c r="AS54" s="113"/>
      <c r="AT54" s="102">
        <f t="shared" ref="AT54:AT100" si="147">AQ54+AR54-AS54</f>
        <v>800</v>
      </c>
      <c r="AU54" s="99">
        <v>800</v>
      </c>
      <c r="AV54" s="113">
        <v>1600</v>
      </c>
      <c r="AW54" s="102">
        <f t="shared" ref="AW54:AW100" si="148">AT54+AU54-AV54</f>
        <v>0</v>
      </c>
      <c r="AX54" s="99">
        <v>800</v>
      </c>
      <c r="AY54" s="113"/>
      <c r="AZ54" s="102">
        <f t="shared" ref="AZ54:AZ100" si="149">AW54+AX54-AY54</f>
        <v>800</v>
      </c>
      <c r="BA54" s="99">
        <v>800</v>
      </c>
      <c r="BB54" s="113"/>
      <c r="BC54" s="102">
        <f t="shared" ref="BC54:BC89" si="150">AZ54+BA54-BB54</f>
        <v>1600</v>
      </c>
      <c r="BD54" s="99">
        <v>800</v>
      </c>
      <c r="BE54" s="113"/>
      <c r="BF54" s="102">
        <f t="shared" ref="BF54:BF89" si="151">BC54+BD54-BE54</f>
        <v>2400</v>
      </c>
      <c r="BG54" s="99">
        <v>800</v>
      </c>
      <c r="BH54" s="113">
        <v>4000</v>
      </c>
      <c r="BI54" s="102">
        <f t="shared" ref="BI54:BI89" si="152">BF54+BG54-BH54</f>
        <v>-800</v>
      </c>
      <c r="BJ54" s="99">
        <v>800</v>
      </c>
      <c r="BK54" s="113"/>
      <c r="BL54" s="102">
        <f t="shared" ref="BL54:BL89" si="153">BI54+BJ54-BK54</f>
        <v>0</v>
      </c>
      <c r="BM54" s="99">
        <v>800</v>
      </c>
      <c r="BN54" s="113"/>
      <c r="BO54" s="102">
        <f t="shared" ref="BO54:BO89" si="154">BL54+BM54-BN54</f>
        <v>800</v>
      </c>
      <c r="BP54" s="99">
        <v>800</v>
      </c>
      <c r="BQ54" s="113">
        <v>800</v>
      </c>
      <c r="BR54" s="102">
        <f t="shared" ref="BR54:BR89" si="155">BO54+BP54-BQ54</f>
        <v>800</v>
      </c>
      <c r="BS54" s="99">
        <v>800</v>
      </c>
      <c r="BT54" s="113">
        <v>1600</v>
      </c>
      <c r="BU54" s="102">
        <f t="shared" ref="BU54:BU89" si="156">BR54+BS54-BT54</f>
        <v>0</v>
      </c>
      <c r="BV54" s="99">
        <v>800</v>
      </c>
      <c r="BW54" s="113">
        <v>800</v>
      </c>
      <c r="BX54" s="102">
        <f t="shared" ref="BX54:BX89" si="157">BU54+BV54-BW54</f>
        <v>0</v>
      </c>
      <c r="BY54" s="99">
        <v>800</v>
      </c>
      <c r="BZ54" s="113"/>
      <c r="CA54" s="102">
        <f t="shared" ref="CA54:CA89" si="158">BX54+BY54-BZ54</f>
        <v>800</v>
      </c>
      <c r="CB54" s="99">
        <v>800</v>
      </c>
      <c r="CC54" s="113">
        <v>800</v>
      </c>
      <c r="CD54" s="102">
        <f t="shared" ref="CD54:CD89" si="159">CA54+CB54-CC54</f>
        <v>800</v>
      </c>
      <c r="CE54" s="99">
        <v>800</v>
      </c>
      <c r="CF54" s="113"/>
      <c r="CG54" s="102">
        <f t="shared" ref="CG54:CG89" si="160">CD54+CE54-CF54</f>
        <v>1600</v>
      </c>
      <c r="CH54" s="99">
        <v>800</v>
      </c>
      <c r="CI54" s="113">
        <v>1600</v>
      </c>
      <c r="CJ54" s="102">
        <f t="shared" ref="CJ54:CJ89" si="161">CG54+CH54-CI54</f>
        <v>800</v>
      </c>
      <c r="CK54" s="99">
        <v>800</v>
      </c>
      <c r="CL54" s="113"/>
      <c r="CM54" s="102">
        <f t="shared" ref="CM54:CM89" si="162">CJ54+CK54-CL54</f>
        <v>1600</v>
      </c>
      <c r="CN54" s="99">
        <v>800</v>
      </c>
      <c r="CO54" s="113">
        <v>2400</v>
      </c>
      <c r="CP54" s="102">
        <f t="shared" ref="CP54:CP89" si="163">CM54+CN54-CO54</f>
        <v>0</v>
      </c>
      <c r="CQ54" s="99">
        <v>800</v>
      </c>
      <c r="CR54" s="113"/>
      <c r="CS54" s="183">
        <f t="shared" si="141"/>
        <v>800</v>
      </c>
      <c r="CT54" s="99">
        <v>800</v>
      </c>
      <c r="CU54" s="113"/>
      <c r="CV54" s="183">
        <f t="shared" si="142"/>
        <v>1600</v>
      </c>
      <c r="CW54" s="99">
        <v>800</v>
      </c>
      <c r="CX54" s="113">
        <v>800</v>
      </c>
      <c r="CY54" s="183">
        <f t="shared" si="143"/>
        <v>1600</v>
      </c>
    </row>
    <row r="55" spans="1:103">
      <c r="A55" s="41">
        <f>VLOOKUP(B55,справочник!$B$2:$E$322,4,FALSE)</f>
        <v>43</v>
      </c>
      <c r="B55" t="str">
        <f t="shared" si="4"/>
        <v>43Васильцова Елена Владимировна</v>
      </c>
      <c r="C55" s="1">
        <v>43</v>
      </c>
      <c r="D55" s="2" t="s">
        <v>48</v>
      </c>
      <c r="E55" s="1" t="s">
        <v>366</v>
      </c>
      <c r="F55" s="16">
        <v>40786</v>
      </c>
      <c r="G55" s="16">
        <v>40787</v>
      </c>
      <c r="H55" s="17">
        <f t="shared" si="119"/>
        <v>52</v>
      </c>
      <c r="I55" s="1">
        <f t="shared" si="2"/>
        <v>52000</v>
      </c>
      <c r="J55" s="17">
        <f>27000+2000</f>
        <v>29000</v>
      </c>
      <c r="K55" s="17"/>
      <c r="L55" s="18">
        <f t="shared" si="71"/>
        <v>23000</v>
      </c>
      <c r="M55" s="22"/>
      <c r="N55" s="22"/>
      <c r="O55" s="22"/>
      <c r="P55" s="22"/>
      <c r="Q55" s="22"/>
      <c r="R55" s="22">
        <v>2000</v>
      </c>
      <c r="S55" s="22"/>
      <c r="T55">
        <v>2000</v>
      </c>
      <c r="U55" s="22">
        <v>2000</v>
      </c>
      <c r="V55" s="22"/>
      <c r="W55" s="22"/>
      <c r="X55" s="22"/>
      <c r="Y55" s="18">
        <f t="shared" si="5"/>
        <v>6000</v>
      </c>
      <c r="Z55" s="96">
        <v>12</v>
      </c>
      <c r="AA55" s="96">
        <f t="shared" si="6"/>
        <v>9600</v>
      </c>
      <c r="AB55" s="96">
        <f t="shared" si="7"/>
        <v>26600</v>
      </c>
      <c r="AC55" s="99">
        <v>800</v>
      </c>
      <c r="AD55" s="98"/>
      <c r="AE55" s="102">
        <f t="shared" si="8"/>
        <v>27400</v>
      </c>
      <c r="AF55" s="99">
        <v>800</v>
      </c>
      <c r="AG55" s="98"/>
      <c r="AH55" s="102">
        <f t="shared" si="120"/>
        <v>28200</v>
      </c>
      <c r="AI55" s="99">
        <v>800</v>
      </c>
      <c r="AJ55" s="98"/>
      <c r="AK55" s="102">
        <f t="shared" si="144"/>
        <v>29000</v>
      </c>
      <c r="AL55" s="99">
        <v>800</v>
      </c>
      <c r="AM55" s="98"/>
      <c r="AN55" s="102">
        <f t="shared" si="145"/>
        <v>29800</v>
      </c>
      <c r="AO55" s="99">
        <v>800</v>
      </c>
      <c r="AP55" s="113"/>
      <c r="AQ55" s="102">
        <f t="shared" si="146"/>
        <v>30600</v>
      </c>
      <c r="AR55" s="99">
        <v>800</v>
      </c>
      <c r="AS55" s="113">
        <v>1000</v>
      </c>
      <c r="AT55" s="102">
        <f t="shared" si="147"/>
        <v>30400</v>
      </c>
      <c r="AU55" s="99">
        <v>800</v>
      </c>
      <c r="AV55" s="113"/>
      <c r="AW55" s="102">
        <f t="shared" si="148"/>
        <v>31200</v>
      </c>
      <c r="AX55" s="99">
        <v>800</v>
      </c>
      <c r="AY55" s="113"/>
      <c r="AZ55" s="102">
        <f t="shared" si="149"/>
        <v>32000</v>
      </c>
      <c r="BA55" s="99">
        <v>800</v>
      </c>
      <c r="BB55" s="113"/>
      <c r="BC55" s="102">
        <f t="shared" si="150"/>
        <v>32800</v>
      </c>
      <c r="BD55" s="99">
        <v>800</v>
      </c>
      <c r="BE55" s="113">
        <v>2000</v>
      </c>
      <c r="BF55" s="102">
        <f t="shared" si="151"/>
        <v>31600</v>
      </c>
      <c r="BG55" s="99">
        <v>800</v>
      </c>
      <c r="BH55" s="113">
        <v>1000</v>
      </c>
      <c r="BI55" s="102">
        <f t="shared" si="152"/>
        <v>31400</v>
      </c>
      <c r="BJ55" s="99">
        <v>800</v>
      </c>
      <c r="BK55" s="113">
        <v>2000</v>
      </c>
      <c r="BL55" s="102">
        <f t="shared" si="153"/>
        <v>30200</v>
      </c>
      <c r="BM55" s="99">
        <v>800</v>
      </c>
      <c r="BN55" s="113"/>
      <c r="BO55" s="102">
        <f t="shared" si="154"/>
        <v>31000</v>
      </c>
      <c r="BP55" s="99">
        <v>800</v>
      </c>
      <c r="BQ55" s="113"/>
      <c r="BR55" s="102">
        <f t="shared" si="155"/>
        <v>31800</v>
      </c>
      <c r="BS55" s="99">
        <v>800</v>
      </c>
      <c r="BT55" s="113"/>
      <c r="BU55" s="102">
        <f t="shared" si="156"/>
        <v>32600</v>
      </c>
      <c r="BV55" s="99">
        <v>800</v>
      </c>
      <c r="BW55" s="113"/>
      <c r="BX55" s="102">
        <f t="shared" si="157"/>
        <v>33400</v>
      </c>
      <c r="BY55" s="99">
        <v>800</v>
      </c>
      <c r="BZ55" s="113"/>
      <c r="CA55" s="102">
        <f t="shared" si="158"/>
        <v>34200</v>
      </c>
      <c r="CB55" s="99">
        <v>800</v>
      </c>
      <c r="CC55" s="113"/>
      <c r="CD55" s="102">
        <f t="shared" si="159"/>
        <v>35000</v>
      </c>
      <c r="CE55" s="99">
        <v>800</v>
      </c>
      <c r="CF55" s="113"/>
      <c r="CG55" s="102">
        <f t="shared" si="160"/>
        <v>35800</v>
      </c>
      <c r="CH55" s="99">
        <v>800</v>
      </c>
      <c r="CI55" s="113"/>
      <c r="CJ55" s="102">
        <f t="shared" si="161"/>
        <v>36600</v>
      </c>
      <c r="CK55" s="99">
        <v>800</v>
      </c>
      <c r="CL55" s="113"/>
      <c r="CM55" s="102">
        <f t="shared" si="162"/>
        <v>37400</v>
      </c>
      <c r="CN55" s="99">
        <v>800</v>
      </c>
      <c r="CO55" s="113"/>
      <c r="CP55" s="102">
        <f t="shared" si="163"/>
        <v>38200</v>
      </c>
      <c r="CQ55" s="99">
        <v>800</v>
      </c>
      <c r="CR55" s="113"/>
      <c r="CS55" s="183">
        <f>CP55+CQ55-CR55</f>
        <v>39000</v>
      </c>
      <c r="CT55" s="99">
        <v>800</v>
      </c>
      <c r="CU55" s="113"/>
      <c r="CV55" s="183">
        <f>CS55+CT55-CU55</f>
        <v>39800</v>
      </c>
      <c r="CW55" s="99">
        <v>800</v>
      </c>
      <c r="CX55" s="113"/>
      <c r="CY55" s="183">
        <f>CV55+CW55-CX55</f>
        <v>40600</v>
      </c>
    </row>
    <row r="56" spans="1:103">
      <c r="A56" s="41">
        <f>VLOOKUP(B56,справочник!$B$2:$E$322,4,FALSE)</f>
        <v>25</v>
      </c>
      <c r="B56" t="str">
        <f t="shared" si="4"/>
        <v>25Вершинина Елена Анатольевна</v>
      </c>
      <c r="C56" s="1">
        <v>25</v>
      </c>
      <c r="D56" s="2" t="s">
        <v>49</v>
      </c>
      <c r="E56" s="1" t="s">
        <v>367</v>
      </c>
      <c r="F56" s="16">
        <v>40955</v>
      </c>
      <c r="G56" s="16">
        <v>40940</v>
      </c>
      <c r="H56" s="17">
        <f t="shared" si="119"/>
        <v>47</v>
      </c>
      <c r="I56" s="1">
        <f t="shared" si="2"/>
        <v>47000</v>
      </c>
      <c r="J56" s="17">
        <f>33000+11000</f>
        <v>44000</v>
      </c>
      <c r="K56" s="17">
        <v>3000</v>
      </c>
      <c r="L56" s="18">
        <f t="shared" si="71"/>
        <v>0</v>
      </c>
      <c r="M56" s="22"/>
      <c r="N56" s="22"/>
      <c r="O56" s="22">
        <v>3000</v>
      </c>
      <c r="P56" s="22"/>
      <c r="Q56" s="22">
        <v>3000</v>
      </c>
      <c r="R56" s="22">
        <v>800</v>
      </c>
      <c r="S56" s="22"/>
      <c r="T56">
        <v>3000</v>
      </c>
      <c r="U56" s="22"/>
      <c r="V56" s="22">
        <v>3000</v>
      </c>
      <c r="W56" s="22"/>
      <c r="X56" s="22"/>
      <c r="Y56" s="18">
        <f t="shared" si="5"/>
        <v>12800</v>
      </c>
      <c r="Z56" s="96">
        <v>12</v>
      </c>
      <c r="AA56" s="96">
        <f t="shared" si="6"/>
        <v>9600</v>
      </c>
      <c r="AB56" s="96">
        <f t="shared" si="7"/>
        <v>-3200</v>
      </c>
      <c r="AC56" s="99">
        <v>800</v>
      </c>
      <c r="AD56" s="98"/>
      <c r="AE56" s="102">
        <f t="shared" si="8"/>
        <v>-2400</v>
      </c>
      <c r="AF56" s="99">
        <v>800</v>
      </c>
      <c r="AG56" s="98"/>
      <c r="AH56" s="102">
        <f t="shared" si="120"/>
        <v>-1600</v>
      </c>
      <c r="AI56" s="99">
        <v>800</v>
      </c>
      <c r="AJ56" s="98"/>
      <c r="AK56" s="102">
        <f t="shared" si="144"/>
        <v>-800</v>
      </c>
      <c r="AL56" s="99">
        <v>800</v>
      </c>
      <c r="AM56" s="98"/>
      <c r="AN56" s="102">
        <f t="shared" si="145"/>
        <v>0</v>
      </c>
      <c r="AO56" s="99">
        <v>800</v>
      </c>
      <c r="AP56" s="113">
        <v>2400</v>
      </c>
      <c r="AQ56" s="102">
        <f t="shared" si="146"/>
        <v>-1600</v>
      </c>
      <c r="AR56" s="99">
        <v>800</v>
      </c>
      <c r="AS56" s="113"/>
      <c r="AT56" s="102">
        <f t="shared" si="147"/>
        <v>-800</v>
      </c>
      <c r="AU56" s="99">
        <v>800</v>
      </c>
      <c r="AV56" s="113"/>
      <c r="AW56" s="102">
        <f t="shared" si="148"/>
        <v>0</v>
      </c>
      <c r="AX56" s="99">
        <v>800</v>
      </c>
      <c r="AY56" s="113">
        <v>2400</v>
      </c>
      <c r="AZ56" s="102">
        <f t="shared" si="149"/>
        <v>-1600</v>
      </c>
      <c r="BA56" s="99">
        <v>800</v>
      </c>
      <c r="BB56" s="113"/>
      <c r="BC56" s="102">
        <f t="shared" si="150"/>
        <v>-800</v>
      </c>
      <c r="BD56" s="99">
        <v>800</v>
      </c>
      <c r="BE56" s="113"/>
      <c r="BF56" s="102">
        <f t="shared" si="151"/>
        <v>0</v>
      </c>
      <c r="BG56" s="99">
        <v>800</v>
      </c>
      <c r="BH56" s="113">
        <v>2400</v>
      </c>
      <c r="BI56" s="102">
        <f t="shared" si="152"/>
        <v>-1600</v>
      </c>
      <c r="BJ56" s="99">
        <v>800</v>
      </c>
      <c r="BK56" s="113"/>
      <c r="BL56" s="102">
        <f t="shared" si="153"/>
        <v>-800</v>
      </c>
      <c r="BM56" s="99">
        <v>800</v>
      </c>
      <c r="BN56" s="113"/>
      <c r="BO56" s="102">
        <f t="shared" si="154"/>
        <v>0</v>
      </c>
      <c r="BP56" s="99">
        <v>800</v>
      </c>
      <c r="BQ56" s="113"/>
      <c r="BR56" s="102">
        <f t="shared" si="155"/>
        <v>800</v>
      </c>
      <c r="BS56" s="99">
        <v>800</v>
      </c>
      <c r="BT56" s="113">
        <v>2400</v>
      </c>
      <c r="BU56" s="102">
        <f t="shared" si="156"/>
        <v>-800</v>
      </c>
      <c r="BV56" s="99">
        <v>800</v>
      </c>
      <c r="BW56" s="113"/>
      <c r="BX56" s="102">
        <f t="shared" si="157"/>
        <v>0</v>
      </c>
      <c r="BY56" s="99">
        <v>800</v>
      </c>
      <c r="BZ56" s="113"/>
      <c r="CA56" s="102">
        <f t="shared" si="158"/>
        <v>800</v>
      </c>
      <c r="CB56" s="99">
        <v>800</v>
      </c>
      <c r="CC56" s="113">
        <v>2400</v>
      </c>
      <c r="CD56" s="102">
        <f t="shared" si="159"/>
        <v>-800</v>
      </c>
      <c r="CE56" s="99">
        <v>800</v>
      </c>
      <c r="CF56" s="113"/>
      <c r="CG56" s="102">
        <f t="shared" si="160"/>
        <v>0</v>
      </c>
      <c r="CH56" s="99">
        <v>800</v>
      </c>
      <c r="CI56" s="113"/>
      <c r="CJ56" s="102">
        <f t="shared" si="161"/>
        <v>800</v>
      </c>
      <c r="CK56" s="99">
        <v>800</v>
      </c>
      <c r="CL56" s="113"/>
      <c r="CM56" s="102">
        <f t="shared" si="162"/>
        <v>1600</v>
      </c>
      <c r="CN56" s="99">
        <v>800</v>
      </c>
      <c r="CO56" s="113"/>
      <c r="CP56" s="102">
        <f t="shared" si="163"/>
        <v>2400</v>
      </c>
      <c r="CQ56" s="99">
        <v>800</v>
      </c>
      <c r="CR56" s="113">
        <v>6000</v>
      </c>
      <c r="CS56" s="183">
        <f t="shared" si="141"/>
        <v>-2800</v>
      </c>
      <c r="CT56" s="99">
        <v>800</v>
      </c>
      <c r="CU56" s="113"/>
      <c r="CV56" s="183">
        <f t="shared" ref="CV56:CV89" si="164">CS56+CT56-CU56</f>
        <v>-2000</v>
      </c>
      <c r="CW56" s="99">
        <v>800</v>
      </c>
      <c r="CX56" s="113"/>
      <c r="CY56" s="183">
        <f t="shared" ref="CY56:CY89" si="165">CV56+CW56-CX56</f>
        <v>-1200</v>
      </c>
    </row>
    <row r="57" spans="1:103">
      <c r="A57" s="41" t="e">
        <f>VLOOKUP(B57,справочник!$B$2:$E$322,4,FALSE)</f>
        <v>#N/A</v>
      </c>
      <c r="B57" t="str">
        <f t="shared" si="4"/>
        <v>146Виноградова Наталья Дмитриевна</v>
      </c>
      <c r="C57" s="1">
        <v>146</v>
      </c>
      <c r="D57" s="2" t="s">
        <v>784</v>
      </c>
      <c r="E57" s="1" t="s">
        <v>368</v>
      </c>
      <c r="F57" s="16">
        <v>40784</v>
      </c>
      <c r="G57" s="16">
        <v>40756</v>
      </c>
      <c r="H57" s="17">
        <f t="shared" si="119"/>
        <v>53</v>
      </c>
      <c r="I57" s="1">
        <f t="shared" si="2"/>
        <v>53000</v>
      </c>
      <c r="J57" s="17">
        <f>53000</f>
        <v>53000</v>
      </c>
      <c r="K57" s="17"/>
      <c r="L57" s="18">
        <f t="shared" si="71"/>
        <v>0</v>
      </c>
      <c r="M57" s="22"/>
      <c r="N57" s="22">
        <v>3000</v>
      </c>
      <c r="O57" s="22"/>
      <c r="P57" s="22"/>
      <c r="Q57" s="22"/>
      <c r="R57" s="22">
        <v>2900</v>
      </c>
      <c r="S57" s="22"/>
      <c r="T57" s="22"/>
      <c r="U57" s="22"/>
      <c r="V57" s="22"/>
      <c r="W57" s="22">
        <v>5000</v>
      </c>
      <c r="X57" s="22"/>
      <c r="Y57" s="18">
        <f t="shared" si="5"/>
        <v>10900</v>
      </c>
      <c r="Z57" s="96">
        <v>12</v>
      </c>
      <c r="AA57" s="96">
        <f t="shared" si="6"/>
        <v>9600</v>
      </c>
      <c r="AB57" s="96">
        <f t="shared" si="7"/>
        <v>-1300</v>
      </c>
      <c r="AC57" s="99">
        <v>800</v>
      </c>
      <c r="AD57" s="98"/>
      <c r="AE57" s="102">
        <f t="shared" si="8"/>
        <v>-500</v>
      </c>
      <c r="AF57" s="99">
        <v>800</v>
      </c>
      <c r="AG57" s="98"/>
      <c r="AH57" s="102">
        <f t="shared" si="120"/>
        <v>300</v>
      </c>
      <c r="AI57" s="99">
        <v>800</v>
      </c>
      <c r="AJ57" s="98"/>
      <c r="AK57" s="102">
        <f t="shared" si="144"/>
        <v>1100</v>
      </c>
      <c r="AL57" s="99">
        <v>800</v>
      </c>
      <c r="AM57" s="98"/>
      <c r="AN57" s="102">
        <f t="shared" si="145"/>
        <v>1900</v>
      </c>
      <c r="AO57" s="99">
        <v>800</v>
      </c>
      <c r="AP57" s="113"/>
      <c r="AQ57" s="102">
        <f t="shared" si="146"/>
        <v>2700</v>
      </c>
      <c r="AR57" s="99">
        <v>800</v>
      </c>
      <c r="AS57" s="113"/>
      <c r="AT57" s="102">
        <f t="shared" si="147"/>
        <v>3500</v>
      </c>
      <c r="AU57" s="99">
        <v>800</v>
      </c>
      <c r="AV57" s="113"/>
      <c r="AW57" s="102">
        <f t="shared" si="148"/>
        <v>4300</v>
      </c>
      <c r="AX57" s="99">
        <v>800</v>
      </c>
      <c r="AY57" s="113">
        <v>5100</v>
      </c>
      <c r="AZ57" s="102">
        <f t="shared" si="149"/>
        <v>0</v>
      </c>
      <c r="BA57" s="99">
        <v>800</v>
      </c>
      <c r="BB57" s="113"/>
      <c r="BC57" s="102">
        <f t="shared" si="150"/>
        <v>800</v>
      </c>
      <c r="BD57" s="99">
        <v>800</v>
      </c>
      <c r="BE57" s="113"/>
      <c r="BF57" s="102">
        <f t="shared" si="151"/>
        <v>1600</v>
      </c>
      <c r="BG57" s="99">
        <v>800</v>
      </c>
      <c r="BH57" s="113"/>
      <c r="BI57" s="102">
        <f t="shared" si="152"/>
        <v>2400</v>
      </c>
      <c r="BJ57" s="99">
        <v>800</v>
      </c>
      <c r="BK57" s="113">
        <v>3200</v>
      </c>
      <c r="BL57" s="102">
        <f t="shared" si="153"/>
        <v>0</v>
      </c>
      <c r="BM57" s="99">
        <v>800</v>
      </c>
      <c r="BN57" s="113"/>
      <c r="BO57" s="102">
        <f t="shared" si="154"/>
        <v>800</v>
      </c>
      <c r="BP57" s="99">
        <v>800</v>
      </c>
      <c r="BQ57" s="113"/>
      <c r="BR57" s="102">
        <f t="shared" si="155"/>
        <v>1600</v>
      </c>
      <c r="BS57" s="99">
        <v>800</v>
      </c>
      <c r="BT57" s="113">
        <v>3200</v>
      </c>
      <c r="BU57" s="102">
        <f t="shared" si="156"/>
        <v>-800</v>
      </c>
      <c r="BV57" s="99">
        <v>800</v>
      </c>
      <c r="BW57" s="113"/>
      <c r="BX57" s="102">
        <f t="shared" si="157"/>
        <v>0</v>
      </c>
      <c r="BY57" s="99">
        <v>800</v>
      </c>
      <c r="BZ57" s="113"/>
      <c r="CA57" s="102">
        <f t="shared" si="158"/>
        <v>800</v>
      </c>
      <c r="CB57" s="99">
        <v>800</v>
      </c>
      <c r="CC57" s="113"/>
      <c r="CD57" s="102">
        <f t="shared" si="159"/>
        <v>1600</v>
      </c>
      <c r="CE57" s="99">
        <v>800</v>
      </c>
      <c r="CF57" s="113"/>
      <c r="CG57" s="102">
        <f t="shared" si="160"/>
        <v>2400</v>
      </c>
      <c r="CH57" s="99">
        <v>800</v>
      </c>
      <c r="CI57" s="113">
        <v>4000</v>
      </c>
      <c r="CJ57" s="102">
        <f t="shared" si="161"/>
        <v>-800</v>
      </c>
      <c r="CK57" s="99">
        <v>800</v>
      </c>
      <c r="CL57" s="113"/>
      <c r="CM57" s="102">
        <f t="shared" si="162"/>
        <v>0</v>
      </c>
      <c r="CN57" s="99">
        <v>800</v>
      </c>
      <c r="CO57" s="113"/>
      <c r="CP57" s="102">
        <f t="shared" si="163"/>
        <v>800</v>
      </c>
      <c r="CQ57" s="99">
        <v>800</v>
      </c>
      <c r="CR57" s="113"/>
      <c r="CS57" s="183">
        <f t="shared" si="141"/>
        <v>1600</v>
      </c>
      <c r="CT57" s="99">
        <v>800</v>
      </c>
      <c r="CU57" s="113">
        <v>3200</v>
      </c>
      <c r="CV57" s="183">
        <f t="shared" si="164"/>
        <v>-800</v>
      </c>
      <c r="CW57" s="99">
        <v>800</v>
      </c>
      <c r="CX57" s="113"/>
      <c r="CY57" s="183">
        <f t="shared" si="165"/>
        <v>0</v>
      </c>
    </row>
    <row r="58" spans="1:103">
      <c r="A58" s="41">
        <f>VLOOKUP(B58,справочник!$B$2:$E$322,4,FALSE)</f>
        <v>228</v>
      </c>
      <c r="B58" t="str">
        <f t="shared" si="4"/>
        <v>237Виртилецкий Денис Вячеславович</v>
      </c>
      <c r="C58" s="1">
        <v>237</v>
      </c>
      <c r="D58" s="2" t="s">
        <v>51</v>
      </c>
      <c r="E58" s="1" t="s">
        <v>369</v>
      </c>
      <c r="F58" s="16">
        <v>41703</v>
      </c>
      <c r="G58" s="16">
        <v>41730</v>
      </c>
      <c r="H58" s="17">
        <f t="shared" si="119"/>
        <v>21</v>
      </c>
      <c r="I58" s="1">
        <f t="shared" si="2"/>
        <v>21000</v>
      </c>
      <c r="J58" s="17"/>
      <c r="K58" s="17"/>
      <c r="L58" s="18">
        <f t="shared" si="71"/>
        <v>21000</v>
      </c>
      <c r="M58" s="22"/>
      <c r="N58" s="22"/>
      <c r="O58" s="22"/>
      <c r="P58" s="22"/>
      <c r="Q58" s="22"/>
      <c r="R58" s="22"/>
      <c r="S58" s="22">
        <v>25800</v>
      </c>
      <c r="T58" s="22"/>
      <c r="U58" s="22"/>
      <c r="V58" s="22"/>
      <c r="W58" s="22"/>
      <c r="X58" s="22"/>
      <c r="Y58" s="18">
        <f t="shared" si="5"/>
        <v>25800</v>
      </c>
      <c r="Z58" s="96">
        <v>12</v>
      </c>
      <c r="AA58" s="96">
        <f t="shared" si="6"/>
        <v>9600</v>
      </c>
      <c r="AB58" s="96">
        <f t="shared" si="7"/>
        <v>4800</v>
      </c>
      <c r="AC58" s="99">
        <v>800</v>
      </c>
      <c r="AD58" s="98"/>
      <c r="AE58" s="102">
        <f t="shared" si="8"/>
        <v>5600</v>
      </c>
      <c r="AF58" s="99">
        <v>800</v>
      </c>
      <c r="AG58" s="98"/>
      <c r="AH58" s="102">
        <f t="shared" si="120"/>
        <v>6400</v>
      </c>
      <c r="AI58" s="99">
        <v>800</v>
      </c>
      <c r="AJ58" s="98"/>
      <c r="AK58" s="102">
        <f t="shared" si="144"/>
        <v>7200</v>
      </c>
      <c r="AL58" s="99">
        <v>800</v>
      </c>
      <c r="AM58" s="98"/>
      <c r="AN58" s="102">
        <f t="shared" si="145"/>
        <v>8000</v>
      </c>
      <c r="AO58" s="99">
        <v>800</v>
      </c>
      <c r="AP58" s="113"/>
      <c r="AQ58" s="102">
        <f t="shared" si="146"/>
        <v>8800</v>
      </c>
      <c r="AR58" s="99">
        <v>800</v>
      </c>
      <c r="AS58" s="113"/>
      <c r="AT58" s="102">
        <f t="shared" si="147"/>
        <v>9600</v>
      </c>
      <c r="AU58" s="99">
        <v>800</v>
      </c>
      <c r="AV58" s="113"/>
      <c r="AW58" s="102">
        <f t="shared" si="148"/>
        <v>10400</v>
      </c>
      <c r="AX58" s="99">
        <v>800</v>
      </c>
      <c r="AY58" s="113"/>
      <c r="AZ58" s="102">
        <f t="shared" si="149"/>
        <v>11200</v>
      </c>
      <c r="BA58" s="99">
        <v>800</v>
      </c>
      <c r="BB58" s="113"/>
      <c r="BC58" s="102">
        <f t="shared" si="150"/>
        <v>12000</v>
      </c>
      <c r="BD58" s="99">
        <v>800</v>
      </c>
      <c r="BE58" s="113"/>
      <c r="BF58" s="102">
        <f t="shared" si="151"/>
        <v>12800</v>
      </c>
      <c r="BG58" s="99">
        <v>800</v>
      </c>
      <c r="BH58" s="113"/>
      <c r="BI58" s="102">
        <f t="shared" si="152"/>
        <v>13600</v>
      </c>
      <c r="BJ58" s="99">
        <v>800</v>
      </c>
      <c r="BK58" s="113"/>
      <c r="BL58" s="102">
        <f t="shared" si="153"/>
        <v>14400</v>
      </c>
      <c r="BM58" s="99">
        <v>800</v>
      </c>
      <c r="BN58" s="113"/>
      <c r="BO58" s="102">
        <f t="shared" si="154"/>
        <v>15200</v>
      </c>
      <c r="BP58" s="99">
        <v>800</v>
      </c>
      <c r="BQ58" s="113"/>
      <c r="BR58" s="102">
        <f t="shared" si="155"/>
        <v>16000</v>
      </c>
      <c r="BS58" s="99">
        <v>800</v>
      </c>
      <c r="BT58" s="113"/>
      <c r="BU58" s="102">
        <f t="shared" si="156"/>
        <v>16800</v>
      </c>
      <c r="BV58" s="99">
        <v>800</v>
      </c>
      <c r="BW58" s="113"/>
      <c r="BX58" s="102">
        <f t="shared" si="157"/>
        <v>17600</v>
      </c>
      <c r="BY58" s="99">
        <v>800</v>
      </c>
      <c r="BZ58" s="113"/>
      <c r="CA58" s="102">
        <f t="shared" si="158"/>
        <v>18400</v>
      </c>
      <c r="CB58" s="99">
        <v>800</v>
      </c>
      <c r="CC58" s="113"/>
      <c r="CD58" s="102">
        <f t="shared" si="159"/>
        <v>19200</v>
      </c>
      <c r="CE58" s="99">
        <v>800</v>
      </c>
      <c r="CF58" s="113"/>
      <c r="CG58" s="102">
        <f t="shared" si="160"/>
        <v>20000</v>
      </c>
      <c r="CH58" s="99">
        <v>800</v>
      </c>
      <c r="CI58" s="113"/>
      <c r="CJ58" s="102">
        <f t="shared" si="161"/>
        <v>20800</v>
      </c>
      <c r="CK58" s="99">
        <v>800</v>
      </c>
      <c r="CL58" s="113"/>
      <c r="CM58" s="102">
        <f t="shared" si="162"/>
        <v>21600</v>
      </c>
      <c r="CN58" s="99">
        <v>800</v>
      </c>
      <c r="CO58" s="113"/>
      <c r="CP58" s="102">
        <f t="shared" si="163"/>
        <v>22400</v>
      </c>
      <c r="CQ58" s="99">
        <v>800</v>
      </c>
      <c r="CR58" s="113">
        <v>23200</v>
      </c>
      <c r="CS58" s="183">
        <f t="shared" si="141"/>
        <v>0</v>
      </c>
      <c r="CT58" s="99">
        <v>800</v>
      </c>
      <c r="CU58" s="113"/>
      <c r="CV58" s="183">
        <f t="shared" si="164"/>
        <v>800</v>
      </c>
      <c r="CW58" s="99">
        <v>800</v>
      </c>
      <c r="CX58" s="113"/>
      <c r="CY58" s="183">
        <f t="shared" si="165"/>
        <v>1600</v>
      </c>
    </row>
    <row r="59" spans="1:103">
      <c r="A59" s="41">
        <f>VLOOKUP(B59,справочник!$B$2:$E$322,4,FALSE)</f>
        <v>37</v>
      </c>
      <c r="B59" t="str">
        <f t="shared" si="4"/>
        <v>37Водянова Ольга Александровна</v>
      </c>
      <c r="C59" s="1">
        <v>37</v>
      </c>
      <c r="D59" s="2" t="s">
        <v>52</v>
      </c>
      <c r="E59" s="1" t="s">
        <v>370</v>
      </c>
      <c r="F59" s="16">
        <v>40795</v>
      </c>
      <c r="G59" s="16">
        <v>40787</v>
      </c>
      <c r="H59" s="17">
        <f t="shared" si="119"/>
        <v>52</v>
      </c>
      <c r="I59" s="1">
        <f t="shared" si="2"/>
        <v>52000</v>
      </c>
      <c r="J59" s="17">
        <f>48000+4000</f>
        <v>52000</v>
      </c>
      <c r="K59" s="17"/>
      <c r="L59" s="18">
        <f t="shared" si="71"/>
        <v>0</v>
      </c>
      <c r="M59" s="22"/>
      <c r="N59" s="22"/>
      <c r="O59" s="22"/>
      <c r="P59" s="22"/>
      <c r="Q59" s="22"/>
      <c r="R59" s="22"/>
      <c r="S59" s="22">
        <v>5600</v>
      </c>
      <c r="T59" s="22"/>
      <c r="U59" s="22">
        <v>4000</v>
      </c>
      <c r="V59" s="22"/>
      <c r="W59" s="22"/>
      <c r="X59" s="22"/>
      <c r="Y59" s="18">
        <f t="shared" si="5"/>
        <v>9600</v>
      </c>
      <c r="Z59" s="96">
        <v>12</v>
      </c>
      <c r="AA59" s="96">
        <f t="shared" si="6"/>
        <v>9600</v>
      </c>
      <c r="AB59" s="96">
        <f t="shared" si="7"/>
        <v>0</v>
      </c>
      <c r="AC59" s="99">
        <v>800</v>
      </c>
      <c r="AD59" s="98">
        <v>9600</v>
      </c>
      <c r="AE59" s="102">
        <f t="shared" si="8"/>
        <v>-8800</v>
      </c>
      <c r="AF59" s="99">
        <v>800</v>
      </c>
      <c r="AG59" s="98"/>
      <c r="AH59" s="102">
        <f t="shared" si="120"/>
        <v>-8000</v>
      </c>
      <c r="AI59" s="99">
        <v>800</v>
      </c>
      <c r="AJ59" s="98"/>
      <c r="AK59" s="102">
        <f t="shared" si="144"/>
        <v>-7200</v>
      </c>
      <c r="AL59" s="99">
        <v>800</v>
      </c>
      <c r="AM59" s="98"/>
      <c r="AN59" s="102">
        <f t="shared" si="145"/>
        <v>-6400</v>
      </c>
      <c r="AO59" s="99">
        <v>800</v>
      </c>
      <c r="AP59" s="113"/>
      <c r="AQ59" s="102">
        <f t="shared" si="146"/>
        <v>-5600</v>
      </c>
      <c r="AR59" s="99">
        <v>800</v>
      </c>
      <c r="AS59" s="113"/>
      <c r="AT59" s="102">
        <f t="shared" si="147"/>
        <v>-4800</v>
      </c>
      <c r="AU59" s="99">
        <v>800</v>
      </c>
      <c r="AV59" s="113"/>
      <c r="AW59" s="102">
        <f t="shared" si="148"/>
        <v>-4000</v>
      </c>
      <c r="AX59" s="99">
        <v>800</v>
      </c>
      <c r="AY59" s="113"/>
      <c r="AZ59" s="102">
        <f t="shared" si="149"/>
        <v>-3200</v>
      </c>
      <c r="BA59" s="99">
        <v>800</v>
      </c>
      <c r="BB59" s="113"/>
      <c r="BC59" s="102">
        <f t="shared" si="150"/>
        <v>-2400</v>
      </c>
      <c r="BD59" s="99">
        <v>800</v>
      </c>
      <c r="BE59" s="113"/>
      <c r="BF59" s="102">
        <f t="shared" si="151"/>
        <v>-1600</v>
      </c>
      <c r="BG59" s="99">
        <v>800</v>
      </c>
      <c r="BH59" s="113"/>
      <c r="BI59" s="102">
        <f t="shared" si="152"/>
        <v>-800</v>
      </c>
      <c r="BJ59" s="99">
        <v>800</v>
      </c>
      <c r="BK59" s="113"/>
      <c r="BL59" s="102">
        <f t="shared" si="153"/>
        <v>0</v>
      </c>
      <c r="BM59" s="99">
        <v>800</v>
      </c>
      <c r="BN59" s="113"/>
      <c r="BO59" s="102">
        <f t="shared" si="154"/>
        <v>800</v>
      </c>
      <c r="BP59" s="99">
        <v>800</v>
      </c>
      <c r="BQ59" s="113"/>
      <c r="BR59" s="102">
        <f t="shared" si="155"/>
        <v>1600</v>
      </c>
      <c r="BS59" s="99">
        <v>800</v>
      </c>
      <c r="BT59" s="113">
        <v>9600</v>
      </c>
      <c r="BU59" s="102">
        <f t="shared" si="156"/>
        <v>-7200</v>
      </c>
      <c r="BV59" s="99">
        <v>800</v>
      </c>
      <c r="BW59" s="113"/>
      <c r="BX59" s="102">
        <f t="shared" si="157"/>
        <v>-6400</v>
      </c>
      <c r="BY59" s="99">
        <v>800</v>
      </c>
      <c r="BZ59" s="113">
        <v>1200</v>
      </c>
      <c r="CA59" s="102">
        <f t="shared" si="158"/>
        <v>-6800</v>
      </c>
      <c r="CB59" s="99">
        <v>800</v>
      </c>
      <c r="CC59" s="113"/>
      <c r="CD59" s="102">
        <f t="shared" si="159"/>
        <v>-6000</v>
      </c>
      <c r="CE59" s="99">
        <v>800</v>
      </c>
      <c r="CF59" s="113"/>
      <c r="CG59" s="102">
        <f t="shared" si="160"/>
        <v>-5200</v>
      </c>
      <c r="CH59" s="99">
        <v>800</v>
      </c>
      <c r="CI59" s="113"/>
      <c r="CJ59" s="102">
        <f t="shared" si="161"/>
        <v>-4400</v>
      </c>
      <c r="CK59" s="99">
        <v>800</v>
      </c>
      <c r="CL59" s="113"/>
      <c r="CM59" s="102">
        <f t="shared" si="162"/>
        <v>-3600</v>
      </c>
      <c r="CN59" s="99">
        <v>800</v>
      </c>
      <c r="CO59" s="113"/>
      <c r="CP59" s="102">
        <f t="shared" si="163"/>
        <v>-2800</v>
      </c>
      <c r="CQ59" s="99">
        <v>800</v>
      </c>
      <c r="CR59" s="113"/>
      <c r="CS59" s="183">
        <f t="shared" si="141"/>
        <v>-2000</v>
      </c>
      <c r="CT59" s="99">
        <v>800</v>
      </c>
      <c r="CU59" s="113"/>
      <c r="CV59" s="183">
        <f t="shared" si="164"/>
        <v>-1200</v>
      </c>
      <c r="CW59" s="99">
        <v>800</v>
      </c>
      <c r="CX59" s="113"/>
      <c r="CY59" s="183">
        <f t="shared" si="165"/>
        <v>-400</v>
      </c>
    </row>
    <row r="60" spans="1:103">
      <c r="A60" s="41" t="e">
        <f>VLOOKUP(B60,справочник!$B$2:$E$322,4,FALSE)</f>
        <v>#N/A</v>
      </c>
      <c r="B60" t="str">
        <f t="shared" si="4"/>
        <v>131Волгушев Дмитрий Геннадьевич</v>
      </c>
      <c r="C60" s="1">
        <v>131</v>
      </c>
      <c r="D60" s="2" t="s">
        <v>783</v>
      </c>
      <c r="E60" s="1" t="s">
        <v>371</v>
      </c>
      <c r="F60" s="16">
        <v>41183</v>
      </c>
      <c r="G60" s="16">
        <v>41244</v>
      </c>
      <c r="H60" s="17">
        <f t="shared" si="119"/>
        <v>37</v>
      </c>
      <c r="I60" s="1">
        <f t="shared" si="2"/>
        <v>37000</v>
      </c>
      <c r="J60" s="17">
        <f>24000</f>
        <v>24000</v>
      </c>
      <c r="K60" s="17">
        <v>13000</v>
      </c>
      <c r="L60" s="18">
        <f t="shared" si="71"/>
        <v>0</v>
      </c>
      <c r="M60" s="22"/>
      <c r="N60" s="22"/>
      <c r="O60" s="22">
        <v>2400</v>
      </c>
      <c r="P60" s="22"/>
      <c r="Q60" s="22"/>
      <c r="R60" s="22"/>
      <c r="S60" s="22"/>
      <c r="T60" s="22"/>
      <c r="U60" s="22"/>
      <c r="V60" s="22"/>
      <c r="W60" s="22"/>
      <c r="X60" s="22"/>
      <c r="Y60" s="18">
        <f t="shared" si="5"/>
        <v>2400</v>
      </c>
      <c r="Z60" s="96">
        <v>12</v>
      </c>
      <c r="AA60" s="96">
        <f t="shared" si="6"/>
        <v>9600</v>
      </c>
      <c r="AB60" s="96">
        <f t="shared" si="7"/>
        <v>7200</v>
      </c>
      <c r="AC60" s="99">
        <v>800</v>
      </c>
      <c r="AD60" s="98"/>
      <c r="AE60" s="102">
        <f t="shared" si="8"/>
        <v>8000</v>
      </c>
      <c r="AF60" s="99">
        <v>800</v>
      </c>
      <c r="AG60" s="98"/>
      <c r="AH60" s="102">
        <f t="shared" si="120"/>
        <v>8800</v>
      </c>
      <c r="AI60" s="99">
        <v>800</v>
      </c>
      <c r="AJ60" s="98">
        <v>8800</v>
      </c>
      <c r="AK60" s="102">
        <f t="shared" si="144"/>
        <v>800</v>
      </c>
      <c r="AL60" s="99">
        <v>800</v>
      </c>
      <c r="AM60" s="98"/>
      <c r="AN60" s="102">
        <f t="shared" si="145"/>
        <v>1600</v>
      </c>
      <c r="AO60" s="99">
        <v>800</v>
      </c>
      <c r="AP60" s="113"/>
      <c r="AQ60" s="102">
        <f t="shared" si="146"/>
        <v>2400</v>
      </c>
      <c r="AR60" s="99">
        <v>800</v>
      </c>
      <c r="AS60" s="113"/>
      <c r="AT60" s="102">
        <f t="shared" si="147"/>
        <v>3200</v>
      </c>
      <c r="AU60" s="99">
        <v>800</v>
      </c>
      <c r="AV60" s="113"/>
      <c r="AW60" s="102">
        <f t="shared" si="148"/>
        <v>4000</v>
      </c>
      <c r="AX60" s="99">
        <v>800</v>
      </c>
      <c r="AY60" s="113">
        <v>4000</v>
      </c>
      <c r="AZ60" s="102">
        <f t="shared" si="149"/>
        <v>800</v>
      </c>
      <c r="BA60" s="99">
        <v>800</v>
      </c>
      <c r="BB60" s="113"/>
      <c r="BC60" s="102">
        <f t="shared" si="150"/>
        <v>1600</v>
      </c>
      <c r="BD60" s="99">
        <v>800</v>
      </c>
      <c r="BE60" s="113"/>
      <c r="BF60" s="102">
        <f t="shared" si="151"/>
        <v>2400</v>
      </c>
      <c r="BG60" s="99">
        <v>800</v>
      </c>
      <c r="BH60" s="113"/>
      <c r="BI60" s="102">
        <f t="shared" si="152"/>
        <v>3200</v>
      </c>
      <c r="BJ60" s="99">
        <v>800</v>
      </c>
      <c r="BK60" s="113"/>
      <c r="BL60" s="102">
        <f t="shared" si="153"/>
        <v>4000</v>
      </c>
      <c r="BM60" s="99">
        <v>800</v>
      </c>
      <c r="BN60" s="113"/>
      <c r="BO60" s="102">
        <f t="shared" si="154"/>
        <v>4800</v>
      </c>
      <c r="BP60" s="99">
        <v>800</v>
      </c>
      <c r="BQ60" s="113"/>
      <c r="BR60" s="102">
        <f t="shared" si="155"/>
        <v>5600</v>
      </c>
      <c r="BS60" s="99">
        <v>800</v>
      </c>
      <c r="BT60" s="113">
        <v>7000</v>
      </c>
      <c r="BU60" s="102">
        <f t="shared" si="156"/>
        <v>-600</v>
      </c>
      <c r="BV60" s="99">
        <v>800</v>
      </c>
      <c r="BW60" s="113"/>
      <c r="BX60" s="102">
        <f t="shared" si="157"/>
        <v>200</v>
      </c>
      <c r="BY60" s="99">
        <v>800</v>
      </c>
      <c r="BZ60" s="113"/>
      <c r="CA60" s="102">
        <f t="shared" si="158"/>
        <v>1000</v>
      </c>
      <c r="CB60" s="99">
        <v>800</v>
      </c>
      <c r="CC60" s="113"/>
      <c r="CD60" s="102">
        <f t="shared" si="159"/>
        <v>1800</v>
      </c>
      <c r="CE60" s="99">
        <v>800</v>
      </c>
      <c r="CF60" s="113">
        <v>5000</v>
      </c>
      <c r="CG60" s="102">
        <f t="shared" si="160"/>
        <v>-2400</v>
      </c>
      <c r="CH60" s="99">
        <v>800</v>
      </c>
      <c r="CI60" s="113"/>
      <c r="CJ60" s="102">
        <f t="shared" si="161"/>
        <v>-1600</v>
      </c>
      <c r="CK60" s="99">
        <v>800</v>
      </c>
      <c r="CL60" s="113"/>
      <c r="CM60" s="102">
        <f t="shared" si="162"/>
        <v>-800</v>
      </c>
      <c r="CN60" s="99">
        <v>800</v>
      </c>
      <c r="CO60" s="113"/>
      <c r="CP60" s="102">
        <f t="shared" si="163"/>
        <v>0</v>
      </c>
      <c r="CQ60" s="99">
        <v>800</v>
      </c>
      <c r="CR60" s="113"/>
      <c r="CS60" s="183">
        <f t="shared" si="141"/>
        <v>800</v>
      </c>
      <c r="CT60" s="99">
        <v>800</v>
      </c>
      <c r="CU60" s="113">
        <v>6400</v>
      </c>
      <c r="CV60" s="183">
        <f t="shared" si="164"/>
        <v>-4800</v>
      </c>
      <c r="CW60" s="99">
        <v>800</v>
      </c>
      <c r="CX60" s="113"/>
      <c r="CY60" s="183">
        <f t="shared" si="165"/>
        <v>-4000</v>
      </c>
    </row>
    <row r="61" spans="1:103">
      <c r="A61" s="41">
        <f>VLOOKUP(B61,справочник!$B$2:$E$322,4,FALSE)</f>
        <v>58</v>
      </c>
      <c r="B61" t="str">
        <f t="shared" si="4"/>
        <v>60Володина Инна Александровна</v>
      </c>
      <c r="C61" s="1">
        <v>60</v>
      </c>
      <c r="D61" s="2" t="s">
        <v>54</v>
      </c>
      <c r="E61" s="1" t="s">
        <v>372</v>
      </c>
      <c r="F61" s="16">
        <v>41303</v>
      </c>
      <c r="G61" s="16">
        <v>41306</v>
      </c>
      <c r="H61" s="17">
        <f t="shared" si="119"/>
        <v>35</v>
      </c>
      <c r="I61" s="1">
        <f t="shared" si="2"/>
        <v>35000</v>
      </c>
      <c r="J61" s="17">
        <f>31000</f>
        <v>31000</v>
      </c>
      <c r="K61" s="17"/>
      <c r="L61" s="18">
        <f t="shared" si="71"/>
        <v>4000</v>
      </c>
      <c r="M61" s="22"/>
      <c r="N61" s="22"/>
      <c r="O61" s="22">
        <v>2400</v>
      </c>
      <c r="P61" s="22"/>
      <c r="Q61" s="22"/>
      <c r="R61" s="22">
        <v>5600</v>
      </c>
      <c r="S61" s="22"/>
      <c r="T61" s="22"/>
      <c r="U61" s="22"/>
      <c r="V61" s="22"/>
      <c r="W61" s="22"/>
      <c r="X61" s="22"/>
      <c r="Y61" s="18">
        <f t="shared" si="5"/>
        <v>8000</v>
      </c>
      <c r="Z61" s="96">
        <v>12</v>
      </c>
      <c r="AA61" s="96">
        <f t="shared" si="6"/>
        <v>9600</v>
      </c>
      <c r="AB61" s="96">
        <f t="shared" si="7"/>
        <v>5600</v>
      </c>
      <c r="AC61" s="99">
        <v>800</v>
      </c>
      <c r="AD61" s="98">
        <v>8000</v>
      </c>
      <c r="AE61" s="102">
        <f t="shared" si="8"/>
        <v>-1600</v>
      </c>
      <c r="AF61" s="99">
        <v>800</v>
      </c>
      <c r="AG61" s="98"/>
      <c r="AH61" s="102">
        <f t="shared" si="120"/>
        <v>-800</v>
      </c>
      <c r="AI61" s="99">
        <v>800</v>
      </c>
      <c r="AJ61" s="98"/>
      <c r="AK61" s="102">
        <f t="shared" si="144"/>
        <v>0</v>
      </c>
      <c r="AL61" s="99">
        <v>800</v>
      </c>
      <c r="AM61" s="98"/>
      <c r="AN61" s="102">
        <f t="shared" si="145"/>
        <v>800</v>
      </c>
      <c r="AO61" s="99">
        <v>800</v>
      </c>
      <c r="AP61" s="113">
        <v>800</v>
      </c>
      <c r="AQ61" s="102">
        <f t="shared" si="146"/>
        <v>800</v>
      </c>
      <c r="AR61" s="99">
        <v>800</v>
      </c>
      <c r="AS61" s="113">
        <v>2000</v>
      </c>
      <c r="AT61" s="102">
        <f t="shared" si="147"/>
        <v>-400</v>
      </c>
      <c r="AU61" s="99">
        <v>800</v>
      </c>
      <c r="AV61" s="113"/>
      <c r="AW61" s="102">
        <f t="shared" si="148"/>
        <v>400</v>
      </c>
      <c r="AX61" s="99">
        <v>800</v>
      </c>
      <c r="AY61" s="113">
        <v>1200</v>
      </c>
      <c r="AZ61" s="102">
        <f t="shared" si="149"/>
        <v>0</v>
      </c>
      <c r="BA61" s="99">
        <v>800</v>
      </c>
      <c r="BB61" s="113">
        <v>1200</v>
      </c>
      <c r="BC61" s="102">
        <f t="shared" si="150"/>
        <v>-400</v>
      </c>
      <c r="BD61" s="99">
        <v>800</v>
      </c>
      <c r="BE61" s="113">
        <v>1000</v>
      </c>
      <c r="BF61" s="102">
        <f t="shared" si="151"/>
        <v>-600</v>
      </c>
      <c r="BG61" s="99">
        <v>800</v>
      </c>
      <c r="BH61" s="113"/>
      <c r="BI61" s="102">
        <f t="shared" si="152"/>
        <v>200</v>
      </c>
      <c r="BJ61" s="99">
        <v>800</v>
      </c>
      <c r="BK61" s="113">
        <v>3000</v>
      </c>
      <c r="BL61" s="102">
        <f t="shared" si="153"/>
        <v>-2000</v>
      </c>
      <c r="BM61" s="99">
        <v>800</v>
      </c>
      <c r="BN61" s="113"/>
      <c r="BO61" s="102">
        <f t="shared" si="154"/>
        <v>-1200</v>
      </c>
      <c r="BP61" s="99">
        <v>800</v>
      </c>
      <c r="BQ61" s="113"/>
      <c r="BR61" s="102">
        <f t="shared" si="155"/>
        <v>-400</v>
      </c>
      <c r="BS61" s="99">
        <v>800</v>
      </c>
      <c r="BT61" s="113"/>
      <c r="BU61" s="102">
        <f t="shared" si="156"/>
        <v>400</v>
      </c>
      <c r="BV61" s="99">
        <v>800</v>
      </c>
      <c r="BW61" s="113"/>
      <c r="BX61" s="102">
        <f t="shared" si="157"/>
        <v>1200</v>
      </c>
      <c r="BY61" s="99">
        <v>800</v>
      </c>
      <c r="BZ61" s="113">
        <v>2000</v>
      </c>
      <c r="CA61" s="102">
        <f t="shared" si="158"/>
        <v>0</v>
      </c>
      <c r="CB61" s="99">
        <v>800</v>
      </c>
      <c r="CC61" s="113">
        <v>1600</v>
      </c>
      <c r="CD61" s="102">
        <f t="shared" si="159"/>
        <v>-800</v>
      </c>
      <c r="CE61" s="99">
        <v>800</v>
      </c>
      <c r="CF61" s="113"/>
      <c r="CG61" s="102">
        <f t="shared" si="160"/>
        <v>0</v>
      </c>
      <c r="CH61" s="99">
        <v>800</v>
      </c>
      <c r="CI61" s="113"/>
      <c r="CJ61" s="102">
        <f t="shared" si="161"/>
        <v>800</v>
      </c>
      <c r="CK61" s="99">
        <v>800</v>
      </c>
      <c r="CL61" s="113">
        <v>1400</v>
      </c>
      <c r="CM61" s="102">
        <f t="shared" si="162"/>
        <v>200</v>
      </c>
      <c r="CN61" s="99">
        <v>800</v>
      </c>
      <c r="CO61" s="113"/>
      <c r="CP61" s="102">
        <f t="shared" si="163"/>
        <v>1000</v>
      </c>
      <c r="CQ61" s="99">
        <v>800</v>
      </c>
      <c r="CR61" s="113"/>
      <c r="CS61" s="183">
        <f t="shared" si="141"/>
        <v>1800</v>
      </c>
      <c r="CT61" s="99">
        <v>800</v>
      </c>
      <c r="CU61" s="113">
        <v>2600</v>
      </c>
      <c r="CV61" s="183">
        <f t="shared" si="164"/>
        <v>0</v>
      </c>
      <c r="CW61" s="99">
        <v>800</v>
      </c>
      <c r="CX61" s="113"/>
      <c r="CY61" s="183">
        <f t="shared" si="165"/>
        <v>800</v>
      </c>
    </row>
    <row r="62" spans="1:103">
      <c r="A62" s="41">
        <f>VLOOKUP(B62,справочник!$B$2:$E$322,4,FALSE)</f>
        <v>117</v>
      </c>
      <c r="B62" t="str">
        <f t="shared" si="4"/>
        <v>122Вольский Андрей Юрьевич</v>
      </c>
      <c r="C62" s="1">
        <v>122</v>
      </c>
      <c r="D62" s="2" t="s">
        <v>55</v>
      </c>
      <c r="E62" s="1" t="s">
        <v>373</v>
      </c>
      <c r="F62" s="16">
        <v>41407</v>
      </c>
      <c r="G62" s="16">
        <v>41426</v>
      </c>
      <c r="H62" s="17">
        <f t="shared" si="119"/>
        <v>31</v>
      </c>
      <c r="I62" s="1">
        <f t="shared" si="2"/>
        <v>31000</v>
      </c>
      <c r="J62" s="17">
        <f>12000</f>
        <v>12000</v>
      </c>
      <c r="K62" s="17"/>
      <c r="L62" s="18">
        <f t="shared" si="71"/>
        <v>19000</v>
      </c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18">
        <f t="shared" si="5"/>
        <v>0</v>
      </c>
      <c r="Z62" s="96">
        <v>12</v>
      </c>
      <c r="AA62" s="96">
        <f t="shared" si="6"/>
        <v>9600</v>
      </c>
      <c r="AB62" s="96">
        <f t="shared" si="7"/>
        <v>28600</v>
      </c>
      <c r="AC62" s="99">
        <v>800</v>
      </c>
      <c r="AD62" s="98"/>
      <c r="AE62" s="102">
        <f t="shared" si="8"/>
        <v>29400</v>
      </c>
      <c r="AF62" s="99">
        <v>800</v>
      </c>
      <c r="AG62" s="98"/>
      <c r="AH62" s="102">
        <f t="shared" si="120"/>
        <v>30200</v>
      </c>
      <c r="AI62" s="99">
        <v>800</v>
      </c>
      <c r="AJ62" s="98"/>
      <c r="AK62" s="102">
        <f t="shared" si="144"/>
        <v>31000</v>
      </c>
      <c r="AL62" s="99">
        <v>800</v>
      </c>
      <c r="AM62" s="98"/>
      <c r="AN62" s="102">
        <f t="shared" si="145"/>
        <v>31800</v>
      </c>
      <c r="AO62" s="99">
        <v>800</v>
      </c>
      <c r="AP62" s="113"/>
      <c r="AQ62" s="102">
        <f t="shared" si="146"/>
        <v>32600</v>
      </c>
      <c r="AR62" s="99">
        <v>800</v>
      </c>
      <c r="AS62" s="113"/>
      <c r="AT62" s="102">
        <f t="shared" si="147"/>
        <v>33400</v>
      </c>
      <c r="AU62" s="99">
        <v>800</v>
      </c>
      <c r="AV62" s="113"/>
      <c r="AW62" s="102">
        <f t="shared" si="148"/>
        <v>34200</v>
      </c>
      <c r="AX62" s="99">
        <v>800</v>
      </c>
      <c r="AY62" s="113"/>
      <c r="AZ62" s="102">
        <f t="shared" si="149"/>
        <v>35000</v>
      </c>
      <c r="BA62" s="99">
        <v>800</v>
      </c>
      <c r="BB62" s="113"/>
      <c r="BC62" s="102">
        <f t="shared" si="150"/>
        <v>35800</v>
      </c>
      <c r="BD62" s="99">
        <v>800</v>
      </c>
      <c r="BE62" s="113"/>
      <c r="BF62" s="102">
        <f t="shared" si="151"/>
        <v>36600</v>
      </c>
      <c r="BG62" s="99">
        <v>800</v>
      </c>
      <c r="BH62" s="113"/>
      <c r="BI62" s="102">
        <f t="shared" si="152"/>
        <v>37400</v>
      </c>
      <c r="BJ62" s="99">
        <v>800</v>
      </c>
      <c r="BK62" s="113"/>
      <c r="BL62" s="102">
        <f t="shared" si="153"/>
        <v>38200</v>
      </c>
      <c r="BM62" s="99">
        <v>800</v>
      </c>
      <c r="BN62" s="113"/>
      <c r="BO62" s="102">
        <f t="shared" si="154"/>
        <v>39000</v>
      </c>
      <c r="BP62" s="99">
        <v>800</v>
      </c>
      <c r="BQ62" s="113"/>
      <c r="BR62" s="102">
        <f t="shared" si="155"/>
        <v>39800</v>
      </c>
      <c r="BS62" s="99">
        <v>800</v>
      </c>
      <c r="BT62" s="113"/>
      <c r="BU62" s="102">
        <f t="shared" si="156"/>
        <v>40600</v>
      </c>
      <c r="BV62" s="99">
        <v>800</v>
      </c>
      <c r="BW62" s="113"/>
      <c r="BX62" s="102">
        <f t="shared" si="157"/>
        <v>41400</v>
      </c>
      <c r="BY62" s="99">
        <v>800</v>
      </c>
      <c r="BZ62" s="113"/>
      <c r="CA62" s="102">
        <f t="shared" si="158"/>
        <v>42200</v>
      </c>
      <c r="CB62" s="99">
        <v>800</v>
      </c>
      <c r="CC62" s="113"/>
      <c r="CD62" s="102">
        <f t="shared" si="159"/>
        <v>43000</v>
      </c>
      <c r="CE62" s="99">
        <v>800</v>
      </c>
      <c r="CF62" s="113"/>
      <c r="CG62" s="102">
        <f t="shared" si="160"/>
        <v>43800</v>
      </c>
      <c r="CH62" s="99">
        <v>800</v>
      </c>
      <c r="CI62" s="113"/>
      <c r="CJ62" s="102">
        <f t="shared" si="161"/>
        <v>44600</v>
      </c>
      <c r="CK62" s="99">
        <v>800</v>
      </c>
      <c r="CL62" s="113"/>
      <c r="CM62" s="102">
        <f t="shared" si="162"/>
        <v>45400</v>
      </c>
      <c r="CN62" s="99">
        <v>800</v>
      </c>
      <c r="CO62" s="113"/>
      <c r="CP62" s="102">
        <f t="shared" si="163"/>
        <v>46200</v>
      </c>
      <c r="CQ62" s="99">
        <v>800</v>
      </c>
      <c r="CR62" s="113"/>
      <c r="CS62" s="183">
        <f t="shared" si="141"/>
        <v>47000</v>
      </c>
      <c r="CT62" s="99">
        <v>800</v>
      </c>
      <c r="CU62" s="113"/>
      <c r="CV62" s="183">
        <f t="shared" si="164"/>
        <v>47800</v>
      </c>
      <c r="CW62" s="99">
        <v>800</v>
      </c>
      <c r="CX62" s="113"/>
      <c r="CY62" s="183">
        <f t="shared" si="165"/>
        <v>48600</v>
      </c>
    </row>
    <row r="63" spans="1:103">
      <c r="A63" s="41">
        <f>VLOOKUP(B63,справочник!$B$2:$E$322,4,FALSE)</f>
        <v>61</v>
      </c>
      <c r="B63" t="str">
        <f t="shared" si="4"/>
        <v>63Высоких Антон Маркович</v>
      </c>
      <c r="C63" s="1">
        <v>63</v>
      </c>
      <c r="D63" s="2" t="s">
        <v>56</v>
      </c>
      <c r="E63" s="1" t="s">
        <v>374</v>
      </c>
      <c r="F63" s="16">
        <v>40921</v>
      </c>
      <c r="G63" s="16">
        <v>40909</v>
      </c>
      <c r="H63" s="17">
        <f t="shared" si="119"/>
        <v>48</v>
      </c>
      <c r="I63" s="1">
        <f t="shared" si="2"/>
        <v>48000</v>
      </c>
      <c r="J63" s="17">
        <f>27000</f>
        <v>27000</v>
      </c>
      <c r="K63" s="17"/>
      <c r="L63" s="18">
        <f t="shared" si="71"/>
        <v>21000</v>
      </c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18">
        <f t="shared" si="5"/>
        <v>0</v>
      </c>
      <c r="Z63" s="96">
        <v>12</v>
      </c>
      <c r="AA63" s="96">
        <f t="shared" si="6"/>
        <v>9600</v>
      </c>
      <c r="AB63" s="96">
        <f t="shared" si="7"/>
        <v>30600</v>
      </c>
      <c r="AC63" s="99">
        <v>800</v>
      </c>
      <c r="AD63" s="98"/>
      <c r="AE63" s="102">
        <f t="shared" si="8"/>
        <v>31400</v>
      </c>
      <c r="AF63" s="99">
        <v>800</v>
      </c>
      <c r="AG63" s="98"/>
      <c r="AH63" s="102">
        <f t="shared" si="120"/>
        <v>32200</v>
      </c>
      <c r="AI63" s="99">
        <v>800</v>
      </c>
      <c r="AJ63" s="98"/>
      <c r="AK63" s="102">
        <f t="shared" si="144"/>
        <v>33000</v>
      </c>
      <c r="AL63" s="99">
        <v>800</v>
      </c>
      <c r="AM63" s="98"/>
      <c r="AN63" s="102">
        <f t="shared" si="145"/>
        <v>33800</v>
      </c>
      <c r="AO63" s="99">
        <v>800</v>
      </c>
      <c r="AP63" s="113"/>
      <c r="AQ63" s="102">
        <f t="shared" si="146"/>
        <v>34600</v>
      </c>
      <c r="AR63" s="99">
        <v>800</v>
      </c>
      <c r="AS63" s="113"/>
      <c r="AT63" s="102">
        <f t="shared" si="147"/>
        <v>35400</v>
      </c>
      <c r="AU63" s="99">
        <v>800</v>
      </c>
      <c r="AV63" s="113"/>
      <c r="AW63" s="102">
        <f t="shared" si="148"/>
        <v>36200</v>
      </c>
      <c r="AX63" s="99">
        <v>800</v>
      </c>
      <c r="AY63" s="113"/>
      <c r="AZ63" s="102">
        <f t="shared" si="149"/>
        <v>37000</v>
      </c>
      <c r="BA63" s="99">
        <v>800</v>
      </c>
      <c r="BB63" s="113"/>
      <c r="BC63" s="102">
        <f t="shared" si="150"/>
        <v>37800</v>
      </c>
      <c r="BD63" s="99">
        <v>800</v>
      </c>
      <c r="BE63" s="113"/>
      <c r="BF63" s="102">
        <f t="shared" si="151"/>
        <v>38600</v>
      </c>
      <c r="BG63" s="99">
        <v>800</v>
      </c>
      <c r="BH63" s="113"/>
      <c r="BI63" s="102">
        <f t="shared" si="152"/>
        <v>39400</v>
      </c>
      <c r="BJ63" s="99">
        <v>800</v>
      </c>
      <c r="BK63" s="113"/>
      <c r="BL63" s="102">
        <f t="shared" si="153"/>
        <v>40200</v>
      </c>
      <c r="BM63" s="99">
        <v>800</v>
      </c>
      <c r="BN63" s="113"/>
      <c r="BO63" s="102">
        <f t="shared" si="154"/>
        <v>41000</v>
      </c>
      <c r="BP63" s="99">
        <v>800</v>
      </c>
      <c r="BQ63" s="113"/>
      <c r="BR63" s="102">
        <f t="shared" si="155"/>
        <v>41800</v>
      </c>
      <c r="BS63" s="99">
        <v>800</v>
      </c>
      <c r="BT63" s="113">
        <v>2500</v>
      </c>
      <c r="BU63" s="102">
        <f t="shared" si="156"/>
        <v>40100</v>
      </c>
      <c r="BV63" s="99">
        <v>800</v>
      </c>
      <c r="BW63" s="113">
        <v>2500</v>
      </c>
      <c r="BX63" s="102">
        <f t="shared" si="157"/>
        <v>38400</v>
      </c>
      <c r="BY63" s="99">
        <v>800</v>
      </c>
      <c r="BZ63" s="113">
        <v>2500</v>
      </c>
      <c r="CA63" s="102">
        <f t="shared" si="158"/>
        <v>36700</v>
      </c>
      <c r="CB63" s="99">
        <v>800</v>
      </c>
      <c r="CC63" s="113">
        <v>36700</v>
      </c>
      <c r="CD63" s="102">
        <f t="shared" si="159"/>
        <v>800</v>
      </c>
      <c r="CE63" s="99">
        <v>800</v>
      </c>
      <c r="CF63" s="113"/>
      <c r="CG63" s="102">
        <f t="shared" si="160"/>
        <v>1600</v>
      </c>
      <c r="CH63" s="99">
        <v>800</v>
      </c>
      <c r="CI63" s="113"/>
      <c r="CJ63" s="102">
        <f t="shared" si="161"/>
        <v>2400</v>
      </c>
      <c r="CK63" s="99">
        <v>800</v>
      </c>
      <c r="CL63" s="113"/>
      <c r="CM63" s="102">
        <f t="shared" si="162"/>
        <v>3200</v>
      </c>
      <c r="CN63" s="99">
        <v>800</v>
      </c>
      <c r="CO63" s="113"/>
      <c r="CP63" s="102">
        <f t="shared" si="163"/>
        <v>4000</v>
      </c>
      <c r="CQ63" s="99">
        <v>800</v>
      </c>
      <c r="CR63" s="113"/>
      <c r="CS63" s="183">
        <f t="shared" si="141"/>
        <v>4800</v>
      </c>
      <c r="CT63" s="99">
        <v>800</v>
      </c>
      <c r="CU63" s="113"/>
      <c r="CV63" s="183">
        <f t="shared" si="164"/>
        <v>5600</v>
      </c>
      <c r="CW63" s="99">
        <v>800</v>
      </c>
      <c r="CX63" s="113"/>
      <c r="CY63" s="183">
        <f t="shared" si="165"/>
        <v>6400</v>
      </c>
    </row>
    <row r="64" spans="1:103">
      <c r="A64" s="41" t="e">
        <f>VLOOKUP(B64,справочник!$B$2:$E$322,4,FALSE)</f>
        <v>#N/A</v>
      </c>
      <c r="B64" t="str">
        <f t="shared" si="4"/>
        <v>309Гайкова Мария Викторовна</v>
      </c>
      <c r="C64" s="1">
        <v>309</v>
      </c>
      <c r="D64" s="2" t="s">
        <v>806</v>
      </c>
      <c r="E64" s="1" t="s">
        <v>375</v>
      </c>
      <c r="F64" s="16">
        <v>40953</v>
      </c>
      <c r="G64" s="16">
        <v>40940</v>
      </c>
      <c r="H64" s="17">
        <f t="shared" si="119"/>
        <v>47</v>
      </c>
      <c r="I64" s="1">
        <f t="shared" si="2"/>
        <v>47000</v>
      </c>
      <c r="J64" s="17">
        <v>47000</v>
      </c>
      <c r="K64" s="17"/>
      <c r="L64" s="18">
        <f t="shared" si="71"/>
        <v>0</v>
      </c>
      <c r="M64" s="22">
        <v>9600</v>
      </c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18">
        <f t="shared" si="5"/>
        <v>9600</v>
      </c>
      <c r="Z64" s="96">
        <v>12</v>
      </c>
      <c r="AA64" s="96">
        <f t="shared" si="6"/>
        <v>9600</v>
      </c>
      <c r="AB64" s="96">
        <f t="shared" si="7"/>
        <v>0</v>
      </c>
      <c r="AC64" s="99">
        <v>800</v>
      </c>
      <c r="AD64" s="98"/>
      <c r="AE64" s="102">
        <f t="shared" si="8"/>
        <v>800</v>
      </c>
      <c r="AF64" s="99">
        <v>800</v>
      </c>
      <c r="AG64" s="98">
        <v>9600</v>
      </c>
      <c r="AH64" s="102">
        <f t="shared" si="120"/>
        <v>-8000</v>
      </c>
      <c r="AI64" s="99">
        <v>800</v>
      </c>
      <c r="AJ64" s="98"/>
      <c r="AK64" s="102">
        <f t="shared" si="144"/>
        <v>-7200</v>
      </c>
      <c r="AL64" s="99">
        <v>800</v>
      </c>
      <c r="AM64" s="98"/>
      <c r="AN64" s="102">
        <f t="shared" si="145"/>
        <v>-6400</v>
      </c>
      <c r="AO64" s="99">
        <v>800</v>
      </c>
      <c r="AP64" s="113"/>
      <c r="AQ64" s="102">
        <f t="shared" si="146"/>
        <v>-5600</v>
      </c>
      <c r="AR64" s="99">
        <v>800</v>
      </c>
      <c r="AS64" s="113"/>
      <c r="AT64" s="102">
        <f t="shared" si="147"/>
        <v>-4800</v>
      </c>
      <c r="AU64" s="99">
        <v>800</v>
      </c>
      <c r="AV64" s="113"/>
      <c r="AW64" s="102">
        <f t="shared" si="148"/>
        <v>-4000</v>
      </c>
      <c r="AX64" s="99">
        <v>800</v>
      </c>
      <c r="AY64" s="113"/>
      <c r="AZ64" s="102">
        <f t="shared" si="149"/>
        <v>-3200</v>
      </c>
      <c r="BA64" s="99">
        <v>800</v>
      </c>
      <c r="BB64" s="113"/>
      <c r="BC64" s="102">
        <f t="shared" si="150"/>
        <v>-2400</v>
      </c>
      <c r="BD64" s="99">
        <v>800</v>
      </c>
      <c r="BE64" s="113"/>
      <c r="BF64" s="102">
        <f t="shared" si="151"/>
        <v>-1600</v>
      </c>
      <c r="BG64" s="99">
        <v>800</v>
      </c>
      <c r="BH64" s="113"/>
      <c r="BI64" s="102">
        <f t="shared" si="152"/>
        <v>-800</v>
      </c>
      <c r="BJ64" s="99">
        <v>800</v>
      </c>
      <c r="BK64" s="113"/>
      <c r="BL64" s="102">
        <f t="shared" si="153"/>
        <v>0</v>
      </c>
      <c r="BM64" s="99">
        <v>800</v>
      </c>
      <c r="BN64" s="113">
        <v>4800</v>
      </c>
      <c r="BO64" s="102">
        <f t="shared" si="154"/>
        <v>-4000</v>
      </c>
      <c r="BP64" s="99">
        <v>800</v>
      </c>
      <c r="BQ64" s="113"/>
      <c r="BR64" s="102">
        <f t="shared" si="155"/>
        <v>-3200</v>
      </c>
      <c r="BS64" s="99">
        <v>800</v>
      </c>
      <c r="BT64" s="113"/>
      <c r="BU64" s="102">
        <f t="shared" si="156"/>
        <v>-2400</v>
      </c>
      <c r="BV64" s="99">
        <v>800</v>
      </c>
      <c r="BW64" s="113"/>
      <c r="BX64" s="102">
        <f t="shared" si="157"/>
        <v>-1600</v>
      </c>
      <c r="BY64" s="99">
        <v>800</v>
      </c>
      <c r="BZ64" s="113"/>
      <c r="CA64" s="102">
        <f t="shared" si="158"/>
        <v>-800</v>
      </c>
      <c r="CB64" s="99">
        <v>800</v>
      </c>
      <c r="CC64" s="113"/>
      <c r="CD64" s="102">
        <f t="shared" si="159"/>
        <v>0</v>
      </c>
      <c r="CE64" s="99">
        <v>800</v>
      </c>
      <c r="CF64" s="113">
        <v>4800</v>
      </c>
      <c r="CG64" s="102">
        <f t="shared" si="160"/>
        <v>-4000</v>
      </c>
      <c r="CH64" s="99">
        <v>800</v>
      </c>
      <c r="CI64" s="113"/>
      <c r="CJ64" s="102">
        <f t="shared" si="161"/>
        <v>-3200</v>
      </c>
      <c r="CK64" s="99">
        <v>800</v>
      </c>
      <c r="CL64" s="113"/>
      <c r="CM64" s="102">
        <f t="shared" si="162"/>
        <v>-2400</v>
      </c>
      <c r="CN64" s="99">
        <v>800</v>
      </c>
      <c r="CO64" s="113"/>
      <c r="CP64" s="102">
        <f t="shared" si="163"/>
        <v>-1600</v>
      </c>
      <c r="CQ64" s="99">
        <v>800</v>
      </c>
      <c r="CR64" s="113"/>
      <c r="CS64" s="183">
        <f t="shared" si="141"/>
        <v>-800</v>
      </c>
      <c r="CT64" s="99">
        <v>800</v>
      </c>
      <c r="CU64" s="113"/>
      <c r="CV64" s="183">
        <f t="shared" si="164"/>
        <v>0</v>
      </c>
      <c r="CW64" s="99">
        <v>800</v>
      </c>
      <c r="CX64" s="113"/>
      <c r="CY64" s="183">
        <f t="shared" si="165"/>
        <v>800</v>
      </c>
    </row>
    <row r="65" spans="1:103">
      <c r="A65" s="41">
        <f>VLOOKUP(B65,справочник!$B$2:$E$322,4,FALSE)</f>
        <v>286</v>
      </c>
      <c r="B65" t="str">
        <f t="shared" si="4"/>
        <v>298Ганин Александр Борисович</v>
      </c>
      <c r="C65" s="1">
        <v>298</v>
      </c>
      <c r="D65" s="2" t="s">
        <v>58</v>
      </c>
      <c r="E65" s="1" t="s">
        <v>376</v>
      </c>
      <c r="F65" s="16">
        <v>41791</v>
      </c>
      <c r="G65" s="16">
        <v>41791</v>
      </c>
      <c r="H65" s="17">
        <f t="shared" si="119"/>
        <v>19</v>
      </c>
      <c r="I65" s="1">
        <f t="shared" si="2"/>
        <v>19000</v>
      </c>
      <c r="J65" s="17">
        <v>19000</v>
      </c>
      <c r="K65" s="17"/>
      <c r="L65" s="18">
        <f t="shared" si="71"/>
        <v>0</v>
      </c>
      <c r="M65" s="22"/>
      <c r="N65" s="22">
        <v>8000</v>
      </c>
      <c r="O65" s="22"/>
      <c r="P65" s="22"/>
      <c r="Q65" s="22"/>
      <c r="R65" s="22">
        <v>4000</v>
      </c>
      <c r="S65" s="22">
        <v>3000</v>
      </c>
      <c r="T65" s="22"/>
      <c r="U65" s="22"/>
      <c r="V65" s="22"/>
      <c r="W65" s="22"/>
      <c r="X65" s="22">
        <v>6000</v>
      </c>
      <c r="Y65" s="18">
        <f t="shared" si="5"/>
        <v>21000</v>
      </c>
      <c r="Z65" s="96">
        <v>12</v>
      </c>
      <c r="AA65" s="96">
        <f t="shared" si="6"/>
        <v>9600</v>
      </c>
      <c r="AB65" s="96">
        <f t="shared" si="7"/>
        <v>-11400</v>
      </c>
      <c r="AC65" s="99">
        <v>800</v>
      </c>
      <c r="AD65" s="98"/>
      <c r="AE65" s="102">
        <f t="shared" si="8"/>
        <v>-10600</v>
      </c>
      <c r="AF65" s="99">
        <v>800</v>
      </c>
      <c r="AG65" s="98"/>
      <c r="AH65" s="102">
        <f t="shared" si="120"/>
        <v>-9800</v>
      </c>
      <c r="AI65" s="99">
        <v>800</v>
      </c>
      <c r="AJ65" s="98"/>
      <c r="AK65" s="102">
        <f t="shared" si="144"/>
        <v>-9000</v>
      </c>
      <c r="AL65" s="99">
        <v>800</v>
      </c>
      <c r="AM65" s="98"/>
      <c r="AN65" s="102">
        <f t="shared" si="145"/>
        <v>-8200</v>
      </c>
      <c r="AO65" s="99">
        <v>800</v>
      </c>
      <c r="AP65" s="113"/>
      <c r="AQ65" s="102">
        <f t="shared" si="146"/>
        <v>-7400</v>
      </c>
      <c r="AR65" s="99">
        <v>800</v>
      </c>
      <c r="AS65" s="113"/>
      <c r="AT65" s="102">
        <f t="shared" si="147"/>
        <v>-6600</v>
      </c>
      <c r="AU65" s="99">
        <v>800</v>
      </c>
      <c r="AV65" s="113"/>
      <c r="AW65" s="102">
        <f t="shared" si="148"/>
        <v>-5800</v>
      </c>
      <c r="AX65" s="99">
        <v>800</v>
      </c>
      <c r="AY65" s="113"/>
      <c r="AZ65" s="102">
        <f t="shared" si="149"/>
        <v>-5000</v>
      </c>
      <c r="BA65" s="99">
        <v>800</v>
      </c>
      <c r="BB65" s="113"/>
      <c r="BC65" s="102">
        <f t="shared" si="150"/>
        <v>-4200</v>
      </c>
      <c r="BD65" s="99">
        <v>800</v>
      </c>
      <c r="BE65" s="113"/>
      <c r="BF65" s="102">
        <f t="shared" si="151"/>
        <v>-3400</v>
      </c>
      <c r="BG65" s="99">
        <v>800</v>
      </c>
      <c r="BH65" s="113"/>
      <c r="BI65" s="102">
        <f t="shared" si="152"/>
        <v>-2600</v>
      </c>
      <c r="BJ65" s="99">
        <v>800</v>
      </c>
      <c r="BK65" s="113"/>
      <c r="BL65" s="102">
        <f t="shared" si="153"/>
        <v>-1800</v>
      </c>
      <c r="BM65" s="99">
        <v>800</v>
      </c>
      <c r="BN65" s="113"/>
      <c r="BO65" s="102">
        <f t="shared" si="154"/>
        <v>-1000</v>
      </c>
      <c r="BP65" s="99">
        <v>800</v>
      </c>
      <c r="BQ65" s="113"/>
      <c r="BR65" s="102">
        <f t="shared" si="155"/>
        <v>-200</v>
      </c>
      <c r="BS65" s="99">
        <v>800</v>
      </c>
      <c r="BT65" s="113"/>
      <c r="BU65" s="102">
        <f t="shared" si="156"/>
        <v>600</v>
      </c>
      <c r="BV65" s="99">
        <v>800</v>
      </c>
      <c r="BW65" s="113"/>
      <c r="BX65" s="102">
        <f t="shared" si="157"/>
        <v>1400</v>
      </c>
      <c r="BY65" s="99">
        <v>800</v>
      </c>
      <c r="BZ65" s="113"/>
      <c r="CA65" s="102">
        <f t="shared" si="158"/>
        <v>2200</v>
      </c>
      <c r="CB65" s="99">
        <v>800</v>
      </c>
      <c r="CC65" s="113"/>
      <c r="CD65" s="102">
        <f t="shared" si="159"/>
        <v>3000</v>
      </c>
      <c r="CE65" s="99">
        <v>800</v>
      </c>
      <c r="CF65" s="113"/>
      <c r="CG65" s="102">
        <f t="shared" si="160"/>
        <v>3800</v>
      </c>
      <c r="CH65" s="99">
        <v>800</v>
      </c>
      <c r="CI65" s="113"/>
      <c r="CJ65" s="102">
        <f t="shared" si="161"/>
        <v>4600</v>
      </c>
      <c r="CK65" s="99">
        <v>800</v>
      </c>
      <c r="CL65" s="113"/>
      <c r="CM65" s="102">
        <f t="shared" si="162"/>
        <v>5400</v>
      </c>
      <c r="CN65" s="99">
        <v>800</v>
      </c>
      <c r="CO65" s="113"/>
      <c r="CP65" s="102">
        <f t="shared" si="163"/>
        <v>6200</v>
      </c>
      <c r="CQ65" s="99">
        <v>800</v>
      </c>
      <c r="CR65" s="113"/>
      <c r="CS65" s="183">
        <f t="shared" si="141"/>
        <v>7000</v>
      </c>
      <c r="CT65" s="99">
        <v>800</v>
      </c>
      <c r="CU65" s="113"/>
      <c r="CV65" s="183">
        <f t="shared" si="164"/>
        <v>7800</v>
      </c>
      <c r="CW65" s="99">
        <v>800</v>
      </c>
      <c r="CX65" s="113"/>
      <c r="CY65" s="183">
        <f t="shared" si="165"/>
        <v>8600</v>
      </c>
    </row>
    <row r="66" spans="1:103">
      <c r="A66" s="41">
        <f>VLOOKUP(B66,справочник!$B$2:$E$322,4,FALSE)</f>
        <v>64</v>
      </c>
      <c r="B66" t="str">
        <f t="shared" si="4"/>
        <v>66Горбунов Владимир Александрович</v>
      </c>
      <c r="C66" s="1">
        <v>66</v>
      </c>
      <c r="D66" s="2" t="s">
        <v>59</v>
      </c>
      <c r="E66" s="1" t="s">
        <v>377</v>
      </c>
      <c r="F66" s="16">
        <v>40772</v>
      </c>
      <c r="G66" s="16">
        <v>40756</v>
      </c>
      <c r="H66" s="17">
        <f t="shared" si="119"/>
        <v>53</v>
      </c>
      <c r="I66" s="1">
        <f t="shared" si="2"/>
        <v>53000</v>
      </c>
      <c r="J66" s="17">
        <f>1000+45000</f>
        <v>46000</v>
      </c>
      <c r="K66" s="17"/>
      <c r="L66" s="18">
        <f t="shared" si="71"/>
        <v>7000</v>
      </c>
      <c r="M66" s="22">
        <v>3000</v>
      </c>
      <c r="N66" s="22"/>
      <c r="O66" s="22">
        <v>1600</v>
      </c>
      <c r="P66" s="22"/>
      <c r="Q66" s="22"/>
      <c r="R66" s="22">
        <v>1600</v>
      </c>
      <c r="S66" s="22">
        <v>4000</v>
      </c>
      <c r="T66" s="22"/>
      <c r="U66" s="22">
        <v>800</v>
      </c>
      <c r="V66" s="22">
        <v>800</v>
      </c>
      <c r="W66" s="84">
        <v>800</v>
      </c>
      <c r="X66" s="22">
        <f>800+800</f>
        <v>1600</v>
      </c>
      <c r="Y66" s="18">
        <f t="shared" si="5"/>
        <v>14200</v>
      </c>
      <c r="Z66" s="96">
        <v>12</v>
      </c>
      <c r="AA66" s="96">
        <f t="shared" si="6"/>
        <v>9600</v>
      </c>
      <c r="AB66" s="96">
        <f t="shared" si="7"/>
        <v>2400</v>
      </c>
      <c r="AC66" s="99">
        <v>800</v>
      </c>
      <c r="AD66" s="97">
        <v>800</v>
      </c>
      <c r="AE66" s="102">
        <f t="shared" si="8"/>
        <v>2400</v>
      </c>
      <c r="AF66" s="99">
        <v>800</v>
      </c>
      <c r="AG66" s="97">
        <v>800</v>
      </c>
      <c r="AH66" s="102">
        <f t="shared" si="120"/>
        <v>2400</v>
      </c>
      <c r="AI66" s="99">
        <v>800</v>
      </c>
      <c r="AJ66" s="97"/>
      <c r="AK66" s="102">
        <f t="shared" si="144"/>
        <v>3200</v>
      </c>
      <c r="AL66" s="99">
        <v>800</v>
      </c>
      <c r="AM66" s="97"/>
      <c r="AN66" s="102">
        <f t="shared" si="145"/>
        <v>4000</v>
      </c>
      <c r="AO66" s="99">
        <f>800</f>
        <v>800</v>
      </c>
      <c r="AP66" s="97">
        <f>800+800</f>
        <v>1600</v>
      </c>
      <c r="AQ66" s="102">
        <f t="shared" si="146"/>
        <v>3200</v>
      </c>
      <c r="AR66" s="99">
        <f>800</f>
        <v>800</v>
      </c>
      <c r="AS66" s="97">
        <v>800</v>
      </c>
      <c r="AT66" s="102">
        <f t="shared" si="147"/>
        <v>3200</v>
      </c>
      <c r="AU66" s="99">
        <f>800</f>
        <v>800</v>
      </c>
      <c r="AV66" s="97">
        <v>800</v>
      </c>
      <c r="AW66" s="102">
        <f t="shared" si="148"/>
        <v>3200</v>
      </c>
      <c r="AX66" s="99">
        <f>800</f>
        <v>800</v>
      </c>
      <c r="AY66" s="97"/>
      <c r="AZ66" s="102">
        <f t="shared" si="149"/>
        <v>4000</v>
      </c>
      <c r="BA66" s="99">
        <f>800</f>
        <v>800</v>
      </c>
      <c r="BB66" s="97"/>
      <c r="BC66" s="102">
        <f t="shared" si="150"/>
        <v>4800</v>
      </c>
      <c r="BD66" s="99">
        <f>800</f>
        <v>800</v>
      </c>
      <c r="BE66" s="97">
        <f>800+800</f>
        <v>1600</v>
      </c>
      <c r="BF66" s="102">
        <f t="shared" si="151"/>
        <v>4000</v>
      </c>
      <c r="BG66" s="99">
        <f>800</f>
        <v>800</v>
      </c>
      <c r="BH66" s="97">
        <v>800</v>
      </c>
      <c r="BI66" s="102">
        <f t="shared" si="152"/>
        <v>4000</v>
      </c>
      <c r="BJ66" s="99">
        <f>800</f>
        <v>800</v>
      </c>
      <c r="BK66" s="97">
        <f>800+800+800</f>
        <v>2400</v>
      </c>
      <c r="BL66" s="102">
        <f t="shared" si="153"/>
        <v>2400</v>
      </c>
      <c r="BM66" s="99">
        <f>800</f>
        <v>800</v>
      </c>
      <c r="BN66" s="97"/>
      <c r="BO66" s="102">
        <f t="shared" si="154"/>
        <v>3200</v>
      </c>
      <c r="BP66" s="99">
        <f>800</f>
        <v>800</v>
      </c>
      <c r="BQ66" s="97">
        <f>800+800</f>
        <v>1600</v>
      </c>
      <c r="BR66" s="102">
        <f t="shared" si="155"/>
        <v>2400</v>
      </c>
      <c r="BS66" s="99">
        <f>800</f>
        <v>800</v>
      </c>
      <c r="BT66" s="97">
        <v>800</v>
      </c>
      <c r="BU66" s="102">
        <f t="shared" si="156"/>
        <v>2400</v>
      </c>
      <c r="BV66" s="99">
        <f>800</f>
        <v>800</v>
      </c>
      <c r="BW66" s="97"/>
      <c r="BX66" s="102">
        <f t="shared" si="157"/>
        <v>3200</v>
      </c>
      <c r="BY66" s="99">
        <f>800</f>
        <v>800</v>
      </c>
      <c r="BZ66" s="97">
        <v>800</v>
      </c>
      <c r="CA66" s="102">
        <f t="shared" si="158"/>
        <v>3200</v>
      </c>
      <c r="CB66" s="99">
        <f>800</f>
        <v>800</v>
      </c>
      <c r="CC66" s="97">
        <v>800</v>
      </c>
      <c r="CD66" s="102">
        <f t="shared" si="159"/>
        <v>3200</v>
      </c>
      <c r="CE66" s="99">
        <f>800</f>
        <v>800</v>
      </c>
      <c r="CF66" s="97">
        <v>800</v>
      </c>
      <c r="CG66" s="102">
        <f t="shared" si="160"/>
        <v>3200</v>
      </c>
      <c r="CH66" s="99">
        <f>800</f>
        <v>800</v>
      </c>
      <c r="CI66" s="97"/>
      <c r="CJ66" s="102">
        <f t="shared" si="161"/>
        <v>4000</v>
      </c>
      <c r="CK66" s="99">
        <f>800</f>
        <v>800</v>
      </c>
      <c r="CL66" s="97">
        <v>800</v>
      </c>
      <c r="CM66" s="102">
        <f t="shared" si="162"/>
        <v>4000</v>
      </c>
      <c r="CN66" s="99">
        <f>800</f>
        <v>800</v>
      </c>
      <c r="CO66" s="97"/>
      <c r="CP66" s="102">
        <f t="shared" si="163"/>
        <v>4800</v>
      </c>
      <c r="CQ66" s="99">
        <f>800</f>
        <v>800</v>
      </c>
      <c r="CR66" s="97"/>
      <c r="CS66" s="183">
        <f t="shared" si="141"/>
        <v>5600</v>
      </c>
      <c r="CT66" s="99">
        <f>800</f>
        <v>800</v>
      </c>
      <c r="CU66" s="97"/>
      <c r="CV66" s="183">
        <f t="shared" si="164"/>
        <v>6400</v>
      </c>
      <c r="CW66" s="99">
        <f>800</f>
        <v>800</v>
      </c>
      <c r="CX66" s="97"/>
      <c r="CY66" s="183">
        <f t="shared" si="165"/>
        <v>7200</v>
      </c>
    </row>
    <row r="67" spans="1:103">
      <c r="A67" s="41">
        <f>VLOOKUP(B67,справочник!$B$2:$E$322,4,FALSE)</f>
        <v>94</v>
      </c>
      <c r="B67" t="str">
        <f t="shared" si="4"/>
        <v>99Горбунов Максим Николаевич</v>
      </c>
      <c r="C67" s="1">
        <v>99</v>
      </c>
      <c r="D67" s="2" t="s">
        <v>60</v>
      </c>
      <c r="E67" s="1" t="s">
        <v>378</v>
      </c>
      <c r="F67" s="16">
        <v>40774</v>
      </c>
      <c r="G67" s="16">
        <v>40756</v>
      </c>
      <c r="H67" s="17">
        <f t="shared" si="119"/>
        <v>53</v>
      </c>
      <c r="I67" s="1">
        <f t="shared" si="2"/>
        <v>53000</v>
      </c>
      <c r="J67" s="17">
        <f>42000+5000</f>
        <v>47000</v>
      </c>
      <c r="K67" s="17"/>
      <c r="L67" s="18">
        <f t="shared" si="71"/>
        <v>6000</v>
      </c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18">
        <f t="shared" si="5"/>
        <v>0</v>
      </c>
      <c r="Z67" s="96">
        <v>12</v>
      </c>
      <c r="AA67" s="96">
        <f t="shared" si="6"/>
        <v>9600</v>
      </c>
      <c r="AB67" s="96">
        <f t="shared" si="7"/>
        <v>15600</v>
      </c>
      <c r="AC67" s="99">
        <v>800</v>
      </c>
      <c r="AD67" s="98"/>
      <c r="AE67" s="102">
        <f t="shared" si="8"/>
        <v>16400</v>
      </c>
      <c r="AF67" s="99">
        <v>800</v>
      </c>
      <c r="AG67" s="98"/>
      <c r="AH67" s="102">
        <f t="shared" si="120"/>
        <v>17200</v>
      </c>
      <c r="AI67" s="99">
        <v>800</v>
      </c>
      <c r="AJ67" s="98"/>
      <c r="AK67" s="102">
        <f t="shared" si="144"/>
        <v>18000</v>
      </c>
      <c r="AL67" s="99">
        <v>800</v>
      </c>
      <c r="AM67" s="98"/>
      <c r="AN67" s="102">
        <f t="shared" si="145"/>
        <v>18800</v>
      </c>
      <c r="AO67" s="99">
        <v>800</v>
      </c>
      <c r="AP67" s="113"/>
      <c r="AQ67" s="102">
        <f t="shared" si="146"/>
        <v>19600</v>
      </c>
      <c r="AR67" s="99">
        <v>800</v>
      </c>
      <c r="AS67" s="113"/>
      <c r="AT67" s="102">
        <f t="shared" si="147"/>
        <v>20400</v>
      </c>
      <c r="AU67" s="99">
        <v>800</v>
      </c>
      <c r="AV67" s="113"/>
      <c r="AW67" s="102">
        <f t="shared" si="148"/>
        <v>21200</v>
      </c>
      <c r="AX67" s="99">
        <v>800</v>
      </c>
      <c r="AY67" s="113"/>
      <c r="AZ67" s="102">
        <f t="shared" si="149"/>
        <v>22000</v>
      </c>
      <c r="BA67" s="99">
        <v>800</v>
      </c>
      <c r="BB67" s="113"/>
      <c r="BC67" s="102">
        <f t="shared" si="150"/>
        <v>22800</v>
      </c>
      <c r="BD67" s="99">
        <v>800</v>
      </c>
      <c r="BE67" s="113"/>
      <c r="BF67" s="102">
        <f t="shared" si="151"/>
        <v>23600</v>
      </c>
      <c r="BG67" s="99">
        <v>800</v>
      </c>
      <c r="BH67" s="113"/>
      <c r="BI67" s="102">
        <f t="shared" si="152"/>
        <v>24400</v>
      </c>
      <c r="BJ67" s="99">
        <v>800</v>
      </c>
      <c r="BK67" s="113"/>
      <c r="BL67" s="102">
        <f t="shared" si="153"/>
        <v>25200</v>
      </c>
      <c r="BM67" s="99">
        <v>800</v>
      </c>
      <c r="BN67" s="113"/>
      <c r="BO67" s="102">
        <f t="shared" si="154"/>
        <v>26000</v>
      </c>
      <c r="BP67" s="99">
        <v>800</v>
      </c>
      <c r="BQ67" s="113"/>
      <c r="BR67" s="102">
        <f t="shared" si="155"/>
        <v>26800</v>
      </c>
      <c r="BS67" s="99">
        <v>800</v>
      </c>
      <c r="BT67" s="113"/>
      <c r="BU67" s="102">
        <f t="shared" si="156"/>
        <v>27600</v>
      </c>
      <c r="BV67" s="99">
        <v>800</v>
      </c>
      <c r="BW67" s="113"/>
      <c r="BX67" s="102">
        <f t="shared" si="157"/>
        <v>28400</v>
      </c>
      <c r="BY67" s="99">
        <v>800</v>
      </c>
      <c r="BZ67" s="113"/>
      <c r="CA67" s="102">
        <f t="shared" si="158"/>
        <v>29200</v>
      </c>
      <c r="CB67" s="99">
        <v>800</v>
      </c>
      <c r="CC67" s="113"/>
      <c r="CD67" s="102">
        <f t="shared" si="159"/>
        <v>30000</v>
      </c>
      <c r="CE67" s="99">
        <v>800</v>
      </c>
      <c r="CF67" s="113"/>
      <c r="CG67" s="102">
        <f t="shared" si="160"/>
        <v>30800</v>
      </c>
      <c r="CH67" s="99">
        <v>800</v>
      </c>
      <c r="CI67" s="113"/>
      <c r="CJ67" s="102">
        <f t="shared" si="161"/>
        <v>31600</v>
      </c>
      <c r="CK67" s="99">
        <v>800</v>
      </c>
      <c r="CL67" s="113"/>
      <c r="CM67" s="102">
        <f t="shared" si="162"/>
        <v>32400</v>
      </c>
      <c r="CN67" s="99">
        <v>800</v>
      </c>
      <c r="CO67" s="113"/>
      <c r="CP67" s="102">
        <f t="shared" si="163"/>
        <v>33200</v>
      </c>
      <c r="CQ67" s="99">
        <v>800</v>
      </c>
      <c r="CR67" s="113"/>
      <c r="CS67" s="183">
        <f t="shared" si="141"/>
        <v>34000</v>
      </c>
      <c r="CT67" s="99">
        <v>800</v>
      </c>
      <c r="CU67" s="113"/>
      <c r="CV67" s="183">
        <f t="shared" si="164"/>
        <v>34800</v>
      </c>
      <c r="CW67" s="99">
        <v>800</v>
      </c>
      <c r="CX67" s="113"/>
      <c r="CY67" s="183">
        <f t="shared" si="165"/>
        <v>35600</v>
      </c>
    </row>
    <row r="68" spans="1:103">
      <c r="A68" s="41">
        <f>VLOOKUP(B68,справочник!$B$2:$E$322,4,FALSE)</f>
        <v>39</v>
      </c>
      <c r="B68" t="str">
        <f t="shared" si="4"/>
        <v>39Гордейчик Игорь Борисович</v>
      </c>
      <c r="C68" s="1">
        <v>39</v>
      </c>
      <c r="D68" s="2" t="s">
        <v>61</v>
      </c>
      <c r="E68" s="1" t="s">
        <v>379</v>
      </c>
      <c r="F68" s="16">
        <v>40698</v>
      </c>
      <c r="G68" s="16">
        <v>40695</v>
      </c>
      <c r="H68" s="17">
        <f t="shared" si="119"/>
        <v>55</v>
      </c>
      <c r="I68" s="1">
        <f>H68*1000</f>
        <v>55000</v>
      </c>
      <c r="J68" s="17">
        <f>1000+42000</f>
        <v>43000</v>
      </c>
      <c r="K68" s="17"/>
      <c r="L68" s="18">
        <f t="shared" si="71"/>
        <v>12000</v>
      </c>
      <c r="M68" s="22"/>
      <c r="N68" s="22"/>
      <c r="O68" s="22"/>
      <c r="P68" s="22"/>
      <c r="Q68" s="22"/>
      <c r="R68" s="22"/>
      <c r="S68" s="22"/>
      <c r="T68" s="22"/>
      <c r="U68" s="22">
        <v>9600</v>
      </c>
      <c r="V68" s="22"/>
      <c r="W68" s="22"/>
      <c r="X68" s="22"/>
      <c r="Y68" s="18">
        <f t="shared" si="5"/>
        <v>9600</v>
      </c>
      <c r="Z68" s="96">
        <v>12</v>
      </c>
      <c r="AA68" s="96">
        <f t="shared" si="6"/>
        <v>9600</v>
      </c>
      <c r="AB68" s="96">
        <f t="shared" si="7"/>
        <v>12000</v>
      </c>
      <c r="AC68" s="99">
        <v>800</v>
      </c>
      <c r="AD68" s="98"/>
      <c r="AE68" s="102">
        <f t="shared" si="8"/>
        <v>12800</v>
      </c>
      <c r="AF68" s="99">
        <v>800</v>
      </c>
      <c r="AG68" s="98"/>
      <c r="AH68" s="102">
        <f t="shared" si="120"/>
        <v>13600</v>
      </c>
      <c r="AI68" s="99">
        <v>800</v>
      </c>
      <c r="AJ68" s="98"/>
      <c r="AK68" s="102">
        <f t="shared" si="144"/>
        <v>14400</v>
      </c>
      <c r="AL68" s="99">
        <v>800</v>
      </c>
      <c r="AM68" s="98"/>
      <c r="AN68" s="102">
        <f t="shared" si="145"/>
        <v>15200</v>
      </c>
      <c r="AO68" s="99">
        <v>800</v>
      </c>
      <c r="AP68" s="113"/>
      <c r="AQ68" s="102">
        <f t="shared" si="146"/>
        <v>16000</v>
      </c>
      <c r="AR68" s="99">
        <v>800</v>
      </c>
      <c r="AS68" s="113"/>
      <c r="AT68" s="102">
        <f t="shared" si="147"/>
        <v>16800</v>
      </c>
      <c r="AU68" s="99">
        <v>800</v>
      </c>
      <c r="AV68" s="113"/>
      <c r="AW68" s="102">
        <f t="shared" si="148"/>
        <v>17600</v>
      </c>
      <c r="AX68" s="99">
        <v>800</v>
      </c>
      <c r="AY68" s="113"/>
      <c r="AZ68" s="102">
        <f t="shared" si="149"/>
        <v>18400</v>
      </c>
      <c r="BA68" s="99">
        <v>800</v>
      </c>
      <c r="BB68" s="113"/>
      <c r="BC68" s="102">
        <f t="shared" si="150"/>
        <v>19200</v>
      </c>
      <c r="BD68" s="99">
        <v>800</v>
      </c>
      <c r="BE68" s="113"/>
      <c r="BF68" s="102">
        <f t="shared" si="151"/>
        <v>20000</v>
      </c>
      <c r="BG68" s="99">
        <v>800</v>
      </c>
      <c r="BH68" s="113"/>
      <c r="BI68" s="102">
        <f t="shared" si="152"/>
        <v>20800</v>
      </c>
      <c r="BJ68" s="99">
        <v>800</v>
      </c>
      <c r="BK68" s="113"/>
      <c r="BL68" s="102">
        <f t="shared" si="153"/>
        <v>21600</v>
      </c>
      <c r="BM68" s="99">
        <v>800</v>
      </c>
      <c r="BN68" s="113"/>
      <c r="BO68" s="102">
        <f t="shared" si="154"/>
        <v>22400</v>
      </c>
      <c r="BP68" s="99">
        <v>800</v>
      </c>
      <c r="BQ68" s="113"/>
      <c r="BR68" s="102">
        <f t="shared" si="155"/>
        <v>23200</v>
      </c>
      <c r="BS68" s="99">
        <v>800</v>
      </c>
      <c r="BT68" s="113"/>
      <c r="BU68" s="102">
        <f t="shared" si="156"/>
        <v>24000</v>
      </c>
      <c r="BV68" s="99">
        <v>800</v>
      </c>
      <c r="BW68" s="113"/>
      <c r="BX68" s="102">
        <f t="shared" si="157"/>
        <v>24800</v>
      </c>
      <c r="BY68" s="99">
        <v>800</v>
      </c>
      <c r="BZ68" s="113"/>
      <c r="CA68" s="102">
        <f t="shared" si="158"/>
        <v>25600</v>
      </c>
      <c r="CB68" s="99">
        <v>800</v>
      </c>
      <c r="CC68" s="113"/>
      <c r="CD68" s="102">
        <f t="shared" si="159"/>
        <v>26400</v>
      </c>
      <c r="CE68" s="99">
        <v>800</v>
      </c>
      <c r="CF68" s="113"/>
      <c r="CG68" s="102">
        <f t="shared" si="160"/>
        <v>27200</v>
      </c>
      <c r="CH68" s="99">
        <v>800</v>
      </c>
      <c r="CI68" s="113"/>
      <c r="CJ68" s="102">
        <f t="shared" si="161"/>
        <v>28000</v>
      </c>
      <c r="CK68" s="99">
        <v>800</v>
      </c>
      <c r="CL68" s="113">
        <v>28000</v>
      </c>
      <c r="CM68" s="102">
        <f t="shared" si="162"/>
        <v>800</v>
      </c>
      <c r="CN68" s="99">
        <v>800</v>
      </c>
      <c r="CO68" s="113"/>
      <c r="CP68" s="102">
        <f t="shared" si="163"/>
        <v>1600</v>
      </c>
      <c r="CQ68" s="99">
        <v>800</v>
      </c>
      <c r="CR68" s="113"/>
      <c r="CS68" s="183">
        <f t="shared" si="141"/>
        <v>2400</v>
      </c>
      <c r="CT68" s="99">
        <v>800</v>
      </c>
      <c r="CU68" s="113"/>
      <c r="CV68" s="183">
        <f t="shared" si="164"/>
        <v>3200</v>
      </c>
      <c r="CW68" s="99">
        <v>800</v>
      </c>
      <c r="CX68" s="113"/>
      <c r="CY68" s="183">
        <f t="shared" si="165"/>
        <v>4000</v>
      </c>
    </row>
    <row r="69" spans="1:103">
      <c r="A69" s="41">
        <f>VLOOKUP(B69,справочник!$B$2:$E$322,4,FALSE)</f>
        <v>276</v>
      </c>
      <c r="B69" t="str">
        <f t="shared" si="4"/>
        <v>289Горянов Михаил Андреевич</v>
      </c>
      <c r="C69" s="1">
        <v>289</v>
      </c>
      <c r="D69" s="2" t="s">
        <v>62</v>
      </c>
      <c r="E69" s="1" t="s">
        <v>380</v>
      </c>
      <c r="F69" s="16">
        <v>40890</v>
      </c>
      <c r="G69" s="16">
        <v>40878</v>
      </c>
      <c r="H69" s="17">
        <f t="shared" si="119"/>
        <v>49</v>
      </c>
      <c r="I69" s="1">
        <f>H69*1000</f>
        <v>49000</v>
      </c>
      <c r="J69" s="17">
        <f>1000+36000</f>
        <v>37000</v>
      </c>
      <c r="K69" s="17"/>
      <c r="L69" s="18">
        <f t="shared" si="71"/>
        <v>12000</v>
      </c>
      <c r="M69" s="22"/>
      <c r="N69" s="22"/>
      <c r="O69" s="22"/>
      <c r="P69" s="22"/>
      <c r="Q69" s="22"/>
      <c r="R69" s="22">
        <v>21600</v>
      </c>
      <c r="S69" s="22"/>
      <c r="T69" s="22"/>
      <c r="U69" s="22"/>
      <c r="V69" s="22"/>
      <c r="W69" s="22"/>
      <c r="X69" s="22"/>
      <c r="Y69" s="18">
        <f t="shared" si="5"/>
        <v>21600</v>
      </c>
      <c r="Z69" s="96">
        <v>12</v>
      </c>
      <c r="AA69" s="96">
        <f t="shared" si="6"/>
        <v>9600</v>
      </c>
      <c r="AB69" s="96">
        <f t="shared" si="7"/>
        <v>0</v>
      </c>
      <c r="AC69" s="99">
        <v>800</v>
      </c>
      <c r="AD69" s="98"/>
      <c r="AE69" s="102">
        <f t="shared" si="8"/>
        <v>800</v>
      </c>
      <c r="AF69" s="99">
        <v>800</v>
      </c>
      <c r="AG69" s="98"/>
      <c r="AH69" s="102">
        <f t="shared" si="120"/>
        <v>1600</v>
      </c>
      <c r="AI69" s="99">
        <v>800</v>
      </c>
      <c r="AJ69" s="98"/>
      <c r="AK69" s="102">
        <f t="shared" si="144"/>
        <v>2400</v>
      </c>
      <c r="AL69" s="99">
        <v>800</v>
      </c>
      <c r="AM69" s="98"/>
      <c r="AN69" s="102">
        <f t="shared" si="145"/>
        <v>3200</v>
      </c>
      <c r="AO69" s="99">
        <v>800</v>
      </c>
      <c r="AP69" s="113"/>
      <c r="AQ69" s="102">
        <f t="shared" si="146"/>
        <v>4000</v>
      </c>
      <c r="AR69" s="99">
        <v>800</v>
      </c>
      <c r="AS69" s="113"/>
      <c r="AT69" s="102">
        <f t="shared" si="147"/>
        <v>4800</v>
      </c>
      <c r="AU69" s="99">
        <v>800</v>
      </c>
      <c r="AV69" s="113"/>
      <c r="AW69" s="102">
        <f t="shared" si="148"/>
        <v>5600</v>
      </c>
      <c r="AX69" s="99">
        <v>800</v>
      </c>
      <c r="AY69" s="113"/>
      <c r="AZ69" s="102">
        <f t="shared" si="149"/>
        <v>6400</v>
      </c>
      <c r="BA69" s="99">
        <v>800</v>
      </c>
      <c r="BB69" s="113"/>
      <c r="BC69" s="102">
        <f t="shared" si="150"/>
        <v>7200</v>
      </c>
      <c r="BD69" s="99">
        <v>800</v>
      </c>
      <c r="BE69" s="113"/>
      <c r="BF69" s="102">
        <f t="shared" si="151"/>
        <v>8000</v>
      </c>
      <c r="BG69" s="99">
        <v>800</v>
      </c>
      <c r="BH69" s="113"/>
      <c r="BI69" s="102">
        <f t="shared" si="152"/>
        <v>8800</v>
      </c>
      <c r="BJ69" s="99">
        <v>800</v>
      </c>
      <c r="BK69" s="113"/>
      <c r="BL69" s="102">
        <f t="shared" si="153"/>
        <v>9600</v>
      </c>
      <c r="BM69" s="99">
        <v>800</v>
      </c>
      <c r="BN69" s="113"/>
      <c r="BO69" s="102">
        <f t="shared" si="154"/>
        <v>10400</v>
      </c>
      <c r="BP69" s="99">
        <v>800</v>
      </c>
      <c r="BQ69" s="113"/>
      <c r="BR69" s="102">
        <f t="shared" si="155"/>
        <v>11200</v>
      </c>
      <c r="BS69" s="99">
        <v>800</v>
      </c>
      <c r="BT69" s="113"/>
      <c r="BU69" s="102">
        <f t="shared" si="156"/>
        <v>12000</v>
      </c>
      <c r="BV69" s="99">
        <v>800</v>
      </c>
      <c r="BW69" s="113"/>
      <c r="BX69" s="102">
        <f t="shared" si="157"/>
        <v>12800</v>
      </c>
      <c r="BY69" s="99">
        <v>800</v>
      </c>
      <c r="BZ69" s="113"/>
      <c r="CA69" s="102">
        <f t="shared" si="158"/>
        <v>13600</v>
      </c>
      <c r="CB69" s="99">
        <v>800</v>
      </c>
      <c r="CC69" s="113"/>
      <c r="CD69" s="102">
        <f t="shared" si="159"/>
        <v>14400</v>
      </c>
      <c r="CE69" s="99">
        <v>800</v>
      </c>
      <c r="CF69" s="113"/>
      <c r="CG69" s="102">
        <f t="shared" si="160"/>
        <v>15200</v>
      </c>
      <c r="CH69" s="99">
        <v>800</v>
      </c>
      <c r="CI69" s="113"/>
      <c r="CJ69" s="102">
        <f t="shared" si="161"/>
        <v>16000</v>
      </c>
      <c r="CK69" s="99">
        <v>800</v>
      </c>
      <c r="CL69" s="113"/>
      <c r="CM69" s="102">
        <f t="shared" si="162"/>
        <v>16800</v>
      </c>
      <c r="CN69" s="99">
        <v>800</v>
      </c>
      <c r="CO69" s="113"/>
      <c r="CP69" s="102">
        <f t="shared" si="163"/>
        <v>17600</v>
      </c>
      <c r="CQ69" s="99">
        <v>800</v>
      </c>
      <c r="CR69" s="113"/>
      <c r="CS69" s="183">
        <f t="shared" si="141"/>
        <v>18400</v>
      </c>
      <c r="CT69" s="99">
        <v>800</v>
      </c>
      <c r="CU69" s="113"/>
      <c r="CV69" s="183">
        <f t="shared" si="164"/>
        <v>19200</v>
      </c>
      <c r="CW69" s="99">
        <v>800</v>
      </c>
      <c r="CX69" s="113">
        <v>9600</v>
      </c>
      <c r="CY69" s="183">
        <f t="shared" si="165"/>
        <v>10400</v>
      </c>
    </row>
    <row r="70" spans="1:103">
      <c r="A70" s="41">
        <f>VLOOKUP(B70,справочник!$B$2:$E$322,4,FALSE)</f>
        <v>148</v>
      </c>
      <c r="B70" t="str">
        <f t="shared" ref="B70:B133" si="166">CONCATENATE(C70,D70)</f>
        <v>156Горячев Дмитрий Николаевич</v>
      </c>
      <c r="C70" s="1">
        <v>156</v>
      </c>
      <c r="D70" s="2" t="s">
        <v>63</v>
      </c>
      <c r="E70" s="1" t="s">
        <v>381</v>
      </c>
      <c r="F70" s="16">
        <v>41008</v>
      </c>
      <c r="G70" s="16">
        <v>41000</v>
      </c>
      <c r="H70" s="17">
        <f t="shared" si="119"/>
        <v>45</v>
      </c>
      <c r="I70" s="1">
        <f>H70*1000</f>
        <v>45000</v>
      </c>
      <c r="J70" s="17">
        <f>12000</f>
        <v>12000</v>
      </c>
      <c r="K70" s="17"/>
      <c r="L70" s="18">
        <f t="shared" si="71"/>
        <v>33000</v>
      </c>
      <c r="M70" s="22"/>
      <c r="N70" s="22">
        <v>1800</v>
      </c>
      <c r="O70" s="22">
        <v>1800</v>
      </c>
      <c r="P70" s="22">
        <v>1800</v>
      </c>
      <c r="Q70" s="22"/>
      <c r="R70" s="22"/>
      <c r="S70" s="22"/>
      <c r="T70" s="22"/>
      <c r="U70" s="22"/>
      <c r="V70" s="22"/>
      <c r="W70" s="22"/>
      <c r="X70" s="22"/>
      <c r="Y70" s="18">
        <f t="shared" ref="Y70:Y133" si="167">SUM(M70:X70)</f>
        <v>5400</v>
      </c>
      <c r="Z70" s="96">
        <v>12</v>
      </c>
      <c r="AA70" s="96">
        <f t="shared" ref="AA70:AA133" si="168">Z70*800</f>
        <v>9600</v>
      </c>
      <c r="AB70" s="96">
        <f t="shared" ref="AB70:AB133" si="169">L70+AA70-Y70</f>
        <v>37200</v>
      </c>
      <c r="AC70" s="99">
        <v>800</v>
      </c>
      <c r="AD70" s="98"/>
      <c r="AE70" s="102">
        <f t="shared" ref="AE70:AE131" si="170">AB70+AC70-AD70</f>
        <v>38000</v>
      </c>
      <c r="AF70" s="99">
        <v>800</v>
      </c>
      <c r="AG70" s="98"/>
      <c r="AH70" s="102">
        <f t="shared" si="120"/>
        <v>38800</v>
      </c>
      <c r="AI70" s="99">
        <v>800</v>
      </c>
      <c r="AJ70" s="98"/>
      <c r="AK70" s="102">
        <f t="shared" si="144"/>
        <v>39600</v>
      </c>
      <c r="AL70" s="99">
        <v>800</v>
      </c>
      <c r="AM70" s="98"/>
      <c r="AN70" s="102">
        <f t="shared" si="145"/>
        <v>40400</v>
      </c>
      <c r="AO70" s="99">
        <v>800</v>
      </c>
      <c r="AP70" s="113"/>
      <c r="AQ70" s="102">
        <f t="shared" si="146"/>
        <v>41200</v>
      </c>
      <c r="AR70" s="99">
        <v>800</v>
      </c>
      <c r="AS70" s="113"/>
      <c r="AT70" s="102">
        <f t="shared" si="147"/>
        <v>42000</v>
      </c>
      <c r="AU70" s="99">
        <v>800</v>
      </c>
      <c r="AV70" s="113"/>
      <c r="AW70" s="102">
        <f t="shared" si="148"/>
        <v>42800</v>
      </c>
      <c r="AX70" s="99">
        <v>800</v>
      </c>
      <c r="AY70" s="113"/>
      <c r="AZ70" s="102">
        <f t="shared" si="149"/>
        <v>43600</v>
      </c>
      <c r="BA70" s="99">
        <v>800</v>
      </c>
      <c r="BB70" s="113"/>
      <c r="BC70" s="102">
        <f t="shared" si="150"/>
        <v>44400</v>
      </c>
      <c r="BD70" s="99">
        <v>800</v>
      </c>
      <c r="BE70" s="113"/>
      <c r="BF70" s="102">
        <f t="shared" si="151"/>
        <v>45200</v>
      </c>
      <c r="BG70" s="99">
        <v>800</v>
      </c>
      <c r="BH70" s="113"/>
      <c r="BI70" s="102">
        <f t="shared" si="152"/>
        <v>46000</v>
      </c>
      <c r="BJ70" s="99">
        <v>800</v>
      </c>
      <c r="BK70" s="113"/>
      <c r="BL70" s="102">
        <f t="shared" si="153"/>
        <v>46800</v>
      </c>
      <c r="BM70" s="99">
        <v>800</v>
      </c>
      <c r="BN70" s="113"/>
      <c r="BO70" s="102">
        <f t="shared" si="154"/>
        <v>47600</v>
      </c>
      <c r="BP70" s="99">
        <v>800</v>
      </c>
      <c r="BQ70" s="113">
        <v>2400</v>
      </c>
      <c r="BR70" s="102">
        <f t="shared" si="155"/>
        <v>46000</v>
      </c>
      <c r="BS70" s="99">
        <v>800</v>
      </c>
      <c r="BT70" s="113">
        <f>2400+9600</f>
        <v>12000</v>
      </c>
      <c r="BU70" s="102">
        <f t="shared" si="156"/>
        <v>34800</v>
      </c>
      <c r="BV70" s="99">
        <v>800</v>
      </c>
      <c r="BW70" s="113">
        <v>10800</v>
      </c>
      <c r="BX70" s="102">
        <f t="shared" si="157"/>
        <v>24800</v>
      </c>
      <c r="BY70" s="99">
        <v>800</v>
      </c>
      <c r="BZ70" s="113">
        <v>6800</v>
      </c>
      <c r="CA70" s="102">
        <f t="shared" si="158"/>
        <v>18800</v>
      </c>
      <c r="CB70" s="99">
        <v>800</v>
      </c>
      <c r="CC70" s="113">
        <v>4800</v>
      </c>
      <c r="CD70" s="102">
        <f t="shared" si="159"/>
        <v>14800</v>
      </c>
      <c r="CE70" s="99">
        <v>800</v>
      </c>
      <c r="CF70" s="113">
        <v>2800</v>
      </c>
      <c r="CG70" s="102">
        <f t="shared" si="160"/>
        <v>12800</v>
      </c>
      <c r="CH70" s="99">
        <v>800</v>
      </c>
      <c r="CI70" s="113"/>
      <c r="CJ70" s="102">
        <f t="shared" si="161"/>
        <v>13600</v>
      </c>
      <c r="CK70" s="99">
        <v>800</v>
      </c>
      <c r="CL70" s="113"/>
      <c r="CM70" s="102">
        <f t="shared" si="162"/>
        <v>14400</v>
      </c>
      <c r="CN70" s="99">
        <v>800</v>
      </c>
      <c r="CO70" s="113"/>
      <c r="CP70" s="102">
        <f t="shared" si="163"/>
        <v>15200</v>
      </c>
      <c r="CQ70" s="99">
        <v>800</v>
      </c>
      <c r="CR70" s="113"/>
      <c r="CS70" s="183">
        <f t="shared" si="141"/>
        <v>16000</v>
      </c>
      <c r="CT70" s="99">
        <v>800</v>
      </c>
      <c r="CU70" s="113"/>
      <c r="CV70" s="183">
        <f t="shared" si="164"/>
        <v>16800</v>
      </c>
      <c r="CW70" s="99">
        <v>800</v>
      </c>
      <c r="CX70" s="113"/>
      <c r="CY70" s="183">
        <f t="shared" si="165"/>
        <v>17600</v>
      </c>
    </row>
    <row r="71" spans="1:103">
      <c r="A71" s="41">
        <f>VLOOKUP(B71,справочник!$B$2:$E$322,4,FALSE)</f>
        <v>308</v>
      </c>
      <c r="B71" t="str">
        <f t="shared" si="166"/>
        <v>323Губарева Татьяна Григорьевна</v>
      </c>
      <c r="C71" s="1">
        <v>323</v>
      </c>
      <c r="D71" s="2" t="s">
        <v>64</v>
      </c>
      <c r="E71" s="1" t="s">
        <v>382</v>
      </c>
      <c r="F71" s="16">
        <v>42025</v>
      </c>
      <c r="G71" s="16">
        <v>42036</v>
      </c>
      <c r="H71" s="17">
        <f t="shared" si="119"/>
        <v>11</v>
      </c>
      <c r="I71" s="1">
        <f>H71*1000</f>
        <v>11000</v>
      </c>
      <c r="J71" s="17">
        <v>3000</v>
      </c>
      <c r="K71" s="17"/>
      <c r="L71" s="18">
        <f t="shared" si="71"/>
        <v>8000</v>
      </c>
      <c r="M71" s="22"/>
      <c r="N71" s="22"/>
      <c r="O71" s="22"/>
      <c r="P71" s="22"/>
      <c r="Q71" s="22"/>
      <c r="R71" s="22"/>
      <c r="S71" s="22">
        <v>4800</v>
      </c>
      <c r="T71" s="22"/>
      <c r="U71" s="22"/>
      <c r="V71" s="22"/>
      <c r="W71" s="22"/>
      <c r="X71" s="22"/>
      <c r="Y71" s="18">
        <f t="shared" si="167"/>
        <v>4800</v>
      </c>
      <c r="Z71" s="96">
        <v>12</v>
      </c>
      <c r="AA71" s="96">
        <f t="shared" si="168"/>
        <v>9600</v>
      </c>
      <c r="AB71" s="96">
        <f t="shared" si="169"/>
        <v>12800</v>
      </c>
      <c r="AC71" s="99">
        <v>800</v>
      </c>
      <c r="AD71" s="98"/>
      <c r="AE71" s="102">
        <f t="shared" si="170"/>
        <v>13600</v>
      </c>
      <c r="AF71" s="99">
        <v>800</v>
      </c>
      <c r="AG71" s="98"/>
      <c r="AH71" s="102">
        <f t="shared" si="120"/>
        <v>14400</v>
      </c>
      <c r="AI71" s="99">
        <v>800</v>
      </c>
      <c r="AJ71" s="98">
        <v>15000</v>
      </c>
      <c r="AK71" s="102">
        <f t="shared" si="144"/>
        <v>200</v>
      </c>
      <c r="AL71" s="99">
        <v>800</v>
      </c>
      <c r="AM71" s="98"/>
      <c r="AN71" s="102">
        <f t="shared" si="145"/>
        <v>1000</v>
      </c>
      <c r="AO71" s="99">
        <v>800</v>
      </c>
      <c r="AP71" s="113"/>
      <c r="AQ71" s="102">
        <f t="shared" si="146"/>
        <v>1800</v>
      </c>
      <c r="AR71" s="99">
        <v>800</v>
      </c>
      <c r="AS71" s="113"/>
      <c r="AT71" s="102">
        <f t="shared" si="147"/>
        <v>2600</v>
      </c>
      <c r="AU71" s="99">
        <v>800</v>
      </c>
      <c r="AV71" s="113"/>
      <c r="AW71" s="102">
        <f t="shared" si="148"/>
        <v>3400</v>
      </c>
      <c r="AX71" s="99">
        <v>800</v>
      </c>
      <c r="AY71" s="113"/>
      <c r="AZ71" s="102">
        <f t="shared" si="149"/>
        <v>4200</v>
      </c>
      <c r="BA71" s="99">
        <v>800</v>
      </c>
      <c r="BB71" s="113"/>
      <c r="BC71" s="102">
        <f t="shared" si="150"/>
        <v>5000</v>
      </c>
      <c r="BD71" s="99">
        <v>800</v>
      </c>
      <c r="BE71" s="113"/>
      <c r="BF71" s="102">
        <f t="shared" si="151"/>
        <v>5800</v>
      </c>
      <c r="BG71" s="99">
        <v>800</v>
      </c>
      <c r="BH71" s="113"/>
      <c r="BI71" s="102">
        <f t="shared" si="152"/>
        <v>6600</v>
      </c>
      <c r="BJ71" s="99">
        <v>800</v>
      </c>
      <c r="BK71" s="113"/>
      <c r="BL71" s="102">
        <f t="shared" si="153"/>
        <v>7400</v>
      </c>
      <c r="BM71" s="99">
        <v>800</v>
      </c>
      <c r="BN71" s="113">
        <v>4000</v>
      </c>
      <c r="BO71" s="102">
        <f t="shared" si="154"/>
        <v>4200</v>
      </c>
      <c r="BP71" s="99">
        <v>800</v>
      </c>
      <c r="BQ71" s="113"/>
      <c r="BR71" s="102">
        <f t="shared" si="155"/>
        <v>5000</v>
      </c>
      <c r="BS71" s="99">
        <v>800</v>
      </c>
      <c r="BT71" s="113">
        <v>3000</v>
      </c>
      <c r="BU71" s="102">
        <f t="shared" si="156"/>
        <v>2800</v>
      </c>
      <c r="BV71" s="99">
        <v>800</v>
      </c>
      <c r="BW71" s="113">
        <v>2000</v>
      </c>
      <c r="BX71" s="102">
        <f t="shared" si="157"/>
        <v>1600</v>
      </c>
      <c r="BY71" s="99">
        <v>800</v>
      </c>
      <c r="BZ71" s="113">
        <v>2000</v>
      </c>
      <c r="CA71" s="102">
        <f t="shared" si="158"/>
        <v>400</v>
      </c>
      <c r="CB71" s="99">
        <v>800</v>
      </c>
      <c r="CC71" s="113"/>
      <c r="CD71" s="102">
        <f t="shared" si="159"/>
        <v>1200</v>
      </c>
      <c r="CE71" s="99">
        <v>800</v>
      </c>
      <c r="CF71" s="113"/>
      <c r="CG71" s="102">
        <f t="shared" si="160"/>
        <v>2000</v>
      </c>
      <c r="CH71" s="99">
        <v>800</v>
      </c>
      <c r="CI71" s="113"/>
      <c r="CJ71" s="102">
        <f t="shared" si="161"/>
        <v>2800</v>
      </c>
      <c r="CK71" s="99">
        <v>800</v>
      </c>
      <c r="CL71" s="113">
        <v>2000</v>
      </c>
      <c r="CM71" s="102">
        <f t="shared" si="162"/>
        <v>1600</v>
      </c>
      <c r="CN71" s="99">
        <v>800</v>
      </c>
      <c r="CO71" s="113">
        <v>1000</v>
      </c>
      <c r="CP71" s="102">
        <f t="shared" si="163"/>
        <v>1400</v>
      </c>
      <c r="CQ71" s="99">
        <v>800</v>
      </c>
      <c r="CR71" s="113"/>
      <c r="CS71" s="183">
        <f t="shared" si="141"/>
        <v>2200</v>
      </c>
      <c r="CT71" s="99">
        <v>800</v>
      </c>
      <c r="CU71" s="113">
        <v>3000</v>
      </c>
      <c r="CV71" s="183">
        <f t="shared" si="164"/>
        <v>0</v>
      </c>
      <c r="CW71" s="99">
        <v>800</v>
      </c>
      <c r="CX71" s="113"/>
      <c r="CY71" s="183">
        <f t="shared" si="165"/>
        <v>800</v>
      </c>
    </row>
    <row r="72" spans="1:103">
      <c r="A72" s="41">
        <f>VLOOKUP(B72,справочник!$B$2:$E$322,4,FALSE)</f>
        <v>318</v>
      </c>
      <c r="B72" t="str">
        <f t="shared" si="166"/>
        <v>71-72Гусева Светлана Григорьевна</v>
      </c>
      <c r="C72" s="1" t="s">
        <v>65</v>
      </c>
      <c r="D72" s="2" t="s">
        <v>66</v>
      </c>
      <c r="E72" s="1" t="s">
        <v>383</v>
      </c>
      <c r="F72" s="16">
        <v>40694</v>
      </c>
      <c r="G72" s="16">
        <v>40725</v>
      </c>
      <c r="H72" s="17">
        <f t="shared" si="119"/>
        <v>54</v>
      </c>
      <c r="I72" s="1">
        <f>H72*1000*2</f>
        <v>108000</v>
      </c>
      <c r="J72" s="17">
        <f>2000+102000</f>
        <v>104000</v>
      </c>
      <c r="K72" s="17">
        <v>4000</v>
      </c>
      <c r="L72" s="22">
        <f>I72-J72-K72</f>
        <v>0</v>
      </c>
      <c r="M72" s="22"/>
      <c r="N72" s="22">
        <v>4800</v>
      </c>
      <c r="O72" s="22"/>
      <c r="P72" s="22">
        <v>4800</v>
      </c>
      <c r="Q72" s="22"/>
      <c r="R72" s="22"/>
      <c r="S72" s="22">
        <v>4800</v>
      </c>
      <c r="T72" s="22"/>
      <c r="U72" s="22"/>
      <c r="V72" s="22">
        <v>4800</v>
      </c>
      <c r="W72" s="22"/>
      <c r="X72" s="22"/>
      <c r="Y72" s="18">
        <f>SUM(M72:X72)</f>
        <v>19200</v>
      </c>
      <c r="Z72" s="96">
        <v>12</v>
      </c>
      <c r="AA72" s="96">
        <f t="shared" si="168"/>
        <v>9600</v>
      </c>
      <c r="AB72" s="96">
        <f t="shared" si="169"/>
        <v>-9600</v>
      </c>
      <c r="AC72" s="99">
        <v>800</v>
      </c>
      <c r="AD72" s="98">
        <v>4800</v>
      </c>
      <c r="AE72" s="102">
        <f t="shared" si="170"/>
        <v>-13600</v>
      </c>
      <c r="AF72" s="99">
        <v>800</v>
      </c>
      <c r="AG72" s="98"/>
      <c r="AH72" s="102">
        <f t="shared" si="120"/>
        <v>-12800</v>
      </c>
      <c r="AI72" s="99">
        <v>800</v>
      </c>
      <c r="AJ72" s="98"/>
      <c r="AK72" s="102">
        <f t="shared" si="144"/>
        <v>-12000</v>
      </c>
      <c r="AL72" s="99">
        <v>800</v>
      </c>
      <c r="AM72" s="98">
        <v>4800</v>
      </c>
      <c r="AN72" s="102">
        <f t="shared" si="145"/>
        <v>-16000</v>
      </c>
      <c r="AO72" s="99">
        <v>800</v>
      </c>
      <c r="AP72" s="113"/>
      <c r="AQ72" s="102">
        <f t="shared" si="146"/>
        <v>-15200</v>
      </c>
      <c r="AR72" s="99">
        <v>800</v>
      </c>
      <c r="AS72" s="113"/>
      <c r="AT72" s="102">
        <f t="shared" si="147"/>
        <v>-14400</v>
      </c>
      <c r="AU72" s="99">
        <v>800</v>
      </c>
      <c r="AV72" s="113"/>
      <c r="AW72" s="102">
        <f t="shared" si="148"/>
        <v>-13600</v>
      </c>
      <c r="AX72" s="99">
        <v>800</v>
      </c>
      <c r="AY72" s="113"/>
      <c r="AZ72" s="102">
        <f t="shared" si="149"/>
        <v>-12800</v>
      </c>
      <c r="BA72" s="99">
        <v>800</v>
      </c>
      <c r="BB72" s="113"/>
      <c r="BC72" s="102">
        <f t="shared" si="150"/>
        <v>-12000</v>
      </c>
      <c r="BD72" s="99">
        <v>800</v>
      </c>
      <c r="BE72" s="113"/>
      <c r="BF72" s="102">
        <f t="shared" si="151"/>
        <v>-11200</v>
      </c>
      <c r="BG72" s="99">
        <v>800</v>
      </c>
      <c r="BH72" s="113"/>
      <c r="BI72" s="102">
        <f t="shared" si="152"/>
        <v>-10400</v>
      </c>
      <c r="BJ72" s="99">
        <v>800</v>
      </c>
      <c r="BK72" s="113"/>
      <c r="BL72" s="102">
        <f t="shared" si="153"/>
        <v>-9600</v>
      </c>
      <c r="BM72" s="99">
        <v>800</v>
      </c>
      <c r="BN72" s="113"/>
      <c r="BO72" s="102">
        <f t="shared" si="154"/>
        <v>-8800</v>
      </c>
      <c r="BP72" s="99">
        <v>800</v>
      </c>
      <c r="BQ72" s="113"/>
      <c r="BR72" s="102">
        <f t="shared" si="155"/>
        <v>-8000</v>
      </c>
      <c r="BS72" s="99">
        <v>800</v>
      </c>
      <c r="BT72" s="113"/>
      <c r="BU72" s="102">
        <f t="shared" si="156"/>
        <v>-7200</v>
      </c>
      <c r="BV72" s="99">
        <v>800</v>
      </c>
      <c r="BW72" s="113"/>
      <c r="BX72" s="102">
        <f t="shared" si="157"/>
        <v>-6400</v>
      </c>
      <c r="BY72" s="99">
        <v>800</v>
      </c>
      <c r="BZ72" s="113"/>
      <c r="CA72" s="102">
        <f t="shared" si="158"/>
        <v>-5600</v>
      </c>
      <c r="CB72" s="99">
        <v>800</v>
      </c>
      <c r="CC72" s="113"/>
      <c r="CD72" s="102">
        <f t="shared" si="159"/>
        <v>-4800</v>
      </c>
      <c r="CE72" s="99">
        <v>800</v>
      </c>
      <c r="CF72" s="113"/>
      <c r="CG72" s="102">
        <f t="shared" si="160"/>
        <v>-4000</v>
      </c>
      <c r="CH72" s="99">
        <v>800</v>
      </c>
      <c r="CI72" s="113"/>
      <c r="CJ72" s="102">
        <f t="shared" si="161"/>
        <v>-3200</v>
      </c>
      <c r="CK72" s="99">
        <v>800</v>
      </c>
      <c r="CL72" s="113"/>
      <c r="CM72" s="102">
        <f t="shared" si="162"/>
        <v>-2400</v>
      </c>
      <c r="CN72" s="99">
        <v>800</v>
      </c>
      <c r="CO72" s="113"/>
      <c r="CP72" s="102">
        <f t="shared" si="163"/>
        <v>-1600</v>
      </c>
      <c r="CQ72" s="99">
        <v>800</v>
      </c>
      <c r="CR72" s="113"/>
      <c r="CS72" s="183">
        <f t="shared" si="141"/>
        <v>-800</v>
      </c>
      <c r="CT72" s="99">
        <v>800</v>
      </c>
      <c r="CU72" s="113"/>
      <c r="CV72" s="183">
        <f t="shared" si="164"/>
        <v>0</v>
      </c>
      <c r="CW72" s="99">
        <v>800</v>
      </c>
      <c r="CX72" s="113"/>
      <c r="CY72" s="183">
        <f t="shared" si="165"/>
        <v>800</v>
      </c>
    </row>
    <row r="73" spans="1:103">
      <c r="A73" s="41">
        <f>VLOOKUP(B73,справочник!$B$2:$E$322,4,FALSE)</f>
        <v>236</v>
      </c>
      <c r="B73" t="str">
        <f t="shared" si="166"/>
        <v>245Давыдова Анна Сергеевна</v>
      </c>
      <c r="C73" s="1">
        <v>245</v>
      </c>
      <c r="D73" s="2" t="s">
        <v>67</v>
      </c>
      <c r="E73" s="1" t="s">
        <v>384</v>
      </c>
      <c r="F73" s="16">
        <v>40945</v>
      </c>
      <c r="G73" s="16">
        <v>40940</v>
      </c>
      <c r="H73" s="17">
        <f t="shared" si="119"/>
        <v>47</v>
      </c>
      <c r="I73" s="1">
        <f>H73*1000</f>
        <v>47000</v>
      </c>
      <c r="J73" s="17">
        <f>18000+11000</f>
        <v>29000</v>
      </c>
      <c r="K73" s="17"/>
      <c r="L73" s="18">
        <f t="shared" si="71"/>
        <v>18000</v>
      </c>
      <c r="M73" s="22"/>
      <c r="N73" s="22"/>
      <c r="O73" s="22"/>
      <c r="P73" s="22"/>
      <c r="Q73" s="22">
        <v>25000</v>
      </c>
      <c r="R73" s="22"/>
      <c r="S73" s="22"/>
      <c r="T73" s="22"/>
      <c r="U73" s="22"/>
      <c r="V73" s="22">
        <v>2600</v>
      </c>
      <c r="W73" s="22"/>
      <c r="X73" s="22"/>
      <c r="Y73" s="18">
        <f t="shared" si="167"/>
        <v>27600</v>
      </c>
      <c r="Z73" s="96">
        <v>12</v>
      </c>
      <c r="AA73" s="96">
        <f t="shared" si="168"/>
        <v>9600</v>
      </c>
      <c r="AB73" s="96">
        <f t="shared" si="169"/>
        <v>0</v>
      </c>
      <c r="AC73" s="99">
        <v>800</v>
      </c>
      <c r="AD73" s="98"/>
      <c r="AE73" s="102">
        <f t="shared" si="170"/>
        <v>800</v>
      </c>
      <c r="AF73" s="99">
        <v>800</v>
      </c>
      <c r="AG73" s="98"/>
      <c r="AH73" s="102">
        <f t="shared" si="120"/>
        <v>1600</v>
      </c>
      <c r="AI73" s="99">
        <v>800</v>
      </c>
      <c r="AJ73" s="98"/>
      <c r="AK73" s="102">
        <f t="shared" si="144"/>
        <v>2400</v>
      </c>
      <c r="AL73" s="99">
        <v>800</v>
      </c>
      <c r="AM73" s="98">
        <v>4800</v>
      </c>
      <c r="AN73" s="102">
        <f t="shared" si="145"/>
        <v>-1600</v>
      </c>
      <c r="AO73" s="99">
        <v>800</v>
      </c>
      <c r="AP73" s="113"/>
      <c r="AQ73" s="102">
        <f t="shared" si="146"/>
        <v>-800</v>
      </c>
      <c r="AR73" s="99">
        <v>800</v>
      </c>
      <c r="AS73" s="113"/>
      <c r="AT73" s="102">
        <f t="shared" si="147"/>
        <v>0</v>
      </c>
      <c r="AU73" s="99">
        <v>800</v>
      </c>
      <c r="AV73" s="113"/>
      <c r="AW73" s="102">
        <f t="shared" si="148"/>
        <v>800</v>
      </c>
      <c r="AX73" s="99">
        <v>800</v>
      </c>
      <c r="AY73" s="113"/>
      <c r="AZ73" s="102">
        <f t="shared" si="149"/>
        <v>1600</v>
      </c>
      <c r="BA73" s="99">
        <v>800</v>
      </c>
      <c r="BB73" s="113"/>
      <c r="BC73" s="102">
        <f t="shared" si="150"/>
        <v>2400</v>
      </c>
      <c r="BD73" s="99">
        <v>800</v>
      </c>
      <c r="BE73" s="113"/>
      <c r="BF73" s="102">
        <f t="shared" si="151"/>
        <v>3200</v>
      </c>
      <c r="BG73" s="99">
        <v>800</v>
      </c>
      <c r="BH73" s="113"/>
      <c r="BI73" s="102">
        <f t="shared" si="152"/>
        <v>4000</v>
      </c>
      <c r="BJ73" s="99">
        <v>800</v>
      </c>
      <c r="BK73" s="113"/>
      <c r="BL73" s="102">
        <f t="shared" si="153"/>
        <v>4800</v>
      </c>
      <c r="BM73" s="99">
        <v>800</v>
      </c>
      <c r="BN73" s="113"/>
      <c r="BO73" s="102">
        <f t="shared" si="154"/>
        <v>5600</v>
      </c>
      <c r="BP73" s="99">
        <v>800</v>
      </c>
      <c r="BQ73" s="113"/>
      <c r="BR73" s="102">
        <f t="shared" si="155"/>
        <v>6400</v>
      </c>
      <c r="BS73" s="99">
        <v>800</v>
      </c>
      <c r="BT73" s="113"/>
      <c r="BU73" s="102">
        <f t="shared" si="156"/>
        <v>7200</v>
      </c>
      <c r="BV73" s="99">
        <v>800</v>
      </c>
      <c r="BW73" s="113"/>
      <c r="BX73" s="102">
        <f t="shared" si="157"/>
        <v>8000</v>
      </c>
      <c r="BY73" s="99">
        <v>800</v>
      </c>
      <c r="BZ73" s="113">
        <v>5000</v>
      </c>
      <c r="CA73" s="102">
        <f t="shared" si="158"/>
        <v>3800</v>
      </c>
      <c r="CB73" s="99">
        <v>800</v>
      </c>
      <c r="CC73" s="113"/>
      <c r="CD73" s="102">
        <f t="shared" si="159"/>
        <v>4600</v>
      </c>
      <c r="CE73" s="99">
        <v>800</v>
      </c>
      <c r="CF73" s="113"/>
      <c r="CG73" s="102">
        <f t="shared" si="160"/>
        <v>5400</v>
      </c>
      <c r="CH73" s="99">
        <v>800</v>
      </c>
      <c r="CI73" s="113"/>
      <c r="CJ73" s="102">
        <f t="shared" si="161"/>
        <v>6200</v>
      </c>
      <c r="CK73" s="99">
        <v>800</v>
      </c>
      <c r="CL73" s="113"/>
      <c r="CM73" s="102">
        <f t="shared" si="162"/>
        <v>7000</v>
      </c>
      <c r="CN73" s="99">
        <v>800</v>
      </c>
      <c r="CO73" s="113"/>
      <c r="CP73" s="102">
        <f t="shared" si="163"/>
        <v>7800</v>
      </c>
      <c r="CQ73" s="99">
        <v>800</v>
      </c>
      <c r="CR73" s="113"/>
      <c r="CS73" s="183">
        <f t="shared" si="141"/>
        <v>8600</v>
      </c>
      <c r="CT73" s="99">
        <v>800</v>
      </c>
      <c r="CU73" s="113"/>
      <c r="CV73" s="183">
        <f t="shared" si="164"/>
        <v>9400</v>
      </c>
      <c r="CW73" s="99">
        <v>800</v>
      </c>
      <c r="CX73" s="113"/>
      <c r="CY73" s="183">
        <f t="shared" si="165"/>
        <v>10200</v>
      </c>
    </row>
    <row r="74" spans="1:103">
      <c r="A74" s="41" t="e">
        <f>VLOOKUP(B74,справочник!$B$2:$E$322,4,FALSE)</f>
        <v>#N/A</v>
      </c>
      <c r="B74" t="str">
        <f t="shared" si="166"/>
        <v>235Данильянц Юрий Константинович</v>
      </c>
      <c r="C74" s="1">
        <v>235</v>
      </c>
      <c r="D74" s="2" t="s">
        <v>795</v>
      </c>
      <c r="E74" s="1" t="s">
        <v>385</v>
      </c>
      <c r="F74" s="16">
        <v>41739</v>
      </c>
      <c r="G74" s="16">
        <v>41760</v>
      </c>
      <c r="H74" s="17">
        <f t="shared" si="119"/>
        <v>20</v>
      </c>
      <c r="I74" s="1">
        <f>H74*1000</f>
        <v>20000</v>
      </c>
      <c r="J74" s="17"/>
      <c r="K74" s="17"/>
      <c r="L74" s="18">
        <f t="shared" si="71"/>
        <v>20000</v>
      </c>
      <c r="M74" s="22"/>
      <c r="N74" s="22"/>
      <c r="O74" s="22"/>
      <c r="P74" s="22"/>
      <c r="Q74" s="22"/>
      <c r="R74" s="22"/>
      <c r="S74" s="22"/>
      <c r="T74" s="22"/>
      <c r="U74" s="22">
        <v>4000</v>
      </c>
      <c r="V74" s="22"/>
      <c r="W74" s="22"/>
      <c r="X74" s="22"/>
      <c r="Y74" s="18">
        <f t="shared" si="167"/>
        <v>4000</v>
      </c>
      <c r="Z74" s="96">
        <v>12</v>
      </c>
      <c r="AA74" s="96">
        <f t="shared" si="168"/>
        <v>9600</v>
      </c>
      <c r="AB74" s="96">
        <f t="shared" si="169"/>
        <v>25600</v>
      </c>
      <c r="AC74" s="99">
        <v>800</v>
      </c>
      <c r="AD74" s="98"/>
      <c r="AE74" s="102">
        <f t="shared" si="170"/>
        <v>26400</v>
      </c>
      <c r="AF74" s="99">
        <v>800</v>
      </c>
      <c r="AG74" s="98">
        <v>2400</v>
      </c>
      <c r="AH74" s="102">
        <f t="shared" si="120"/>
        <v>24800</v>
      </c>
      <c r="AI74" s="99">
        <v>800</v>
      </c>
      <c r="AJ74" s="98">
        <v>2000</v>
      </c>
      <c r="AK74" s="102">
        <f t="shared" si="144"/>
        <v>23600</v>
      </c>
      <c r="AL74" s="99">
        <v>800</v>
      </c>
      <c r="AM74" s="98">
        <v>5000</v>
      </c>
      <c r="AN74" s="102">
        <f t="shared" si="145"/>
        <v>19400</v>
      </c>
      <c r="AO74" s="99">
        <v>800</v>
      </c>
      <c r="AP74" s="113"/>
      <c r="AQ74" s="102">
        <f t="shared" si="146"/>
        <v>20200</v>
      </c>
      <c r="AR74" s="99">
        <v>800</v>
      </c>
      <c r="AS74" s="113">
        <v>4000</v>
      </c>
      <c r="AT74" s="102">
        <f t="shared" si="147"/>
        <v>17000</v>
      </c>
      <c r="AU74" s="99">
        <v>800</v>
      </c>
      <c r="AV74" s="113"/>
      <c r="AW74" s="102">
        <f t="shared" si="148"/>
        <v>17800</v>
      </c>
      <c r="AX74" s="99">
        <v>800</v>
      </c>
      <c r="AY74" s="113">
        <v>5000</v>
      </c>
      <c r="AZ74" s="102">
        <f t="shared" si="149"/>
        <v>13600</v>
      </c>
      <c r="BA74" s="99">
        <v>800</v>
      </c>
      <c r="BB74" s="113">
        <v>4400</v>
      </c>
      <c r="BC74" s="102">
        <f t="shared" si="150"/>
        <v>10000</v>
      </c>
      <c r="BD74" s="99">
        <v>800</v>
      </c>
      <c r="BE74" s="113">
        <v>3800</v>
      </c>
      <c r="BF74" s="102">
        <f t="shared" si="151"/>
        <v>7000</v>
      </c>
      <c r="BG74" s="99">
        <v>800</v>
      </c>
      <c r="BH74" s="113">
        <v>3800</v>
      </c>
      <c r="BI74" s="102">
        <f t="shared" si="152"/>
        <v>4000</v>
      </c>
      <c r="BJ74" s="99">
        <v>800</v>
      </c>
      <c r="BK74" s="113"/>
      <c r="BL74" s="102">
        <f t="shared" si="153"/>
        <v>4800</v>
      </c>
      <c r="BM74" s="99">
        <v>800</v>
      </c>
      <c r="BN74" s="113">
        <f>2800+2800</f>
        <v>5600</v>
      </c>
      <c r="BO74" s="102">
        <f t="shared" si="154"/>
        <v>0</v>
      </c>
      <c r="BP74" s="99">
        <v>800</v>
      </c>
      <c r="BQ74" s="113"/>
      <c r="BR74" s="102">
        <f t="shared" si="155"/>
        <v>800</v>
      </c>
      <c r="BS74" s="99">
        <v>800</v>
      </c>
      <c r="BT74" s="113">
        <v>1600</v>
      </c>
      <c r="BU74" s="102">
        <f t="shared" si="156"/>
        <v>0</v>
      </c>
      <c r="BV74" s="99">
        <v>800</v>
      </c>
      <c r="BW74" s="113"/>
      <c r="BX74" s="102">
        <f t="shared" si="157"/>
        <v>800</v>
      </c>
      <c r="BY74" s="99">
        <v>800</v>
      </c>
      <c r="BZ74" s="113"/>
      <c r="CA74" s="102">
        <f t="shared" si="158"/>
        <v>1600</v>
      </c>
      <c r="CB74" s="99">
        <v>800</v>
      </c>
      <c r="CC74" s="113">
        <v>1600</v>
      </c>
      <c r="CD74" s="102">
        <f t="shared" si="159"/>
        <v>800</v>
      </c>
      <c r="CE74" s="99">
        <v>800</v>
      </c>
      <c r="CF74" s="113"/>
      <c r="CG74" s="102">
        <f t="shared" si="160"/>
        <v>1600</v>
      </c>
      <c r="CH74" s="99">
        <v>800</v>
      </c>
      <c r="CI74" s="113">
        <v>1600</v>
      </c>
      <c r="CJ74" s="102">
        <f t="shared" si="161"/>
        <v>800</v>
      </c>
      <c r="CK74" s="99">
        <v>800</v>
      </c>
      <c r="CL74" s="113"/>
      <c r="CM74" s="102">
        <f t="shared" si="162"/>
        <v>1600</v>
      </c>
      <c r="CN74" s="99">
        <v>800</v>
      </c>
      <c r="CO74" s="113">
        <v>800</v>
      </c>
      <c r="CP74" s="102">
        <f t="shared" si="163"/>
        <v>1600</v>
      </c>
      <c r="CQ74" s="99">
        <v>800</v>
      </c>
      <c r="CR74" s="113"/>
      <c r="CS74" s="183">
        <f t="shared" si="141"/>
        <v>2400</v>
      </c>
      <c r="CT74" s="99">
        <v>800</v>
      </c>
      <c r="CU74" s="113"/>
      <c r="CV74" s="183">
        <f t="shared" si="164"/>
        <v>3200</v>
      </c>
      <c r="CW74" s="99">
        <v>800</v>
      </c>
      <c r="CX74" s="113">
        <v>2400</v>
      </c>
      <c r="CY74" s="183">
        <f t="shared" si="165"/>
        <v>1600</v>
      </c>
    </row>
    <row r="75" spans="1:103" ht="24">
      <c r="A75" s="41" t="e">
        <f>VLOOKUP(B75,справочник!$B$2:$E$322,4,FALSE)</f>
        <v>#N/A</v>
      </c>
      <c r="B75" t="str">
        <f t="shared" si="166"/>
        <v>297Даточный Алексей Валерьевич (новый собственник Ганин Александр Борисович)</v>
      </c>
      <c r="C75" s="1">
        <v>297</v>
      </c>
      <c r="D75" s="2" t="s">
        <v>825</v>
      </c>
      <c r="E75" s="1" t="s">
        <v>386</v>
      </c>
      <c r="F75" s="1"/>
      <c r="G75" s="1"/>
      <c r="H75" s="17"/>
      <c r="I75" s="1">
        <v>19000</v>
      </c>
      <c r="J75" s="17">
        <v>19000</v>
      </c>
      <c r="K75" s="17"/>
      <c r="L75" s="18">
        <f t="shared" si="71"/>
        <v>0</v>
      </c>
      <c r="M75" s="22"/>
      <c r="N75" s="22">
        <v>8000</v>
      </c>
      <c r="O75" s="22"/>
      <c r="P75" s="22"/>
      <c r="Q75" s="22"/>
      <c r="R75" s="22">
        <v>4000</v>
      </c>
      <c r="S75" s="22"/>
      <c r="T75" s="22"/>
      <c r="U75" s="22"/>
      <c r="V75" s="22"/>
      <c r="W75" s="22"/>
      <c r="X75" s="22">
        <v>6000</v>
      </c>
      <c r="Y75" s="18">
        <f t="shared" si="167"/>
        <v>18000</v>
      </c>
      <c r="Z75" s="96">
        <v>12</v>
      </c>
      <c r="AA75" s="96">
        <f t="shared" si="168"/>
        <v>9600</v>
      </c>
      <c r="AB75" s="96">
        <f t="shared" si="169"/>
        <v>-8400</v>
      </c>
      <c r="AC75" s="99">
        <v>800</v>
      </c>
      <c r="AD75" s="98"/>
      <c r="AE75" s="102">
        <f t="shared" si="170"/>
        <v>-7600</v>
      </c>
      <c r="AF75" s="99">
        <v>800</v>
      </c>
      <c r="AG75" s="98"/>
      <c r="AH75" s="102">
        <f t="shared" si="120"/>
        <v>-6800</v>
      </c>
      <c r="AI75" s="99">
        <v>800</v>
      </c>
      <c r="AJ75" s="98"/>
      <c r="AK75" s="102">
        <f t="shared" si="144"/>
        <v>-6000</v>
      </c>
      <c r="AL75" s="99">
        <v>800</v>
      </c>
      <c r="AM75" s="98"/>
      <c r="AN75" s="102">
        <f t="shared" si="145"/>
        <v>-5200</v>
      </c>
      <c r="AO75" s="99">
        <v>800</v>
      </c>
      <c r="AP75" s="113"/>
      <c r="AQ75" s="102">
        <f t="shared" si="146"/>
        <v>-4400</v>
      </c>
      <c r="AR75" s="99">
        <v>800</v>
      </c>
      <c r="AS75" s="113"/>
      <c r="AT75" s="102">
        <f t="shared" si="147"/>
        <v>-3600</v>
      </c>
      <c r="AU75" s="99">
        <v>800</v>
      </c>
      <c r="AV75" s="113"/>
      <c r="AW75" s="102">
        <f t="shared" si="148"/>
        <v>-2800</v>
      </c>
      <c r="AX75" s="99">
        <v>800</v>
      </c>
      <c r="AY75" s="113"/>
      <c r="AZ75" s="102">
        <f t="shared" si="149"/>
        <v>-2000</v>
      </c>
      <c r="BA75" s="99">
        <v>800</v>
      </c>
      <c r="BB75" s="113"/>
      <c r="BC75" s="102">
        <f t="shared" si="150"/>
        <v>-1200</v>
      </c>
      <c r="BD75" s="99">
        <v>800</v>
      </c>
      <c r="BE75" s="113"/>
      <c r="BF75" s="102">
        <f t="shared" si="151"/>
        <v>-400</v>
      </c>
      <c r="BG75" s="99">
        <v>800</v>
      </c>
      <c r="BH75" s="113"/>
      <c r="BI75" s="102">
        <f t="shared" si="152"/>
        <v>400</v>
      </c>
      <c r="BJ75" s="99">
        <v>800</v>
      </c>
      <c r="BK75" s="113"/>
      <c r="BL75" s="102">
        <f t="shared" si="153"/>
        <v>1200</v>
      </c>
      <c r="BM75" s="99">
        <v>800</v>
      </c>
      <c r="BN75" s="113"/>
      <c r="BO75" s="102">
        <f t="shared" si="154"/>
        <v>2000</v>
      </c>
      <c r="BP75" s="99">
        <v>800</v>
      </c>
      <c r="BQ75" s="113"/>
      <c r="BR75" s="102">
        <f t="shared" si="155"/>
        <v>2800</v>
      </c>
      <c r="BS75" s="99">
        <v>800</v>
      </c>
      <c r="BT75" s="113"/>
      <c r="BU75" s="102">
        <f t="shared" si="156"/>
        <v>3600</v>
      </c>
      <c r="BV75" s="99">
        <v>800</v>
      </c>
      <c r="BW75" s="113"/>
      <c r="BX75" s="102">
        <f t="shared" si="157"/>
        <v>4400</v>
      </c>
      <c r="BY75" s="99">
        <v>800</v>
      </c>
      <c r="BZ75" s="113"/>
      <c r="CA75" s="102">
        <f t="shared" si="158"/>
        <v>5200</v>
      </c>
      <c r="CB75" s="99">
        <v>800</v>
      </c>
      <c r="CC75" s="113"/>
      <c r="CD75" s="102">
        <f t="shared" si="159"/>
        <v>6000</v>
      </c>
      <c r="CE75" s="99">
        <v>800</v>
      </c>
      <c r="CF75" s="113"/>
      <c r="CG75" s="102">
        <f t="shared" si="160"/>
        <v>6800</v>
      </c>
      <c r="CH75" s="99">
        <v>800</v>
      </c>
      <c r="CI75" s="113"/>
      <c r="CJ75" s="102">
        <f t="shared" si="161"/>
        <v>7600</v>
      </c>
      <c r="CK75" s="99">
        <v>800</v>
      </c>
      <c r="CL75" s="113"/>
      <c r="CM75" s="102">
        <f t="shared" si="162"/>
        <v>8400</v>
      </c>
      <c r="CN75" s="99">
        <v>800</v>
      </c>
      <c r="CO75" s="113"/>
      <c r="CP75" s="102">
        <f t="shared" si="163"/>
        <v>9200</v>
      </c>
      <c r="CQ75" s="99">
        <v>800</v>
      </c>
      <c r="CR75" s="113"/>
      <c r="CS75" s="183">
        <f t="shared" si="141"/>
        <v>10000</v>
      </c>
      <c r="CT75" s="99">
        <v>800</v>
      </c>
      <c r="CU75" s="113">
        <v>5000</v>
      </c>
      <c r="CV75" s="183">
        <f t="shared" si="164"/>
        <v>5800</v>
      </c>
      <c r="CW75" s="99">
        <v>800</v>
      </c>
      <c r="CX75" s="113"/>
      <c r="CY75" s="183">
        <f t="shared" si="165"/>
        <v>6600</v>
      </c>
    </row>
    <row r="76" spans="1:103">
      <c r="A76" s="41">
        <f>VLOOKUP(B76,справочник!$B$2:$E$322,4,FALSE)</f>
        <v>24</v>
      </c>
      <c r="B76" t="str">
        <f t="shared" si="166"/>
        <v>24Двойрина Юлия Владимировна</v>
      </c>
      <c r="C76" s="1">
        <v>24</v>
      </c>
      <c r="D76" s="2" t="s">
        <v>70</v>
      </c>
      <c r="E76" s="1" t="s">
        <v>387</v>
      </c>
      <c r="F76" s="16">
        <v>41141</v>
      </c>
      <c r="G76" s="16">
        <v>41153</v>
      </c>
      <c r="H76" s="17">
        <f t="shared" ref="H76:H89" si="171">INT(($H$326-G76)/30)</f>
        <v>40</v>
      </c>
      <c r="I76" s="1">
        <f t="shared" ref="I76:I139" si="172">H76*1000</f>
        <v>40000</v>
      </c>
      <c r="J76" s="17">
        <v>30000</v>
      </c>
      <c r="K76" s="17"/>
      <c r="L76" s="18">
        <f t="shared" si="71"/>
        <v>10000</v>
      </c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18">
        <f t="shared" si="167"/>
        <v>0</v>
      </c>
      <c r="Z76" s="96">
        <v>12</v>
      </c>
      <c r="AA76" s="96">
        <f t="shared" si="168"/>
        <v>9600</v>
      </c>
      <c r="AB76" s="96">
        <f t="shared" si="169"/>
        <v>19600</v>
      </c>
      <c r="AC76" s="99">
        <v>800</v>
      </c>
      <c r="AD76" s="98"/>
      <c r="AE76" s="102">
        <f t="shared" si="170"/>
        <v>20400</v>
      </c>
      <c r="AF76" s="99">
        <v>800</v>
      </c>
      <c r="AG76" s="98"/>
      <c r="AH76" s="102">
        <f t="shared" si="120"/>
        <v>21200</v>
      </c>
      <c r="AI76" s="99">
        <v>800</v>
      </c>
      <c r="AJ76" s="98"/>
      <c r="AK76" s="102">
        <f t="shared" si="144"/>
        <v>22000</v>
      </c>
      <c r="AL76" s="99">
        <v>800</v>
      </c>
      <c r="AM76" s="98"/>
      <c r="AN76" s="102">
        <f t="shared" si="145"/>
        <v>22800</v>
      </c>
      <c r="AO76" s="99">
        <v>800</v>
      </c>
      <c r="AP76" s="113"/>
      <c r="AQ76" s="102">
        <f t="shared" si="146"/>
        <v>23600</v>
      </c>
      <c r="AR76" s="99">
        <v>800</v>
      </c>
      <c r="AS76" s="113"/>
      <c r="AT76" s="102">
        <f t="shared" si="147"/>
        <v>24400</v>
      </c>
      <c r="AU76" s="99">
        <v>800</v>
      </c>
      <c r="AV76" s="113"/>
      <c r="AW76" s="102">
        <f t="shared" si="148"/>
        <v>25200</v>
      </c>
      <c r="AX76" s="99">
        <v>800</v>
      </c>
      <c r="AY76" s="113"/>
      <c r="AZ76" s="102">
        <f t="shared" si="149"/>
        <v>26000</v>
      </c>
      <c r="BA76" s="99">
        <v>800</v>
      </c>
      <c r="BB76" s="113"/>
      <c r="BC76" s="102">
        <f t="shared" si="150"/>
        <v>26800</v>
      </c>
      <c r="BD76" s="99">
        <v>800</v>
      </c>
      <c r="BE76" s="113"/>
      <c r="BF76" s="102">
        <f t="shared" si="151"/>
        <v>27600</v>
      </c>
      <c r="BG76" s="99">
        <v>800</v>
      </c>
      <c r="BH76" s="113"/>
      <c r="BI76" s="102">
        <f t="shared" si="152"/>
        <v>28400</v>
      </c>
      <c r="BJ76" s="99">
        <v>800</v>
      </c>
      <c r="BK76" s="113"/>
      <c r="BL76" s="102">
        <f t="shared" si="153"/>
        <v>29200</v>
      </c>
      <c r="BM76" s="99">
        <v>800</v>
      </c>
      <c r="BN76" s="113"/>
      <c r="BO76" s="102">
        <f t="shared" si="154"/>
        <v>30000</v>
      </c>
      <c r="BP76" s="99">
        <v>800</v>
      </c>
      <c r="BQ76" s="113"/>
      <c r="BR76" s="102">
        <f t="shared" si="155"/>
        <v>30800</v>
      </c>
      <c r="BS76" s="99">
        <v>800</v>
      </c>
      <c r="BT76" s="113"/>
      <c r="BU76" s="102">
        <f t="shared" si="156"/>
        <v>31600</v>
      </c>
      <c r="BV76" s="99">
        <v>800</v>
      </c>
      <c r="BW76" s="113"/>
      <c r="BX76" s="102">
        <f t="shared" si="157"/>
        <v>32400</v>
      </c>
      <c r="BY76" s="99">
        <v>800</v>
      </c>
      <c r="BZ76" s="113"/>
      <c r="CA76" s="102">
        <f t="shared" si="158"/>
        <v>33200</v>
      </c>
      <c r="CB76" s="99">
        <v>800</v>
      </c>
      <c r="CC76" s="113"/>
      <c r="CD76" s="102">
        <f t="shared" si="159"/>
        <v>34000</v>
      </c>
      <c r="CE76" s="99">
        <v>800</v>
      </c>
      <c r="CF76" s="113"/>
      <c r="CG76" s="102">
        <f t="shared" si="160"/>
        <v>34800</v>
      </c>
      <c r="CH76" s="99">
        <v>800</v>
      </c>
      <c r="CI76" s="113"/>
      <c r="CJ76" s="102">
        <f t="shared" si="161"/>
        <v>35600</v>
      </c>
      <c r="CK76" s="99">
        <v>800</v>
      </c>
      <c r="CL76" s="113"/>
      <c r="CM76" s="102">
        <f t="shared" si="162"/>
        <v>36400</v>
      </c>
      <c r="CN76" s="99">
        <v>800</v>
      </c>
      <c r="CO76" s="113"/>
      <c r="CP76" s="102">
        <f t="shared" si="163"/>
        <v>37200</v>
      </c>
      <c r="CQ76" s="99">
        <v>800</v>
      </c>
      <c r="CR76" s="113"/>
      <c r="CS76" s="183">
        <f t="shared" si="141"/>
        <v>38000</v>
      </c>
      <c r="CT76" s="99">
        <v>800</v>
      </c>
      <c r="CU76" s="113"/>
      <c r="CV76" s="183">
        <f t="shared" si="164"/>
        <v>38800</v>
      </c>
      <c r="CW76" s="99">
        <v>800</v>
      </c>
      <c r="CX76" s="113">
        <f>6000+4800</f>
        <v>10800</v>
      </c>
      <c r="CY76" s="183">
        <f t="shared" si="165"/>
        <v>28800</v>
      </c>
    </row>
    <row r="77" spans="1:103">
      <c r="A77" s="41">
        <f>VLOOKUP(B77,справочник!$B$2:$E$322,4,FALSE)</f>
        <v>50</v>
      </c>
      <c r="B77" t="str">
        <f t="shared" si="166"/>
        <v>50Денисов Дмитрий Алексеевич</v>
      </c>
      <c r="C77" s="1">
        <v>50</v>
      </c>
      <c r="D77" s="2" t="s">
        <v>71</v>
      </c>
      <c r="E77" s="1" t="s">
        <v>388</v>
      </c>
      <c r="F77" s="16">
        <v>40793</v>
      </c>
      <c r="G77" s="16">
        <v>40787</v>
      </c>
      <c r="H77" s="17">
        <f t="shared" si="171"/>
        <v>52</v>
      </c>
      <c r="I77" s="1">
        <f t="shared" si="172"/>
        <v>52000</v>
      </c>
      <c r="J77" s="17">
        <f>1000+41000</f>
        <v>42000</v>
      </c>
      <c r="K77" s="17"/>
      <c r="L77" s="18">
        <f t="shared" si="71"/>
        <v>10000</v>
      </c>
      <c r="M77" s="22"/>
      <c r="N77" s="22"/>
      <c r="O77" s="22">
        <v>12000</v>
      </c>
      <c r="P77" s="22"/>
      <c r="Q77" s="22"/>
      <c r="R77" s="22"/>
      <c r="S77" s="22">
        <v>3200</v>
      </c>
      <c r="T77" s="22"/>
      <c r="U77" s="22"/>
      <c r="V77" s="22"/>
      <c r="W77" s="22"/>
      <c r="X77" s="22"/>
      <c r="Y77" s="18">
        <f t="shared" si="167"/>
        <v>15200</v>
      </c>
      <c r="Z77" s="96">
        <v>12</v>
      </c>
      <c r="AA77" s="96">
        <f t="shared" si="168"/>
        <v>9600</v>
      </c>
      <c r="AB77" s="96">
        <f t="shared" si="169"/>
        <v>4400</v>
      </c>
      <c r="AC77" s="99">
        <v>800</v>
      </c>
      <c r="AD77" s="98"/>
      <c r="AE77" s="102">
        <f t="shared" si="170"/>
        <v>5200</v>
      </c>
      <c r="AF77" s="99">
        <v>800</v>
      </c>
      <c r="AG77" s="98"/>
      <c r="AH77" s="102">
        <f t="shared" si="120"/>
        <v>6000</v>
      </c>
      <c r="AI77" s="99">
        <v>800</v>
      </c>
      <c r="AJ77" s="98"/>
      <c r="AK77" s="102">
        <f t="shared" si="144"/>
        <v>6800</v>
      </c>
      <c r="AL77" s="99">
        <v>800</v>
      </c>
      <c r="AM77" s="98"/>
      <c r="AN77" s="102">
        <f t="shared" si="145"/>
        <v>7600</v>
      </c>
      <c r="AO77" s="99">
        <v>800</v>
      </c>
      <c r="AP77" s="113"/>
      <c r="AQ77" s="102">
        <f t="shared" si="146"/>
        <v>8400</v>
      </c>
      <c r="AR77" s="99">
        <v>800</v>
      </c>
      <c r="AS77" s="113"/>
      <c r="AT77" s="102">
        <f t="shared" si="147"/>
        <v>9200</v>
      </c>
      <c r="AU77" s="99">
        <v>800</v>
      </c>
      <c r="AV77" s="113"/>
      <c r="AW77" s="102">
        <f t="shared" si="148"/>
        <v>10000</v>
      </c>
      <c r="AX77" s="99">
        <v>800</v>
      </c>
      <c r="AY77" s="113"/>
      <c r="AZ77" s="102">
        <f t="shared" si="149"/>
        <v>10800</v>
      </c>
      <c r="BA77" s="99">
        <v>800</v>
      </c>
      <c r="BB77" s="113"/>
      <c r="BC77" s="102">
        <f t="shared" si="150"/>
        <v>11600</v>
      </c>
      <c r="BD77" s="99">
        <v>800</v>
      </c>
      <c r="BE77" s="113"/>
      <c r="BF77" s="102">
        <f t="shared" si="151"/>
        <v>12400</v>
      </c>
      <c r="BG77" s="99">
        <v>800</v>
      </c>
      <c r="BH77" s="113"/>
      <c r="BI77" s="102">
        <f t="shared" si="152"/>
        <v>13200</v>
      </c>
      <c r="BJ77" s="99">
        <v>800</v>
      </c>
      <c r="BK77" s="113"/>
      <c r="BL77" s="102">
        <f t="shared" si="153"/>
        <v>14000</v>
      </c>
      <c r="BM77" s="99">
        <v>800</v>
      </c>
      <c r="BN77" s="113"/>
      <c r="BO77" s="102">
        <f t="shared" si="154"/>
        <v>14800</v>
      </c>
      <c r="BP77" s="99">
        <v>800</v>
      </c>
      <c r="BQ77" s="113"/>
      <c r="BR77" s="102">
        <f t="shared" si="155"/>
        <v>15600</v>
      </c>
      <c r="BS77" s="99">
        <v>800</v>
      </c>
      <c r="BT77" s="113"/>
      <c r="BU77" s="102">
        <f t="shared" si="156"/>
        <v>16400</v>
      </c>
      <c r="BV77" s="99">
        <v>800</v>
      </c>
      <c r="BW77" s="113">
        <v>5000</v>
      </c>
      <c r="BX77" s="102">
        <f t="shared" si="157"/>
        <v>12200</v>
      </c>
      <c r="BY77" s="99">
        <v>800</v>
      </c>
      <c r="BZ77" s="113"/>
      <c r="CA77" s="102">
        <f t="shared" si="158"/>
        <v>13000</v>
      </c>
      <c r="CB77" s="99">
        <v>800</v>
      </c>
      <c r="CC77" s="113"/>
      <c r="CD77" s="102">
        <f t="shared" si="159"/>
        <v>13800</v>
      </c>
      <c r="CE77" s="99">
        <v>800</v>
      </c>
      <c r="CF77" s="113">
        <v>2000</v>
      </c>
      <c r="CG77" s="102">
        <f t="shared" si="160"/>
        <v>12600</v>
      </c>
      <c r="CH77" s="99">
        <v>800</v>
      </c>
      <c r="CI77" s="113">
        <v>2000</v>
      </c>
      <c r="CJ77" s="102">
        <f t="shared" si="161"/>
        <v>11400</v>
      </c>
      <c r="CK77" s="99">
        <v>800</v>
      </c>
      <c r="CL77" s="113"/>
      <c r="CM77" s="102">
        <f t="shared" si="162"/>
        <v>12200</v>
      </c>
      <c r="CN77" s="99">
        <v>800</v>
      </c>
      <c r="CO77" s="113"/>
      <c r="CP77" s="102">
        <f t="shared" si="163"/>
        <v>13000</v>
      </c>
      <c r="CQ77" s="99">
        <v>800</v>
      </c>
      <c r="CR77" s="113"/>
      <c r="CS77" s="183">
        <f t="shared" si="141"/>
        <v>13800</v>
      </c>
      <c r="CT77" s="99">
        <v>800</v>
      </c>
      <c r="CU77" s="113"/>
      <c r="CV77" s="183">
        <f t="shared" si="164"/>
        <v>14600</v>
      </c>
      <c r="CW77" s="99">
        <v>800</v>
      </c>
      <c r="CX77" s="113"/>
      <c r="CY77" s="183">
        <f t="shared" si="165"/>
        <v>15400</v>
      </c>
    </row>
    <row r="78" spans="1:103">
      <c r="A78" s="41">
        <f>VLOOKUP(B78,справочник!$B$2:$E$322,4,FALSE)</f>
        <v>122</v>
      </c>
      <c r="B78" t="str">
        <f t="shared" si="166"/>
        <v>127Денисов Сергей Александрович</v>
      </c>
      <c r="C78" s="1">
        <v>127</v>
      </c>
      <c r="D78" s="2" t="s">
        <v>72</v>
      </c>
      <c r="E78" s="1" t="s">
        <v>389</v>
      </c>
      <c r="F78" s="16">
        <v>40938</v>
      </c>
      <c r="G78" s="16">
        <v>40940</v>
      </c>
      <c r="H78" s="17">
        <f t="shared" si="171"/>
        <v>47</v>
      </c>
      <c r="I78" s="1">
        <f t="shared" si="172"/>
        <v>47000</v>
      </c>
      <c r="J78" s="17">
        <f>37000+5000</f>
        <v>42000</v>
      </c>
      <c r="K78" s="17">
        <v>5000</v>
      </c>
      <c r="L78" s="18">
        <f t="shared" si="71"/>
        <v>0</v>
      </c>
      <c r="M78" s="22"/>
      <c r="N78" s="22">
        <v>2000</v>
      </c>
      <c r="O78" s="22"/>
      <c r="P78" s="22">
        <v>2000</v>
      </c>
      <c r="Q78" s="22"/>
      <c r="R78" s="22"/>
      <c r="S78" s="22"/>
      <c r="T78" s="22"/>
      <c r="U78" s="22">
        <v>3200</v>
      </c>
      <c r="V78" s="22"/>
      <c r="W78" s="22"/>
      <c r="X78" s="22">
        <v>2400</v>
      </c>
      <c r="Y78" s="18">
        <f t="shared" si="167"/>
        <v>9600</v>
      </c>
      <c r="Z78" s="96">
        <v>12</v>
      </c>
      <c r="AA78" s="96">
        <f t="shared" si="168"/>
        <v>9600</v>
      </c>
      <c r="AB78" s="96">
        <f t="shared" si="169"/>
        <v>0</v>
      </c>
      <c r="AC78" s="99">
        <v>800</v>
      </c>
      <c r="AD78" s="98"/>
      <c r="AE78" s="102">
        <f t="shared" si="170"/>
        <v>800</v>
      </c>
      <c r="AF78" s="99">
        <v>800</v>
      </c>
      <c r="AG78" s="98">
        <v>1600</v>
      </c>
      <c r="AH78" s="102">
        <f t="shared" si="120"/>
        <v>0</v>
      </c>
      <c r="AI78" s="99">
        <v>800</v>
      </c>
      <c r="AJ78" s="98"/>
      <c r="AK78" s="102">
        <f t="shared" si="144"/>
        <v>800</v>
      </c>
      <c r="AL78" s="99">
        <v>800</v>
      </c>
      <c r="AM78" s="98"/>
      <c r="AN78" s="102">
        <f t="shared" si="145"/>
        <v>1600</v>
      </c>
      <c r="AO78" s="99">
        <v>800</v>
      </c>
      <c r="AP78" s="113">
        <v>2400</v>
      </c>
      <c r="AQ78" s="102">
        <f t="shared" si="146"/>
        <v>0</v>
      </c>
      <c r="AR78" s="99">
        <v>800</v>
      </c>
      <c r="AS78" s="113"/>
      <c r="AT78" s="102">
        <f t="shared" si="147"/>
        <v>800</v>
      </c>
      <c r="AU78" s="99">
        <v>800</v>
      </c>
      <c r="AV78" s="113"/>
      <c r="AW78" s="102">
        <f t="shared" si="148"/>
        <v>1600</v>
      </c>
      <c r="AX78" s="99">
        <v>800</v>
      </c>
      <c r="AY78" s="113"/>
      <c r="AZ78" s="102">
        <f t="shared" si="149"/>
        <v>2400</v>
      </c>
      <c r="BA78" s="99">
        <v>800</v>
      </c>
      <c r="BB78" s="113"/>
      <c r="BC78" s="102">
        <f t="shared" si="150"/>
        <v>3200</v>
      </c>
      <c r="BD78" s="99">
        <v>800</v>
      </c>
      <c r="BE78" s="113"/>
      <c r="BF78" s="102">
        <f t="shared" si="151"/>
        <v>4000</v>
      </c>
      <c r="BG78" s="99">
        <v>800</v>
      </c>
      <c r="BH78" s="113">
        <v>4000</v>
      </c>
      <c r="BI78" s="102">
        <f t="shared" si="152"/>
        <v>800</v>
      </c>
      <c r="BJ78" s="99">
        <v>800</v>
      </c>
      <c r="BK78" s="113"/>
      <c r="BL78" s="102">
        <f t="shared" si="153"/>
        <v>1600</v>
      </c>
      <c r="BM78" s="99">
        <v>800</v>
      </c>
      <c r="BN78" s="113"/>
      <c r="BO78" s="102">
        <f t="shared" si="154"/>
        <v>2400</v>
      </c>
      <c r="BP78" s="99">
        <v>800</v>
      </c>
      <c r="BQ78" s="113">
        <v>3200</v>
      </c>
      <c r="BR78" s="102">
        <f t="shared" si="155"/>
        <v>0</v>
      </c>
      <c r="BS78" s="99">
        <v>800</v>
      </c>
      <c r="BT78" s="113"/>
      <c r="BU78" s="102">
        <f t="shared" si="156"/>
        <v>800</v>
      </c>
      <c r="BV78" s="99">
        <v>800</v>
      </c>
      <c r="BW78" s="113"/>
      <c r="BX78" s="102">
        <f t="shared" si="157"/>
        <v>1600</v>
      </c>
      <c r="BY78" s="99">
        <v>800</v>
      </c>
      <c r="BZ78" s="113"/>
      <c r="CA78" s="102">
        <f t="shared" si="158"/>
        <v>2400</v>
      </c>
      <c r="CB78" s="99">
        <v>800</v>
      </c>
      <c r="CC78" s="113"/>
      <c r="CD78" s="102">
        <f t="shared" si="159"/>
        <v>3200</v>
      </c>
      <c r="CE78" s="99">
        <v>800</v>
      </c>
      <c r="CF78" s="113"/>
      <c r="CG78" s="102">
        <f t="shared" si="160"/>
        <v>4000</v>
      </c>
      <c r="CH78" s="99">
        <v>800</v>
      </c>
      <c r="CI78" s="113"/>
      <c r="CJ78" s="102">
        <f t="shared" si="161"/>
        <v>4800</v>
      </c>
      <c r="CK78" s="99">
        <v>800</v>
      </c>
      <c r="CL78" s="113"/>
      <c r="CM78" s="102">
        <f t="shared" si="162"/>
        <v>5600</v>
      </c>
      <c r="CN78" s="99">
        <v>800</v>
      </c>
      <c r="CO78" s="113">
        <v>4800</v>
      </c>
      <c r="CP78" s="102">
        <f t="shared" si="163"/>
        <v>1600</v>
      </c>
      <c r="CQ78" s="99">
        <v>800</v>
      </c>
      <c r="CR78" s="113"/>
      <c r="CS78" s="183">
        <f t="shared" si="141"/>
        <v>2400</v>
      </c>
      <c r="CT78" s="99">
        <v>800</v>
      </c>
      <c r="CU78" s="113"/>
      <c r="CV78" s="183">
        <f t="shared" si="164"/>
        <v>3200</v>
      </c>
      <c r="CW78" s="99">
        <v>800</v>
      </c>
      <c r="CX78" s="113"/>
      <c r="CY78" s="183">
        <f t="shared" si="165"/>
        <v>4000</v>
      </c>
    </row>
    <row r="79" spans="1:103">
      <c r="A79" s="41">
        <f>VLOOKUP(B79,справочник!$B$2:$E$322,4,FALSE)</f>
        <v>301</v>
      </c>
      <c r="B79" t="str">
        <f t="shared" si="166"/>
        <v>316Десюкова Марина Александровна</v>
      </c>
      <c r="C79" s="1">
        <v>316</v>
      </c>
      <c r="D79" s="2" t="s">
        <v>73</v>
      </c>
      <c r="E79" s="1" t="s">
        <v>390</v>
      </c>
      <c r="F79" s="16">
        <v>41969</v>
      </c>
      <c r="G79" s="16">
        <v>41974</v>
      </c>
      <c r="H79" s="17">
        <f t="shared" si="171"/>
        <v>13</v>
      </c>
      <c r="I79" s="1">
        <f t="shared" si="172"/>
        <v>13000</v>
      </c>
      <c r="J79" s="17">
        <v>1000</v>
      </c>
      <c r="K79" s="17"/>
      <c r="L79" s="18">
        <f t="shared" si="71"/>
        <v>12000</v>
      </c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18">
        <f t="shared" si="167"/>
        <v>0</v>
      </c>
      <c r="Z79" s="96">
        <v>12</v>
      </c>
      <c r="AA79" s="96">
        <f t="shared" si="168"/>
        <v>9600</v>
      </c>
      <c r="AB79" s="96">
        <f t="shared" si="169"/>
        <v>21600</v>
      </c>
      <c r="AC79" s="99">
        <v>800</v>
      </c>
      <c r="AD79" s="98"/>
      <c r="AE79" s="102">
        <f t="shared" si="170"/>
        <v>22400</v>
      </c>
      <c r="AF79" s="99">
        <v>800</v>
      </c>
      <c r="AG79" s="98"/>
      <c r="AH79" s="102">
        <f t="shared" si="120"/>
        <v>23200</v>
      </c>
      <c r="AI79" s="99">
        <v>800</v>
      </c>
      <c r="AJ79" s="98"/>
      <c r="AK79" s="102">
        <f t="shared" si="144"/>
        <v>24000</v>
      </c>
      <c r="AL79" s="99">
        <v>800</v>
      </c>
      <c r="AM79" s="98">
        <v>25000</v>
      </c>
      <c r="AN79" s="102">
        <f t="shared" si="145"/>
        <v>-200</v>
      </c>
      <c r="AO79" s="99">
        <v>800</v>
      </c>
      <c r="AP79" s="113"/>
      <c r="AQ79" s="102">
        <f t="shared" si="146"/>
        <v>600</v>
      </c>
      <c r="AR79" s="99">
        <v>800</v>
      </c>
      <c r="AS79" s="113"/>
      <c r="AT79" s="102">
        <f t="shared" si="147"/>
        <v>1400</v>
      </c>
      <c r="AU79" s="99">
        <v>800</v>
      </c>
      <c r="AV79" s="113"/>
      <c r="AW79" s="102">
        <f t="shared" si="148"/>
        <v>2200</v>
      </c>
      <c r="AX79" s="99">
        <v>800</v>
      </c>
      <c r="AY79" s="113">
        <v>2200</v>
      </c>
      <c r="AZ79" s="102">
        <f t="shared" si="149"/>
        <v>800</v>
      </c>
      <c r="BA79" s="99">
        <v>800</v>
      </c>
      <c r="BB79" s="113"/>
      <c r="BC79" s="102">
        <f t="shared" si="150"/>
        <v>1600</v>
      </c>
      <c r="BD79" s="99">
        <v>800</v>
      </c>
      <c r="BE79" s="113"/>
      <c r="BF79" s="102">
        <f t="shared" si="151"/>
        <v>2400</v>
      </c>
      <c r="BG79" s="99">
        <v>800</v>
      </c>
      <c r="BH79" s="113">
        <v>2400</v>
      </c>
      <c r="BI79" s="102">
        <f t="shared" si="152"/>
        <v>800</v>
      </c>
      <c r="BJ79" s="99">
        <v>800</v>
      </c>
      <c r="BK79" s="113">
        <v>1600</v>
      </c>
      <c r="BL79" s="102">
        <f t="shared" si="153"/>
        <v>0</v>
      </c>
      <c r="BM79" s="99">
        <v>800</v>
      </c>
      <c r="BN79" s="113"/>
      <c r="BO79" s="102">
        <f t="shared" si="154"/>
        <v>800</v>
      </c>
      <c r="BP79" s="99">
        <v>800</v>
      </c>
      <c r="BQ79" s="113"/>
      <c r="BR79" s="102">
        <f t="shared" si="155"/>
        <v>1600</v>
      </c>
      <c r="BS79" s="99">
        <v>800</v>
      </c>
      <c r="BT79" s="113"/>
      <c r="BU79" s="102">
        <f t="shared" si="156"/>
        <v>2400</v>
      </c>
      <c r="BV79" s="99">
        <v>800</v>
      </c>
      <c r="BW79" s="113">
        <v>4000</v>
      </c>
      <c r="BX79" s="102">
        <f t="shared" si="157"/>
        <v>-800</v>
      </c>
      <c r="BY79" s="99">
        <v>800</v>
      </c>
      <c r="BZ79" s="113"/>
      <c r="CA79" s="102">
        <f t="shared" si="158"/>
        <v>0</v>
      </c>
      <c r="CB79" s="99">
        <v>800</v>
      </c>
      <c r="CC79" s="113"/>
      <c r="CD79" s="102">
        <f t="shared" si="159"/>
        <v>800</v>
      </c>
      <c r="CE79" s="99">
        <v>800</v>
      </c>
      <c r="CF79" s="113"/>
      <c r="CG79" s="102">
        <f t="shared" si="160"/>
        <v>1600</v>
      </c>
      <c r="CH79" s="99">
        <v>800</v>
      </c>
      <c r="CI79" s="113">
        <v>1600</v>
      </c>
      <c r="CJ79" s="102">
        <f t="shared" si="161"/>
        <v>800</v>
      </c>
      <c r="CK79" s="99">
        <v>800</v>
      </c>
      <c r="CL79" s="113"/>
      <c r="CM79" s="102">
        <f t="shared" si="162"/>
        <v>1600</v>
      </c>
      <c r="CN79" s="99">
        <v>800</v>
      </c>
      <c r="CO79" s="113">
        <v>1600</v>
      </c>
      <c r="CP79" s="102">
        <f t="shared" si="163"/>
        <v>800</v>
      </c>
      <c r="CQ79" s="99">
        <v>800</v>
      </c>
      <c r="CR79" s="113"/>
      <c r="CS79" s="183">
        <f t="shared" si="141"/>
        <v>1600</v>
      </c>
      <c r="CT79" s="99">
        <v>800</v>
      </c>
      <c r="CU79" s="113">
        <v>4800</v>
      </c>
      <c r="CV79" s="183">
        <f t="shared" si="164"/>
        <v>-2400</v>
      </c>
      <c r="CW79" s="99">
        <v>800</v>
      </c>
      <c r="CX79" s="113"/>
      <c r="CY79" s="183">
        <f t="shared" si="165"/>
        <v>-1600</v>
      </c>
    </row>
    <row r="80" spans="1:103">
      <c r="A80" s="41" t="e">
        <f>VLOOKUP(B80,справочник!$B$2:$E$322,4,FALSE)</f>
        <v>#N/A</v>
      </c>
      <c r="B80" t="str">
        <f t="shared" si="166"/>
        <v>18Дидушко Денис Васильевич</v>
      </c>
      <c r="C80" s="1">
        <v>18</v>
      </c>
      <c r="D80" s="2" t="s">
        <v>781</v>
      </c>
      <c r="E80" s="1" t="s">
        <v>391</v>
      </c>
      <c r="F80" s="16">
        <v>41429</v>
      </c>
      <c r="G80" s="16">
        <v>41487</v>
      </c>
      <c r="H80" s="17">
        <f t="shared" si="171"/>
        <v>29</v>
      </c>
      <c r="I80" s="1">
        <f t="shared" si="172"/>
        <v>29000</v>
      </c>
      <c r="J80" s="17">
        <v>29000</v>
      </c>
      <c r="K80" s="17"/>
      <c r="L80" s="18">
        <f t="shared" si="71"/>
        <v>0</v>
      </c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18">
        <f t="shared" si="167"/>
        <v>0</v>
      </c>
      <c r="Z80" s="96">
        <v>12</v>
      </c>
      <c r="AA80" s="96">
        <f t="shared" si="168"/>
        <v>9600</v>
      </c>
      <c r="AB80" s="96">
        <f t="shared" si="169"/>
        <v>9600</v>
      </c>
      <c r="AC80" s="99">
        <v>800</v>
      </c>
      <c r="AD80" s="98"/>
      <c r="AE80" s="102">
        <f t="shared" si="170"/>
        <v>10400</v>
      </c>
      <c r="AF80" s="99">
        <v>800</v>
      </c>
      <c r="AG80" s="98"/>
      <c r="AH80" s="102">
        <f t="shared" si="120"/>
        <v>11200</v>
      </c>
      <c r="AI80" s="99">
        <v>800</v>
      </c>
      <c r="AJ80" s="98"/>
      <c r="AK80" s="102">
        <f t="shared" si="144"/>
        <v>12000</v>
      </c>
      <c r="AL80" s="99">
        <v>800</v>
      </c>
      <c r="AM80" s="98">
        <v>14400</v>
      </c>
      <c r="AN80" s="102">
        <f t="shared" si="145"/>
        <v>-1600</v>
      </c>
      <c r="AO80" s="99">
        <v>800</v>
      </c>
      <c r="AP80" s="113"/>
      <c r="AQ80" s="102">
        <f t="shared" si="146"/>
        <v>-800</v>
      </c>
      <c r="AR80" s="99">
        <v>800</v>
      </c>
      <c r="AS80" s="113"/>
      <c r="AT80" s="102">
        <f t="shared" si="147"/>
        <v>0</v>
      </c>
      <c r="AU80" s="99">
        <v>800</v>
      </c>
      <c r="AV80" s="113"/>
      <c r="AW80" s="102">
        <f t="shared" si="148"/>
        <v>800</v>
      </c>
      <c r="AX80" s="99">
        <v>800</v>
      </c>
      <c r="AY80" s="113"/>
      <c r="AZ80" s="102">
        <f t="shared" si="149"/>
        <v>1600</v>
      </c>
      <c r="BA80" s="99">
        <v>800</v>
      </c>
      <c r="BB80" s="113"/>
      <c r="BC80" s="102">
        <f t="shared" si="150"/>
        <v>2400</v>
      </c>
      <c r="BD80" s="99">
        <v>800</v>
      </c>
      <c r="BE80" s="113"/>
      <c r="BF80" s="102">
        <f t="shared" si="151"/>
        <v>3200</v>
      </c>
      <c r="BG80" s="99">
        <v>800</v>
      </c>
      <c r="BH80" s="113"/>
      <c r="BI80" s="102">
        <f t="shared" si="152"/>
        <v>4000</v>
      </c>
      <c r="BJ80" s="99">
        <v>800</v>
      </c>
      <c r="BK80" s="113"/>
      <c r="BL80" s="102">
        <f t="shared" si="153"/>
        <v>4800</v>
      </c>
      <c r="BM80" s="99">
        <v>800</v>
      </c>
      <c r="BN80" s="113"/>
      <c r="BO80" s="102">
        <f t="shared" si="154"/>
        <v>5600</v>
      </c>
      <c r="BP80" s="99">
        <v>800</v>
      </c>
      <c r="BQ80" s="113"/>
      <c r="BR80" s="102">
        <f t="shared" si="155"/>
        <v>6400</v>
      </c>
      <c r="BS80" s="99">
        <v>800</v>
      </c>
      <c r="BT80" s="113"/>
      <c r="BU80" s="102">
        <f t="shared" si="156"/>
        <v>7200</v>
      </c>
      <c r="BV80" s="99">
        <v>800</v>
      </c>
      <c r="BW80" s="113"/>
      <c r="BX80" s="102">
        <f t="shared" si="157"/>
        <v>8000</v>
      </c>
      <c r="BY80" s="99">
        <v>800</v>
      </c>
      <c r="BZ80" s="113"/>
      <c r="CA80" s="102">
        <f t="shared" si="158"/>
        <v>8800</v>
      </c>
      <c r="CB80" s="99">
        <v>800</v>
      </c>
      <c r="CC80" s="113"/>
      <c r="CD80" s="102">
        <f t="shared" si="159"/>
        <v>9600</v>
      </c>
      <c r="CE80" s="99">
        <v>800</v>
      </c>
      <c r="CF80" s="113"/>
      <c r="CG80" s="102">
        <f t="shared" si="160"/>
        <v>10400</v>
      </c>
      <c r="CH80" s="99">
        <v>800</v>
      </c>
      <c r="CI80" s="113"/>
      <c r="CJ80" s="102">
        <f t="shared" si="161"/>
        <v>11200</v>
      </c>
      <c r="CK80" s="99">
        <v>800</v>
      </c>
      <c r="CL80" s="113"/>
      <c r="CM80" s="102">
        <f t="shared" si="162"/>
        <v>12000</v>
      </c>
      <c r="CN80" s="99">
        <v>800</v>
      </c>
      <c r="CO80" s="113"/>
      <c r="CP80" s="102">
        <f t="shared" si="163"/>
        <v>12800</v>
      </c>
      <c r="CQ80" s="99">
        <v>800</v>
      </c>
      <c r="CR80" s="113"/>
      <c r="CS80" s="183">
        <f t="shared" si="141"/>
        <v>13600</v>
      </c>
      <c r="CT80" s="99">
        <v>800</v>
      </c>
      <c r="CU80" s="113">
        <v>5000</v>
      </c>
      <c r="CV80" s="183">
        <f t="shared" si="164"/>
        <v>9400</v>
      </c>
      <c r="CW80" s="99">
        <v>800</v>
      </c>
      <c r="CX80" s="113"/>
      <c r="CY80" s="183">
        <f t="shared" si="165"/>
        <v>10200</v>
      </c>
    </row>
    <row r="81" spans="1:103">
      <c r="A81" s="41">
        <f>VLOOKUP(B81,справочник!$B$2:$E$322,4,FALSE)</f>
        <v>155</v>
      </c>
      <c r="B81" t="str">
        <f t="shared" si="166"/>
        <v>163Дорошенко Владимир Алексеевич</v>
      </c>
      <c r="C81" s="1">
        <v>163</v>
      </c>
      <c r="D81" s="2" t="s">
        <v>75</v>
      </c>
      <c r="E81" s="1" t="s">
        <v>392</v>
      </c>
      <c r="F81" s="16">
        <v>41491</v>
      </c>
      <c r="G81" s="16">
        <v>41518</v>
      </c>
      <c r="H81" s="17">
        <f t="shared" si="171"/>
        <v>28</v>
      </c>
      <c r="I81" s="1">
        <f t="shared" si="172"/>
        <v>28000</v>
      </c>
      <c r="J81" s="17">
        <v>28000</v>
      </c>
      <c r="K81" s="17">
        <v>2000</v>
      </c>
      <c r="L81" s="18">
        <f t="shared" si="71"/>
        <v>-2000</v>
      </c>
      <c r="M81" s="22"/>
      <c r="N81" s="22">
        <v>600</v>
      </c>
      <c r="O81" s="22">
        <v>1600</v>
      </c>
      <c r="P81" s="22"/>
      <c r="Q81" s="22">
        <v>1600</v>
      </c>
      <c r="R81" s="22"/>
      <c r="S81" s="22">
        <v>1600</v>
      </c>
      <c r="T81" s="22"/>
      <c r="U81" s="22"/>
      <c r="V81" s="22">
        <v>1600</v>
      </c>
      <c r="W81" s="84">
        <v>1600</v>
      </c>
      <c r="X81" s="22"/>
      <c r="Y81" s="18">
        <f t="shared" si="167"/>
        <v>8600</v>
      </c>
      <c r="Z81" s="96">
        <v>12</v>
      </c>
      <c r="AA81" s="96">
        <f t="shared" si="168"/>
        <v>9600</v>
      </c>
      <c r="AB81" s="96">
        <f t="shared" si="169"/>
        <v>-1000</v>
      </c>
      <c r="AC81" s="99">
        <v>800</v>
      </c>
      <c r="AD81" s="98">
        <v>1600</v>
      </c>
      <c r="AE81" s="102">
        <f t="shared" si="170"/>
        <v>-1800</v>
      </c>
      <c r="AF81" s="99">
        <v>800</v>
      </c>
      <c r="AG81" s="98"/>
      <c r="AH81" s="102">
        <f t="shared" si="120"/>
        <v>-1000</v>
      </c>
      <c r="AI81" s="99">
        <v>800</v>
      </c>
      <c r="AJ81" s="98"/>
      <c r="AK81" s="102">
        <f t="shared" si="144"/>
        <v>-200</v>
      </c>
      <c r="AL81" s="99">
        <v>800</v>
      </c>
      <c r="AM81" s="98"/>
      <c r="AN81" s="102">
        <f t="shared" si="145"/>
        <v>600</v>
      </c>
      <c r="AO81" s="99">
        <v>800</v>
      </c>
      <c r="AP81" s="113"/>
      <c r="AQ81" s="102">
        <f t="shared" si="146"/>
        <v>1400</v>
      </c>
      <c r="AR81" s="99">
        <v>800</v>
      </c>
      <c r="AS81" s="113">
        <v>1500</v>
      </c>
      <c r="AT81" s="102">
        <f t="shared" si="147"/>
        <v>700</v>
      </c>
      <c r="AU81" s="99">
        <v>800</v>
      </c>
      <c r="AV81" s="113">
        <f>1600+1600</f>
        <v>3200</v>
      </c>
      <c r="AW81" s="102">
        <f t="shared" si="148"/>
        <v>-1700</v>
      </c>
      <c r="AX81" s="99">
        <v>800</v>
      </c>
      <c r="AY81" s="113">
        <f>800+800</f>
        <v>1600</v>
      </c>
      <c r="AZ81" s="102">
        <f t="shared" si="149"/>
        <v>-2500</v>
      </c>
      <c r="BA81" s="99">
        <v>800</v>
      </c>
      <c r="BB81" s="113"/>
      <c r="BC81" s="102">
        <f t="shared" si="150"/>
        <v>-1700</v>
      </c>
      <c r="BD81" s="99">
        <v>800</v>
      </c>
      <c r="BE81" s="113">
        <v>1600</v>
      </c>
      <c r="BF81" s="102">
        <f t="shared" si="151"/>
        <v>-2500</v>
      </c>
      <c r="BG81" s="99">
        <v>800</v>
      </c>
      <c r="BH81" s="113"/>
      <c r="BI81" s="102">
        <f t="shared" si="152"/>
        <v>-1700</v>
      </c>
      <c r="BJ81" s="99">
        <v>800</v>
      </c>
      <c r="BK81" s="113"/>
      <c r="BL81" s="102">
        <f t="shared" si="153"/>
        <v>-900</v>
      </c>
      <c r="BM81" s="99">
        <v>800</v>
      </c>
      <c r="BN81" s="113"/>
      <c r="BO81" s="102">
        <f t="shared" si="154"/>
        <v>-100</v>
      </c>
      <c r="BP81" s="99">
        <v>800</v>
      </c>
      <c r="BQ81" s="113">
        <v>1000</v>
      </c>
      <c r="BR81" s="102">
        <f t="shared" si="155"/>
        <v>-300</v>
      </c>
      <c r="BS81" s="99">
        <v>800</v>
      </c>
      <c r="BT81" s="113">
        <v>2000</v>
      </c>
      <c r="BU81" s="102">
        <f t="shared" si="156"/>
        <v>-1500</v>
      </c>
      <c r="BV81" s="99">
        <v>800</v>
      </c>
      <c r="BW81" s="113"/>
      <c r="BX81" s="102">
        <f t="shared" si="157"/>
        <v>-700</v>
      </c>
      <c r="BY81" s="99">
        <v>800</v>
      </c>
      <c r="BZ81" s="113"/>
      <c r="CA81" s="102">
        <f t="shared" si="158"/>
        <v>100</v>
      </c>
      <c r="CB81" s="99">
        <v>800</v>
      </c>
      <c r="CC81" s="113"/>
      <c r="CD81" s="102">
        <f t="shared" si="159"/>
        <v>900</v>
      </c>
      <c r="CE81" s="99">
        <v>800</v>
      </c>
      <c r="CF81" s="113"/>
      <c r="CG81" s="102">
        <f t="shared" si="160"/>
        <v>1700</v>
      </c>
      <c r="CH81" s="99">
        <v>800</v>
      </c>
      <c r="CI81" s="113">
        <v>2000</v>
      </c>
      <c r="CJ81" s="102">
        <f t="shared" si="161"/>
        <v>500</v>
      </c>
      <c r="CK81" s="99">
        <v>800</v>
      </c>
      <c r="CL81" s="113">
        <v>3000</v>
      </c>
      <c r="CM81" s="102">
        <f t="shared" si="162"/>
        <v>-1700</v>
      </c>
      <c r="CN81" s="99">
        <v>800</v>
      </c>
      <c r="CO81" s="113"/>
      <c r="CP81" s="102">
        <f t="shared" si="163"/>
        <v>-900</v>
      </c>
      <c r="CQ81" s="99">
        <v>800</v>
      </c>
      <c r="CR81" s="113"/>
      <c r="CS81" s="183">
        <f t="shared" si="141"/>
        <v>-100</v>
      </c>
      <c r="CT81" s="99">
        <v>800</v>
      </c>
      <c r="CU81" s="113">
        <v>2000</v>
      </c>
      <c r="CV81" s="183">
        <f t="shared" si="164"/>
        <v>-1300</v>
      </c>
      <c r="CW81" s="99">
        <v>800</v>
      </c>
      <c r="CX81" s="113"/>
      <c r="CY81" s="183">
        <f t="shared" si="165"/>
        <v>-500</v>
      </c>
    </row>
    <row r="82" spans="1:103">
      <c r="A82" s="41">
        <f>VLOOKUP(B82,справочник!$B$2:$E$322,4,FALSE)</f>
        <v>44</v>
      </c>
      <c r="B82" t="str">
        <f t="shared" si="166"/>
        <v>44Дубов Александр Сергеевич</v>
      </c>
      <c r="C82" s="1">
        <v>44</v>
      </c>
      <c r="D82" s="2" t="s">
        <v>76</v>
      </c>
      <c r="E82" s="23" t="s">
        <v>338</v>
      </c>
      <c r="F82" s="24">
        <v>41100</v>
      </c>
      <c r="G82" s="24">
        <v>41091</v>
      </c>
      <c r="H82" s="17">
        <f t="shared" si="171"/>
        <v>42</v>
      </c>
      <c r="I82" s="1">
        <f t="shared" si="172"/>
        <v>42000</v>
      </c>
      <c r="J82" s="17">
        <f>21000+6000</f>
        <v>27000</v>
      </c>
      <c r="K82" s="17">
        <v>13000</v>
      </c>
      <c r="L82" s="18">
        <f t="shared" si="71"/>
        <v>2000</v>
      </c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18">
        <f t="shared" si="167"/>
        <v>0</v>
      </c>
      <c r="Z82" s="96">
        <v>12</v>
      </c>
      <c r="AA82" s="96">
        <f t="shared" si="168"/>
        <v>9600</v>
      </c>
      <c r="AB82" s="96">
        <f t="shared" si="169"/>
        <v>11600</v>
      </c>
      <c r="AC82" s="99">
        <v>800</v>
      </c>
      <c r="AD82" s="98"/>
      <c r="AE82" s="102">
        <f t="shared" si="170"/>
        <v>12400</v>
      </c>
      <c r="AF82" s="99">
        <v>800</v>
      </c>
      <c r="AG82" s="98"/>
      <c r="AH82" s="102">
        <f t="shared" si="120"/>
        <v>13200</v>
      </c>
      <c r="AI82" s="99">
        <v>800</v>
      </c>
      <c r="AJ82" s="98">
        <v>7200</v>
      </c>
      <c r="AK82" s="102">
        <f t="shared" si="144"/>
        <v>6800</v>
      </c>
      <c r="AL82" s="99">
        <v>800</v>
      </c>
      <c r="AM82" s="98"/>
      <c r="AN82" s="102">
        <f t="shared" si="145"/>
        <v>7600</v>
      </c>
      <c r="AO82" s="99">
        <v>800</v>
      </c>
      <c r="AP82" s="113"/>
      <c r="AQ82" s="102">
        <f t="shared" si="146"/>
        <v>8400</v>
      </c>
      <c r="AR82" s="99">
        <v>800</v>
      </c>
      <c r="AS82" s="113"/>
      <c r="AT82" s="102">
        <f t="shared" si="147"/>
        <v>9200</v>
      </c>
      <c r="AU82" s="99">
        <v>800</v>
      </c>
      <c r="AV82" s="113"/>
      <c r="AW82" s="102">
        <f t="shared" si="148"/>
        <v>10000</v>
      </c>
      <c r="AX82" s="99">
        <v>800</v>
      </c>
      <c r="AY82" s="113"/>
      <c r="AZ82" s="102">
        <f t="shared" si="149"/>
        <v>10800</v>
      </c>
      <c r="BA82" s="99">
        <v>800</v>
      </c>
      <c r="BB82" s="113"/>
      <c r="BC82" s="102">
        <f t="shared" si="150"/>
        <v>11600</v>
      </c>
      <c r="BD82" s="99">
        <v>800</v>
      </c>
      <c r="BE82" s="113"/>
      <c r="BF82" s="102">
        <f t="shared" si="151"/>
        <v>12400</v>
      </c>
      <c r="BG82" s="99">
        <v>800</v>
      </c>
      <c r="BH82" s="113"/>
      <c r="BI82" s="102">
        <f t="shared" si="152"/>
        <v>13200</v>
      </c>
      <c r="BJ82" s="99">
        <v>800</v>
      </c>
      <c r="BK82" s="113">
        <v>3000</v>
      </c>
      <c r="BL82" s="102">
        <f t="shared" si="153"/>
        <v>11000</v>
      </c>
      <c r="BM82" s="99">
        <v>800</v>
      </c>
      <c r="BN82" s="113"/>
      <c r="BO82" s="102">
        <f t="shared" si="154"/>
        <v>11800</v>
      </c>
      <c r="BP82" s="99">
        <v>800</v>
      </c>
      <c r="BQ82" s="113">
        <f>6000+5000</f>
        <v>11000</v>
      </c>
      <c r="BR82" s="102">
        <f t="shared" si="155"/>
        <v>1600</v>
      </c>
      <c r="BS82" s="99">
        <v>800</v>
      </c>
      <c r="BT82" s="113"/>
      <c r="BU82" s="102">
        <f t="shared" si="156"/>
        <v>2400</v>
      </c>
      <c r="BV82" s="99">
        <v>800</v>
      </c>
      <c r="BW82" s="113">
        <v>5000</v>
      </c>
      <c r="BX82" s="102">
        <f t="shared" si="157"/>
        <v>-1800</v>
      </c>
      <c r="BY82" s="99">
        <v>800</v>
      </c>
      <c r="BZ82" s="113"/>
      <c r="CA82" s="102">
        <f t="shared" si="158"/>
        <v>-1000</v>
      </c>
      <c r="CB82" s="99">
        <v>800</v>
      </c>
      <c r="CC82" s="113"/>
      <c r="CD82" s="102">
        <f t="shared" si="159"/>
        <v>-200</v>
      </c>
      <c r="CE82" s="99">
        <v>800</v>
      </c>
      <c r="CF82" s="113"/>
      <c r="CG82" s="102">
        <f t="shared" si="160"/>
        <v>600</v>
      </c>
      <c r="CH82" s="99">
        <v>800</v>
      </c>
      <c r="CI82" s="113"/>
      <c r="CJ82" s="102">
        <f t="shared" si="161"/>
        <v>1400</v>
      </c>
      <c r="CK82" s="99">
        <v>800</v>
      </c>
      <c r="CL82" s="113"/>
      <c r="CM82" s="102">
        <f t="shared" si="162"/>
        <v>2200</v>
      </c>
      <c r="CN82" s="99">
        <v>800</v>
      </c>
      <c r="CO82" s="113"/>
      <c r="CP82" s="102">
        <f t="shared" si="163"/>
        <v>3000</v>
      </c>
      <c r="CQ82" s="99">
        <v>800</v>
      </c>
      <c r="CR82" s="113"/>
      <c r="CS82" s="183">
        <f t="shared" si="141"/>
        <v>3800</v>
      </c>
      <c r="CT82" s="99">
        <v>800</v>
      </c>
      <c r="CU82" s="113"/>
      <c r="CV82" s="183">
        <f t="shared" si="164"/>
        <v>4600</v>
      </c>
      <c r="CW82" s="99">
        <v>800</v>
      </c>
      <c r="CX82" s="113">
        <v>5000</v>
      </c>
      <c r="CY82" s="183">
        <f t="shared" si="165"/>
        <v>400</v>
      </c>
    </row>
    <row r="83" spans="1:103">
      <c r="A83" s="41">
        <f>VLOOKUP(B83,справочник!$B$2:$E$322,4,FALSE)</f>
        <v>132</v>
      </c>
      <c r="B83" t="str">
        <f t="shared" si="166"/>
        <v>139Евглевская Ольга Борисовна</v>
      </c>
      <c r="C83" s="1">
        <v>139</v>
      </c>
      <c r="D83" s="2" t="s">
        <v>77</v>
      </c>
      <c r="E83" s="1" t="s">
        <v>393</v>
      </c>
      <c r="F83" s="16">
        <v>40690</v>
      </c>
      <c r="G83" s="16">
        <v>40695</v>
      </c>
      <c r="H83" s="17">
        <f t="shared" si="171"/>
        <v>55</v>
      </c>
      <c r="I83" s="1">
        <f t="shared" si="172"/>
        <v>55000</v>
      </c>
      <c r="J83" s="17">
        <f>41000+1000</f>
        <v>42000</v>
      </c>
      <c r="K83" s="17"/>
      <c r="L83" s="18">
        <f t="shared" si="71"/>
        <v>13000</v>
      </c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18">
        <f t="shared" si="167"/>
        <v>0</v>
      </c>
      <c r="Z83" s="96">
        <v>12</v>
      </c>
      <c r="AA83" s="96">
        <f t="shared" si="168"/>
        <v>9600</v>
      </c>
      <c r="AB83" s="96">
        <f t="shared" si="169"/>
        <v>22600</v>
      </c>
      <c r="AC83" s="99">
        <v>800</v>
      </c>
      <c r="AD83" s="98"/>
      <c r="AE83" s="102">
        <f t="shared" si="170"/>
        <v>23400</v>
      </c>
      <c r="AF83" s="99">
        <v>800</v>
      </c>
      <c r="AG83" s="98"/>
      <c r="AH83" s="102">
        <f t="shared" si="120"/>
        <v>24200</v>
      </c>
      <c r="AI83" s="99">
        <v>800</v>
      </c>
      <c r="AJ83" s="98"/>
      <c r="AK83" s="102">
        <f t="shared" si="144"/>
        <v>25000</v>
      </c>
      <c r="AL83" s="99">
        <v>800</v>
      </c>
      <c r="AM83" s="98"/>
      <c r="AN83" s="102">
        <f t="shared" si="145"/>
        <v>25800</v>
      </c>
      <c r="AO83" s="99">
        <v>800</v>
      </c>
      <c r="AP83" s="113"/>
      <c r="AQ83" s="102">
        <f t="shared" si="146"/>
        <v>26600</v>
      </c>
      <c r="AR83" s="99">
        <v>800</v>
      </c>
      <c r="AS83" s="113"/>
      <c r="AT83" s="102">
        <f t="shared" si="147"/>
        <v>27400</v>
      </c>
      <c r="AU83" s="99">
        <v>800</v>
      </c>
      <c r="AV83" s="113"/>
      <c r="AW83" s="102">
        <f t="shared" si="148"/>
        <v>28200</v>
      </c>
      <c r="AX83" s="99">
        <v>800</v>
      </c>
      <c r="AY83" s="113"/>
      <c r="AZ83" s="102">
        <f t="shared" si="149"/>
        <v>29000</v>
      </c>
      <c r="BA83" s="99">
        <v>800</v>
      </c>
      <c r="BB83" s="113"/>
      <c r="BC83" s="102">
        <f t="shared" si="150"/>
        <v>29800</v>
      </c>
      <c r="BD83" s="99">
        <v>800</v>
      </c>
      <c r="BE83" s="113"/>
      <c r="BF83" s="102">
        <f t="shared" si="151"/>
        <v>30600</v>
      </c>
      <c r="BG83" s="99">
        <v>800</v>
      </c>
      <c r="BH83" s="113"/>
      <c r="BI83" s="102">
        <f t="shared" si="152"/>
        <v>31400</v>
      </c>
      <c r="BJ83" s="99">
        <v>800</v>
      </c>
      <c r="BK83" s="113"/>
      <c r="BL83" s="102">
        <f t="shared" si="153"/>
        <v>32200</v>
      </c>
      <c r="BM83" s="99">
        <v>800</v>
      </c>
      <c r="BN83" s="113"/>
      <c r="BO83" s="102">
        <f t="shared" si="154"/>
        <v>33000</v>
      </c>
      <c r="BP83" s="99">
        <v>800</v>
      </c>
      <c r="BQ83" s="113"/>
      <c r="BR83" s="102">
        <f t="shared" si="155"/>
        <v>33800</v>
      </c>
      <c r="BS83" s="99">
        <v>800</v>
      </c>
      <c r="BT83" s="113"/>
      <c r="BU83" s="102">
        <f t="shared" si="156"/>
        <v>34600</v>
      </c>
      <c r="BV83" s="99">
        <v>800</v>
      </c>
      <c r="BW83" s="113"/>
      <c r="BX83" s="102">
        <f t="shared" si="157"/>
        <v>35400</v>
      </c>
      <c r="BY83" s="99">
        <v>800</v>
      </c>
      <c r="BZ83" s="113">
        <v>9600</v>
      </c>
      <c r="CA83" s="102">
        <f t="shared" si="158"/>
        <v>26600</v>
      </c>
      <c r="CB83" s="99">
        <v>800</v>
      </c>
      <c r="CC83" s="113"/>
      <c r="CD83" s="102">
        <f t="shared" si="159"/>
        <v>27400</v>
      </c>
      <c r="CE83" s="99">
        <v>800</v>
      </c>
      <c r="CF83" s="113"/>
      <c r="CG83" s="102">
        <f t="shared" si="160"/>
        <v>28200</v>
      </c>
      <c r="CH83" s="99">
        <v>800</v>
      </c>
      <c r="CI83" s="113"/>
      <c r="CJ83" s="102">
        <f t="shared" si="161"/>
        <v>29000</v>
      </c>
      <c r="CK83" s="99">
        <v>800</v>
      </c>
      <c r="CL83" s="113"/>
      <c r="CM83" s="102">
        <f t="shared" si="162"/>
        <v>29800</v>
      </c>
      <c r="CN83" s="99">
        <v>800</v>
      </c>
      <c r="CO83" s="113"/>
      <c r="CP83" s="102">
        <f t="shared" si="163"/>
        <v>30600</v>
      </c>
      <c r="CQ83" s="99">
        <v>800</v>
      </c>
      <c r="CR83" s="113"/>
      <c r="CS83" s="183">
        <f t="shared" si="141"/>
        <v>31400</v>
      </c>
      <c r="CT83" s="99">
        <v>800</v>
      </c>
      <c r="CU83" s="113"/>
      <c r="CV83" s="183">
        <f t="shared" si="164"/>
        <v>32200</v>
      </c>
      <c r="CW83" s="99">
        <v>800</v>
      </c>
      <c r="CX83" s="113"/>
      <c r="CY83" s="183">
        <f t="shared" si="165"/>
        <v>33000</v>
      </c>
    </row>
    <row r="84" spans="1:103">
      <c r="A84" s="41">
        <f>VLOOKUP(B84,справочник!$B$2:$E$322,4,FALSE)</f>
        <v>159</v>
      </c>
      <c r="B84" t="str">
        <f t="shared" si="166"/>
        <v>167Евсеев Александр Сергеевич</v>
      </c>
      <c r="C84" s="1">
        <v>167</v>
      </c>
      <c r="D84" s="2" t="s">
        <v>78</v>
      </c>
      <c r="E84" s="1" t="s">
        <v>394</v>
      </c>
      <c r="F84" s="16">
        <v>41044</v>
      </c>
      <c r="G84" s="16">
        <v>41030</v>
      </c>
      <c r="H84" s="17">
        <f t="shared" si="171"/>
        <v>44</v>
      </c>
      <c r="I84" s="1">
        <f t="shared" si="172"/>
        <v>44000</v>
      </c>
      <c r="J84" s="17">
        <f>32000</f>
        <v>32000</v>
      </c>
      <c r="K84" s="17"/>
      <c r="L84" s="18">
        <f t="shared" si="71"/>
        <v>12000</v>
      </c>
      <c r="M84" s="22"/>
      <c r="N84" s="22">
        <v>12000</v>
      </c>
      <c r="O84" s="22"/>
      <c r="P84" s="22"/>
      <c r="Q84" s="22"/>
      <c r="R84" s="22"/>
      <c r="S84" s="22">
        <v>5600</v>
      </c>
      <c r="T84" s="22"/>
      <c r="U84" s="22"/>
      <c r="V84" s="22"/>
      <c r="W84" s="22"/>
      <c r="X84" s="22">
        <v>4000</v>
      </c>
      <c r="Y84" s="18">
        <f t="shared" si="167"/>
        <v>21600</v>
      </c>
      <c r="Z84" s="96">
        <v>12</v>
      </c>
      <c r="AA84" s="96">
        <f t="shared" si="168"/>
        <v>9600</v>
      </c>
      <c r="AB84" s="96">
        <f t="shared" si="169"/>
        <v>0</v>
      </c>
      <c r="AC84" s="99">
        <v>800</v>
      </c>
      <c r="AD84" s="98"/>
      <c r="AE84" s="102">
        <f t="shared" si="170"/>
        <v>800</v>
      </c>
      <c r="AF84" s="99">
        <v>800</v>
      </c>
      <c r="AG84" s="98"/>
      <c r="AH84" s="102">
        <f t="shared" si="120"/>
        <v>1600</v>
      </c>
      <c r="AI84" s="99">
        <v>800</v>
      </c>
      <c r="AJ84" s="98"/>
      <c r="AK84" s="102">
        <f t="shared" si="144"/>
        <v>2400</v>
      </c>
      <c r="AL84" s="99">
        <v>800</v>
      </c>
      <c r="AM84" s="98"/>
      <c r="AN84" s="102">
        <f t="shared" si="145"/>
        <v>3200</v>
      </c>
      <c r="AO84" s="99">
        <v>800</v>
      </c>
      <c r="AP84" s="113"/>
      <c r="AQ84" s="102">
        <f t="shared" si="146"/>
        <v>4000</v>
      </c>
      <c r="AR84" s="99">
        <v>800</v>
      </c>
      <c r="AS84" s="113"/>
      <c r="AT84" s="102">
        <f t="shared" si="147"/>
        <v>4800</v>
      </c>
      <c r="AU84" s="99">
        <v>800</v>
      </c>
      <c r="AV84" s="113"/>
      <c r="AW84" s="102">
        <f t="shared" si="148"/>
        <v>5600</v>
      </c>
      <c r="AX84" s="99">
        <v>800</v>
      </c>
      <c r="AY84" s="113"/>
      <c r="AZ84" s="102">
        <f t="shared" si="149"/>
        <v>6400</v>
      </c>
      <c r="BA84" s="99">
        <v>800</v>
      </c>
      <c r="BB84" s="113"/>
      <c r="BC84" s="102">
        <f t="shared" si="150"/>
        <v>7200</v>
      </c>
      <c r="BD84" s="99">
        <v>800</v>
      </c>
      <c r="BE84" s="113"/>
      <c r="BF84" s="102">
        <f t="shared" si="151"/>
        <v>8000</v>
      </c>
      <c r="BG84" s="99">
        <v>800</v>
      </c>
      <c r="BH84" s="113"/>
      <c r="BI84" s="102">
        <f t="shared" si="152"/>
        <v>8800</v>
      </c>
      <c r="BJ84" s="99">
        <v>800</v>
      </c>
      <c r="BK84" s="113">
        <v>9600</v>
      </c>
      <c r="BL84" s="102">
        <f t="shared" si="153"/>
        <v>0</v>
      </c>
      <c r="BM84" s="99">
        <v>800</v>
      </c>
      <c r="BN84" s="113"/>
      <c r="BO84" s="102">
        <f t="shared" si="154"/>
        <v>800</v>
      </c>
      <c r="BP84" s="99">
        <v>800</v>
      </c>
      <c r="BQ84" s="113"/>
      <c r="BR84" s="102">
        <f t="shared" si="155"/>
        <v>1600</v>
      </c>
      <c r="BS84" s="99">
        <v>800</v>
      </c>
      <c r="BT84" s="113"/>
      <c r="BU84" s="102">
        <f t="shared" si="156"/>
        <v>2400</v>
      </c>
      <c r="BV84" s="99">
        <v>800</v>
      </c>
      <c r="BW84" s="113"/>
      <c r="BX84" s="102">
        <f t="shared" si="157"/>
        <v>3200</v>
      </c>
      <c r="BY84" s="99">
        <v>800</v>
      </c>
      <c r="BZ84" s="113"/>
      <c r="CA84" s="102">
        <f t="shared" si="158"/>
        <v>4000</v>
      </c>
      <c r="CB84" s="99">
        <v>800</v>
      </c>
      <c r="CC84" s="113"/>
      <c r="CD84" s="102">
        <f t="shared" si="159"/>
        <v>4800</v>
      </c>
      <c r="CE84" s="99">
        <v>800</v>
      </c>
      <c r="CF84" s="113"/>
      <c r="CG84" s="102">
        <f t="shared" si="160"/>
        <v>5600</v>
      </c>
      <c r="CH84" s="99">
        <v>800</v>
      </c>
      <c r="CI84" s="113"/>
      <c r="CJ84" s="102">
        <f t="shared" si="161"/>
        <v>6400</v>
      </c>
      <c r="CK84" s="99">
        <v>800</v>
      </c>
      <c r="CL84" s="113"/>
      <c r="CM84" s="102">
        <f t="shared" si="162"/>
        <v>7200</v>
      </c>
      <c r="CN84" s="99">
        <v>800</v>
      </c>
      <c r="CO84" s="113"/>
      <c r="CP84" s="102">
        <f t="shared" si="163"/>
        <v>8000</v>
      </c>
      <c r="CQ84" s="99">
        <v>800</v>
      </c>
      <c r="CR84" s="113"/>
      <c r="CS84" s="183">
        <f t="shared" si="141"/>
        <v>8800</v>
      </c>
      <c r="CT84" s="99">
        <v>800</v>
      </c>
      <c r="CU84" s="113">
        <v>9600</v>
      </c>
      <c r="CV84" s="183">
        <f t="shared" si="164"/>
        <v>0</v>
      </c>
      <c r="CW84" s="99">
        <v>800</v>
      </c>
      <c r="CX84" s="113"/>
      <c r="CY84" s="183">
        <f t="shared" si="165"/>
        <v>800</v>
      </c>
    </row>
    <row r="85" spans="1:103">
      <c r="A85" s="41" t="e">
        <f>VLOOKUP(B85,справочник!$B$2:$E$322,4,FALSE)</f>
        <v>#N/A</v>
      </c>
      <c r="B85" t="str">
        <f t="shared" si="166"/>
        <v>189Елисеев Сергей Вячеславович</v>
      </c>
      <c r="C85" s="1">
        <v>189</v>
      </c>
      <c r="D85" s="2" t="s">
        <v>789</v>
      </c>
      <c r="E85" s="1" t="s">
        <v>395</v>
      </c>
      <c r="F85" s="16">
        <v>41734</v>
      </c>
      <c r="G85" s="16">
        <v>41760</v>
      </c>
      <c r="H85" s="17">
        <f t="shared" si="171"/>
        <v>20</v>
      </c>
      <c r="I85" s="1">
        <f t="shared" si="172"/>
        <v>20000</v>
      </c>
      <c r="J85" s="17">
        <v>17000</v>
      </c>
      <c r="K85" s="17"/>
      <c r="L85" s="18">
        <f t="shared" si="71"/>
        <v>3000</v>
      </c>
      <c r="M85" s="22"/>
      <c r="N85" s="22"/>
      <c r="O85" s="22"/>
      <c r="P85" s="22"/>
      <c r="Q85" s="22">
        <v>7000</v>
      </c>
      <c r="R85" s="22"/>
      <c r="S85" s="22"/>
      <c r="T85" s="22"/>
      <c r="U85" s="22"/>
      <c r="V85" s="22"/>
      <c r="W85" s="22"/>
      <c r="X85" s="22"/>
      <c r="Y85" s="18">
        <f t="shared" si="167"/>
        <v>7000</v>
      </c>
      <c r="Z85" s="96">
        <v>12</v>
      </c>
      <c r="AA85" s="96">
        <f t="shared" si="168"/>
        <v>9600</v>
      </c>
      <c r="AB85" s="96">
        <f t="shared" si="169"/>
        <v>5600</v>
      </c>
      <c r="AC85" s="99">
        <v>800</v>
      </c>
      <c r="AD85" s="98"/>
      <c r="AE85" s="102">
        <f t="shared" si="170"/>
        <v>6400</v>
      </c>
      <c r="AF85" s="99">
        <v>800</v>
      </c>
      <c r="AG85" s="98"/>
      <c r="AH85" s="102">
        <f t="shared" si="120"/>
        <v>7200</v>
      </c>
      <c r="AI85" s="99">
        <v>800</v>
      </c>
      <c r="AJ85" s="98"/>
      <c r="AK85" s="102">
        <f t="shared" si="144"/>
        <v>8000</v>
      </c>
      <c r="AL85" s="99">
        <v>800</v>
      </c>
      <c r="AM85" s="98"/>
      <c r="AN85" s="102">
        <f t="shared" si="145"/>
        <v>8800</v>
      </c>
      <c r="AO85" s="99">
        <v>800</v>
      </c>
      <c r="AP85" s="113"/>
      <c r="AQ85" s="102">
        <f t="shared" si="146"/>
        <v>9600</v>
      </c>
      <c r="AR85" s="99">
        <v>800</v>
      </c>
      <c r="AS85" s="113"/>
      <c r="AT85" s="102">
        <f t="shared" si="147"/>
        <v>10400</v>
      </c>
      <c r="AU85" s="99">
        <v>800</v>
      </c>
      <c r="AV85" s="113"/>
      <c r="AW85" s="102">
        <f t="shared" si="148"/>
        <v>11200</v>
      </c>
      <c r="AX85" s="99">
        <v>800</v>
      </c>
      <c r="AY85" s="113"/>
      <c r="AZ85" s="102">
        <f t="shared" si="149"/>
        <v>12000</v>
      </c>
      <c r="BA85" s="99">
        <v>800</v>
      </c>
      <c r="BB85" s="113"/>
      <c r="BC85" s="102">
        <f t="shared" si="150"/>
        <v>12800</v>
      </c>
      <c r="BD85" s="99">
        <v>800</v>
      </c>
      <c r="BE85" s="113"/>
      <c r="BF85" s="102">
        <f t="shared" si="151"/>
        <v>13600</v>
      </c>
      <c r="BG85" s="99">
        <v>800</v>
      </c>
      <c r="BH85" s="113"/>
      <c r="BI85" s="102">
        <f t="shared" si="152"/>
        <v>14400</v>
      </c>
      <c r="BJ85" s="99">
        <v>800</v>
      </c>
      <c r="BK85" s="113"/>
      <c r="BL85" s="102">
        <f t="shared" si="153"/>
        <v>15200</v>
      </c>
      <c r="BM85" s="99">
        <v>800</v>
      </c>
      <c r="BN85" s="113"/>
      <c r="BO85" s="102">
        <f t="shared" si="154"/>
        <v>16000</v>
      </c>
      <c r="BP85" s="99">
        <v>800</v>
      </c>
      <c r="BQ85" s="113"/>
      <c r="BR85" s="102">
        <f t="shared" si="155"/>
        <v>16800</v>
      </c>
      <c r="BS85" s="99">
        <v>800</v>
      </c>
      <c r="BT85" s="113">
        <v>17400</v>
      </c>
      <c r="BU85" s="102">
        <f t="shared" si="156"/>
        <v>200</v>
      </c>
      <c r="BV85" s="99">
        <v>800</v>
      </c>
      <c r="BW85" s="113"/>
      <c r="BX85" s="102">
        <f t="shared" si="157"/>
        <v>1000</v>
      </c>
      <c r="BY85" s="99">
        <v>800</v>
      </c>
      <c r="BZ85" s="113"/>
      <c r="CA85" s="102">
        <f t="shared" si="158"/>
        <v>1800</v>
      </c>
      <c r="CB85" s="99">
        <v>800</v>
      </c>
      <c r="CC85" s="113"/>
      <c r="CD85" s="102">
        <f t="shared" si="159"/>
        <v>2600</v>
      </c>
      <c r="CE85" s="99">
        <v>800</v>
      </c>
      <c r="CF85" s="113"/>
      <c r="CG85" s="102">
        <f t="shared" si="160"/>
        <v>3400</v>
      </c>
      <c r="CH85" s="99">
        <v>800</v>
      </c>
      <c r="CI85" s="113">
        <v>4200</v>
      </c>
      <c r="CJ85" s="102">
        <f t="shared" si="161"/>
        <v>0</v>
      </c>
      <c r="CK85" s="99">
        <v>800</v>
      </c>
      <c r="CL85" s="113"/>
      <c r="CM85" s="102">
        <f t="shared" si="162"/>
        <v>800</v>
      </c>
      <c r="CN85" s="99">
        <v>800</v>
      </c>
      <c r="CO85" s="113"/>
      <c r="CP85" s="102">
        <f t="shared" si="163"/>
        <v>1600</v>
      </c>
      <c r="CQ85" s="99">
        <v>800</v>
      </c>
      <c r="CR85" s="113">
        <v>3200</v>
      </c>
      <c r="CS85" s="183">
        <f t="shared" si="141"/>
        <v>-800</v>
      </c>
      <c r="CT85" s="99">
        <v>800</v>
      </c>
      <c r="CU85" s="113"/>
      <c r="CV85" s="183">
        <f t="shared" si="164"/>
        <v>0</v>
      </c>
      <c r="CW85" s="99">
        <v>800</v>
      </c>
      <c r="CX85" s="113"/>
      <c r="CY85" s="183">
        <f t="shared" si="165"/>
        <v>800</v>
      </c>
    </row>
    <row r="86" spans="1:103">
      <c r="A86" s="41">
        <f>VLOOKUP(B86,справочник!$B$2:$E$322,4,FALSE)</f>
        <v>284</v>
      </c>
      <c r="B86" t="str">
        <f t="shared" si="166"/>
        <v>296Епанчинцева Людмила Филипповна</v>
      </c>
      <c r="C86" s="1">
        <v>296</v>
      </c>
      <c r="D86" s="2" t="s">
        <v>80</v>
      </c>
      <c r="E86" s="1" t="s">
        <v>396</v>
      </c>
      <c r="F86" s="16">
        <v>41549</v>
      </c>
      <c r="G86" s="16">
        <v>41579</v>
      </c>
      <c r="H86" s="17">
        <f t="shared" si="171"/>
        <v>26</v>
      </c>
      <c r="I86" s="1">
        <f t="shared" si="172"/>
        <v>26000</v>
      </c>
      <c r="J86" s="17">
        <f>12000</f>
        <v>12000</v>
      </c>
      <c r="K86" s="17">
        <v>5000</v>
      </c>
      <c r="L86" s="18">
        <f t="shared" si="71"/>
        <v>9000</v>
      </c>
      <c r="M86" s="22"/>
      <c r="N86" s="22"/>
      <c r="O86" s="22">
        <v>6000</v>
      </c>
      <c r="P86" s="22"/>
      <c r="Q86" s="22"/>
      <c r="R86" s="22"/>
      <c r="S86" s="22">
        <v>2400</v>
      </c>
      <c r="T86" s="22"/>
      <c r="U86" s="22"/>
      <c r="V86" s="22">
        <v>3200</v>
      </c>
      <c r="W86" s="22"/>
      <c r="X86" s="22"/>
      <c r="Y86" s="18">
        <f t="shared" si="167"/>
        <v>11600</v>
      </c>
      <c r="Z86" s="96">
        <v>12</v>
      </c>
      <c r="AA86" s="96">
        <f t="shared" si="168"/>
        <v>9600</v>
      </c>
      <c r="AB86" s="96">
        <f t="shared" si="169"/>
        <v>7000</v>
      </c>
      <c r="AC86" s="99">
        <v>800</v>
      </c>
      <c r="AD86" s="98"/>
      <c r="AE86" s="102">
        <f t="shared" si="170"/>
        <v>7800</v>
      </c>
      <c r="AF86" s="99">
        <v>800</v>
      </c>
      <c r="AG86" s="98"/>
      <c r="AH86" s="102">
        <f t="shared" si="120"/>
        <v>8600</v>
      </c>
      <c r="AI86" s="99">
        <v>800</v>
      </c>
      <c r="AJ86" s="98"/>
      <c r="AK86" s="102">
        <f t="shared" si="144"/>
        <v>9400</v>
      </c>
      <c r="AL86" s="99">
        <v>800</v>
      </c>
      <c r="AM86" s="98">
        <v>5000</v>
      </c>
      <c r="AN86" s="102">
        <f t="shared" si="145"/>
        <v>5200</v>
      </c>
      <c r="AO86" s="99">
        <v>800</v>
      </c>
      <c r="AP86" s="113"/>
      <c r="AQ86" s="102">
        <f t="shared" si="146"/>
        <v>6000</v>
      </c>
      <c r="AR86" s="99">
        <v>800</v>
      </c>
      <c r="AS86" s="113"/>
      <c r="AT86" s="102">
        <f t="shared" si="147"/>
        <v>6800</v>
      </c>
      <c r="AU86" s="99">
        <v>800</v>
      </c>
      <c r="AV86" s="113"/>
      <c r="AW86" s="102">
        <f t="shared" si="148"/>
        <v>7600</v>
      </c>
      <c r="AX86" s="99">
        <v>800</v>
      </c>
      <c r="AY86" s="113"/>
      <c r="AZ86" s="102">
        <f t="shared" si="149"/>
        <v>8400</v>
      </c>
      <c r="BA86" s="99">
        <v>800</v>
      </c>
      <c r="BB86" s="113"/>
      <c r="BC86" s="102">
        <f t="shared" si="150"/>
        <v>9200</v>
      </c>
      <c r="BD86" s="99">
        <v>800</v>
      </c>
      <c r="BE86" s="113"/>
      <c r="BF86" s="102">
        <f t="shared" si="151"/>
        <v>10000</v>
      </c>
      <c r="BG86" s="99">
        <v>800</v>
      </c>
      <c r="BH86" s="113"/>
      <c r="BI86" s="102">
        <f t="shared" si="152"/>
        <v>10800</v>
      </c>
      <c r="BJ86" s="99">
        <v>800</v>
      </c>
      <c r="BK86" s="113">
        <v>6000</v>
      </c>
      <c r="BL86" s="102">
        <f t="shared" si="153"/>
        <v>5600</v>
      </c>
      <c r="BM86" s="99">
        <v>800</v>
      </c>
      <c r="BN86" s="113"/>
      <c r="BO86" s="102">
        <f t="shared" si="154"/>
        <v>6400</v>
      </c>
      <c r="BP86" s="99">
        <v>800</v>
      </c>
      <c r="BQ86" s="113"/>
      <c r="BR86" s="102">
        <f t="shared" si="155"/>
        <v>7200</v>
      </c>
      <c r="BS86" s="99">
        <v>800</v>
      </c>
      <c r="BT86" s="113"/>
      <c r="BU86" s="102">
        <f t="shared" si="156"/>
        <v>8000</v>
      </c>
      <c r="BV86" s="99">
        <v>800</v>
      </c>
      <c r="BW86" s="113"/>
      <c r="BX86" s="102">
        <f t="shared" si="157"/>
        <v>8800</v>
      </c>
      <c r="BY86" s="99">
        <v>800</v>
      </c>
      <c r="BZ86" s="113">
        <v>3000</v>
      </c>
      <c r="CA86" s="102">
        <f t="shared" si="158"/>
        <v>6600</v>
      </c>
      <c r="CB86" s="99">
        <v>800</v>
      </c>
      <c r="CC86" s="113"/>
      <c r="CD86" s="102">
        <f t="shared" si="159"/>
        <v>7400</v>
      </c>
      <c r="CE86" s="99">
        <v>800</v>
      </c>
      <c r="CF86" s="113"/>
      <c r="CG86" s="102">
        <f t="shared" si="160"/>
        <v>8200</v>
      </c>
      <c r="CH86" s="99">
        <v>800</v>
      </c>
      <c r="CI86" s="113"/>
      <c r="CJ86" s="102">
        <f t="shared" si="161"/>
        <v>9000</v>
      </c>
      <c r="CK86" s="99">
        <v>800</v>
      </c>
      <c r="CL86" s="113">
        <v>4000</v>
      </c>
      <c r="CM86" s="102">
        <f t="shared" si="162"/>
        <v>5800</v>
      </c>
      <c r="CN86" s="99">
        <v>800</v>
      </c>
      <c r="CO86" s="113"/>
      <c r="CP86" s="102">
        <f t="shared" si="163"/>
        <v>6600</v>
      </c>
      <c r="CQ86" s="99">
        <v>800</v>
      </c>
      <c r="CR86" s="113"/>
      <c r="CS86" s="183">
        <f t="shared" si="141"/>
        <v>7400</v>
      </c>
      <c r="CT86" s="99">
        <v>800</v>
      </c>
      <c r="CU86" s="113"/>
      <c r="CV86" s="183">
        <f t="shared" si="164"/>
        <v>8200</v>
      </c>
      <c r="CW86" s="99">
        <v>800</v>
      </c>
      <c r="CX86" s="113">
        <v>3200</v>
      </c>
      <c r="CY86" s="183">
        <f t="shared" si="165"/>
        <v>5800</v>
      </c>
    </row>
    <row r="87" spans="1:103">
      <c r="A87" s="41" t="e">
        <f>VLOOKUP(B87,справочник!$B$2:$E$322,4,FALSE)</f>
        <v>#N/A</v>
      </c>
      <c r="B87" t="str">
        <f t="shared" si="166"/>
        <v>277Еременко Виктор Александрович</v>
      </c>
      <c r="C87" s="1">
        <v>277</v>
      </c>
      <c r="D87" s="2" t="s">
        <v>801</v>
      </c>
      <c r="E87" s="1" t="s">
        <v>397</v>
      </c>
      <c r="F87" s="16">
        <v>41093</v>
      </c>
      <c r="G87" s="16">
        <v>41091</v>
      </c>
      <c r="H87" s="17">
        <f t="shared" si="171"/>
        <v>42</v>
      </c>
      <c r="I87" s="1">
        <f t="shared" si="172"/>
        <v>42000</v>
      </c>
      <c r="J87" s="17">
        <f>38000</f>
        <v>38000</v>
      </c>
      <c r="K87" s="17"/>
      <c r="L87" s="18">
        <f t="shared" si="71"/>
        <v>4000</v>
      </c>
      <c r="M87" s="22">
        <v>4000</v>
      </c>
      <c r="N87" s="22"/>
      <c r="O87" s="22">
        <v>2000</v>
      </c>
      <c r="P87" s="22"/>
      <c r="Q87" s="22"/>
      <c r="R87" s="22"/>
      <c r="S87" s="22">
        <v>6000</v>
      </c>
      <c r="T87" s="22"/>
      <c r="U87" s="22"/>
      <c r="V87" s="22"/>
      <c r="W87" s="22"/>
      <c r="X87" s="22"/>
      <c r="Y87" s="18">
        <f t="shared" si="167"/>
        <v>12000</v>
      </c>
      <c r="Z87" s="96">
        <v>12</v>
      </c>
      <c r="AA87" s="96">
        <f t="shared" si="168"/>
        <v>9600</v>
      </c>
      <c r="AB87" s="96">
        <f t="shared" si="169"/>
        <v>1600</v>
      </c>
      <c r="AC87" s="99">
        <v>800</v>
      </c>
      <c r="AD87" s="98"/>
      <c r="AE87" s="102">
        <f t="shared" si="170"/>
        <v>2400</v>
      </c>
      <c r="AF87" s="99">
        <v>800</v>
      </c>
      <c r="AG87" s="98">
        <v>2400</v>
      </c>
      <c r="AH87" s="102">
        <f t="shared" si="120"/>
        <v>800</v>
      </c>
      <c r="AI87" s="99">
        <v>800</v>
      </c>
      <c r="AJ87" s="98">
        <v>2400</v>
      </c>
      <c r="AK87" s="102">
        <f t="shared" si="144"/>
        <v>-800</v>
      </c>
      <c r="AL87" s="99">
        <v>800</v>
      </c>
      <c r="AM87" s="98"/>
      <c r="AN87" s="102">
        <f t="shared" si="145"/>
        <v>0</v>
      </c>
      <c r="AO87" s="99">
        <v>800</v>
      </c>
      <c r="AP87" s="113"/>
      <c r="AQ87" s="102">
        <f t="shared" si="146"/>
        <v>800</v>
      </c>
      <c r="AR87" s="99">
        <v>800</v>
      </c>
      <c r="AS87" s="113">
        <v>2400</v>
      </c>
      <c r="AT87" s="102">
        <f t="shared" si="147"/>
        <v>-800</v>
      </c>
      <c r="AU87" s="99">
        <v>800</v>
      </c>
      <c r="AV87" s="113"/>
      <c r="AW87" s="102">
        <f t="shared" si="148"/>
        <v>0</v>
      </c>
      <c r="AX87" s="99">
        <v>800</v>
      </c>
      <c r="AY87" s="113"/>
      <c r="AZ87" s="102">
        <f t="shared" si="149"/>
        <v>800</v>
      </c>
      <c r="BA87" s="99">
        <v>800</v>
      </c>
      <c r="BB87" s="113"/>
      <c r="BC87" s="102">
        <f t="shared" si="150"/>
        <v>1600</v>
      </c>
      <c r="BD87" s="99">
        <v>800</v>
      </c>
      <c r="BE87" s="113"/>
      <c r="BF87" s="102">
        <f t="shared" si="151"/>
        <v>2400</v>
      </c>
      <c r="BG87" s="99">
        <v>800</v>
      </c>
      <c r="BH87" s="113"/>
      <c r="BI87" s="102">
        <f t="shared" si="152"/>
        <v>3200</v>
      </c>
      <c r="BJ87" s="99">
        <v>800</v>
      </c>
      <c r="BK87" s="113"/>
      <c r="BL87" s="102">
        <f t="shared" si="153"/>
        <v>4000</v>
      </c>
      <c r="BM87" s="99">
        <v>800</v>
      </c>
      <c r="BN87" s="113"/>
      <c r="BO87" s="102">
        <f t="shared" si="154"/>
        <v>4800</v>
      </c>
      <c r="BP87" s="99">
        <v>800</v>
      </c>
      <c r="BQ87" s="113"/>
      <c r="BR87" s="102">
        <f t="shared" si="155"/>
        <v>5600</v>
      </c>
      <c r="BS87" s="99">
        <v>800</v>
      </c>
      <c r="BT87" s="113"/>
      <c r="BU87" s="102">
        <f t="shared" si="156"/>
        <v>6400</v>
      </c>
      <c r="BV87" s="99">
        <v>800</v>
      </c>
      <c r="BW87" s="113">
        <v>8000</v>
      </c>
      <c r="BX87" s="102">
        <f t="shared" si="157"/>
        <v>-800</v>
      </c>
      <c r="BY87" s="99">
        <v>800</v>
      </c>
      <c r="BZ87" s="113"/>
      <c r="CA87" s="102">
        <f t="shared" si="158"/>
        <v>0</v>
      </c>
      <c r="CB87" s="99">
        <v>800</v>
      </c>
      <c r="CC87" s="113"/>
      <c r="CD87" s="102">
        <f t="shared" si="159"/>
        <v>800</v>
      </c>
      <c r="CE87" s="99">
        <v>800</v>
      </c>
      <c r="CF87" s="113"/>
      <c r="CG87" s="102">
        <f t="shared" si="160"/>
        <v>1600</v>
      </c>
      <c r="CH87" s="99">
        <v>800</v>
      </c>
      <c r="CI87" s="113">
        <v>2400</v>
      </c>
      <c r="CJ87" s="102">
        <f t="shared" si="161"/>
        <v>0</v>
      </c>
      <c r="CK87" s="99">
        <v>800</v>
      </c>
      <c r="CL87" s="113"/>
      <c r="CM87" s="102">
        <f t="shared" si="162"/>
        <v>800</v>
      </c>
      <c r="CN87" s="99">
        <v>800</v>
      </c>
      <c r="CO87" s="113">
        <v>800</v>
      </c>
      <c r="CP87" s="102">
        <f t="shared" si="163"/>
        <v>800</v>
      </c>
      <c r="CQ87" s="99">
        <v>800</v>
      </c>
      <c r="CR87" s="113"/>
      <c r="CS87" s="183">
        <f t="shared" si="141"/>
        <v>1600</v>
      </c>
      <c r="CT87" s="99">
        <v>800</v>
      </c>
      <c r="CU87" s="113"/>
      <c r="CV87" s="183">
        <f t="shared" si="164"/>
        <v>2400</v>
      </c>
      <c r="CW87" s="99">
        <v>800</v>
      </c>
      <c r="CX87" s="113"/>
      <c r="CY87" s="183">
        <f t="shared" si="165"/>
        <v>3200</v>
      </c>
    </row>
    <row r="88" spans="1:103">
      <c r="A88" s="41">
        <f>VLOOKUP(B88,справочник!$B$2:$E$322,4,FALSE)</f>
        <v>32</v>
      </c>
      <c r="B88" t="str">
        <f t="shared" si="166"/>
        <v>32Ермакова Татьяна Викторовна</v>
      </c>
      <c r="C88" s="1">
        <v>32</v>
      </c>
      <c r="D88" s="2" t="s">
        <v>82</v>
      </c>
      <c r="E88" s="1" t="s">
        <v>398</v>
      </c>
      <c r="F88" s="16">
        <v>40695</v>
      </c>
      <c r="G88" s="16">
        <v>40695</v>
      </c>
      <c r="H88" s="17">
        <f t="shared" si="171"/>
        <v>55</v>
      </c>
      <c r="I88" s="1">
        <f t="shared" si="172"/>
        <v>55000</v>
      </c>
      <c r="J88" s="17">
        <f>7000+48000</f>
        <v>55000</v>
      </c>
      <c r="K88" s="17"/>
      <c r="L88" s="18">
        <f t="shared" si="71"/>
        <v>0</v>
      </c>
      <c r="M88" s="22">
        <v>2400</v>
      </c>
      <c r="N88" s="22"/>
      <c r="O88" s="22"/>
      <c r="P88" s="22"/>
      <c r="Q88" s="22"/>
      <c r="R88" s="22">
        <v>2400</v>
      </c>
      <c r="S88" s="22">
        <v>4800</v>
      </c>
      <c r="T88" s="22"/>
      <c r="U88" s="22"/>
      <c r="V88" s="22"/>
      <c r="W88" s="22"/>
      <c r="X88" s="22"/>
      <c r="Y88" s="18">
        <f t="shared" si="167"/>
        <v>9600</v>
      </c>
      <c r="Z88" s="96">
        <v>12</v>
      </c>
      <c r="AA88" s="96">
        <f t="shared" si="168"/>
        <v>9600</v>
      </c>
      <c r="AB88" s="96">
        <f t="shared" si="169"/>
        <v>0</v>
      </c>
      <c r="AC88" s="99">
        <v>800</v>
      </c>
      <c r="AD88" s="98"/>
      <c r="AE88" s="102">
        <f t="shared" si="170"/>
        <v>800</v>
      </c>
      <c r="AF88" s="99">
        <v>800</v>
      </c>
      <c r="AG88" s="98"/>
      <c r="AH88" s="102">
        <f t="shared" si="120"/>
        <v>1600</v>
      </c>
      <c r="AI88" s="99">
        <v>800</v>
      </c>
      <c r="AJ88" s="98">
        <v>2400</v>
      </c>
      <c r="AK88" s="102">
        <f t="shared" si="144"/>
        <v>0</v>
      </c>
      <c r="AL88" s="99">
        <v>800</v>
      </c>
      <c r="AM88" s="98"/>
      <c r="AN88" s="102">
        <f t="shared" si="145"/>
        <v>800</v>
      </c>
      <c r="AO88" s="99">
        <v>800</v>
      </c>
      <c r="AP88" s="113"/>
      <c r="AQ88" s="102">
        <f t="shared" si="146"/>
        <v>1600</v>
      </c>
      <c r="AR88" s="99">
        <v>800</v>
      </c>
      <c r="AS88" s="113"/>
      <c r="AT88" s="102">
        <f t="shared" si="147"/>
        <v>2400</v>
      </c>
      <c r="AU88" s="99">
        <v>800</v>
      </c>
      <c r="AV88" s="113"/>
      <c r="AW88" s="102">
        <f t="shared" si="148"/>
        <v>3200</v>
      </c>
      <c r="AX88" s="99">
        <v>800</v>
      </c>
      <c r="AY88" s="113"/>
      <c r="AZ88" s="102">
        <f t="shared" si="149"/>
        <v>4000</v>
      </c>
      <c r="BA88" s="99">
        <v>800</v>
      </c>
      <c r="BB88" s="113"/>
      <c r="BC88" s="102">
        <f t="shared" si="150"/>
        <v>4800</v>
      </c>
      <c r="BD88" s="99">
        <v>800</v>
      </c>
      <c r="BE88" s="113">
        <v>5600</v>
      </c>
      <c r="BF88" s="102">
        <f t="shared" si="151"/>
        <v>0</v>
      </c>
      <c r="BG88" s="99">
        <v>800</v>
      </c>
      <c r="BH88" s="113"/>
      <c r="BI88" s="102">
        <f t="shared" si="152"/>
        <v>800</v>
      </c>
      <c r="BJ88" s="99">
        <v>800</v>
      </c>
      <c r="BK88" s="113">
        <v>1600</v>
      </c>
      <c r="BL88" s="102">
        <f t="shared" si="153"/>
        <v>0</v>
      </c>
      <c r="BM88" s="99">
        <v>800</v>
      </c>
      <c r="BN88" s="113">
        <v>2400</v>
      </c>
      <c r="BO88" s="102">
        <f t="shared" si="154"/>
        <v>-1600</v>
      </c>
      <c r="BP88" s="99">
        <v>800</v>
      </c>
      <c r="BQ88" s="113"/>
      <c r="BR88" s="102">
        <f t="shared" si="155"/>
        <v>-800</v>
      </c>
      <c r="BS88" s="99">
        <v>800</v>
      </c>
      <c r="BT88" s="113"/>
      <c r="BU88" s="102">
        <f t="shared" si="156"/>
        <v>0</v>
      </c>
      <c r="BV88" s="99">
        <v>800</v>
      </c>
      <c r="BW88" s="113">
        <v>2400</v>
      </c>
      <c r="BX88" s="102">
        <f t="shared" si="157"/>
        <v>-1600</v>
      </c>
      <c r="BY88" s="99">
        <v>800</v>
      </c>
      <c r="BZ88" s="113"/>
      <c r="CA88" s="102">
        <f t="shared" si="158"/>
        <v>-800</v>
      </c>
      <c r="CB88" s="99">
        <v>800</v>
      </c>
      <c r="CC88" s="113"/>
      <c r="CD88" s="102">
        <f t="shared" si="159"/>
        <v>0</v>
      </c>
      <c r="CE88" s="99">
        <v>800</v>
      </c>
      <c r="CF88" s="113">
        <v>4800</v>
      </c>
      <c r="CG88" s="102">
        <f t="shared" si="160"/>
        <v>-4000</v>
      </c>
      <c r="CH88" s="99">
        <v>800</v>
      </c>
      <c r="CI88" s="113"/>
      <c r="CJ88" s="102">
        <f t="shared" si="161"/>
        <v>-3200</v>
      </c>
      <c r="CK88" s="99">
        <v>800</v>
      </c>
      <c r="CL88" s="113"/>
      <c r="CM88" s="102">
        <f t="shared" si="162"/>
        <v>-2400</v>
      </c>
      <c r="CN88" s="99">
        <v>800</v>
      </c>
      <c r="CO88" s="113"/>
      <c r="CP88" s="102">
        <f t="shared" si="163"/>
        <v>-1600</v>
      </c>
      <c r="CQ88" s="99">
        <v>800</v>
      </c>
      <c r="CR88" s="113"/>
      <c r="CS88" s="183">
        <f t="shared" si="141"/>
        <v>-800</v>
      </c>
      <c r="CT88" s="99">
        <v>800</v>
      </c>
      <c r="CU88" s="113"/>
      <c r="CV88" s="183">
        <f t="shared" si="164"/>
        <v>0</v>
      </c>
      <c r="CW88" s="99">
        <v>800</v>
      </c>
      <c r="CX88" s="113">
        <v>4800</v>
      </c>
      <c r="CY88" s="183">
        <f t="shared" si="165"/>
        <v>-4000</v>
      </c>
    </row>
    <row r="89" spans="1:103">
      <c r="A89" s="41">
        <f>VLOOKUP(B89,справочник!$B$2:$E$322,4,FALSE)</f>
        <v>49</v>
      </c>
      <c r="B89" t="str">
        <f t="shared" si="166"/>
        <v>49Ермолаева Виктория Александровна</v>
      </c>
      <c r="C89" s="1">
        <v>49</v>
      </c>
      <c r="D89" s="2" t="s">
        <v>83</v>
      </c>
      <c r="E89" s="1" t="s">
        <v>399</v>
      </c>
      <c r="F89" s="16">
        <v>40729</v>
      </c>
      <c r="G89" s="16">
        <v>40756</v>
      </c>
      <c r="H89" s="17">
        <f t="shared" si="171"/>
        <v>53</v>
      </c>
      <c r="I89" s="1">
        <f t="shared" si="172"/>
        <v>53000</v>
      </c>
      <c r="J89" s="17">
        <f>42000</f>
        <v>42000</v>
      </c>
      <c r="K89" s="17"/>
      <c r="L89" s="18">
        <f t="shared" si="71"/>
        <v>11000</v>
      </c>
      <c r="M89" s="22"/>
      <c r="N89" s="22"/>
      <c r="O89" s="22"/>
      <c r="P89" s="22"/>
      <c r="Q89" s="22">
        <v>4800</v>
      </c>
      <c r="R89" s="22">
        <v>10200</v>
      </c>
      <c r="S89" s="22"/>
      <c r="T89" s="22"/>
      <c r="U89" s="22"/>
      <c r="V89" s="22"/>
      <c r="W89" s="22"/>
      <c r="X89" s="22">
        <v>4800</v>
      </c>
      <c r="Y89" s="18">
        <f t="shared" si="167"/>
        <v>19800</v>
      </c>
      <c r="Z89" s="96">
        <v>12</v>
      </c>
      <c r="AA89" s="96">
        <f t="shared" si="168"/>
        <v>9600</v>
      </c>
      <c r="AB89" s="96">
        <f t="shared" si="169"/>
        <v>800</v>
      </c>
      <c r="AC89" s="99">
        <v>800</v>
      </c>
      <c r="AD89" s="98"/>
      <c r="AE89" s="102">
        <f t="shared" si="170"/>
        <v>1600</v>
      </c>
      <c r="AF89" s="99">
        <v>800</v>
      </c>
      <c r="AG89" s="98">
        <v>2400</v>
      </c>
      <c r="AH89" s="102">
        <f t="shared" si="120"/>
        <v>0</v>
      </c>
      <c r="AI89" s="99">
        <v>800</v>
      </c>
      <c r="AJ89" s="98"/>
      <c r="AK89" s="102">
        <f t="shared" si="144"/>
        <v>800</v>
      </c>
      <c r="AL89" s="99">
        <v>800</v>
      </c>
      <c r="AM89" s="98">
        <f>2000+400</f>
        <v>2400</v>
      </c>
      <c r="AN89" s="102">
        <f t="shared" si="145"/>
        <v>-800</v>
      </c>
      <c r="AO89" s="99">
        <v>800</v>
      </c>
      <c r="AP89" s="113"/>
      <c r="AQ89" s="102">
        <f t="shared" si="146"/>
        <v>0</v>
      </c>
      <c r="AR89" s="99">
        <v>800</v>
      </c>
      <c r="AS89" s="113"/>
      <c r="AT89" s="102">
        <f t="shared" si="147"/>
        <v>800</v>
      </c>
      <c r="AU89" s="99">
        <v>800</v>
      </c>
      <c r="AV89" s="113"/>
      <c r="AW89" s="102">
        <f t="shared" si="148"/>
        <v>1600</v>
      </c>
      <c r="AX89" s="99">
        <v>800</v>
      </c>
      <c r="AY89" s="113">
        <v>2400</v>
      </c>
      <c r="AZ89" s="102">
        <f t="shared" si="149"/>
        <v>0</v>
      </c>
      <c r="BA89" s="99">
        <v>800</v>
      </c>
      <c r="BB89" s="113"/>
      <c r="BC89" s="102">
        <f t="shared" si="150"/>
        <v>800</v>
      </c>
      <c r="BD89" s="99">
        <v>800</v>
      </c>
      <c r="BE89" s="113">
        <v>2400</v>
      </c>
      <c r="BF89" s="102">
        <f t="shared" si="151"/>
        <v>-800</v>
      </c>
      <c r="BG89" s="99">
        <v>800</v>
      </c>
      <c r="BH89" s="113"/>
      <c r="BI89" s="102">
        <f t="shared" si="152"/>
        <v>0</v>
      </c>
      <c r="BJ89" s="99">
        <v>800</v>
      </c>
      <c r="BK89" s="113"/>
      <c r="BL89" s="102">
        <f t="shared" si="153"/>
        <v>800</v>
      </c>
      <c r="BM89" s="99">
        <v>800</v>
      </c>
      <c r="BN89" s="113">
        <v>2400</v>
      </c>
      <c r="BO89" s="102">
        <f t="shared" si="154"/>
        <v>-800</v>
      </c>
      <c r="BP89" s="99">
        <v>800</v>
      </c>
      <c r="BQ89" s="113"/>
      <c r="BR89" s="102">
        <f t="shared" si="155"/>
        <v>0</v>
      </c>
      <c r="BS89" s="99">
        <v>800</v>
      </c>
      <c r="BT89" s="113"/>
      <c r="BU89" s="102">
        <f t="shared" si="156"/>
        <v>800</v>
      </c>
      <c r="BV89" s="99">
        <v>800</v>
      </c>
      <c r="BW89" s="113">
        <v>2400</v>
      </c>
      <c r="BX89" s="102">
        <f t="shared" si="157"/>
        <v>-800</v>
      </c>
      <c r="BY89" s="99">
        <v>800</v>
      </c>
      <c r="BZ89" s="113"/>
      <c r="CA89" s="102">
        <f t="shared" si="158"/>
        <v>0</v>
      </c>
      <c r="CB89" s="99">
        <v>800</v>
      </c>
      <c r="CC89" s="113"/>
      <c r="CD89" s="102">
        <f t="shared" si="159"/>
        <v>800</v>
      </c>
      <c r="CE89" s="99">
        <v>800</v>
      </c>
      <c r="CF89" s="113">
        <v>2400</v>
      </c>
      <c r="CG89" s="102">
        <f t="shared" si="160"/>
        <v>-800</v>
      </c>
      <c r="CH89" s="99">
        <v>800</v>
      </c>
      <c r="CI89" s="113"/>
      <c r="CJ89" s="102">
        <f t="shared" si="161"/>
        <v>0</v>
      </c>
      <c r="CK89" s="99">
        <v>800</v>
      </c>
      <c r="CL89" s="113"/>
      <c r="CM89" s="102">
        <f t="shared" si="162"/>
        <v>800</v>
      </c>
      <c r="CN89" s="99">
        <v>800</v>
      </c>
      <c r="CO89" s="113">
        <v>2400</v>
      </c>
      <c r="CP89" s="102">
        <f t="shared" si="163"/>
        <v>-800</v>
      </c>
      <c r="CQ89" s="99">
        <v>800</v>
      </c>
      <c r="CR89" s="113"/>
      <c r="CS89" s="183">
        <f t="shared" si="141"/>
        <v>0</v>
      </c>
      <c r="CT89" s="99">
        <v>800</v>
      </c>
      <c r="CU89" s="113"/>
      <c r="CV89" s="183">
        <f t="shared" si="164"/>
        <v>800</v>
      </c>
      <c r="CW89" s="99">
        <v>800</v>
      </c>
      <c r="CX89" s="113">
        <v>2400</v>
      </c>
      <c r="CY89" s="183">
        <f t="shared" si="165"/>
        <v>-800</v>
      </c>
    </row>
    <row r="90" spans="1:103" s="80" customFormat="1">
      <c r="A90" s="103" t="e">
        <f>VLOOKUP(B90,справочник!$B$2:$E$322,4,FALSE)</f>
        <v>#N/A</v>
      </c>
      <c r="B90" s="80" t="str">
        <f t="shared" si="166"/>
        <v>243Ермошина Татьяна Евгеньевна</v>
      </c>
      <c r="C90" s="5">
        <v>243</v>
      </c>
      <c r="D90" s="7" t="s">
        <v>797</v>
      </c>
      <c r="E90" s="5" t="s">
        <v>400</v>
      </c>
      <c r="F90" s="19">
        <v>41248</v>
      </c>
      <c r="G90" s="19">
        <v>41365</v>
      </c>
      <c r="H90" s="20">
        <v>3</v>
      </c>
      <c r="I90" s="5">
        <f t="shared" si="172"/>
        <v>3000</v>
      </c>
      <c r="J90" s="20"/>
      <c r="K90" s="20">
        <v>3000</v>
      </c>
      <c r="L90" s="21">
        <f t="shared" si="71"/>
        <v>0</v>
      </c>
      <c r="M90" s="21"/>
      <c r="N90" s="21">
        <v>4800</v>
      </c>
      <c r="O90" s="21"/>
      <c r="P90" s="21"/>
      <c r="Q90" s="21"/>
      <c r="R90" s="21"/>
      <c r="S90" s="21"/>
      <c r="T90" s="21">
        <v>2500</v>
      </c>
      <c r="U90" s="21">
        <v>2300</v>
      </c>
      <c r="V90" s="21"/>
      <c r="W90" s="21"/>
      <c r="X90" s="21"/>
      <c r="Y90" s="21">
        <f t="shared" si="167"/>
        <v>9600</v>
      </c>
      <c r="Z90" s="104">
        <v>12</v>
      </c>
      <c r="AA90" s="104">
        <f t="shared" si="168"/>
        <v>9600</v>
      </c>
      <c r="AB90" s="104">
        <f t="shared" si="169"/>
        <v>0</v>
      </c>
      <c r="AC90" s="104">
        <v>800</v>
      </c>
      <c r="AD90" s="105"/>
      <c r="AE90" s="106">
        <f t="shared" si="170"/>
        <v>800</v>
      </c>
      <c r="AF90" s="104">
        <v>800</v>
      </c>
      <c r="AG90" s="105"/>
      <c r="AH90" s="106">
        <f t="shared" si="120"/>
        <v>1600</v>
      </c>
      <c r="AI90" s="104">
        <v>800</v>
      </c>
      <c r="AJ90" s="105">
        <v>3200</v>
      </c>
      <c r="AK90" s="106">
        <f t="shared" si="144"/>
        <v>-800</v>
      </c>
      <c r="AL90" s="104">
        <v>800</v>
      </c>
      <c r="AM90" s="105"/>
      <c r="AN90" s="106">
        <f t="shared" si="145"/>
        <v>0</v>
      </c>
      <c r="AO90" s="104">
        <v>800</v>
      </c>
      <c r="AP90" s="105"/>
      <c r="AQ90" s="106">
        <f t="shared" si="146"/>
        <v>800</v>
      </c>
      <c r="AR90" s="104">
        <v>800</v>
      </c>
      <c r="AS90" s="105"/>
      <c r="AT90" s="106">
        <f t="shared" si="147"/>
        <v>1600</v>
      </c>
      <c r="AU90" s="104">
        <v>800</v>
      </c>
      <c r="AV90" s="105"/>
      <c r="AW90" s="210">
        <f>SUM(AT90:AT92)+AU90-SUM(AV90:AV92)</f>
        <v>-3600</v>
      </c>
      <c r="AX90" s="104">
        <v>800</v>
      </c>
      <c r="AY90" s="105"/>
      <c r="AZ90" s="208">
        <f t="shared" si="149"/>
        <v>-2800</v>
      </c>
      <c r="BA90" s="220">
        <v>800</v>
      </c>
      <c r="BB90" s="218">
        <v>2000</v>
      </c>
      <c r="BC90" s="208">
        <f>AZ90+BA90-BB90</f>
        <v>-4000</v>
      </c>
      <c r="BD90" s="220">
        <v>800</v>
      </c>
      <c r="BE90" s="218">
        <v>800</v>
      </c>
      <c r="BF90" s="208">
        <f>BC90+BD90-BE90</f>
        <v>-4000</v>
      </c>
      <c r="BG90" s="220">
        <v>800</v>
      </c>
      <c r="BH90" s="218"/>
      <c r="BI90" s="208">
        <f>BF90+BG90-BH90</f>
        <v>-3200</v>
      </c>
      <c r="BJ90" s="220">
        <v>800</v>
      </c>
      <c r="BK90" s="218"/>
      <c r="BL90" s="208">
        <f>BI90+BJ90-BK90</f>
        <v>-2400</v>
      </c>
      <c r="BM90" s="220">
        <v>800</v>
      </c>
      <c r="BN90" s="218">
        <v>3349.83</v>
      </c>
      <c r="BO90" s="208">
        <f>BL90+BM90-BN90</f>
        <v>-4949.83</v>
      </c>
      <c r="BP90" s="220">
        <v>800</v>
      </c>
      <c r="BQ90" s="218"/>
      <c r="BR90" s="208">
        <f>BO90+BP90-BQ90</f>
        <v>-4149.83</v>
      </c>
      <c r="BS90" s="220">
        <v>800</v>
      </c>
      <c r="BT90" s="218"/>
      <c r="BU90" s="208">
        <f>BR90+BS90-BT90</f>
        <v>-3349.83</v>
      </c>
      <c r="BV90" s="220">
        <v>800</v>
      </c>
      <c r="BW90" s="218"/>
      <c r="BX90" s="208">
        <f>BU90+BV90-BW90</f>
        <v>-2549.83</v>
      </c>
      <c r="BY90" s="220">
        <v>800</v>
      </c>
      <c r="BZ90" s="218"/>
      <c r="CA90" s="208">
        <f>BX90+BY90-BZ90</f>
        <v>-1749.83</v>
      </c>
      <c r="CB90" s="220">
        <v>800</v>
      </c>
      <c r="CC90" s="218"/>
      <c r="CD90" s="208">
        <f>CA90+CB90-CC90</f>
        <v>-949.82999999999993</v>
      </c>
      <c r="CE90" s="220">
        <v>800</v>
      </c>
      <c r="CF90" s="218"/>
      <c r="CG90" s="208">
        <f>CD90+CE90-CF90</f>
        <v>-149.82999999999993</v>
      </c>
      <c r="CH90" s="220">
        <v>800</v>
      </c>
      <c r="CI90" s="218">
        <v>1000</v>
      </c>
      <c r="CJ90" s="208">
        <f>CG90+CH90-CI90</f>
        <v>-349.82999999999993</v>
      </c>
      <c r="CK90" s="220">
        <v>800</v>
      </c>
      <c r="CL90" s="218"/>
      <c r="CM90" s="208">
        <f>CJ90+CK90-CL90</f>
        <v>450.17000000000007</v>
      </c>
      <c r="CN90" s="220">
        <v>800</v>
      </c>
      <c r="CO90" s="218"/>
      <c r="CP90" s="208">
        <f>CM90+CN90-CO90</f>
        <v>1250.17</v>
      </c>
      <c r="CQ90" s="220">
        <v>800</v>
      </c>
      <c r="CR90" s="218"/>
      <c r="CS90" s="208">
        <f>CP90+CQ90-CR90</f>
        <v>2050.17</v>
      </c>
      <c r="CT90" s="220">
        <v>800</v>
      </c>
      <c r="CU90" s="218">
        <v>1600</v>
      </c>
      <c r="CV90" s="208">
        <f>CS90+CT90-CU90</f>
        <v>1250.17</v>
      </c>
      <c r="CW90" s="220">
        <v>800</v>
      </c>
      <c r="CX90" s="218"/>
      <c r="CY90" s="208">
        <f>CV90+CW90-CX90</f>
        <v>2050.17</v>
      </c>
    </row>
    <row r="91" spans="1:103" s="80" customFormat="1">
      <c r="A91" s="103" t="e">
        <f>VLOOKUP(B91,справочник!$B$2:$E$322,4,FALSE)</f>
        <v>#N/A</v>
      </c>
      <c r="B91" s="80" t="str">
        <f t="shared" si="166"/>
        <v>244Ермошина Татьяна Евгеньевна</v>
      </c>
      <c r="C91" s="5">
        <v>244</v>
      </c>
      <c r="D91" s="7" t="s">
        <v>797</v>
      </c>
      <c r="E91" s="5"/>
      <c r="F91" s="19">
        <v>41248</v>
      </c>
      <c r="G91" s="19">
        <v>41365</v>
      </c>
      <c r="H91" s="20">
        <v>1</v>
      </c>
      <c r="I91" s="5">
        <f t="shared" si="172"/>
        <v>1000</v>
      </c>
      <c r="J91" s="20"/>
      <c r="K91" s="20">
        <v>3000</v>
      </c>
      <c r="L91" s="21">
        <f t="shared" si="71"/>
        <v>-2000</v>
      </c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>
        <f t="shared" si="167"/>
        <v>0</v>
      </c>
      <c r="Z91" s="104">
        <v>0</v>
      </c>
      <c r="AA91" s="104">
        <f t="shared" si="168"/>
        <v>0</v>
      </c>
      <c r="AB91" s="104">
        <f t="shared" si="169"/>
        <v>-2000</v>
      </c>
      <c r="AC91" s="104">
        <v>0</v>
      </c>
      <c r="AD91" s="105"/>
      <c r="AE91" s="106">
        <f t="shared" si="170"/>
        <v>-2000</v>
      </c>
      <c r="AF91" s="104">
        <v>0</v>
      </c>
      <c r="AG91" s="105"/>
      <c r="AH91" s="106">
        <f t="shared" si="120"/>
        <v>-2000</v>
      </c>
      <c r="AI91" s="104">
        <v>0</v>
      </c>
      <c r="AJ91" s="105"/>
      <c r="AK91" s="106">
        <f t="shared" si="144"/>
        <v>-2000</v>
      </c>
      <c r="AL91" s="104">
        <v>0</v>
      </c>
      <c r="AM91" s="105"/>
      <c r="AN91" s="106">
        <f t="shared" si="145"/>
        <v>-2000</v>
      </c>
      <c r="AO91" s="104">
        <v>0</v>
      </c>
      <c r="AP91" s="105"/>
      <c r="AQ91" s="106">
        <f t="shared" si="146"/>
        <v>-2000</v>
      </c>
      <c r="AR91" s="104">
        <v>0</v>
      </c>
      <c r="AS91" s="105">
        <v>2000</v>
      </c>
      <c r="AT91" s="106">
        <f t="shared" si="147"/>
        <v>-4000</v>
      </c>
      <c r="AU91" s="104">
        <v>0</v>
      </c>
      <c r="AV91" s="105"/>
      <c r="AW91" s="215"/>
      <c r="AX91" s="104">
        <v>0</v>
      </c>
      <c r="AY91" s="105"/>
      <c r="AZ91" s="226"/>
      <c r="BA91" s="224"/>
      <c r="BB91" s="225"/>
      <c r="BC91" s="226"/>
      <c r="BD91" s="224"/>
      <c r="BE91" s="225"/>
      <c r="BF91" s="226"/>
      <c r="BG91" s="224"/>
      <c r="BH91" s="225"/>
      <c r="BI91" s="226"/>
      <c r="BJ91" s="224"/>
      <c r="BK91" s="225"/>
      <c r="BL91" s="226"/>
      <c r="BM91" s="224"/>
      <c r="BN91" s="225"/>
      <c r="BO91" s="226"/>
      <c r="BP91" s="224"/>
      <c r="BQ91" s="225"/>
      <c r="BR91" s="226"/>
      <c r="BS91" s="224"/>
      <c r="BT91" s="225"/>
      <c r="BU91" s="226"/>
      <c r="BV91" s="224"/>
      <c r="BW91" s="225"/>
      <c r="BX91" s="226"/>
      <c r="BY91" s="224"/>
      <c r="BZ91" s="225"/>
      <c r="CA91" s="226"/>
      <c r="CB91" s="224"/>
      <c r="CC91" s="225"/>
      <c r="CD91" s="226"/>
      <c r="CE91" s="224"/>
      <c r="CF91" s="225"/>
      <c r="CG91" s="226"/>
      <c r="CH91" s="224"/>
      <c r="CI91" s="225"/>
      <c r="CJ91" s="226"/>
      <c r="CK91" s="224"/>
      <c r="CL91" s="225"/>
      <c r="CM91" s="226"/>
      <c r="CN91" s="224"/>
      <c r="CO91" s="225"/>
      <c r="CP91" s="226"/>
      <c r="CQ91" s="224"/>
      <c r="CR91" s="225"/>
      <c r="CS91" s="226"/>
      <c r="CT91" s="224"/>
      <c r="CU91" s="225"/>
      <c r="CV91" s="226"/>
      <c r="CW91" s="224"/>
      <c r="CX91" s="225"/>
      <c r="CY91" s="226"/>
    </row>
    <row r="92" spans="1:103" s="80" customFormat="1">
      <c r="A92" s="103" t="e">
        <f>VLOOKUP(B92,справочник!$B$2:$E$322,4,FALSE)</f>
        <v>#N/A</v>
      </c>
      <c r="B92" s="80" t="str">
        <f t="shared" si="166"/>
        <v>243-244Ермошина Татьяна Евгеньевна</v>
      </c>
      <c r="C92" s="5" t="s">
        <v>85</v>
      </c>
      <c r="D92" s="7" t="s">
        <v>797</v>
      </c>
      <c r="E92" s="5"/>
      <c r="F92" s="19">
        <v>41456</v>
      </c>
      <c r="G92" s="19">
        <v>41456</v>
      </c>
      <c r="H92" s="20">
        <v>28</v>
      </c>
      <c r="I92" s="5">
        <f t="shared" si="172"/>
        <v>28000</v>
      </c>
      <c r="J92" s="20"/>
      <c r="K92" s="20">
        <v>30000</v>
      </c>
      <c r="L92" s="21">
        <f t="shared" si="71"/>
        <v>-2000</v>
      </c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>
        <f t="shared" si="167"/>
        <v>0</v>
      </c>
      <c r="Z92" s="104">
        <v>0</v>
      </c>
      <c r="AA92" s="104">
        <f t="shared" si="168"/>
        <v>0</v>
      </c>
      <c r="AB92" s="104">
        <f t="shared" si="169"/>
        <v>-2000</v>
      </c>
      <c r="AC92" s="104">
        <v>0</v>
      </c>
      <c r="AD92" s="105"/>
      <c r="AE92" s="106">
        <f t="shared" si="170"/>
        <v>-2000</v>
      </c>
      <c r="AF92" s="104">
        <v>0</v>
      </c>
      <c r="AG92" s="105"/>
      <c r="AH92" s="106">
        <f t="shared" si="120"/>
        <v>-2000</v>
      </c>
      <c r="AI92" s="104">
        <v>0</v>
      </c>
      <c r="AJ92" s="105"/>
      <c r="AK92" s="106">
        <f t="shared" si="144"/>
        <v>-2000</v>
      </c>
      <c r="AL92" s="104">
        <v>0</v>
      </c>
      <c r="AM92" s="105"/>
      <c r="AN92" s="106">
        <f t="shared" si="145"/>
        <v>-2000</v>
      </c>
      <c r="AO92" s="104">
        <v>0</v>
      </c>
      <c r="AP92" s="105"/>
      <c r="AQ92" s="106">
        <f t="shared" si="146"/>
        <v>-2000</v>
      </c>
      <c r="AR92" s="104">
        <v>0</v>
      </c>
      <c r="AS92" s="105"/>
      <c r="AT92" s="106">
        <f t="shared" si="147"/>
        <v>-2000</v>
      </c>
      <c r="AU92" s="104">
        <v>0</v>
      </c>
      <c r="AV92" s="105"/>
      <c r="AW92" s="211"/>
      <c r="AX92" s="104">
        <v>0</v>
      </c>
      <c r="AY92" s="105"/>
      <c r="AZ92" s="209"/>
      <c r="BA92" s="221"/>
      <c r="BB92" s="219"/>
      <c r="BC92" s="209"/>
      <c r="BD92" s="221"/>
      <c r="BE92" s="219"/>
      <c r="BF92" s="209"/>
      <c r="BG92" s="221"/>
      <c r="BH92" s="219"/>
      <c r="BI92" s="209"/>
      <c r="BJ92" s="221"/>
      <c r="BK92" s="219"/>
      <c r="BL92" s="209"/>
      <c r="BM92" s="221"/>
      <c r="BN92" s="219"/>
      <c r="BO92" s="209"/>
      <c r="BP92" s="221"/>
      <c r="BQ92" s="219"/>
      <c r="BR92" s="209"/>
      <c r="BS92" s="221"/>
      <c r="BT92" s="219"/>
      <c r="BU92" s="209"/>
      <c r="BV92" s="221"/>
      <c r="BW92" s="219"/>
      <c r="BX92" s="209"/>
      <c r="BY92" s="221"/>
      <c r="BZ92" s="219"/>
      <c r="CA92" s="209"/>
      <c r="CB92" s="221"/>
      <c r="CC92" s="219"/>
      <c r="CD92" s="209"/>
      <c r="CE92" s="221"/>
      <c r="CF92" s="219"/>
      <c r="CG92" s="209"/>
      <c r="CH92" s="221"/>
      <c r="CI92" s="219"/>
      <c r="CJ92" s="209"/>
      <c r="CK92" s="221"/>
      <c r="CL92" s="219"/>
      <c r="CM92" s="209"/>
      <c r="CN92" s="221"/>
      <c r="CO92" s="219"/>
      <c r="CP92" s="209"/>
      <c r="CQ92" s="221"/>
      <c r="CR92" s="219"/>
      <c r="CS92" s="209"/>
      <c r="CT92" s="221"/>
      <c r="CU92" s="219"/>
      <c r="CV92" s="209"/>
      <c r="CW92" s="221"/>
      <c r="CX92" s="219"/>
      <c r="CY92" s="209"/>
    </row>
    <row r="93" spans="1:103">
      <c r="A93" s="41">
        <f>VLOOKUP(B93,справочник!$B$2:$E$322,4,FALSE)</f>
        <v>254</v>
      </c>
      <c r="B93" t="str">
        <f t="shared" si="166"/>
        <v>267Ершова Виктория Львовна</v>
      </c>
      <c r="C93" s="1">
        <v>267</v>
      </c>
      <c r="D93" s="2" t="s">
        <v>86</v>
      </c>
      <c r="E93" s="1" t="s">
        <v>401</v>
      </c>
      <c r="F93" s="16">
        <v>40953</v>
      </c>
      <c r="G93" s="16">
        <v>40940</v>
      </c>
      <c r="H93" s="17">
        <f>INT(($H$326-G93)/30)</f>
        <v>47</v>
      </c>
      <c r="I93" s="1">
        <f t="shared" si="172"/>
        <v>47000</v>
      </c>
      <c r="J93" s="17">
        <f>39000+5000</f>
        <v>44000</v>
      </c>
      <c r="K93" s="17"/>
      <c r="L93" s="18">
        <f t="shared" si="71"/>
        <v>3000</v>
      </c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18">
        <f t="shared" si="167"/>
        <v>0</v>
      </c>
      <c r="Z93" s="96">
        <v>12</v>
      </c>
      <c r="AA93" s="96">
        <f t="shared" si="168"/>
        <v>9600</v>
      </c>
      <c r="AB93" s="96">
        <f t="shared" si="169"/>
        <v>12600</v>
      </c>
      <c r="AC93" s="99">
        <v>800</v>
      </c>
      <c r="AD93" s="98"/>
      <c r="AE93" s="102">
        <f t="shared" si="170"/>
        <v>13400</v>
      </c>
      <c r="AF93" s="99">
        <v>800</v>
      </c>
      <c r="AG93" s="98"/>
      <c r="AH93" s="102">
        <f t="shared" si="120"/>
        <v>14200</v>
      </c>
      <c r="AI93" s="99">
        <v>800</v>
      </c>
      <c r="AJ93" s="98"/>
      <c r="AK93" s="102">
        <f t="shared" si="144"/>
        <v>15000</v>
      </c>
      <c r="AL93" s="99">
        <v>800</v>
      </c>
      <c r="AM93" s="98"/>
      <c r="AN93" s="102">
        <f t="shared" si="145"/>
        <v>15800</v>
      </c>
      <c r="AO93" s="99">
        <v>800</v>
      </c>
      <c r="AP93" s="113"/>
      <c r="AQ93" s="102">
        <f t="shared" si="146"/>
        <v>16600</v>
      </c>
      <c r="AR93" s="99">
        <v>800</v>
      </c>
      <c r="AS93" s="113"/>
      <c r="AT93" s="102">
        <f t="shared" si="147"/>
        <v>17400</v>
      </c>
      <c r="AU93" s="99">
        <v>800</v>
      </c>
      <c r="AV93" s="113"/>
      <c r="AW93" s="102">
        <f t="shared" si="148"/>
        <v>18200</v>
      </c>
      <c r="AX93" s="99">
        <v>800</v>
      </c>
      <c r="AY93" s="113"/>
      <c r="AZ93" s="102">
        <f t="shared" si="149"/>
        <v>19000</v>
      </c>
      <c r="BA93" s="99">
        <v>800</v>
      </c>
      <c r="BB93" s="113"/>
      <c r="BC93" s="102">
        <f t="shared" ref="BC93:BC100" si="173">AZ93+BA93-BB93</f>
        <v>19800</v>
      </c>
      <c r="BD93" s="99">
        <v>800</v>
      </c>
      <c r="BE93" s="113"/>
      <c r="BF93" s="102">
        <f t="shared" ref="BF93:BF100" si="174">BC93+BD93-BE93</f>
        <v>20600</v>
      </c>
      <c r="BG93" s="99">
        <v>800</v>
      </c>
      <c r="BH93" s="113"/>
      <c r="BI93" s="102">
        <f t="shared" ref="BI93:BI100" si="175">BF93+BG93-BH93</f>
        <v>21400</v>
      </c>
      <c r="BJ93" s="99">
        <v>800</v>
      </c>
      <c r="BK93" s="113">
        <v>6000</v>
      </c>
      <c r="BL93" s="102">
        <f t="shared" ref="BL93:BL100" si="176">BI93+BJ93-BK93</f>
        <v>16200</v>
      </c>
      <c r="BM93" s="99">
        <v>800</v>
      </c>
      <c r="BN93" s="113"/>
      <c r="BO93" s="102">
        <f t="shared" ref="BO93:BO100" si="177">BL93+BM93-BN93</f>
        <v>17000</v>
      </c>
      <c r="BP93" s="99">
        <v>800</v>
      </c>
      <c r="BQ93" s="113">
        <v>2000</v>
      </c>
      <c r="BR93" s="102">
        <f t="shared" ref="BR93:BR100" si="178">BO93+BP93-BQ93</f>
        <v>15800</v>
      </c>
      <c r="BS93" s="99">
        <v>800</v>
      </c>
      <c r="BT93" s="113">
        <v>4000</v>
      </c>
      <c r="BU93" s="102">
        <f t="shared" ref="BU93:BU100" si="179">BR93+BS93-BT93</f>
        <v>12600</v>
      </c>
      <c r="BV93" s="99">
        <v>800</v>
      </c>
      <c r="BW93" s="113">
        <v>4000</v>
      </c>
      <c r="BX93" s="102">
        <f t="shared" ref="BX93:BX100" si="180">BU93+BV93-BW93</f>
        <v>9400</v>
      </c>
      <c r="BY93" s="99">
        <v>800</v>
      </c>
      <c r="BZ93" s="113">
        <v>4000</v>
      </c>
      <c r="CA93" s="102">
        <f t="shared" ref="CA93:CA100" si="181">BX93+BY93-BZ93</f>
        <v>6200</v>
      </c>
      <c r="CB93" s="99">
        <v>800</v>
      </c>
      <c r="CC93" s="113"/>
      <c r="CD93" s="102">
        <f t="shared" ref="CD93:CD100" si="182">CA93+CB93-CC93</f>
        <v>7000</v>
      </c>
      <c r="CE93" s="99">
        <v>800</v>
      </c>
      <c r="CF93" s="113"/>
      <c r="CG93" s="102">
        <f t="shared" ref="CG93:CG100" si="183">CD93+CE93-CF93</f>
        <v>7800</v>
      </c>
      <c r="CH93" s="99">
        <v>800</v>
      </c>
      <c r="CI93" s="113">
        <v>4000</v>
      </c>
      <c r="CJ93" s="102">
        <f t="shared" ref="CJ93:CJ100" si="184">CG93+CH93-CI93</f>
        <v>4600</v>
      </c>
      <c r="CK93" s="99">
        <v>800</v>
      </c>
      <c r="CL93" s="113"/>
      <c r="CM93" s="102">
        <f t="shared" ref="CM93:CM100" si="185">CJ93+CK93-CL93</f>
        <v>5400</v>
      </c>
      <c r="CN93" s="99">
        <v>800</v>
      </c>
      <c r="CO93" s="113"/>
      <c r="CP93" s="102">
        <f t="shared" ref="CP93:CP100" si="186">CM93+CN93-CO93</f>
        <v>6200</v>
      </c>
      <c r="CQ93" s="99">
        <v>800</v>
      </c>
      <c r="CR93" s="113">
        <v>5000</v>
      </c>
      <c r="CS93" s="102">
        <f>CP93+CQ93-CR93</f>
        <v>2000</v>
      </c>
      <c r="CT93" s="99">
        <v>800</v>
      </c>
      <c r="CU93" s="113">
        <v>2000</v>
      </c>
      <c r="CV93" s="102">
        <f>CS93+CT93-CU93</f>
        <v>800</v>
      </c>
      <c r="CW93" s="99">
        <v>800</v>
      </c>
      <c r="CX93" s="113"/>
      <c r="CY93" s="102">
        <f>CV93+CW93-CX93</f>
        <v>1600</v>
      </c>
    </row>
    <row r="94" spans="1:103" s="80" customFormat="1">
      <c r="A94" s="103">
        <f>VLOOKUP(B94,справочник!$B$2:$E$322,4,FALSE)</f>
        <v>230</v>
      </c>
      <c r="B94" s="80" t="str">
        <f t="shared" si="166"/>
        <v>239Жарикова Светлана Юрьевна</v>
      </c>
      <c r="C94" s="5">
        <v>239</v>
      </c>
      <c r="D94" s="7" t="s">
        <v>87</v>
      </c>
      <c r="E94" s="5" t="s">
        <v>402</v>
      </c>
      <c r="F94" s="19">
        <v>41590</v>
      </c>
      <c r="G94" s="19">
        <v>41579</v>
      </c>
      <c r="H94" s="20">
        <f>INT(($H$326-G94)/30)</f>
        <v>26</v>
      </c>
      <c r="I94" s="5">
        <f t="shared" si="172"/>
        <v>26000</v>
      </c>
      <c r="J94" s="20">
        <v>26000</v>
      </c>
      <c r="K94" s="20"/>
      <c r="L94" s="21">
        <f t="shared" si="71"/>
        <v>0</v>
      </c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>
        <f t="shared" si="167"/>
        <v>0</v>
      </c>
      <c r="Z94" s="104">
        <v>0</v>
      </c>
      <c r="AA94" s="104">
        <f t="shared" si="168"/>
        <v>0</v>
      </c>
      <c r="AB94" s="104">
        <f t="shared" si="169"/>
        <v>0</v>
      </c>
      <c r="AC94" s="104">
        <v>0</v>
      </c>
      <c r="AD94" s="105"/>
      <c r="AE94" s="106">
        <f t="shared" si="170"/>
        <v>0</v>
      </c>
      <c r="AF94" s="104">
        <v>0</v>
      </c>
      <c r="AG94" s="105"/>
      <c r="AH94" s="106">
        <f t="shared" si="120"/>
        <v>0</v>
      </c>
      <c r="AI94" s="104">
        <v>0</v>
      </c>
      <c r="AJ94" s="105"/>
      <c r="AK94" s="106">
        <f t="shared" si="144"/>
        <v>0</v>
      </c>
      <c r="AL94" s="104">
        <v>0</v>
      </c>
      <c r="AM94" s="105"/>
      <c r="AN94" s="106">
        <f t="shared" si="145"/>
        <v>0</v>
      </c>
      <c r="AO94" s="104">
        <v>0</v>
      </c>
      <c r="AP94" s="105"/>
      <c r="AQ94" s="106">
        <f t="shared" si="146"/>
        <v>0</v>
      </c>
      <c r="AR94" s="104">
        <v>0</v>
      </c>
      <c r="AS94" s="105"/>
      <c r="AT94" s="106">
        <f t="shared" si="147"/>
        <v>0</v>
      </c>
      <c r="AU94" s="104">
        <v>0</v>
      </c>
      <c r="AV94" s="105"/>
      <c r="AW94" s="119">
        <f t="shared" si="148"/>
        <v>0</v>
      </c>
      <c r="AX94" s="104">
        <v>0</v>
      </c>
      <c r="AY94" s="105"/>
      <c r="AZ94" s="119">
        <f t="shared" si="149"/>
        <v>0</v>
      </c>
      <c r="BA94" s="104">
        <v>0</v>
      </c>
      <c r="BB94" s="105"/>
      <c r="BC94" s="119">
        <f t="shared" si="173"/>
        <v>0</v>
      </c>
      <c r="BD94" s="104">
        <v>0</v>
      </c>
      <c r="BE94" s="105"/>
      <c r="BF94" s="119">
        <f t="shared" si="174"/>
        <v>0</v>
      </c>
      <c r="BG94" s="104">
        <v>0</v>
      </c>
      <c r="BH94" s="105"/>
      <c r="BI94" s="119">
        <f t="shared" si="175"/>
        <v>0</v>
      </c>
      <c r="BJ94" s="104">
        <v>0</v>
      </c>
      <c r="BK94" s="105"/>
      <c r="BL94" s="119">
        <f t="shared" si="176"/>
        <v>0</v>
      </c>
      <c r="BM94" s="104">
        <v>0</v>
      </c>
      <c r="BN94" s="105"/>
      <c r="BO94" s="119">
        <f t="shared" si="177"/>
        <v>0</v>
      </c>
      <c r="BP94" s="104">
        <v>0</v>
      </c>
      <c r="BQ94" s="105"/>
      <c r="BR94" s="119">
        <f t="shared" si="178"/>
        <v>0</v>
      </c>
      <c r="BS94" s="104">
        <v>0</v>
      </c>
      <c r="BT94" s="105"/>
      <c r="BU94" s="119">
        <f t="shared" si="179"/>
        <v>0</v>
      </c>
      <c r="BV94" s="104">
        <v>0</v>
      </c>
      <c r="BW94" s="105"/>
      <c r="BX94" s="119">
        <f t="shared" si="180"/>
        <v>0</v>
      </c>
      <c r="BY94" s="104">
        <v>0</v>
      </c>
      <c r="BZ94" s="105"/>
      <c r="CA94" s="119">
        <f t="shared" si="181"/>
        <v>0</v>
      </c>
      <c r="CB94" s="104">
        <v>0</v>
      </c>
      <c r="CC94" s="105"/>
      <c r="CD94" s="119">
        <f t="shared" si="182"/>
        <v>0</v>
      </c>
      <c r="CE94" s="104">
        <v>0</v>
      </c>
      <c r="CF94" s="105"/>
      <c r="CG94" s="119">
        <f t="shared" si="183"/>
        <v>0</v>
      </c>
      <c r="CH94" s="104">
        <v>0</v>
      </c>
      <c r="CI94" s="105"/>
      <c r="CJ94" s="119">
        <f t="shared" si="184"/>
        <v>0</v>
      </c>
      <c r="CK94" s="104">
        <v>0</v>
      </c>
      <c r="CL94" s="105"/>
      <c r="CM94" s="119">
        <f t="shared" si="185"/>
        <v>0</v>
      </c>
      <c r="CN94" s="104">
        <v>0</v>
      </c>
      <c r="CO94" s="105"/>
      <c r="CP94" s="119">
        <f t="shared" si="186"/>
        <v>0</v>
      </c>
      <c r="CQ94" s="104">
        <v>0</v>
      </c>
      <c r="CR94" s="105"/>
      <c r="CS94" s="184">
        <f t="shared" ref="CS94:CS99" si="187">CP94+CQ94-CR94</f>
        <v>0</v>
      </c>
      <c r="CT94" s="104">
        <v>0</v>
      </c>
      <c r="CU94" s="105"/>
      <c r="CV94" s="184">
        <f t="shared" ref="CV94" si="188">CS94+CT94-CU94</f>
        <v>0</v>
      </c>
      <c r="CW94" s="104">
        <v>0</v>
      </c>
      <c r="CX94" s="105"/>
      <c r="CY94" s="184">
        <f t="shared" ref="CY94" si="189">CV94+CW94-CX94</f>
        <v>0</v>
      </c>
    </row>
    <row r="95" spans="1:103" s="80" customFormat="1">
      <c r="A95" s="103">
        <f>VLOOKUP(B95,справочник!$B$2:$E$322,4,FALSE)</f>
        <v>230</v>
      </c>
      <c r="B95" s="80" t="str">
        <f t="shared" si="166"/>
        <v>257Жарикова Светлана Юрьевна</v>
      </c>
      <c r="C95" s="5">
        <v>257</v>
      </c>
      <c r="D95" s="7" t="s">
        <v>87</v>
      </c>
      <c r="E95" s="5" t="s">
        <v>403</v>
      </c>
      <c r="F95" s="19">
        <v>41882</v>
      </c>
      <c r="G95" s="19">
        <v>41944</v>
      </c>
      <c r="H95" s="20">
        <v>12</v>
      </c>
      <c r="I95" s="5">
        <f t="shared" si="172"/>
        <v>12000</v>
      </c>
      <c r="J95" s="20">
        <v>0</v>
      </c>
      <c r="K95" s="20">
        <v>4000</v>
      </c>
      <c r="L95" s="21">
        <f t="shared" si="71"/>
        <v>8000</v>
      </c>
      <c r="M95" s="21"/>
      <c r="N95" s="21">
        <f>11900+200</f>
        <v>12100</v>
      </c>
      <c r="O95" s="21"/>
      <c r="P95" s="21"/>
      <c r="Q95" s="21">
        <v>3500</v>
      </c>
      <c r="R95" s="21"/>
      <c r="S95" s="21"/>
      <c r="T95" s="80">
        <v>2700</v>
      </c>
      <c r="U95" s="21"/>
      <c r="V95" s="21"/>
      <c r="W95" s="21"/>
      <c r="X95" s="21"/>
      <c r="Y95" s="21">
        <f t="shared" si="167"/>
        <v>18300</v>
      </c>
      <c r="Z95" s="104">
        <v>12</v>
      </c>
      <c r="AA95" s="104">
        <f t="shared" si="168"/>
        <v>9600</v>
      </c>
      <c r="AB95" s="104">
        <f t="shared" si="169"/>
        <v>-700</v>
      </c>
      <c r="AC95" s="104">
        <v>800</v>
      </c>
      <c r="AD95" s="105"/>
      <c r="AE95" s="106">
        <f t="shared" si="170"/>
        <v>100</v>
      </c>
      <c r="AF95" s="104">
        <v>800</v>
      </c>
      <c r="AG95" s="105"/>
      <c r="AH95" s="106">
        <f t="shared" si="120"/>
        <v>900</v>
      </c>
      <c r="AI95" s="104">
        <v>800</v>
      </c>
      <c r="AJ95" s="105">
        <v>2100</v>
      </c>
      <c r="AK95" s="106">
        <f t="shared" si="144"/>
        <v>-400</v>
      </c>
      <c r="AL95" s="104">
        <v>800</v>
      </c>
      <c r="AM95" s="105"/>
      <c r="AN95" s="106">
        <f t="shared" si="145"/>
        <v>400</v>
      </c>
      <c r="AO95" s="104">
        <v>800</v>
      </c>
      <c r="AP95" s="105"/>
      <c r="AQ95" s="106">
        <f t="shared" si="146"/>
        <v>1200</v>
      </c>
      <c r="AR95" s="104">
        <v>800</v>
      </c>
      <c r="AS95" s="105"/>
      <c r="AT95" s="106">
        <f t="shared" si="147"/>
        <v>2000</v>
      </c>
      <c r="AU95" s="104">
        <v>800</v>
      </c>
      <c r="AV95" s="105"/>
      <c r="AW95" s="119">
        <f t="shared" si="148"/>
        <v>2800</v>
      </c>
      <c r="AX95" s="104">
        <v>800</v>
      </c>
      <c r="AY95" s="105"/>
      <c r="AZ95" s="119">
        <f t="shared" si="149"/>
        <v>3600</v>
      </c>
      <c r="BA95" s="104">
        <v>800</v>
      </c>
      <c r="BB95" s="105"/>
      <c r="BC95" s="119">
        <f t="shared" si="173"/>
        <v>4400</v>
      </c>
      <c r="BD95" s="104">
        <v>800</v>
      </c>
      <c r="BE95" s="105"/>
      <c r="BF95" s="119">
        <f t="shared" si="174"/>
        <v>5200</v>
      </c>
      <c r="BG95" s="104">
        <v>800</v>
      </c>
      <c r="BH95" s="105"/>
      <c r="BI95" s="119">
        <f t="shared" si="175"/>
        <v>6000</v>
      </c>
      <c r="BJ95" s="104">
        <v>800</v>
      </c>
      <c r="BK95" s="105">
        <v>1600</v>
      </c>
      <c r="BL95" s="119">
        <f>BI95+BJ95-BK95</f>
        <v>5200</v>
      </c>
      <c r="BM95" s="104">
        <v>800</v>
      </c>
      <c r="BN95" s="105">
        <v>1600</v>
      </c>
      <c r="BO95" s="119">
        <f t="shared" si="177"/>
        <v>4400</v>
      </c>
      <c r="BP95" s="104">
        <v>800</v>
      </c>
      <c r="BQ95" s="105"/>
      <c r="BR95" s="119">
        <f t="shared" si="178"/>
        <v>5200</v>
      </c>
      <c r="BS95" s="104">
        <v>800</v>
      </c>
      <c r="BT95" s="105"/>
      <c r="BU95" s="119">
        <f t="shared" si="179"/>
        <v>6000</v>
      </c>
      <c r="BV95" s="104">
        <v>800</v>
      </c>
      <c r="BW95" s="105"/>
      <c r="BX95" s="119">
        <f t="shared" si="180"/>
        <v>6800</v>
      </c>
      <c r="BY95" s="104">
        <v>800</v>
      </c>
      <c r="BZ95" s="105"/>
      <c r="CA95" s="119">
        <f t="shared" si="181"/>
        <v>7600</v>
      </c>
      <c r="CB95" s="104">
        <v>800</v>
      </c>
      <c r="CC95" s="105">
        <f>2400+1600</f>
        <v>4000</v>
      </c>
      <c r="CD95" s="119">
        <f t="shared" si="182"/>
        <v>4400</v>
      </c>
      <c r="CE95" s="104">
        <v>800</v>
      </c>
      <c r="CF95" s="105"/>
      <c r="CG95" s="119">
        <f t="shared" si="183"/>
        <v>5200</v>
      </c>
      <c r="CH95" s="104">
        <v>800</v>
      </c>
      <c r="CI95" s="105"/>
      <c r="CJ95" s="119">
        <f t="shared" si="184"/>
        <v>6000</v>
      </c>
      <c r="CK95" s="104">
        <v>800</v>
      </c>
      <c r="CL95" s="105">
        <v>4000</v>
      </c>
      <c r="CM95" s="119">
        <f t="shared" si="185"/>
        <v>2800</v>
      </c>
      <c r="CN95" s="104">
        <v>800</v>
      </c>
      <c r="CO95" s="105">
        <v>1000</v>
      </c>
      <c r="CP95" s="119">
        <f>CM95+CN95-CO95</f>
        <v>2600</v>
      </c>
      <c r="CQ95" s="104">
        <v>800</v>
      </c>
      <c r="CR95" s="105">
        <v>1000</v>
      </c>
      <c r="CS95" s="184">
        <f>CP95+CQ95-CR95</f>
        <v>2400</v>
      </c>
      <c r="CT95" s="104">
        <v>800</v>
      </c>
      <c r="CU95" s="105"/>
      <c r="CV95" s="184">
        <f>CS95+CT95-CU95</f>
        <v>3200</v>
      </c>
      <c r="CW95" s="104">
        <v>800</v>
      </c>
      <c r="CX95" s="105">
        <v>1000</v>
      </c>
      <c r="CY95" s="184">
        <f>CV95+CW95-CX95</f>
        <v>3000</v>
      </c>
    </row>
    <row r="96" spans="1:103">
      <c r="A96" s="41">
        <f>VLOOKUP(B96,справочник!$B$2:$E$322,4,FALSE)</f>
        <v>4</v>
      </c>
      <c r="B96" t="str">
        <f t="shared" si="166"/>
        <v>4Жигунов Юрий Александрович</v>
      </c>
      <c r="C96" s="1">
        <v>4</v>
      </c>
      <c r="D96" s="2" t="s">
        <v>88</v>
      </c>
      <c r="E96" s="1" t="s">
        <v>404</v>
      </c>
      <c r="F96" s="16">
        <v>41436</v>
      </c>
      <c r="G96" s="16">
        <v>41456</v>
      </c>
      <c r="H96" s="17">
        <f t="shared" ref="H96:H101" si="190">INT(($H$326-G96)/30)</f>
        <v>30</v>
      </c>
      <c r="I96" s="1">
        <f t="shared" si="172"/>
        <v>30000</v>
      </c>
      <c r="J96" s="17">
        <v>27000</v>
      </c>
      <c r="K96" s="17"/>
      <c r="L96" s="18">
        <f t="shared" ref="L96:L132" si="191">I96-J96-K96</f>
        <v>3000</v>
      </c>
      <c r="M96" s="22"/>
      <c r="N96" s="22"/>
      <c r="O96" s="22"/>
      <c r="P96" s="22"/>
      <c r="Q96" s="22">
        <v>5000</v>
      </c>
      <c r="R96" s="22"/>
      <c r="S96" s="22"/>
      <c r="T96" s="22"/>
      <c r="U96" s="22"/>
      <c r="V96" s="22"/>
      <c r="W96" s="22"/>
      <c r="X96" s="22"/>
      <c r="Y96" s="18">
        <f t="shared" si="167"/>
        <v>5000</v>
      </c>
      <c r="Z96" s="96">
        <v>12</v>
      </c>
      <c r="AA96" s="96">
        <f t="shared" si="168"/>
        <v>9600</v>
      </c>
      <c r="AB96" s="96">
        <f t="shared" si="169"/>
        <v>7600</v>
      </c>
      <c r="AC96" s="99">
        <v>800</v>
      </c>
      <c r="AD96" s="98"/>
      <c r="AE96" s="102">
        <f t="shared" si="170"/>
        <v>8400</v>
      </c>
      <c r="AF96" s="99">
        <v>800</v>
      </c>
      <c r="AG96" s="98"/>
      <c r="AH96" s="102">
        <f t="shared" si="120"/>
        <v>9200</v>
      </c>
      <c r="AI96" s="99">
        <v>800</v>
      </c>
      <c r="AJ96" s="98"/>
      <c r="AK96" s="102">
        <f t="shared" si="144"/>
        <v>10000</v>
      </c>
      <c r="AL96" s="99">
        <v>800</v>
      </c>
      <c r="AM96" s="98"/>
      <c r="AN96" s="102">
        <f t="shared" si="145"/>
        <v>10800</v>
      </c>
      <c r="AO96" s="99">
        <v>800</v>
      </c>
      <c r="AP96" s="113">
        <v>10800</v>
      </c>
      <c r="AQ96" s="102">
        <f t="shared" si="146"/>
        <v>800</v>
      </c>
      <c r="AR96" s="99">
        <v>800</v>
      </c>
      <c r="AS96" s="113"/>
      <c r="AT96" s="102">
        <f t="shared" si="147"/>
        <v>1600</v>
      </c>
      <c r="AU96" s="99">
        <v>800</v>
      </c>
      <c r="AV96" s="113"/>
      <c r="AW96" s="102">
        <f t="shared" si="148"/>
        <v>2400</v>
      </c>
      <c r="AX96" s="99">
        <v>800</v>
      </c>
      <c r="AY96" s="113"/>
      <c r="AZ96" s="102">
        <f t="shared" si="149"/>
        <v>3200</v>
      </c>
      <c r="BA96" s="99">
        <v>800</v>
      </c>
      <c r="BB96" s="113"/>
      <c r="BC96" s="102">
        <f t="shared" si="173"/>
        <v>4000</v>
      </c>
      <c r="BD96" s="99">
        <v>800</v>
      </c>
      <c r="BE96" s="113">
        <v>6000</v>
      </c>
      <c r="BF96" s="102">
        <f t="shared" si="174"/>
        <v>-1200</v>
      </c>
      <c r="BG96" s="99">
        <v>800</v>
      </c>
      <c r="BH96" s="113"/>
      <c r="BI96" s="102">
        <f t="shared" si="175"/>
        <v>-400</v>
      </c>
      <c r="BJ96" s="99">
        <v>800</v>
      </c>
      <c r="BK96" s="113"/>
      <c r="BL96" s="102">
        <f t="shared" si="176"/>
        <v>400</v>
      </c>
      <c r="BM96" s="99">
        <v>800</v>
      </c>
      <c r="BN96" s="113"/>
      <c r="BO96" s="102">
        <f t="shared" si="177"/>
        <v>1200</v>
      </c>
      <c r="BP96" s="99">
        <v>800</v>
      </c>
      <c r="BQ96" s="113"/>
      <c r="BR96" s="102">
        <f t="shared" si="178"/>
        <v>2000</v>
      </c>
      <c r="BS96" s="99">
        <v>800</v>
      </c>
      <c r="BT96" s="113"/>
      <c r="BU96" s="102">
        <f t="shared" si="179"/>
        <v>2800</v>
      </c>
      <c r="BV96" s="99">
        <v>800</v>
      </c>
      <c r="BW96" s="113"/>
      <c r="BX96" s="102">
        <f t="shared" si="180"/>
        <v>3600</v>
      </c>
      <c r="BY96" s="99">
        <v>800</v>
      </c>
      <c r="BZ96" s="113"/>
      <c r="CA96" s="102">
        <f t="shared" si="181"/>
        <v>4400</v>
      </c>
      <c r="CB96" s="99">
        <v>800</v>
      </c>
      <c r="CC96" s="113">
        <v>3000</v>
      </c>
      <c r="CD96" s="102">
        <f t="shared" si="182"/>
        <v>2200</v>
      </c>
      <c r="CE96" s="99">
        <v>800</v>
      </c>
      <c r="CF96" s="113"/>
      <c r="CG96" s="102">
        <f t="shared" si="183"/>
        <v>3000</v>
      </c>
      <c r="CH96" s="99">
        <v>800</v>
      </c>
      <c r="CI96" s="113"/>
      <c r="CJ96" s="102">
        <f t="shared" si="184"/>
        <v>3800</v>
      </c>
      <c r="CK96" s="99">
        <v>800</v>
      </c>
      <c r="CL96" s="113"/>
      <c r="CM96" s="102">
        <f t="shared" si="185"/>
        <v>4600</v>
      </c>
      <c r="CN96" s="99">
        <v>800</v>
      </c>
      <c r="CO96" s="113"/>
      <c r="CP96" s="102">
        <f t="shared" si="186"/>
        <v>5400</v>
      </c>
      <c r="CQ96" s="99">
        <v>800</v>
      </c>
      <c r="CR96" s="113"/>
      <c r="CS96" s="102">
        <f t="shared" si="187"/>
        <v>6200</v>
      </c>
      <c r="CT96" s="99">
        <v>800</v>
      </c>
      <c r="CU96" s="113"/>
      <c r="CV96" s="102">
        <f t="shared" ref="CV96:CV99" si="192">CS96+CT96-CU96</f>
        <v>7000</v>
      </c>
      <c r="CW96" s="99">
        <v>800</v>
      </c>
      <c r="CX96" s="113"/>
      <c r="CY96" s="102">
        <f t="shared" ref="CY96:CY99" si="193">CV96+CW96-CX96</f>
        <v>7800</v>
      </c>
    </row>
    <row r="97" spans="1:103">
      <c r="A97" s="41">
        <f>VLOOKUP(B97,справочник!$B$2:$E$322,4,FALSE)</f>
        <v>213</v>
      </c>
      <c r="B97" t="str">
        <f t="shared" si="166"/>
        <v>222Жирная Татьяна Сергеевна</v>
      </c>
      <c r="C97" s="1">
        <v>222</v>
      </c>
      <c r="D97" s="2" t="s">
        <v>89</v>
      </c>
      <c r="E97" s="1" t="s">
        <v>405</v>
      </c>
      <c r="F97" s="16">
        <v>41766</v>
      </c>
      <c r="G97" s="16">
        <v>41791</v>
      </c>
      <c r="H97" s="17">
        <f t="shared" si="190"/>
        <v>19</v>
      </c>
      <c r="I97" s="1">
        <f t="shared" si="172"/>
        <v>19000</v>
      </c>
      <c r="J97" s="17">
        <v>500</v>
      </c>
      <c r="K97" s="17"/>
      <c r="L97" s="18">
        <f t="shared" si="191"/>
        <v>18500</v>
      </c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18">
        <f t="shared" si="167"/>
        <v>0</v>
      </c>
      <c r="Z97" s="96">
        <v>12</v>
      </c>
      <c r="AA97" s="96">
        <f t="shared" si="168"/>
        <v>9600</v>
      </c>
      <c r="AB97" s="96">
        <f t="shared" si="169"/>
        <v>28100</v>
      </c>
      <c r="AC97" s="99">
        <v>800</v>
      </c>
      <c r="AD97" s="98"/>
      <c r="AE97" s="102">
        <f t="shared" si="170"/>
        <v>28900</v>
      </c>
      <c r="AF97" s="99">
        <v>800</v>
      </c>
      <c r="AG97" s="98"/>
      <c r="AH97" s="102">
        <f t="shared" si="120"/>
        <v>29700</v>
      </c>
      <c r="AI97" s="99">
        <v>800</v>
      </c>
      <c r="AJ97" s="98"/>
      <c r="AK97" s="102">
        <f t="shared" si="144"/>
        <v>30500</v>
      </c>
      <c r="AL97" s="99">
        <v>800</v>
      </c>
      <c r="AM97" s="98"/>
      <c r="AN97" s="102">
        <f t="shared" si="145"/>
        <v>31300</v>
      </c>
      <c r="AO97" s="99">
        <v>800</v>
      </c>
      <c r="AP97" s="113"/>
      <c r="AQ97" s="102">
        <f t="shared" si="146"/>
        <v>32100</v>
      </c>
      <c r="AR97" s="99">
        <v>800</v>
      </c>
      <c r="AS97" s="113"/>
      <c r="AT97" s="102">
        <f t="shared" si="147"/>
        <v>32900</v>
      </c>
      <c r="AU97" s="99">
        <v>800</v>
      </c>
      <c r="AV97" s="113"/>
      <c r="AW97" s="102">
        <f t="shared" si="148"/>
        <v>33700</v>
      </c>
      <c r="AX97" s="99">
        <v>800</v>
      </c>
      <c r="AY97" s="113"/>
      <c r="AZ97" s="102">
        <f t="shared" si="149"/>
        <v>34500</v>
      </c>
      <c r="BA97" s="99">
        <v>800</v>
      </c>
      <c r="BB97" s="113"/>
      <c r="BC97" s="102">
        <f t="shared" si="173"/>
        <v>35300</v>
      </c>
      <c r="BD97" s="99">
        <v>800</v>
      </c>
      <c r="BE97" s="113"/>
      <c r="BF97" s="102">
        <f t="shared" si="174"/>
        <v>36100</v>
      </c>
      <c r="BG97" s="99">
        <v>800</v>
      </c>
      <c r="BH97" s="113"/>
      <c r="BI97" s="102">
        <f t="shared" si="175"/>
        <v>36900</v>
      </c>
      <c r="BJ97" s="99">
        <v>800</v>
      </c>
      <c r="BK97" s="113"/>
      <c r="BL97" s="102">
        <f t="shared" si="176"/>
        <v>37700</v>
      </c>
      <c r="BM97" s="99">
        <v>800</v>
      </c>
      <c r="BN97" s="113"/>
      <c r="BO97" s="102">
        <f t="shared" si="177"/>
        <v>38500</v>
      </c>
      <c r="BP97" s="99">
        <v>800</v>
      </c>
      <c r="BQ97" s="113"/>
      <c r="BR97" s="102">
        <f t="shared" si="178"/>
        <v>39300</v>
      </c>
      <c r="BS97" s="99">
        <v>800</v>
      </c>
      <c r="BT97" s="113"/>
      <c r="BU97" s="102">
        <f t="shared" si="179"/>
        <v>40100</v>
      </c>
      <c r="BV97" s="99">
        <v>800</v>
      </c>
      <c r="BW97" s="113"/>
      <c r="BX97" s="102">
        <f t="shared" si="180"/>
        <v>40900</v>
      </c>
      <c r="BY97" s="99">
        <v>800</v>
      </c>
      <c r="BZ97" s="113"/>
      <c r="CA97" s="102">
        <f t="shared" si="181"/>
        <v>41700</v>
      </c>
      <c r="CB97" s="99">
        <v>800</v>
      </c>
      <c r="CC97" s="113"/>
      <c r="CD97" s="102">
        <f t="shared" si="182"/>
        <v>42500</v>
      </c>
      <c r="CE97" s="99">
        <v>800</v>
      </c>
      <c r="CF97" s="113"/>
      <c r="CG97" s="102">
        <f t="shared" si="183"/>
        <v>43300</v>
      </c>
      <c r="CH97" s="99">
        <v>800</v>
      </c>
      <c r="CI97" s="113"/>
      <c r="CJ97" s="102">
        <f t="shared" si="184"/>
        <v>44100</v>
      </c>
      <c r="CK97" s="99">
        <v>800</v>
      </c>
      <c r="CL97" s="113"/>
      <c r="CM97" s="102">
        <f t="shared" si="185"/>
        <v>44900</v>
      </c>
      <c r="CN97" s="99">
        <v>800</v>
      </c>
      <c r="CO97" s="113"/>
      <c r="CP97" s="102">
        <f t="shared" si="186"/>
        <v>45700</v>
      </c>
      <c r="CQ97" s="99">
        <v>800</v>
      </c>
      <c r="CR97" s="113"/>
      <c r="CS97" s="102">
        <f t="shared" si="187"/>
        <v>46500</v>
      </c>
      <c r="CT97" s="99">
        <v>800</v>
      </c>
      <c r="CU97" s="113"/>
      <c r="CV97" s="102">
        <f t="shared" si="192"/>
        <v>47300</v>
      </c>
      <c r="CW97" s="99">
        <v>800</v>
      </c>
      <c r="CX97" s="113"/>
      <c r="CY97" s="102">
        <f t="shared" si="193"/>
        <v>48100</v>
      </c>
    </row>
    <row r="98" spans="1:103">
      <c r="A98" s="41">
        <f>VLOOKUP(B98,справочник!$B$2:$E$322,4,FALSE)</f>
        <v>127</v>
      </c>
      <c r="B98" t="str">
        <f t="shared" si="166"/>
        <v>132Жохова Елена Сергеевна</v>
      </c>
      <c r="C98" s="1">
        <v>132</v>
      </c>
      <c r="D98" s="2" t="s">
        <v>90</v>
      </c>
      <c r="E98" s="1" t="s">
        <v>406</v>
      </c>
      <c r="F98" s="16">
        <v>40701</v>
      </c>
      <c r="G98" s="16">
        <v>40695</v>
      </c>
      <c r="H98" s="17">
        <f t="shared" si="190"/>
        <v>55</v>
      </c>
      <c r="I98" s="1">
        <f t="shared" si="172"/>
        <v>55000</v>
      </c>
      <c r="J98" s="17">
        <f>36000+7000</f>
        <v>43000</v>
      </c>
      <c r="K98" s="17"/>
      <c r="L98" s="18">
        <v>0</v>
      </c>
      <c r="M98" s="22"/>
      <c r="N98" s="22">
        <v>1600</v>
      </c>
      <c r="O98" s="22"/>
      <c r="P98" s="22"/>
      <c r="Q98" s="22"/>
      <c r="R98" s="22"/>
      <c r="S98" s="22"/>
      <c r="T98">
        <v>2400</v>
      </c>
      <c r="U98" s="22"/>
      <c r="V98" s="22"/>
      <c r="W98" s="22"/>
      <c r="X98" s="22"/>
      <c r="Y98" s="18">
        <f t="shared" si="167"/>
        <v>4000</v>
      </c>
      <c r="Z98" s="96">
        <v>12</v>
      </c>
      <c r="AA98" s="96">
        <f t="shared" si="168"/>
        <v>9600</v>
      </c>
      <c r="AB98" s="96">
        <f t="shared" si="169"/>
        <v>5600</v>
      </c>
      <c r="AC98" s="99">
        <v>800</v>
      </c>
      <c r="AD98" s="98"/>
      <c r="AE98" s="102">
        <f t="shared" si="170"/>
        <v>6400</v>
      </c>
      <c r="AF98" s="99">
        <v>800</v>
      </c>
      <c r="AG98" s="98"/>
      <c r="AH98" s="102">
        <f t="shared" si="120"/>
        <v>7200</v>
      </c>
      <c r="AI98" s="99">
        <v>800</v>
      </c>
      <c r="AJ98" s="98"/>
      <c r="AK98" s="102">
        <f t="shared" si="144"/>
        <v>8000</v>
      </c>
      <c r="AL98" s="99">
        <v>800</v>
      </c>
      <c r="AM98" s="98"/>
      <c r="AN98" s="102">
        <f t="shared" si="145"/>
        <v>8800</v>
      </c>
      <c r="AO98" s="99">
        <v>800</v>
      </c>
      <c r="AP98" s="113"/>
      <c r="AQ98" s="102">
        <f t="shared" si="146"/>
        <v>9600</v>
      </c>
      <c r="AR98" s="99">
        <v>800</v>
      </c>
      <c r="AS98" s="113"/>
      <c r="AT98" s="102">
        <f t="shared" si="147"/>
        <v>10400</v>
      </c>
      <c r="AU98" s="99">
        <v>800</v>
      </c>
      <c r="AV98" s="113">
        <v>10000</v>
      </c>
      <c r="AW98" s="102">
        <f t="shared" si="148"/>
        <v>1200</v>
      </c>
      <c r="AX98" s="99">
        <v>800</v>
      </c>
      <c r="AY98" s="113"/>
      <c r="AZ98" s="102">
        <f t="shared" si="149"/>
        <v>2000</v>
      </c>
      <c r="BA98" s="99">
        <v>800</v>
      </c>
      <c r="BB98" s="113"/>
      <c r="BC98" s="102">
        <f t="shared" si="173"/>
        <v>2800</v>
      </c>
      <c r="BD98" s="99">
        <v>800</v>
      </c>
      <c r="BE98" s="113"/>
      <c r="BF98" s="102">
        <f t="shared" si="174"/>
        <v>3600</v>
      </c>
      <c r="BG98" s="99">
        <v>800</v>
      </c>
      <c r="BH98" s="113"/>
      <c r="BI98" s="102">
        <f t="shared" si="175"/>
        <v>4400</v>
      </c>
      <c r="BJ98" s="99">
        <v>800</v>
      </c>
      <c r="BK98" s="113"/>
      <c r="BL98" s="102">
        <f t="shared" si="176"/>
        <v>5200</v>
      </c>
      <c r="BM98" s="99">
        <v>800</v>
      </c>
      <c r="BN98" s="113"/>
      <c r="BO98" s="102">
        <f t="shared" si="177"/>
        <v>6000</v>
      </c>
      <c r="BP98" s="99">
        <v>800</v>
      </c>
      <c r="BQ98" s="113"/>
      <c r="BR98" s="102">
        <f t="shared" si="178"/>
        <v>6800</v>
      </c>
      <c r="BS98" s="99">
        <v>800</v>
      </c>
      <c r="BT98" s="113"/>
      <c r="BU98" s="102">
        <f t="shared" si="179"/>
        <v>7600</v>
      </c>
      <c r="BV98" s="99">
        <v>800</v>
      </c>
      <c r="BW98" s="113"/>
      <c r="BX98" s="102">
        <f t="shared" si="180"/>
        <v>8400</v>
      </c>
      <c r="BY98" s="99">
        <v>800</v>
      </c>
      <c r="BZ98" s="113"/>
      <c r="CA98" s="102">
        <f t="shared" si="181"/>
        <v>9200</v>
      </c>
      <c r="CB98" s="99">
        <v>800</v>
      </c>
      <c r="CC98" s="113"/>
      <c r="CD98" s="102">
        <f t="shared" si="182"/>
        <v>10000</v>
      </c>
      <c r="CE98" s="99">
        <v>800</v>
      </c>
      <c r="CF98" s="113"/>
      <c r="CG98" s="102">
        <f t="shared" si="183"/>
        <v>10800</v>
      </c>
      <c r="CH98" s="99">
        <v>800</v>
      </c>
      <c r="CI98" s="113"/>
      <c r="CJ98" s="102">
        <f t="shared" si="184"/>
        <v>11600</v>
      </c>
      <c r="CK98" s="99">
        <v>800</v>
      </c>
      <c r="CL98" s="113"/>
      <c r="CM98" s="102">
        <f t="shared" si="185"/>
        <v>12400</v>
      </c>
      <c r="CN98" s="99">
        <v>800</v>
      </c>
      <c r="CO98" s="113"/>
      <c r="CP98" s="102">
        <f t="shared" si="186"/>
        <v>13200</v>
      </c>
      <c r="CQ98" s="99">
        <v>800</v>
      </c>
      <c r="CR98" s="113"/>
      <c r="CS98" s="102">
        <f t="shared" si="187"/>
        <v>14000</v>
      </c>
      <c r="CT98" s="99">
        <v>800</v>
      </c>
      <c r="CU98" s="113"/>
      <c r="CV98" s="102">
        <f t="shared" si="192"/>
        <v>14800</v>
      </c>
      <c r="CW98" s="99">
        <v>800</v>
      </c>
      <c r="CX98" s="113"/>
      <c r="CY98" s="102">
        <f t="shared" si="193"/>
        <v>15600</v>
      </c>
    </row>
    <row r="99" spans="1:103">
      <c r="A99" s="41" t="e">
        <f>VLOOKUP(B99,справочник!$B$2:$E$322,4,FALSE)</f>
        <v>#N/A</v>
      </c>
      <c r="B99" t="str">
        <f t="shared" si="166"/>
        <v>68Заборская Светлана Анатольевна</v>
      </c>
      <c r="C99" s="1">
        <v>68</v>
      </c>
      <c r="D99" s="2" t="s">
        <v>763</v>
      </c>
      <c r="E99" s="1" t="s">
        <v>407</v>
      </c>
      <c r="F99" s="16">
        <v>41100</v>
      </c>
      <c r="G99" s="16">
        <v>41091</v>
      </c>
      <c r="H99" s="17">
        <f t="shared" si="190"/>
        <v>42</v>
      </c>
      <c r="I99" s="1">
        <f t="shared" si="172"/>
        <v>42000</v>
      </c>
      <c r="J99" s="17">
        <v>39780</v>
      </c>
      <c r="K99" s="17"/>
      <c r="L99" s="18">
        <f t="shared" si="191"/>
        <v>2220</v>
      </c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84">
        <v>8000</v>
      </c>
      <c r="X99" s="22"/>
      <c r="Y99" s="18">
        <f t="shared" si="167"/>
        <v>8000</v>
      </c>
      <c r="Z99" s="96">
        <v>12</v>
      </c>
      <c r="AA99" s="96">
        <f t="shared" si="168"/>
        <v>9600</v>
      </c>
      <c r="AB99" s="96">
        <f t="shared" si="169"/>
        <v>3820</v>
      </c>
      <c r="AC99" s="99">
        <v>800</v>
      </c>
      <c r="AD99" s="98"/>
      <c r="AE99" s="102">
        <f t="shared" si="170"/>
        <v>4620</v>
      </c>
      <c r="AF99" s="99">
        <v>800</v>
      </c>
      <c r="AG99" s="98"/>
      <c r="AH99" s="102">
        <f t="shared" si="120"/>
        <v>5420</v>
      </c>
      <c r="AI99" s="99">
        <v>800</v>
      </c>
      <c r="AJ99" s="98">
        <v>1600</v>
      </c>
      <c r="AK99" s="102">
        <f t="shared" si="144"/>
        <v>4620</v>
      </c>
      <c r="AL99" s="99">
        <v>800</v>
      </c>
      <c r="AM99" s="98"/>
      <c r="AN99" s="102">
        <f t="shared" si="145"/>
        <v>5420</v>
      </c>
      <c r="AO99" s="99">
        <v>800</v>
      </c>
      <c r="AP99" s="113"/>
      <c r="AQ99" s="102">
        <f t="shared" si="146"/>
        <v>6220</v>
      </c>
      <c r="AR99" s="99">
        <v>800</v>
      </c>
      <c r="AS99" s="113"/>
      <c r="AT99" s="102">
        <f t="shared" si="147"/>
        <v>7020</v>
      </c>
      <c r="AU99" s="99">
        <v>800</v>
      </c>
      <c r="AV99" s="113"/>
      <c r="AW99" s="102">
        <f t="shared" si="148"/>
        <v>7820</v>
      </c>
      <c r="AX99" s="99">
        <v>800</v>
      </c>
      <c r="AY99" s="113"/>
      <c r="AZ99" s="102">
        <f t="shared" si="149"/>
        <v>8620</v>
      </c>
      <c r="BA99" s="99">
        <v>800</v>
      </c>
      <c r="BB99" s="113"/>
      <c r="BC99" s="102">
        <f t="shared" si="173"/>
        <v>9420</v>
      </c>
      <c r="BD99" s="99">
        <v>800</v>
      </c>
      <c r="BE99" s="113">
        <f>4000+5000</f>
        <v>9000</v>
      </c>
      <c r="BF99" s="102">
        <f t="shared" si="174"/>
        <v>1220</v>
      </c>
      <c r="BG99" s="99">
        <v>800</v>
      </c>
      <c r="BH99" s="113"/>
      <c r="BI99" s="102">
        <f t="shared" si="175"/>
        <v>2020</v>
      </c>
      <c r="BJ99" s="99">
        <v>800</v>
      </c>
      <c r="BK99" s="113">
        <v>3000</v>
      </c>
      <c r="BL99" s="102">
        <f t="shared" si="176"/>
        <v>-180</v>
      </c>
      <c r="BM99" s="99">
        <v>800</v>
      </c>
      <c r="BN99" s="113"/>
      <c r="BO99" s="102">
        <f t="shared" si="177"/>
        <v>620</v>
      </c>
      <c r="BP99" s="99">
        <v>800</v>
      </c>
      <c r="BQ99" s="113"/>
      <c r="BR99" s="102">
        <f t="shared" si="178"/>
        <v>1420</v>
      </c>
      <c r="BS99" s="99">
        <v>800</v>
      </c>
      <c r="BT99" s="113"/>
      <c r="BU99" s="102">
        <f t="shared" si="179"/>
        <v>2220</v>
      </c>
      <c r="BV99" s="99">
        <v>800</v>
      </c>
      <c r="BW99" s="113"/>
      <c r="BX99" s="102">
        <f t="shared" si="180"/>
        <v>3020</v>
      </c>
      <c r="BY99" s="99">
        <v>800</v>
      </c>
      <c r="BZ99" s="113"/>
      <c r="CA99" s="102">
        <f t="shared" si="181"/>
        <v>3820</v>
      </c>
      <c r="CB99" s="99">
        <v>800</v>
      </c>
      <c r="CC99" s="113">
        <v>5000</v>
      </c>
      <c r="CD99" s="102">
        <f t="shared" si="182"/>
        <v>-380</v>
      </c>
      <c r="CE99" s="99">
        <v>800</v>
      </c>
      <c r="CF99" s="113"/>
      <c r="CG99" s="102">
        <f t="shared" si="183"/>
        <v>420</v>
      </c>
      <c r="CH99" s="99">
        <v>800</v>
      </c>
      <c r="CI99" s="113"/>
      <c r="CJ99" s="102">
        <f t="shared" si="184"/>
        <v>1220</v>
      </c>
      <c r="CK99" s="99">
        <v>800</v>
      </c>
      <c r="CL99" s="113"/>
      <c r="CM99" s="102">
        <f t="shared" si="185"/>
        <v>2020</v>
      </c>
      <c r="CN99" s="99">
        <v>800</v>
      </c>
      <c r="CO99" s="113"/>
      <c r="CP99" s="102">
        <f t="shared" si="186"/>
        <v>2820</v>
      </c>
      <c r="CQ99" s="99">
        <v>800</v>
      </c>
      <c r="CR99" s="113"/>
      <c r="CS99" s="102">
        <f t="shared" si="187"/>
        <v>3620</v>
      </c>
      <c r="CT99" s="99">
        <v>800</v>
      </c>
      <c r="CU99" s="113"/>
      <c r="CV99" s="102">
        <f t="shared" si="192"/>
        <v>4420</v>
      </c>
      <c r="CW99" s="99">
        <v>800</v>
      </c>
      <c r="CX99" s="113"/>
      <c r="CY99" s="102">
        <f t="shared" si="193"/>
        <v>5220</v>
      </c>
    </row>
    <row r="100" spans="1:103">
      <c r="A100" s="41">
        <f>VLOOKUP(B100,справочник!$B$2:$E$322,4,FALSE)</f>
        <v>36</v>
      </c>
      <c r="B100" t="str">
        <f t="shared" si="166"/>
        <v>36Закревская Марина Владимировна</v>
      </c>
      <c r="C100" s="1">
        <v>36</v>
      </c>
      <c r="D100" s="2" t="s">
        <v>92</v>
      </c>
      <c r="E100" s="1" t="s">
        <v>408</v>
      </c>
      <c r="F100" s="16">
        <v>40736</v>
      </c>
      <c r="G100" s="16">
        <v>40756</v>
      </c>
      <c r="H100" s="17">
        <f t="shared" si="190"/>
        <v>53</v>
      </c>
      <c r="I100" s="1">
        <f t="shared" si="172"/>
        <v>53000</v>
      </c>
      <c r="J100" s="17">
        <f>42000+1000</f>
        <v>43000</v>
      </c>
      <c r="K100" s="17"/>
      <c r="L100" s="18">
        <f t="shared" si="191"/>
        <v>10000</v>
      </c>
      <c r="M100" s="22"/>
      <c r="N100" s="22"/>
      <c r="O100" s="22"/>
      <c r="P100" s="22"/>
      <c r="Q100" s="22"/>
      <c r="R100" s="22"/>
      <c r="S100" s="22"/>
      <c r="T100">
        <v>4000</v>
      </c>
      <c r="U100" s="22"/>
      <c r="V100" s="22"/>
      <c r="W100" s="22"/>
      <c r="X100" s="22">
        <v>2800</v>
      </c>
      <c r="Y100" s="18">
        <f t="shared" si="167"/>
        <v>6800</v>
      </c>
      <c r="Z100" s="96">
        <v>12</v>
      </c>
      <c r="AA100" s="96">
        <f t="shared" si="168"/>
        <v>9600</v>
      </c>
      <c r="AB100" s="96">
        <f t="shared" si="169"/>
        <v>12800</v>
      </c>
      <c r="AC100" s="99">
        <v>800</v>
      </c>
      <c r="AD100" s="98"/>
      <c r="AE100" s="102">
        <f t="shared" si="170"/>
        <v>13600</v>
      </c>
      <c r="AF100" s="99">
        <v>800</v>
      </c>
      <c r="AG100" s="98"/>
      <c r="AH100" s="102">
        <f t="shared" si="120"/>
        <v>14400</v>
      </c>
      <c r="AI100" s="99">
        <v>800</v>
      </c>
      <c r="AJ100" s="98"/>
      <c r="AK100" s="102">
        <f t="shared" si="144"/>
        <v>15200</v>
      </c>
      <c r="AL100" s="99">
        <v>800</v>
      </c>
      <c r="AM100" s="98"/>
      <c r="AN100" s="102">
        <f t="shared" si="145"/>
        <v>16000</v>
      </c>
      <c r="AO100" s="99">
        <v>800</v>
      </c>
      <c r="AP100" s="113"/>
      <c r="AQ100" s="102">
        <f t="shared" si="146"/>
        <v>16800</v>
      </c>
      <c r="AR100" s="99">
        <v>800</v>
      </c>
      <c r="AS100" s="113"/>
      <c r="AT100" s="102">
        <f t="shared" si="147"/>
        <v>17600</v>
      </c>
      <c r="AU100" s="99">
        <v>800</v>
      </c>
      <c r="AV100" s="113"/>
      <c r="AW100" s="102">
        <f t="shared" si="148"/>
        <v>18400</v>
      </c>
      <c r="AX100" s="99">
        <v>800</v>
      </c>
      <c r="AY100" s="113"/>
      <c r="AZ100" s="102">
        <f t="shared" si="149"/>
        <v>19200</v>
      </c>
      <c r="BA100" s="99">
        <v>800</v>
      </c>
      <c r="BB100" s="113"/>
      <c r="BC100" s="102">
        <f t="shared" si="173"/>
        <v>20000</v>
      </c>
      <c r="BD100" s="99">
        <v>800</v>
      </c>
      <c r="BE100" s="113"/>
      <c r="BF100" s="102">
        <f t="shared" si="174"/>
        <v>20800</v>
      </c>
      <c r="BG100" s="99">
        <v>800</v>
      </c>
      <c r="BH100" s="113"/>
      <c r="BI100" s="102">
        <f t="shared" si="175"/>
        <v>21600</v>
      </c>
      <c r="BJ100" s="99">
        <v>800</v>
      </c>
      <c r="BK100" s="113"/>
      <c r="BL100" s="102">
        <f t="shared" si="176"/>
        <v>22400</v>
      </c>
      <c r="BM100" s="99">
        <v>800</v>
      </c>
      <c r="BN100" s="113"/>
      <c r="BO100" s="102">
        <f t="shared" si="177"/>
        <v>23200</v>
      </c>
      <c r="BP100" s="99">
        <v>800</v>
      </c>
      <c r="BQ100" s="113"/>
      <c r="BR100" s="102">
        <f t="shared" si="178"/>
        <v>24000</v>
      </c>
      <c r="BS100" s="99">
        <v>800</v>
      </c>
      <c r="BT100" s="113"/>
      <c r="BU100" s="102">
        <f t="shared" si="179"/>
        <v>24800</v>
      </c>
      <c r="BV100" s="99">
        <v>800</v>
      </c>
      <c r="BW100" s="113"/>
      <c r="BX100" s="102">
        <f t="shared" si="180"/>
        <v>25600</v>
      </c>
      <c r="BY100" s="99">
        <v>800</v>
      </c>
      <c r="BZ100" s="113"/>
      <c r="CA100" s="102">
        <f t="shared" si="181"/>
        <v>26400</v>
      </c>
      <c r="CB100" s="99">
        <v>800</v>
      </c>
      <c r="CC100" s="113">
        <v>2000</v>
      </c>
      <c r="CD100" s="102">
        <f t="shared" si="182"/>
        <v>25200</v>
      </c>
      <c r="CE100" s="99">
        <v>800</v>
      </c>
      <c r="CF100" s="113"/>
      <c r="CG100" s="102">
        <f t="shared" si="183"/>
        <v>26000</v>
      </c>
      <c r="CH100" s="99">
        <v>800</v>
      </c>
      <c r="CI100" s="113"/>
      <c r="CJ100" s="102">
        <f t="shared" si="184"/>
        <v>26800</v>
      </c>
      <c r="CK100" s="99">
        <v>800</v>
      </c>
      <c r="CL100" s="113"/>
      <c r="CM100" s="102">
        <f t="shared" si="185"/>
        <v>27600</v>
      </c>
      <c r="CN100" s="99">
        <v>800</v>
      </c>
      <c r="CO100" s="113"/>
      <c r="CP100" s="102">
        <f t="shared" si="186"/>
        <v>28400</v>
      </c>
      <c r="CQ100" s="99">
        <v>800</v>
      </c>
      <c r="CR100" s="113"/>
      <c r="CS100" s="102">
        <f>CP100+CQ100-CR100</f>
        <v>29200</v>
      </c>
      <c r="CT100" s="99">
        <v>800</v>
      </c>
      <c r="CU100" s="113"/>
      <c r="CV100" s="102">
        <f>CS100+CT100-CU100</f>
        <v>30000</v>
      </c>
      <c r="CW100" s="99">
        <v>800</v>
      </c>
      <c r="CX100" s="113"/>
      <c r="CY100" s="102">
        <f>CV100+CW100-CX100</f>
        <v>30800</v>
      </c>
    </row>
    <row r="101" spans="1:103" s="80" customFormat="1">
      <c r="A101" s="103">
        <f>VLOOKUP(B101,справочник!$B$2:$E$322,4,FALSE)</f>
        <v>38</v>
      </c>
      <c r="B101" s="80" t="str">
        <f t="shared" si="166"/>
        <v>255Заручинский Вячеслав Владимирович</v>
      </c>
      <c r="C101" s="5">
        <v>255</v>
      </c>
      <c r="D101" s="7" t="s">
        <v>93</v>
      </c>
      <c r="E101" s="5" t="s">
        <v>409</v>
      </c>
      <c r="F101" s="19">
        <v>40770</v>
      </c>
      <c r="G101" s="19">
        <v>40787</v>
      </c>
      <c r="H101" s="20">
        <f t="shared" si="190"/>
        <v>52</v>
      </c>
      <c r="I101" s="5">
        <f t="shared" si="172"/>
        <v>52000</v>
      </c>
      <c r="J101" s="20">
        <f>5000+18000+29000</f>
        <v>52000</v>
      </c>
      <c r="K101" s="20"/>
      <c r="L101" s="21">
        <f t="shared" si="191"/>
        <v>0</v>
      </c>
      <c r="M101" s="21"/>
      <c r="N101" s="21"/>
      <c r="O101" s="21"/>
      <c r="P101" s="21"/>
      <c r="Q101" s="21"/>
      <c r="R101" s="21">
        <v>1600</v>
      </c>
      <c r="S101" s="21">
        <v>800</v>
      </c>
      <c r="T101" s="21">
        <v>1600</v>
      </c>
      <c r="U101" s="21">
        <v>2161.7799999999997</v>
      </c>
      <c r="V101" s="21"/>
      <c r="W101" s="80">
        <v>800</v>
      </c>
      <c r="X101" s="21">
        <v>800</v>
      </c>
      <c r="Y101" s="21">
        <f t="shared" si="167"/>
        <v>7761.78</v>
      </c>
      <c r="Z101" s="104">
        <v>12</v>
      </c>
      <c r="AA101" s="104">
        <f t="shared" si="168"/>
        <v>9600</v>
      </c>
      <c r="AB101" s="104">
        <f t="shared" si="169"/>
        <v>1838.2200000000003</v>
      </c>
      <c r="AC101" s="104">
        <v>800</v>
      </c>
      <c r="AD101" s="107">
        <v>800</v>
      </c>
      <c r="AE101" s="227">
        <f>SUM(AB101:AB102)+SUM(AC101:AC102)-SUM(AD101:AD102)</f>
        <v>5000</v>
      </c>
      <c r="AF101" s="104">
        <v>800</v>
      </c>
      <c r="AG101" s="107">
        <f>500+800</f>
        <v>1300</v>
      </c>
      <c r="AH101" s="227">
        <f>SUM(AE101:AE102)+SUM(AF101:AF102)-SUM(AG101:AG102)</f>
        <v>4500</v>
      </c>
      <c r="AI101" s="104">
        <v>800</v>
      </c>
      <c r="AJ101" s="107"/>
      <c r="AK101" s="227">
        <f>SUM(AH101:AH102)+SUM(AI101:AI102)-SUM(AJ101:AJ102)</f>
        <v>5300</v>
      </c>
      <c r="AL101" s="104">
        <v>800</v>
      </c>
      <c r="AM101" s="107"/>
      <c r="AN101" s="227">
        <f>SUM(AK101:AK102)+SUM(AL101:AL102)-SUM(AM101:AM102)</f>
        <v>5100</v>
      </c>
      <c r="AO101" s="104">
        <v>800</v>
      </c>
      <c r="AP101" s="107"/>
      <c r="AQ101" s="227">
        <f>SUM(AN101:AN102)+SUM(AO101:AO102)-SUM(AP101:AP102)</f>
        <v>5900</v>
      </c>
      <c r="AR101" s="104">
        <v>800</v>
      </c>
      <c r="AS101" s="107"/>
      <c r="AT101" s="227">
        <f>SUM(AQ101:AQ102)+SUM(AR101:AR102)-SUM(AS101:AS102)</f>
        <v>5900</v>
      </c>
      <c r="AU101" s="104">
        <v>800</v>
      </c>
      <c r="AV101" s="107"/>
      <c r="AW101" s="212">
        <f>SUM(AT101:AT102)+SUM(AU101:AU102)-SUM(AV101:AV102)</f>
        <v>4300</v>
      </c>
      <c r="AX101" s="104">
        <v>800</v>
      </c>
      <c r="AY101" s="107"/>
      <c r="AZ101" s="212">
        <f>SUM(AW101:AW102)+SUM(AX101:AX102)-SUM(AY101:AY102)</f>
        <v>2300</v>
      </c>
      <c r="BA101" s="104">
        <v>800</v>
      </c>
      <c r="BB101" s="107">
        <f>800+2300</f>
        <v>3100</v>
      </c>
      <c r="BC101" s="212">
        <f>SUM(AZ101:AZ102)+SUM(BA101:BA102)-SUM(BB101:BB102)</f>
        <v>0</v>
      </c>
      <c r="BD101" s="104">
        <v>800</v>
      </c>
      <c r="BE101" s="107">
        <v>800</v>
      </c>
      <c r="BF101" s="212">
        <f>SUM(BC101:BC102)+SUM(BD101:BD102)-SUM(BE101:BE102)</f>
        <v>0</v>
      </c>
      <c r="BG101" s="104">
        <v>800</v>
      </c>
      <c r="BH101" s="107">
        <v>800</v>
      </c>
      <c r="BI101" s="212">
        <f>SUM(BF101:BF102)+SUM(BG101:BG102)-SUM(BH101:BH102)</f>
        <v>0</v>
      </c>
      <c r="BJ101" s="104">
        <v>800</v>
      </c>
      <c r="BK101" s="107">
        <v>800</v>
      </c>
      <c r="BL101" s="212">
        <f>SUM(BI101:BI102)+SUM(BJ101:BJ102)-SUM(BK101:BK102)</f>
        <v>0</v>
      </c>
      <c r="BM101" s="104">
        <v>800</v>
      </c>
      <c r="BN101" s="107"/>
      <c r="BO101" s="212">
        <f>SUM(BL101:BL102)+SUM(BM101:BM102)-SUM(BN101:BN102)</f>
        <v>800</v>
      </c>
      <c r="BP101" s="104">
        <v>800</v>
      </c>
      <c r="BQ101" s="107">
        <v>800</v>
      </c>
      <c r="BR101" s="212">
        <f>SUM(BO101:BO102)+SUM(BP101:BP102)-SUM(BQ101:BQ102)</f>
        <v>800</v>
      </c>
      <c r="BS101" s="104">
        <v>800</v>
      </c>
      <c r="BT101" s="107">
        <v>800</v>
      </c>
      <c r="BU101" s="212">
        <f>SUM(BR101:BR102)+SUM(BS101:BS102)-SUM(BT101:BT102)</f>
        <v>800</v>
      </c>
      <c r="BV101" s="104">
        <v>800</v>
      </c>
      <c r="BW101" s="107">
        <v>800</v>
      </c>
      <c r="BX101" s="212">
        <f>SUM(BU101:BU102)+SUM(BV101:BV102)-SUM(BW101:BW102)</f>
        <v>800</v>
      </c>
      <c r="BY101" s="104">
        <v>800</v>
      </c>
      <c r="BZ101" s="107"/>
      <c r="CA101" s="212">
        <f>SUM(BX101:BX102)+SUM(BY101:BY102)-SUM(BZ101:BZ102)</f>
        <v>1600</v>
      </c>
      <c r="CB101" s="104">
        <v>800</v>
      </c>
      <c r="CC101" s="107">
        <f>800+800</f>
        <v>1600</v>
      </c>
      <c r="CD101" s="212">
        <f>SUM(CA101:CA102)+SUM(CB101:CB102)-SUM(CC101:CC102)</f>
        <v>800</v>
      </c>
      <c r="CE101" s="104">
        <v>800</v>
      </c>
      <c r="CF101" s="107">
        <v>800</v>
      </c>
      <c r="CG101" s="212">
        <f>SUM(CD101:CD102)+SUM(CE101:CE102)-SUM(CF101:CF102)</f>
        <v>800</v>
      </c>
      <c r="CH101" s="104">
        <v>800</v>
      </c>
      <c r="CI101" s="107">
        <v>1600</v>
      </c>
      <c r="CJ101" s="212">
        <f>SUM(CG101:CG102)+SUM(CH101:CH102)-SUM(CI101:CI102)</f>
        <v>0</v>
      </c>
      <c r="CK101" s="104">
        <v>800</v>
      </c>
      <c r="CL101" s="107">
        <v>800</v>
      </c>
      <c r="CM101" s="212">
        <f>SUM(CJ101:CJ102)+SUM(CK101:CK102)-SUM(CL101:CL102)</f>
        <v>0</v>
      </c>
      <c r="CN101" s="104">
        <v>800</v>
      </c>
      <c r="CO101" s="107">
        <v>800</v>
      </c>
      <c r="CP101" s="212">
        <f>SUM(CM101:CM102)+SUM(CN101:CN102)-SUM(CO101:CO102)</f>
        <v>0</v>
      </c>
      <c r="CQ101" s="104">
        <v>800</v>
      </c>
      <c r="CR101" s="107">
        <v>800</v>
      </c>
      <c r="CS101" s="212">
        <f>CP101++CQ101-CR101</f>
        <v>0</v>
      </c>
      <c r="CT101" s="104">
        <v>800</v>
      </c>
      <c r="CU101" s="107">
        <v>800</v>
      </c>
      <c r="CV101" s="212">
        <f>CS101++CT101-CU101</f>
        <v>0</v>
      </c>
      <c r="CW101" s="104">
        <v>800</v>
      </c>
      <c r="CX101" s="107">
        <v>800</v>
      </c>
      <c r="CY101" s="212">
        <f>CV101++CW101-CX101</f>
        <v>0</v>
      </c>
    </row>
    <row r="102" spans="1:103" s="80" customFormat="1">
      <c r="A102" s="103">
        <f>VLOOKUP(B102,справочник!$B$2:$E$322,4,FALSE)</f>
        <v>38</v>
      </c>
      <c r="B102" s="80" t="str">
        <f t="shared" si="166"/>
        <v>38Заручинский Вячеслав Владимирович</v>
      </c>
      <c r="C102" s="5">
        <v>38</v>
      </c>
      <c r="D102" s="7" t="s">
        <v>93</v>
      </c>
      <c r="E102" s="5" t="s">
        <v>410</v>
      </c>
      <c r="F102" s="19">
        <v>41100</v>
      </c>
      <c r="G102" s="19">
        <v>41091</v>
      </c>
      <c r="H102" s="20">
        <v>40</v>
      </c>
      <c r="I102" s="5">
        <f t="shared" si="172"/>
        <v>40000</v>
      </c>
      <c r="J102" s="20">
        <v>35000</v>
      </c>
      <c r="K102" s="20"/>
      <c r="L102" s="21">
        <f t="shared" si="191"/>
        <v>5000</v>
      </c>
      <c r="M102" s="21"/>
      <c r="N102" s="21"/>
      <c r="O102" s="21"/>
      <c r="P102" s="21"/>
      <c r="Q102" s="21"/>
      <c r="R102" s="21"/>
      <c r="S102" s="21"/>
      <c r="U102" s="21"/>
      <c r="V102" s="21">
        <v>1138.22</v>
      </c>
      <c r="W102" s="21"/>
      <c r="X102" s="21">
        <v>700</v>
      </c>
      <c r="Y102" s="21">
        <f t="shared" si="167"/>
        <v>1838.22</v>
      </c>
      <c r="Z102" s="104">
        <v>0</v>
      </c>
      <c r="AA102" s="104">
        <f t="shared" si="168"/>
        <v>0</v>
      </c>
      <c r="AB102" s="104">
        <f t="shared" si="169"/>
        <v>3161.7799999999997</v>
      </c>
      <c r="AC102" s="104">
        <v>0</v>
      </c>
      <c r="AD102" s="105"/>
      <c r="AE102" s="228"/>
      <c r="AF102" s="104">
        <v>0</v>
      </c>
      <c r="AG102" s="105"/>
      <c r="AH102" s="228"/>
      <c r="AI102" s="104">
        <v>0</v>
      </c>
      <c r="AJ102" s="105"/>
      <c r="AK102" s="228"/>
      <c r="AL102" s="104">
        <v>0</v>
      </c>
      <c r="AM102" s="105">
        <v>1000</v>
      </c>
      <c r="AN102" s="228"/>
      <c r="AO102" s="104">
        <v>0</v>
      </c>
      <c r="AP102" s="105"/>
      <c r="AQ102" s="228"/>
      <c r="AR102" s="104">
        <v>0</v>
      </c>
      <c r="AS102" s="105">
        <v>800</v>
      </c>
      <c r="AT102" s="228"/>
      <c r="AU102" s="104">
        <v>0</v>
      </c>
      <c r="AV102" s="105">
        <f>800+800+800</f>
        <v>2400</v>
      </c>
      <c r="AW102" s="214"/>
      <c r="AX102" s="104">
        <v>0</v>
      </c>
      <c r="AY102" s="105">
        <f>300+1000+800+400+300</f>
        <v>2800</v>
      </c>
      <c r="AZ102" s="214"/>
      <c r="BA102" s="104">
        <v>0</v>
      </c>
      <c r="BB102" s="105"/>
      <c r="BC102" s="214"/>
      <c r="BD102" s="104">
        <v>0</v>
      </c>
      <c r="BE102" s="105"/>
      <c r="BF102" s="214"/>
      <c r="BG102" s="104">
        <v>0</v>
      </c>
      <c r="BH102" s="105"/>
      <c r="BI102" s="214"/>
      <c r="BJ102" s="104">
        <v>0</v>
      </c>
      <c r="BK102" s="105"/>
      <c r="BL102" s="214"/>
      <c r="BM102" s="104">
        <v>0</v>
      </c>
      <c r="BN102" s="105"/>
      <c r="BO102" s="214"/>
      <c r="BP102" s="104">
        <v>0</v>
      </c>
      <c r="BQ102" s="105"/>
      <c r="BR102" s="214"/>
      <c r="BS102" s="104">
        <v>0</v>
      </c>
      <c r="BT102" s="105"/>
      <c r="BU102" s="214"/>
      <c r="BV102" s="104">
        <v>0</v>
      </c>
      <c r="BW102" s="105"/>
      <c r="BX102" s="214"/>
      <c r="BY102" s="104">
        <v>0</v>
      </c>
      <c r="BZ102" s="105"/>
      <c r="CA102" s="214"/>
      <c r="CB102" s="104">
        <v>0</v>
      </c>
      <c r="CC102" s="105"/>
      <c r="CD102" s="214"/>
      <c r="CE102" s="104">
        <v>0</v>
      </c>
      <c r="CF102" s="105"/>
      <c r="CG102" s="214"/>
      <c r="CH102" s="104">
        <v>0</v>
      </c>
      <c r="CI102" s="105"/>
      <c r="CJ102" s="214"/>
      <c r="CK102" s="104">
        <v>0</v>
      </c>
      <c r="CL102" s="105"/>
      <c r="CM102" s="214"/>
      <c r="CN102" s="104">
        <v>0</v>
      </c>
      <c r="CO102" s="105"/>
      <c r="CP102" s="214"/>
      <c r="CQ102" s="104">
        <v>0</v>
      </c>
      <c r="CR102" s="105"/>
      <c r="CS102" s="214"/>
      <c r="CT102" s="104">
        <v>0</v>
      </c>
      <c r="CU102" s="105"/>
      <c r="CV102" s="214"/>
      <c r="CW102" s="104">
        <v>0</v>
      </c>
      <c r="CX102" s="105"/>
      <c r="CY102" s="214"/>
    </row>
    <row r="103" spans="1:103" ht="24">
      <c r="A103" s="41" t="e">
        <f>VLOOKUP(B103,справочник!$B$2:$E$322,4,FALSE)</f>
        <v>#N/A</v>
      </c>
      <c r="B103" t="str">
        <f t="shared" si="166"/>
        <v>12Захаренкова Светлана Евгеньевна (новый собственник Соловьев Андрей Николаевич)</v>
      </c>
      <c r="C103" s="1">
        <v>12</v>
      </c>
      <c r="D103" s="2" t="s">
        <v>846</v>
      </c>
      <c r="E103" s="1" t="s">
        <v>411</v>
      </c>
      <c r="F103" s="16">
        <v>41414</v>
      </c>
      <c r="G103" s="16">
        <v>41426</v>
      </c>
      <c r="H103" s="17">
        <f>INT(($H$326-G103)/30)</f>
        <v>31</v>
      </c>
      <c r="I103" s="1">
        <f t="shared" si="172"/>
        <v>31000</v>
      </c>
      <c r="J103" s="17">
        <v>5000</v>
      </c>
      <c r="K103" s="17"/>
      <c r="L103" s="18">
        <f t="shared" si="191"/>
        <v>26000</v>
      </c>
      <c r="M103" s="22"/>
      <c r="N103" s="22"/>
      <c r="O103" s="22"/>
      <c r="P103" s="22"/>
      <c r="Q103" s="22"/>
      <c r="R103" s="22"/>
      <c r="S103" s="22"/>
      <c r="T103">
        <v>4000</v>
      </c>
      <c r="U103" s="22"/>
      <c r="V103" s="22"/>
      <c r="W103" s="22"/>
      <c r="X103" s="22"/>
      <c r="Y103" s="18">
        <f t="shared" si="167"/>
        <v>4000</v>
      </c>
      <c r="Z103" s="96">
        <v>12</v>
      </c>
      <c r="AA103" s="96">
        <f t="shared" si="168"/>
        <v>9600</v>
      </c>
      <c r="AB103" s="96">
        <f t="shared" si="169"/>
        <v>31600</v>
      </c>
      <c r="AC103" s="99">
        <v>800</v>
      </c>
      <c r="AD103" s="98"/>
      <c r="AE103" s="102">
        <f t="shared" si="170"/>
        <v>32400</v>
      </c>
      <c r="AF103" s="99">
        <v>800</v>
      </c>
      <c r="AG103" s="98"/>
      <c r="AH103" s="102">
        <f t="shared" ref="AH103:AH131" si="194">AE103+AF103-AG103</f>
        <v>33200</v>
      </c>
      <c r="AI103" s="99">
        <v>800</v>
      </c>
      <c r="AJ103" s="98"/>
      <c r="AK103" s="102">
        <f t="shared" ref="AK103:AK131" si="195">AH103+AI103-AJ103</f>
        <v>34000</v>
      </c>
      <c r="AL103" s="99">
        <v>800</v>
      </c>
      <c r="AM103" s="98"/>
      <c r="AN103" s="102">
        <f t="shared" ref="AN103:AN131" si="196">AK103+AL103-AM103</f>
        <v>34800</v>
      </c>
      <c r="AO103" s="99">
        <v>800</v>
      </c>
      <c r="AP103" s="113"/>
      <c r="AQ103" s="102">
        <f t="shared" ref="AQ103:AQ131" si="197">AN103+AO103-AP103</f>
        <v>35600</v>
      </c>
      <c r="AR103" s="99">
        <v>800</v>
      </c>
      <c r="AS103" s="113"/>
      <c r="AT103" s="102">
        <f t="shared" ref="AT103:AT131" si="198">AQ103+AR103-AS103</f>
        <v>36400</v>
      </c>
      <c r="AU103" s="99">
        <v>800</v>
      </c>
      <c r="AV103" s="113"/>
      <c r="AW103" s="102">
        <f t="shared" ref="AW103:AW131" si="199">AT103+AU103-AV103</f>
        <v>37200</v>
      </c>
      <c r="AX103" s="99">
        <v>800</v>
      </c>
      <c r="AY103" s="113"/>
      <c r="AZ103" s="102">
        <f t="shared" ref="AZ103:AZ131" si="200">AW103+AX103-AY103</f>
        <v>38000</v>
      </c>
      <c r="BA103" s="99">
        <v>800</v>
      </c>
      <c r="BB103" s="113"/>
      <c r="BC103" s="102">
        <f t="shared" ref="BC103:BC131" si="201">AZ103+BA103-BB103</f>
        <v>38800</v>
      </c>
      <c r="BD103" s="99">
        <v>800</v>
      </c>
      <c r="BE103" s="113"/>
      <c r="BF103" s="102">
        <f t="shared" ref="BF103:BF131" si="202">BC103+BD103-BE103</f>
        <v>39600</v>
      </c>
      <c r="BG103" s="99">
        <v>800</v>
      </c>
      <c r="BH103" s="113"/>
      <c r="BI103" s="102">
        <f t="shared" ref="BI103:BI114" si="203">BF103+BG103-BH103</f>
        <v>40400</v>
      </c>
      <c r="BJ103" s="99">
        <v>800</v>
      </c>
      <c r="BK103" s="113">
        <v>9600</v>
      </c>
      <c r="BL103" s="102">
        <f t="shared" ref="BL103:BL114" si="204">BI103+BJ103-BK103</f>
        <v>31600</v>
      </c>
      <c r="BM103" s="99">
        <v>800</v>
      </c>
      <c r="BN103" s="113"/>
      <c r="BO103" s="102">
        <f t="shared" ref="BO103:BO113" si="205">BL103+BM103-BN103</f>
        <v>32400</v>
      </c>
      <c r="BP103" s="99">
        <v>800</v>
      </c>
      <c r="BQ103" s="113">
        <v>9600</v>
      </c>
      <c r="BR103" s="102">
        <f>BO103+BP103-BQ103</f>
        <v>23600</v>
      </c>
      <c r="BS103" s="99">
        <v>800</v>
      </c>
      <c r="BT103" s="113"/>
      <c r="BU103" s="102">
        <f>BR103+BS103-BT103</f>
        <v>24400</v>
      </c>
      <c r="BV103" s="99">
        <v>800</v>
      </c>
      <c r="BW103" s="113">
        <v>2400</v>
      </c>
      <c r="BX103" s="102">
        <f>BU103+BV103-BW103</f>
        <v>22800</v>
      </c>
      <c r="BY103" s="99">
        <v>800</v>
      </c>
      <c r="BZ103" s="113"/>
      <c r="CA103" s="102">
        <f>BX103+BY103-BZ103</f>
        <v>23600</v>
      </c>
      <c r="CB103" s="99">
        <v>800</v>
      </c>
      <c r="CC103" s="113"/>
      <c r="CD103" s="102">
        <f>CA103+CB103-CC103</f>
        <v>24400</v>
      </c>
      <c r="CE103" s="99">
        <v>800</v>
      </c>
      <c r="CF103" s="113"/>
      <c r="CG103" s="102">
        <f>CD103+CE103-CF103</f>
        <v>25200</v>
      </c>
      <c r="CH103" s="99">
        <v>800</v>
      </c>
      <c r="CI103" s="113"/>
      <c r="CJ103" s="102">
        <f>CG103+CH103-CI103</f>
        <v>26000</v>
      </c>
      <c r="CK103" s="99">
        <v>800</v>
      </c>
      <c r="CL103" s="113">
        <v>7200</v>
      </c>
      <c r="CM103" s="102">
        <f>CJ103+CK103-CL103</f>
        <v>19600</v>
      </c>
      <c r="CN103" s="99">
        <v>800</v>
      </c>
      <c r="CO103" s="113"/>
      <c r="CP103" s="102">
        <f>CM103+CN103-CO103</f>
        <v>20400</v>
      </c>
      <c r="CQ103" s="99">
        <v>800</v>
      </c>
      <c r="CR103" s="113"/>
      <c r="CS103" s="102">
        <f>CP103+CQ103-CR103</f>
        <v>21200</v>
      </c>
      <c r="CT103" s="99">
        <v>800</v>
      </c>
      <c r="CU103" s="113"/>
      <c r="CV103" s="102">
        <f>CS103+CT103-CU103</f>
        <v>22000</v>
      </c>
      <c r="CW103" s="99">
        <v>800</v>
      </c>
      <c r="CX103" s="113"/>
      <c r="CY103" s="102">
        <f>CV103+CW103-CX103</f>
        <v>22800</v>
      </c>
    </row>
    <row r="104" spans="1:103">
      <c r="A104" s="41">
        <f>VLOOKUP(B104,справочник!$B$2:$E$322,4,FALSE)</f>
        <v>63</v>
      </c>
      <c r="B104" t="str">
        <f t="shared" si="166"/>
        <v>65Захаров Михаил Сергеевич</v>
      </c>
      <c r="C104" s="1">
        <v>65</v>
      </c>
      <c r="D104" s="2" t="s">
        <v>95</v>
      </c>
      <c r="E104" s="1" t="s">
        <v>412</v>
      </c>
      <c r="F104" s="16">
        <v>41513</v>
      </c>
      <c r="G104" s="16">
        <v>41518</v>
      </c>
      <c r="H104" s="17">
        <v>0</v>
      </c>
      <c r="I104" s="1">
        <f t="shared" si="172"/>
        <v>0</v>
      </c>
      <c r="J104" s="17">
        <v>0</v>
      </c>
      <c r="K104" s="17"/>
      <c r="L104" s="18">
        <f t="shared" si="191"/>
        <v>0</v>
      </c>
      <c r="M104" s="22"/>
      <c r="N104" s="22"/>
      <c r="O104" s="22"/>
      <c r="P104" s="22"/>
      <c r="Q104" s="22"/>
      <c r="R104" s="22">
        <v>800</v>
      </c>
      <c r="S104" s="22"/>
      <c r="T104" s="22"/>
      <c r="U104" s="22"/>
      <c r="V104" s="22"/>
      <c r="W104" s="22"/>
      <c r="X104" s="22">
        <v>800</v>
      </c>
      <c r="Y104" s="18">
        <f t="shared" si="167"/>
        <v>1600</v>
      </c>
      <c r="Z104" s="96">
        <v>1</v>
      </c>
      <c r="AA104" s="96">
        <f t="shared" si="168"/>
        <v>800</v>
      </c>
      <c r="AB104" s="96">
        <f t="shared" si="169"/>
        <v>-800</v>
      </c>
      <c r="AC104" s="99">
        <v>800</v>
      </c>
      <c r="AD104" s="98"/>
      <c r="AE104" s="102">
        <f t="shared" si="170"/>
        <v>0</v>
      </c>
      <c r="AF104" s="99">
        <v>800</v>
      </c>
      <c r="AG104" s="98"/>
      <c r="AH104" s="102">
        <f t="shared" si="194"/>
        <v>800</v>
      </c>
      <c r="AI104" s="99">
        <v>800</v>
      </c>
      <c r="AJ104" s="98">
        <v>4800</v>
      </c>
      <c r="AK104" s="102">
        <f t="shared" si="195"/>
        <v>-3200</v>
      </c>
      <c r="AL104" s="99">
        <v>800</v>
      </c>
      <c r="AM104" s="98"/>
      <c r="AN104" s="102">
        <f t="shared" si="196"/>
        <v>-2400</v>
      </c>
      <c r="AO104" s="99">
        <v>800</v>
      </c>
      <c r="AP104" s="113"/>
      <c r="AQ104" s="102">
        <f t="shared" si="197"/>
        <v>-1600</v>
      </c>
      <c r="AR104" s="99">
        <v>800</v>
      </c>
      <c r="AS104" s="113">
        <v>2400</v>
      </c>
      <c r="AT104" s="102">
        <f t="shared" si="198"/>
        <v>-3200</v>
      </c>
      <c r="AU104" s="99">
        <v>800</v>
      </c>
      <c r="AV104" s="113"/>
      <c r="AW104" s="102">
        <f t="shared" si="199"/>
        <v>-2400</v>
      </c>
      <c r="AX104" s="99">
        <v>800</v>
      </c>
      <c r="AY104" s="113"/>
      <c r="AZ104" s="102">
        <f t="shared" si="200"/>
        <v>-1600</v>
      </c>
      <c r="BA104" s="99">
        <v>800</v>
      </c>
      <c r="BB104" s="113"/>
      <c r="BC104" s="102">
        <f t="shared" si="201"/>
        <v>-800</v>
      </c>
      <c r="BD104" s="99">
        <v>800</v>
      </c>
      <c r="BE104" s="113">
        <v>2400</v>
      </c>
      <c r="BF104" s="102">
        <f t="shared" si="202"/>
        <v>-2400</v>
      </c>
      <c r="BG104" s="99">
        <v>800</v>
      </c>
      <c r="BH104" s="113"/>
      <c r="BI104" s="102">
        <f t="shared" si="203"/>
        <v>-1600</v>
      </c>
      <c r="BJ104" s="99">
        <v>800</v>
      </c>
      <c r="BK104" s="113"/>
      <c r="BL104" s="102">
        <f t="shared" si="204"/>
        <v>-800</v>
      </c>
      <c r="BM104" s="99">
        <v>800</v>
      </c>
      <c r="BN104" s="113"/>
      <c r="BO104" s="102">
        <f t="shared" si="205"/>
        <v>0</v>
      </c>
      <c r="BP104" s="99">
        <v>800</v>
      </c>
      <c r="BQ104" s="113"/>
      <c r="BR104" s="102">
        <f t="shared" ref="BR104:BR109" si="206">BO104+BP104-BQ104</f>
        <v>800</v>
      </c>
      <c r="BS104" s="99">
        <v>800</v>
      </c>
      <c r="BT104" s="113"/>
      <c r="BU104" s="102">
        <f t="shared" ref="BU104:BU109" si="207">BR104+BS104-BT104</f>
        <v>1600</v>
      </c>
      <c r="BV104" s="99">
        <v>800</v>
      </c>
      <c r="BW104" s="113"/>
      <c r="BX104" s="102">
        <f t="shared" ref="BX104:BX109" si="208">BU104+BV104-BW104</f>
        <v>2400</v>
      </c>
      <c r="BY104" s="99">
        <v>800</v>
      </c>
      <c r="BZ104" s="113"/>
      <c r="CA104" s="102">
        <f t="shared" ref="CA104:CA109" si="209">BX104+BY104-BZ104</f>
        <v>3200</v>
      </c>
      <c r="CB104" s="99">
        <v>800</v>
      </c>
      <c r="CC104" s="113">
        <v>9600</v>
      </c>
      <c r="CD104" s="102">
        <f t="shared" ref="CD104:CD109" si="210">CA104+CB104-CC104</f>
        <v>-5600</v>
      </c>
      <c r="CE104" s="99">
        <v>800</v>
      </c>
      <c r="CF104" s="113"/>
      <c r="CG104" s="102">
        <f t="shared" ref="CG104:CG109" si="211">CD104+CE104-CF104</f>
        <v>-4800</v>
      </c>
      <c r="CH104" s="99">
        <v>800</v>
      </c>
      <c r="CI104" s="113"/>
      <c r="CJ104" s="102">
        <f t="shared" ref="CJ104:CJ109" si="212">CG104+CH104-CI104</f>
        <v>-4000</v>
      </c>
      <c r="CK104" s="99">
        <v>800</v>
      </c>
      <c r="CL104" s="113"/>
      <c r="CM104" s="102">
        <f t="shared" ref="CM104:CM109" si="213">CJ104+CK104-CL104</f>
        <v>-3200</v>
      </c>
      <c r="CN104" s="99">
        <v>800</v>
      </c>
      <c r="CO104" s="113"/>
      <c r="CP104" s="102">
        <f t="shared" ref="CP104:CP109" si="214">CM104+CN104-CO104</f>
        <v>-2400</v>
      </c>
      <c r="CQ104" s="99">
        <v>800</v>
      </c>
      <c r="CR104" s="113"/>
      <c r="CS104" s="102">
        <f t="shared" ref="CS104:CS118" si="215">CP104+CQ104-CR104</f>
        <v>-1600</v>
      </c>
      <c r="CT104" s="99">
        <v>800</v>
      </c>
      <c r="CU104" s="113"/>
      <c r="CV104" s="102">
        <f t="shared" ref="CV104:CV108" si="216">CS104+CT104-CU104</f>
        <v>-800</v>
      </c>
      <c r="CW104" s="99">
        <v>800</v>
      </c>
      <c r="CX104" s="113"/>
      <c r="CY104" s="102">
        <f t="shared" ref="CY104:CY108" si="217">CV104+CW104-CX104</f>
        <v>0</v>
      </c>
    </row>
    <row r="105" spans="1:103">
      <c r="A105" s="41">
        <f>VLOOKUP(B105,справочник!$B$2:$E$322,4,FALSE)</f>
        <v>16</v>
      </c>
      <c r="B105" t="str">
        <f t="shared" si="166"/>
        <v>16Захарова Людмила Захаровна</v>
      </c>
      <c r="C105" s="1">
        <v>16</v>
      </c>
      <c r="D105" s="2" t="s">
        <v>96</v>
      </c>
      <c r="E105" s="1" t="s">
        <v>413</v>
      </c>
      <c r="F105" s="16">
        <v>41254</v>
      </c>
      <c r="G105" s="16">
        <v>41275</v>
      </c>
      <c r="H105" s="17">
        <f t="shared" ref="H105:H119" si="218">INT(($H$326-G105)/30)</f>
        <v>36</v>
      </c>
      <c r="I105" s="1">
        <f t="shared" si="172"/>
        <v>36000</v>
      </c>
      <c r="J105" s="17">
        <v>36000</v>
      </c>
      <c r="K105" s="17"/>
      <c r="L105" s="18">
        <f t="shared" si="191"/>
        <v>0</v>
      </c>
      <c r="M105" s="22"/>
      <c r="N105" s="22"/>
      <c r="O105" s="22"/>
      <c r="P105" s="22"/>
      <c r="Q105" s="22"/>
      <c r="R105" s="22">
        <v>12000</v>
      </c>
      <c r="S105" s="22"/>
      <c r="T105" s="22"/>
      <c r="U105" s="22"/>
      <c r="V105" s="22"/>
      <c r="W105" s="22"/>
      <c r="X105" s="22"/>
      <c r="Y105" s="18">
        <f t="shared" si="167"/>
        <v>12000</v>
      </c>
      <c r="Z105" s="96">
        <v>12</v>
      </c>
      <c r="AA105" s="96">
        <f t="shared" si="168"/>
        <v>9600</v>
      </c>
      <c r="AB105" s="96">
        <f t="shared" si="169"/>
        <v>-2400</v>
      </c>
      <c r="AC105" s="99">
        <v>800</v>
      </c>
      <c r="AD105" s="98"/>
      <c r="AE105" s="102">
        <f t="shared" si="170"/>
        <v>-1600</v>
      </c>
      <c r="AF105" s="99">
        <v>800</v>
      </c>
      <c r="AG105" s="98"/>
      <c r="AH105" s="102">
        <f t="shared" si="194"/>
        <v>-800</v>
      </c>
      <c r="AI105" s="99">
        <v>800</v>
      </c>
      <c r="AJ105" s="98"/>
      <c r="AK105" s="102">
        <f t="shared" si="195"/>
        <v>0</v>
      </c>
      <c r="AL105" s="99">
        <v>800</v>
      </c>
      <c r="AM105" s="98"/>
      <c r="AN105" s="102">
        <f t="shared" si="196"/>
        <v>800</v>
      </c>
      <c r="AO105" s="99">
        <v>800</v>
      </c>
      <c r="AP105" s="113"/>
      <c r="AQ105" s="102">
        <f t="shared" si="197"/>
        <v>1600</v>
      </c>
      <c r="AR105" s="99">
        <v>800</v>
      </c>
      <c r="AS105" s="113"/>
      <c r="AT105" s="102">
        <f t="shared" si="198"/>
        <v>2400</v>
      </c>
      <c r="AU105" s="99">
        <v>800</v>
      </c>
      <c r="AV105" s="113"/>
      <c r="AW105" s="102">
        <f t="shared" si="199"/>
        <v>3200</v>
      </c>
      <c r="AX105" s="99">
        <v>800</v>
      </c>
      <c r="AY105" s="113"/>
      <c r="AZ105" s="102">
        <f t="shared" si="200"/>
        <v>4000</v>
      </c>
      <c r="BA105" s="99">
        <v>800</v>
      </c>
      <c r="BB105" s="113"/>
      <c r="BC105" s="102">
        <f t="shared" si="201"/>
        <v>4800</v>
      </c>
      <c r="BD105" s="99">
        <v>800</v>
      </c>
      <c r="BE105" s="113"/>
      <c r="BF105" s="102">
        <f t="shared" si="202"/>
        <v>5600</v>
      </c>
      <c r="BG105" s="99">
        <v>800</v>
      </c>
      <c r="BH105" s="113">
        <v>7200</v>
      </c>
      <c r="BI105" s="102">
        <f t="shared" si="203"/>
        <v>-800</v>
      </c>
      <c r="BJ105" s="99">
        <v>800</v>
      </c>
      <c r="BK105" s="113"/>
      <c r="BL105" s="102">
        <f t="shared" si="204"/>
        <v>0</v>
      </c>
      <c r="BM105" s="99">
        <v>800</v>
      </c>
      <c r="BN105" s="113"/>
      <c r="BO105" s="102">
        <f t="shared" si="205"/>
        <v>800</v>
      </c>
      <c r="BP105" s="99">
        <v>800</v>
      </c>
      <c r="BQ105" s="113"/>
      <c r="BR105" s="102">
        <f t="shared" si="206"/>
        <v>1600</v>
      </c>
      <c r="BS105" s="99">
        <v>800</v>
      </c>
      <c r="BT105" s="113"/>
      <c r="BU105" s="102">
        <f t="shared" si="207"/>
        <v>2400</v>
      </c>
      <c r="BV105" s="99">
        <v>800</v>
      </c>
      <c r="BW105" s="113"/>
      <c r="BX105" s="102">
        <f t="shared" si="208"/>
        <v>3200</v>
      </c>
      <c r="BY105" s="99">
        <v>800</v>
      </c>
      <c r="BZ105" s="113"/>
      <c r="CA105" s="102">
        <f t="shared" si="209"/>
        <v>4000</v>
      </c>
      <c r="CB105" s="99">
        <v>800</v>
      </c>
      <c r="CC105" s="113"/>
      <c r="CD105" s="102">
        <f t="shared" si="210"/>
        <v>4800</v>
      </c>
      <c r="CE105" s="99">
        <v>800</v>
      </c>
      <c r="CF105" s="113"/>
      <c r="CG105" s="102">
        <f t="shared" si="211"/>
        <v>5600</v>
      </c>
      <c r="CH105" s="99">
        <v>800</v>
      </c>
      <c r="CI105" s="113"/>
      <c r="CJ105" s="102">
        <f t="shared" si="212"/>
        <v>6400</v>
      </c>
      <c r="CK105" s="99">
        <v>800</v>
      </c>
      <c r="CL105" s="113"/>
      <c r="CM105" s="102">
        <f t="shared" si="213"/>
        <v>7200</v>
      </c>
      <c r="CN105" s="99">
        <v>800</v>
      </c>
      <c r="CO105" s="113"/>
      <c r="CP105" s="102">
        <f t="shared" si="214"/>
        <v>8000</v>
      </c>
      <c r="CQ105" s="99">
        <v>800</v>
      </c>
      <c r="CR105" s="113"/>
      <c r="CS105" s="102">
        <f t="shared" si="215"/>
        <v>8800</v>
      </c>
      <c r="CT105" s="99">
        <v>800</v>
      </c>
      <c r="CU105" s="113"/>
      <c r="CV105" s="102">
        <f t="shared" si="216"/>
        <v>9600</v>
      </c>
      <c r="CW105" s="99">
        <v>800</v>
      </c>
      <c r="CX105" s="113"/>
      <c r="CY105" s="102">
        <f t="shared" si="217"/>
        <v>10400</v>
      </c>
    </row>
    <row r="106" spans="1:103">
      <c r="A106" s="41">
        <f>VLOOKUP(B106,справочник!$B$2:$E$322,4,FALSE)</f>
        <v>121</v>
      </c>
      <c r="B106" t="str">
        <f t="shared" si="166"/>
        <v>126Зиннатов Рафаэль Шакурович</v>
      </c>
      <c r="C106" s="1">
        <v>126</v>
      </c>
      <c r="D106" s="2" t="s">
        <v>97</v>
      </c>
      <c r="E106" s="1" t="s">
        <v>414</v>
      </c>
      <c r="F106" s="16">
        <v>41190</v>
      </c>
      <c r="G106" s="16">
        <v>41214</v>
      </c>
      <c r="H106" s="17">
        <f t="shared" si="218"/>
        <v>38</v>
      </c>
      <c r="I106" s="1">
        <f t="shared" si="172"/>
        <v>38000</v>
      </c>
      <c r="J106" s="17">
        <v>32000</v>
      </c>
      <c r="K106" s="17"/>
      <c r="L106" s="18">
        <f t="shared" si="191"/>
        <v>6000</v>
      </c>
      <c r="M106" s="22">
        <v>3000</v>
      </c>
      <c r="N106" s="22"/>
      <c r="O106" s="22"/>
      <c r="P106" s="22">
        <v>3200</v>
      </c>
      <c r="Q106" s="22"/>
      <c r="R106" s="22"/>
      <c r="S106" s="22"/>
      <c r="T106">
        <v>3200</v>
      </c>
      <c r="U106" s="22"/>
      <c r="V106" s="22">
        <v>4000</v>
      </c>
      <c r="W106" s="22"/>
      <c r="X106" s="22"/>
      <c r="Y106" s="18">
        <f t="shared" si="167"/>
        <v>13400</v>
      </c>
      <c r="Z106" s="96">
        <v>12</v>
      </c>
      <c r="AA106" s="96">
        <f t="shared" si="168"/>
        <v>9600</v>
      </c>
      <c r="AB106" s="96">
        <f t="shared" si="169"/>
        <v>2200</v>
      </c>
      <c r="AC106" s="99">
        <v>800</v>
      </c>
      <c r="AD106" s="98"/>
      <c r="AE106" s="102">
        <f t="shared" si="170"/>
        <v>3000</v>
      </c>
      <c r="AF106" s="99">
        <v>800</v>
      </c>
      <c r="AG106" s="98"/>
      <c r="AH106" s="102">
        <f t="shared" si="194"/>
        <v>3800</v>
      </c>
      <c r="AI106" s="99">
        <v>800</v>
      </c>
      <c r="AJ106" s="98"/>
      <c r="AK106" s="102">
        <f t="shared" si="195"/>
        <v>4600</v>
      </c>
      <c r="AL106" s="99">
        <v>800</v>
      </c>
      <c r="AM106" s="98"/>
      <c r="AN106" s="102">
        <f t="shared" si="196"/>
        <v>5400</v>
      </c>
      <c r="AO106" s="99">
        <v>800</v>
      </c>
      <c r="AP106" s="113">
        <v>3200</v>
      </c>
      <c r="AQ106" s="102">
        <f t="shared" si="197"/>
        <v>3000</v>
      </c>
      <c r="AR106" s="99">
        <v>800</v>
      </c>
      <c r="AS106" s="113"/>
      <c r="AT106" s="102">
        <f t="shared" si="198"/>
        <v>3800</v>
      </c>
      <c r="AU106" s="99">
        <v>800</v>
      </c>
      <c r="AV106" s="113"/>
      <c r="AW106" s="102">
        <f t="shared" si="199"/>
        <v>4600</v>
      </c>
      <c r="AX106" s="99">
        <v>800</v>
      </c>
      <c r="AY106" s="113"/>
      <c r="AZ106" s="102">
        <f t="shared" si="200"/>
        <v>5400</v>
      </c>
      <c r="BA106" s="99">
        <v>800</v>
      </c>
      <c r="BB106" s="113">
        <v>3200</v>
      </c>
      <c r="BC106" s="102">
        <f t="shared" si="201"/>
        <v>3000</v>
      </c>
      <c r="BD106" s="99">
        <v>800</v>
      </c>
      <c r="BE106" s="113"/>
      <c r="BF106" s="102">
        <f t="shared" si="202"/>
        <v>3800</v>
      </c>
      <c r="BG106" s="99">
        <v>800</v>
      </c>
      <c r="BH106" s="113">
        <v>1600</v>
      </c>
      <c r="BI106" s="102">
        <f t="shared" si="203"/>
        <v>3000</v>
      </c>
      <c r="BJ106" s="99">
        <v>800</v>
      </c>
      <c r="BK106" s="113"/>
      <c r="BL106" s="102">
        <f t="shared" si="204"/>
        <v>3800</v>
      </c>
      <c r="BM106" s="99">
        <v>800</v>
      </c>
      <c r="BN106" s="113"/>
      <c r="BO106" s="102">
        <f t="shared" si="205"/>
        <v>4600</v>
      </c>
      <c r="BP106" s="99">
        <v>800</v>
      </c>
      <c r="BQ106" s="113">
        <v>1600</v>
      </c>
      <c r="BR106" s="102">
        <f t="shared" si="206"/>
        <v>3800</v>
      </c>
      <c r="BS106" s="99">
        <v>800</v>
      </c>
      <c r="BT106" s="113"/>
      <c r="BU106" s="102">
        <f t="shared" si="207"/>
        <v>4600</v>
      </c>
      <c r="BV106" s="99">
        <v>800</v>
      </c>
      <c r="BW106" s="113">
        <v>1600</v>
      </c>
      <c r="BX106" s="102">
        <f t="shared" si="208"/>
        <v>3800</v>
      </c>
      <c r="BY106" s="99">
        <v>800</v>
      </c>
      <c r="BZ106" s="113"/>
      <c r="CA106" s="102">
        <f t="shared" si="209"/>
        <v>4600</v>
      </c>
      <c r="CB106" s="99">
        <v>800</v>
      </c>
      <c r="CC106" s="113"/>
      <c r="CD106" s="102">
        <f t="shared" si="210"/>
        <v>5400</v>
      </c>
      <c r="CE106" s="99">
        <v>800</v>
      </c>
      <c r="CF106" s="113"/>
      <c r="CG106" s="102">
        <f t="shared" si="211"/>
        <v>6200</v>
      </c>
      <c r="CH106" s="99">
        <v>800</v>
      </c>
      <c r="CI106" s="113">
        <v>3200</v>
      </c>
      <c r="CJ106" s="102">
        <f t="shared" si="212"/>
        <v>3800</v>
      </c>
      <c r="CK106" s="99">
        <v>800</v>
      </c>
      <c r="CL106" s="113"/>
      <c r="CM106" s="102">
        <f t="shared" si="213"/>
        <v>4600</v>
      </c>
      <c r="CN106" s="99">
        <v>800</v>
      </c>
      <c r="CO106" s="113"/>
      <c r="CP106" s="102">
        <f t="shared" si="214"/>
        <v>5400</v>
      </c>
      <c r="CQ106" s="99">
        <v>800</v>
      </c>
      <c r="CR106" s="113"/>
      <c r="CS106" s="102">
        <f t="shared" si="215"/>
        <v>6200</v>
      </c>
      <c r="CT106" s="99">
        <v>800</v>
      </c>
      <c r="CU106" s="113"/>
      <c r="CV106" s="102">
        <f t="shared" si="216"/>
        <v>7000</v>
      </c>
      <c r="CW106" s="99">
        <v>800</v>
      </c>
      <c r="CX106" s="113">
        <v>2400</v>
      </c>
      <c r="CY106" s="102">
        <f t="shared" si="217"/>
        <v>5400</v>
      </c>
    </row>
    <row r="107" spans="1:103">
      <c r="A107" s="41">
        <f>VLOOKUP(B107,справочник!$B$2:$E$322,4,FALSE)</f>
        <v>156</v>
      </c>
      <c r="B107" t="str">
        <f t="shared" si="166"/>
        <v>164Иваненко Петр Олегович</v>
      </c>
      <c r="C107" s="1">
        <v>164</v>
      </c>
      <c r="D107" s="2" t="s">
        <v>98</v>
      </c>
      <c r="E107" s="1" t="s">
        <v>415</v>
      </c>
      <c r="F107" s="16">
        <v>41394</v>
      </c>
      <c r="G107" s="16">
        <v>41426</v>
      </c>
      <c r="H107" s="17">
        <f t="shared" si="218"/>
        <v>31</v>
      </c>
      <c r="I107" s="1">
        <f t="shared" si="172"/>
        <v>31000</v>
      </c>
      <c r="J107" s="17">
        <v>28000</v>
      </c>
      <c r="K107" s="17"/>
      <c r="L107" s="18">
        <f t="shared" si="191"/>
        <v>3000</v>
      </c>
      <c r="M107" s="22"/>
      <c r="N107" s="22">
        <v>5000</v>
      </c>
      <c r="O107" s="22">
        <v>1000</v>
      </c>
      <c r="P107" s="22">
        <v>1000</v>
      </c>
      <c r="Q107" s="22">
        <v>1000</v>
      </c>
      <c r="R107" s="22">
        <v>1000</v>
      </c>
      <c r="S107" s="22">
        <v>1000</v>
      </c>
      <c r="T107">
        <v>1000</v>
      </c>
      <c r="U107" s="22">
        <v>1000</v>
      </c>
      <c r="V107" s="22">
        <v>1000</v>
      </c>
      <c r="W107" s="84">
        <v>1000</v>
      </c>
      <c r="X107" s="22">
        <v>1000</v>
      </c>
      <c r="Y107" s="18">
        <f t="shared" si="167"/>
        <v>15000</v>
      </c>
      <c r="Z107" s="96">
        <v>12</v>
      </c>
      <c r="AA107" s="96">
        <f t="shared" si="168"/>
        <v>9600</v>
      </c>
      <c r="AB107" s="96">
        <f t="shared" si="169"/>
        <v>-2400</v>
      </c>
      <c r="AC107" s="99">
        <v>800</v>
      </c>
      <c r="AD107" s="97">
        <v>1000</v>
      </c>
      <c r="AE107" s="102">
        <f t="shared" si="170"/>
        <v>-2600</v>
      </c>
      <c r="AF107" s="99">
        <v>800</v>
      </c>
      <c r="AG107" s="97">
        <v>1000</v>
      </c>
      <c r="AH107" s="102">
        <f t="shared" si="194"/>
        <v>-2800</v>
      </c>
      <c r="AI107" s="99">
        <v>800</v>
      </c>
      <c r="AJ107" s="97">
        <v>1000</v>
      </c>
      <c r="AK107" s="102">
        <f t="shared" si="195"/>
        <v>-3000</v>
      </c>
      <c r="AL107" s="99">
        <v>800</v>
      </c>
      <c r="AM107" s="97">
        <v>1000</v>
      </c>
      <c r="AN107" s="102">
        <f t="shared" si="196"/>
        <v>-3200</v>
      </c>
      <c r="AO107" s="99">
        <v>800</v>
      </c>
      <c r="AP107" s="97">
        <v>1000</v>
      </c>
      <c r="AQ107" s="102">
        <f t="shared" si="197"/>
        <v>-3400</v>
      </c>
      <c r="AR107" s="99">
        <v>800</v>
      </c>
      <c r="AS107" s="97">
        <v>1000</v>
      </c>
      <c r="AT107" s="102">
        <f t="shared" si="198"/>
        <v>-3600</v>
      </c>
      <c r="AU107" s="99">
        <v>800</v>
      </c>
      <c r="AV107" s="97">
        <v>1000</v>
      </c>
      <c r="AW107" s="102">
        <f t="shared" si="199"/>
        <v>-3800</v>
      </c>
      <c r="AX107" s="99">
        <v>800</v>
      </c>
      <c r="AY107" s="97">
        <v>1000</v>
      </c>
      <c r="AZ107" s="102">
        <f t="shared" si="200"/>
        <v>-4000</v>
      </c>
      <c r="BA107" s="99">
        <v>800</v>
      </c>
      <c r="BB107" s="97">
        <v>1000</v>
      </c>
      <c r="BC107" s="102">
        <f t="shared" si="201"/>
        <v>-4200</v>
      </c>
      <c r="BD107" s="99">
        <v>800</v>
      </c>
      <c r="BE107" s="97">
        <v>1000</v>
      </c>
      <c r="BF107" s="102">
        <f t="shared" si="202"/>
        <v>-4400</v>
      </c>
      <c r="BG107" s="99">
        <v>800</v>
      </c>
      <c r="BH107" s="97">
        <v>1000</v>
      </c>
      <c r="BI107" s="102">
        <f t="shared" si="203"/>
        <v>-4600</v>
      </c>
      <c r="BJ107" s="99">
        <v>800</v>
      </c>
      <c r="BK107" s="97"/>
      <c r="BL107" s="102">
        <f t="shared" si="204"/>
        <v>-3800</v>
      </c>
      <c r="BM107" s="99">
        <v>800</v>
      </c>
      <c r="BN107" s="97"/>
      <c r="BO107" s="102">
        <f t="shared" si="205"/>
        <v>-3000</v>
      </c>
      <c r="BP107" s="99">
        <v>800</v>
      </c>
      <c r="BQ107" s="97"/>
      <c r="BR107" s="102">
        <f t="shared" si="206"/>
        <v>-2200</v>
      </c>
      <c r="BS107" s="99">
        <v>800</v>
      </c>
      <c r="BT107" s="97"/>
      <c r="BU107" s="102">
        <f t="shared" si="207"/>
        <v>-1400</v>
      </c>
      <c r="BV107" s="99">
        <v>800</v>
      </c>
      <c r="BW107" s="97"/>
      <c r="BX107" s="102">
        <f t="shared" si="208"/>
        <v>-600</v>
      </c>
      <c r="BY107" s="99">
        <v>800</v>
      </c>
      <c r="BZ107" s="97"/>
      <c r="CA107" s="102">
        <f t="shared" si="209"/>
        <v>200</v>
      </c>
      <c r="CB107" s="99">
        <v>800</v>
      </c>
      <c r="CC107" s="97"/>
      <c r="CD107" s="102">
        <f t="shared" si="210"/>
        <v>1000</v>
      </c>
      <c r="CE107" s="99">
        <v>800</v>
      </c>
      <c r="CF107" s="97"/>
      <c r="CG107" s="102">
        <f t="shared" si="211"/>
        <v>1800</v>
      </c>
      <c r="CH107" s="99">
        <v>800</v>
      </c>
      <c r="CI107" s="97"/>
      <c r="CJ107" s="102">
        <f t="shared" si="212"/>
        <v>2600</v>
      </c>
      <c r="CK107" s="99">
        <v>800</v>
      </c>
      <c r="CL107" s="97"/>
      <c r="CM107" s="102">
        <f t="shared" si="213"/>
        <v>3400</v>
      </c>
      <c r="CN107" s="99">
        <v>800</v>
      </c>
      <c r="CO107" s="97"/>
      <c r="CP107" s="102">
        <f t="shared" si="214"/>
        <v>4200</v>
      </c>
      <c r="CQ107" s="99">
        <v>800</v>
      </c>
      <c r="CR107" s="97">
        <v>1000</v>
      </c>
      <c r="CS107" s="102">
        <f t="shared" si="215"/>
        <v>4000</v>
      </c>
      <c r="CT107" s="99">
        <v>800</v>
      </c>
      <c r="CU107" s="97">
        <v>1000</v>
      </c>
      <c r="CV107" s="102">
        <f t="shared" si="216"/>
        <v>3800</v>
      </c>
      <c r="CW107" s="99">
        <v>800</v>
      </c>
      <c r="CX107" s="97">
        <v>1000</v>
      </c>
      <c r="CY107" s="102">
        <f t="shared" si="217"/>
        <v>3600</v>
      </c>
    </row>
    <row r="108" spans="1:103">
      <c r="A108" s="41">
        <f>VLOOKUP(B108,справочник!$B$2:$E$322,4,FALSE)</f>
        <v>5</v>
      </c>
      <c r="B108" t="str">
        <f t="shared" si="166"/>
        <v>5Иванов Владимир Николаевич</v>
      </c>
      <c r="C108" s="1">
        <v>5</v>
      </c>
      <c r="D108" s="2" t="s">
        <v>99</v>
      </c>
      <c r="E108" s="1" t="s">
        <v>416</v>
      </c>
      <c r="F108" s="16">
        <v>41071</v>
      </c>
      <c r="G108" s="16">
        <v>41061</v>
      </c>
      <c r="H108" s="17">
        <f t="shared" si="218"/>
        <v>43</v>
      </c>
      <c r="I108" s="1">
        <f t="shared" si="172"/>
        <v>43000</v>
      </c>
      <c r="J108" s="17">
        <f>32000</f>
        <v>32000</v>
      </c>
      <c r="K108" s="17"/>
      <c r="L108" s="18">
        <f t="shared" si="191"/>
        <v>11000</v>
      </c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18">
        <f t="shared" si="167"/>
        <v>0</v>
      </c>
      <c r="Z108" s="96">
        <v>12</v>
      </c>
      <c r="AA108" s="96">
        <f t="shared" si="168"/>
        <v>9600</v>
      </c>
      <c r="AB108" s="96">
        <f t="shared" si="169"/>
        <v>20600</v>
      </c>
      <c r="AC108" s="99">
        <v>800</v>
      </c>
      <c r="AD108" s="98"/>
      <c r="AE108" s="102">
        <f t="shared" si="170"/>
        <v>21400</v>
      </c>
      <c r="AF108" s="99">
        <v>800</v>
      </c>
      <c r="AG108" s="98"/>
      <c r="AH108" s="102">
        <f t="shared" si="194"/>
        <v>22200</v>
      </c>
      <c r="AI108" s="99">
        <v>800</v>
      </c>
      <c r="AJ108" s="98"/>
      <c r="AK108" s="102">
        <f t="shared" si="195"/>
        <v>23000</v>
      </c>
      <c r="AL108" s="99">
        <v>800</v>
      </c>
      <c r="AM108" s="98">
        <v>4000</v>
      </c>
      <c r="AN108" s="102">
        <f t="shared" si="196"/>
        <v>19800</v>
      </c>
      <c r="AO108" s="99">
        <v>800</v>
      </c>
      <c r="AP108" s="113"/>
      <c r="AQ108" s="102">
        <f t="shared" si="197"/>
        <v>20600</v>
      </c>
      <c r="AR108" s="99">
        <v>800</v>
      </c>
      <c r="AS108" s="113"/>
      <c r="AT108" s="102">
        <f t="shared" si="198"/>
        <v>21400</v>
      </c>
      <c r="AU108" s="99">
        <v>800</v>
      </c>
      <c r="AV108" s="113"/>
      <c r="AW108" s="102">
        <f t="shared" si="199"/>
        <v>22200</v>
      </c>
      <c r="AX108" s="99">
        <v>800</v>
      </c>
      <c r="AY108" s="113"/>
      <c r="AZ108" s="102">
        <f t="shared" si="200"/>
        <v>23000</v>
      </c>
      <c r="BA108" s="99">
        <v>800</v>
      </c>
      <c r="BB108" s="113"/>
      <c r="BC108" s="102">
        <f t="shared" si="201"/>
        <v>23800</v>
      </c>
      <c r="BD108" s="99">
        <v>800</v>
      </c>
      <c r="BE108" s="113"/>
      <c r="BF108" s="102">
        <f t="shared" si="202"/>
        <v>24600</v>
      </c>
      <c r="BG108" s="99">
        <v>800</v>
      </c>
      <c r="BH108" s="113"/>
      <c r="BI108" s="102">
        <f t="shared" si="203"/>
        <v>25400</v>
      </c>
      <c r="BJ108" s="99">
        <v>800</v>
      </c>
      <c r="BK108" s="113"/>
      <c r="BL108" s="102">
        <f t="shared" si="204"/>
        <v>26200</v>
      </c>
      <c r="BM108" s="99">
        <v>800</v>
      </c>
      <c r="BN108" s="113"/>
      <c r="BO108" s="102">
        <f t="shared" si="205"/>
        <v>27000</v>
      </c>
      <c r="BP108" s="99">
        <v>800</v>
      </c>
      <c r="BQ108" s="113"/>
      <c r="BR108" s="102">
        <f t="shared" si="206"/>
        <v>27800</v>
      </c>
      <c r="BS108" s="99">
        <v>800</v>
      </c>
      <c r="BT108" s="113">
        <f>8000+12.59</f>
        <v>8012.59</v>
      </c>
      <c r="BU108" s="102">
        <f t="shared" si="207"/>
        <v>20587.41</v>
      </c>
      <c r="BV108" s="99">
        <v>800</v>
      </c>
      <c r="BW108" s="113"/>
      <c r="BX108" s="102">
        <f t="shared" si="208"/>
        <v>21387.41</v>
      </c>
      <c r="BY108" s="99">
        <v>800</v>
      </c>
      <c r="BZ108" s="113"/>
      <c r="CA108" s="102">
        <f t="shared" si="209"/>
        <v>22187.41</v>
      </c>
      <c r="CB108" s="99">
        <v>800</v>
      </c>
      <c r="CC108" s="113">
        <v>2000</v>
      </c>
      <c r="CD108" s="102">
        <f t="shared" si="210"/>
        <v>20987.41</v>
      </c>
      <c r="CE108" s="99">
        <v>800</v>
      </c>
      <c r="CF108" s="113"/>
      <c r="CG108" s="102">
        <f t="shared" si="211"/>
        <v>21787.41</v>
      </c>
      <c r="CH108" s="99">
        <v>800</v>
      </c>
      <c r="CI108" s="113"/>
      <c r="CJ108" s="102">
        <f t="shared" si="212"/>
        <v>22587.41</v>
      </c>
      <c r="CK108" s="99">
        <v>800</v>
      </c>
      <c r="CL108" s="113"/>
      <c r="CM108" s="102">
        <f t="shared" si="213"/>
        <v>23387.41</v>
      </c>
      <c r="CN108" s="99">
        <v>800</v>
      </c>
      <c r="CO108" s="113"/>
      <c r="CP108" s="102">
        <f t="shared" si="214"/>
        <v>24187.41</v>
      </c>
      <c r="CQ108" s="99">
        <v>800</v>
      </c>
      <c r="CR108" s="113">
        <v>3000</v>
      </c>
      <c r="CS108" s="102">
        <f t="shared" si="215"/>
        <v>21987.41</v>
      </c>
      <c r="CT108" s="99">
        <v>800</v>
      </c>
      <c r="CU108" s="113"/>
      <c r="CV108" s="102">
        <f t="shared" si="216"/>
        <v>22787.41</v>
      </c>
      <c r="CW108" s="99">
        <v>800</v>
      </c>
      <c r="CX108" s="113"/>
      <c r="CY108" s="102">
        <f t="shared" si="217"/>
        <v>23587.41</v>
      </c>
    </row>
    <row r="109" spans="1:103" ht="24">
      <c r="A109" s="41" t="e">
        <f>VLOOKUP(B109,справочник!$B$2:$E$322,4,FALSE)</f>
        <v>#N/A</v>
      </c>
      <c r="B109" t="str">
        <f t="shared" si="166"/>
        <v>223Иванов Денис Сильвестрович (новый собственник Скворцов Игорь Владимирович)</v>
      </c>
      <c r="C109" s="1">
        <v>223</v>
      </c>
      <c r="D109" s="2" t="s">
        <v>793</v>
      </c>
      <c r="E109" s="1" t="s">
        <v>417</v>
      </c>
      <c r="F109" s="16">
        <v>41807</v>
      </c>
      <c r="G109" s="16">
        <v>41791</v>
      </c>
      <c r="H109" s="17">
        <f t="shared" si="218"/>
        <v>19</v>
      </c>
      <c r="I109" s="1">
        <f t="shared" si="172"/>
        <v>19000</v>
      </c>
      <c r="J109" s="17">
        <v>19000</v>
      </c>
      <c r="K109" s="17"/>
      <c r="L109" s="18">
        <f t="shared" si="191"/>
        <v>0</v>
      </c>
      <c r="M109" s="22"/>
      <c r="N109" s="22">
        <v>3000</v>
      </c>
      <c r="O109" s="22"/>
      <c r="P109" s="22"/>
      <c r="Q109" s="22"/>
      <c r="R109" s="22">
        <v>2000</v>
      </c>
      <c r="S109" s="22"/>
      <c r="T109" s="22"/>
      <c r="U109" s="22">
        <v>2200</v>
      </c>
      <c r="V109" s="22"/>
      <c r="W109" s="84">
        <v>800</v>
      </c>
      <c r="X109" s="22">
        <v>1600</v>
      </c>
      <c r="Y109" s="18">
        <f t="shared" si="167"/>
        <v>9600</v>
      </c>
      <c r="Z109" s="96">
        <v>12</v>
      </c>
      <c r="AA109" s="96">
        <f t="shared" si="168"/>
        <v>9600</v>
      </c>
      <c r="AB109" s="96">
        <f t="shared" si="169"/>
        <v>0</v>
      </c>
      <c r="AC109" s="99">
        <v>800</v>
      </c>
      <c r="AD109" s="97">
        <v>1600</v>
      </c>
      <c r="AE109" s="102">
        <f t="shared" si="170"/>
        <v>-800</v>
      </c>
      <c r="AF109" s="99">
        <v>800</v>
      </c>
      <c r="AG109" s="97"/>
      <c r="AH109" s="102">
        <f t="shared" si="194"/>
        <v>0</v>
      </c>
      <c r="AI109" s="99">
        <v>800</v>
      </c>
      <c r="AJ109" s="97"/>
      <c r="AK109" s="102">
        <f t="shared" si="195"/>
        <v>800</v>
      </c>
      <c r="AL109" s="99">
        <v>800</v>
      </c>
      <c r="AM109" s="97">
        <v>1600</v>
      </c>
      <c r="AN109" s="102">
        <f t="shared" si="196"/>
        <v>0</v>
      </c>
      <c r="AO109" s="99">
        <v>800</v>
      </c>
      <c r="AP109" s="97">
        <v>800</v>
      </c>
      <c r="AQ109" s="102">
        <f t="shared" si="197"/>
        <v>0</v>
      </c>
      <c r="AR109" s="99">
        <v>800</v>
      </c>
      <c r="AS109" s="97"/>
      <c r="AT109" s="102">
        <f t="shared" si="198"/>
        <v>800</v>
      </c>
      <c r="AU109" s="99">
        <v>800</v>
      </c>
      <c r="AV109" s="97"/>
      <c r="AW109" s="102">
        <f t="shared" si="199"/>
        <v>1600</v>
      </c>
      <c r="AX109" s="99">
        <v>800</v>
      </c>
      <c r="AY109" s="97"/>
      <c r="AZ109" s="102">
        <f t="shared" si="200"/>
        <v>2400</v>
      </c>
      <c r="BA109" s="99">
        <v>800</v>
      </c>
      <c r="BB109" s="97"/>
      <c r="BC109" s="102">
        <f t="shared" si="201"/>
        <v>3200</v>
      </c>
      <c r="BD109" s="99">
        <v>800</v>
      </c>
      <c r="BE109" s="97"/>
      <c r="BF109" s="102">
        <f t="shared" si="202"/>
        <v>4000</v>
      </c>
      <c r="BG109" s="99">
        <v>800</v>
      </c>
      <c r="BH109" s="97">
        <v>4000</v>
      </c>
      <c r="BI109" s="102">
        <f t="shared" si="203"/>
        <v>800</v>
      </c>
      <c r="BJ109" s="99">
        <v>800</v>
      </c>
      <c r="BK109" s="97"/>
      <c r="BL109" s="102">
        <f t="shared" si="204"/>
        <v>1600</v>
      </c>
      <c r="BM109" s="99">
        <v>800</v>
      </c>
      <c r="BN109" s="97">
        <v>2500</v>
      </c>
      <c r="BO109" s="102">
        <f t="shared" si="205"/>
        <v>-100</v>
      </c>
      <c r="BP109" s="99">
        <v>800</v>
      </c>
      <c r="BQ109" s="97"/>
      <c r="BR109" s="102">
        <f t="shared" si="206"/>
        <v>700</v>
      </c>
      <c r="BS109" s="99">
        <v>800</v>
      </c>
      <c r="BT109" s="97"/>
      <c r="BU109" s="102">
        <f t="shared" si="207"/>
        <v>1500</v>
      </c>
      <c r="BV109" s="99">
        <v>800</v>
      </c>
      <c r="BW109" s="97">
        <v>3100</v>
      </c>
      <c r="BX109" s="102">
        <f t="shared" si="208"/>
        <v>-800</v>
      </c>
      <c r="BY109" s="99">
        <v>800</v>
      </c>
      <c r="BZ109" s="97"/>
      <c r="CA109" s="102">
        <f t="shared" si="209"/>
        <v>0</v>
      </c>
      <c r="CB109" s="99">
        <v>800</v>
      </c>
      <c r="CC109" s="97"/>
      <c r="CD109" s="102">
        <f t="shared" si="210"/>
        <v>800</v>
      </c>
      <c r="CE109" s="99">
        <v>800</v>
      </c>
      <c r="CF109" s="97"/>
      <c r="CG109" s="102">
        <f t="shared" si="211"/>
        <v>1600</v>
      </c>
      <c r="CH109" s="99">
        <v>800</v>
      </c>
      <c r="CI109" s="97"/>
      <c r="CJ109" s="102">
        <f t="shared" si="212"/>
        <v>2400</v>
      </c>
      <c r="CK109" s="99">
        <v>800</v>
      </c>
      <c r="CL109" s="97"/>
      <c r="CM109" s="102">
        <f t="shared" si="213"/>
        <v>3200</v>
      </c>
      <c r="CN109" s="99">
        <v>800</v>
      </c>
      <c r="CO109" s="97"/>
      <c r="CP109" s="102">
        <f t="shared" si="214"/>
        <v>4000</v>
      </c>
      <c r="CQ109" s="99">
        <v>800</v>
      </c>
      <c r="CR109" s="97">
        <v>5000</v>
      </c>
      <c r="CS109" s="102">
        <f>CP109+CQ109-CR109</f>
        <v>-200</v>
      </c>
      <c r="CT109" s="99">
        <v>800</v>
      </c>
      <c r="CU109" s="97"/>
      <c r="CV109" s="102">
        <f>CS109+CT109-CU109</f>
        <v>600</v>
      </c>
      <c r="CW109" s="99">
        <v>800</v>
      </c>
      <c r="CX109" s="97"/>
      <c r="CY109" s="102">
        <f>CV109+CW109-CX109</f>
        <v>1400</v>
      </c>
    </row>
    <row r="110" spans="1:103">
      <c r="A110" s="41">
        <f>VLOOKUP(B110,справочник!$B$2:$E$322,4,FALSE)</f>
        <v>279</v>
      </c>
      <c r="B110" t="str">
        <f t="shared" si="166"/>
        <v>291Иванова Светлана Сергеевна</v>
      </c>
      <c r="C110" s="1">
        <v>291</v>
      </c>
      <c r="D110" s="2" t="s">
        <v>101</v>
      </c>
      <c r="E110" s="1" t="s">
        <v>418</v>
      </c>
      <c r="F110" s="16">
        <v>40890</v>
      </c>
      <c r="G110" s="16">
        <v>40878</v>
      </c>
      <c r="H110" s="17">
        <f t="shared" si="218"/>
        <v>49</v>
      </c>
      <c r="I110" s="1">
        <f t="shared" si="172"/>
        <v>49000</v>
      </c>
      <c r="J110" s="17">
        <f>42000+1000</f>
        <v>43000</v>
      </c>
      <c r="K110" s="17"/>
      <c r="L110" s="18">
        <f t="shared" si="191"/>
        <v>6000</v>
      </c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18">
        <f t="shared" si="167"/>
        <v>0</v>
      </c>
      <c r="Z110" s="96">
        <v>12</v>
      </c>
      <c r="AA110" s="96">
        <f t="shared" si="168"/>
        <v>9600</v>
      </c>
      <c r="AB110" s="96">
        <f t="shared" si="169"/>
        <v>15600</v>
      </c>
      <c r="AC110" s="99">
        <v>800</v>
      </c>
      <c r="AD110" s="98"/>
      <c r="AE110" s="102">
        <f t="shared" si="170"/>
        <v>16400</v>
      </c>
      <c r="AF110" s="99">
        <v>800</v>
      </c>
      <c r="AG110" s="98"/>
      <c r="AH110" s="102">
        <f t="shared" si="194"/>
        <v>17200</v>
      </c>
      <c r="AI110" s="99">
        <v>800</v>
      </c>
      <c r="AJ110" s="98"/>
      <c r="AK110" s="102">
        <f t="shared" si="195"/>
        <v>18000</v>
      </c>
      <c r="AL110" s="99">
        <v>800</v>
      </c>
      <c r="AM110" s="98"/>
      <c r="AN110" s="102">
        <f t="shared" si="196"/>
        <v>18800</v>
      </c>
      <c r="AO110" s="99">
        <v>800</v>
      </c>
      <c r="AP110" s="113"/>
      <c r="AQ110" s="102">
        <f t="shared" si="197"/>
        <v>19600</v>
      </c>
      <c r="AR110" s="99">
        <v>800</v>
      </c>
      <c r="AS110" s="113"/>
      <c r="AT110" s="102">
        <f t="shared" si="198"/>
        <v>20400</v>
      </c>
      <c r="AU110" s="99">
        <v>800</v>
      </c>
      <c r="AV110" s="113"/>
      <c r="AW110" s="102">
        <f t="shared" si="199"/>
        <v>21200</v>
      </c>
      <c r="AX110" s="99">
        <v>800</v>
      </c>
      <c r="AY110" s="113"/>
      <c r="AZ110" s="102">
        <f t="shared" si="200"/>
        <v>22000</v>
      </c>
      <c r="BA110" s="99">
        <v>800</v>
      </c>
      <c r="BB110" s="113"/>
      <c r="BC110" s="102">
        <f t="shared" si="201"/>
        <v>22800</v>
      </c>
      <c r="BD110" s="99">
        <v>800</v>
      </c>
      <c r="BE110" s="113"/>
      <c r="BF110" s="102">
        <f t="shared" si="202"/>
        <v>23600</v>
      </c>
      <c r="BG110" s="99">
        <v>800</v>
      </c>
      <c r="BH110" s="113"/>
      <c r="BI110" s="102">
        <f t="shared" si="203"/>
        <v>24400</v>
      </c>
      <c r="BJ110" s="99">
        <v>800</v>
      </c>
      <c r="BK110" s="113">
        <v>5000</v>
      </c>
      <c r="BL110" s="102">
        <f t="shared" si="204"/>
        <v>20200</v>
      </c>
      <c r="BM110" s="99">
        <v>800</v>
      </c>
      <c r="BN110" s="113"/>
      <c r="BO110" s="102">
        <f>BL110+BM110-BN110</f>
        <v>21000</v>
      </c>
      <c r="BP110" s="99">
        <v>800</v>
      </c>
      <c r="BQ110" s="113">
        <v>20000</v>
      </c>
      <c r="BR110" s="102">
        <f>BO110+BP110-BQ110</f>
        <v>1800</v>
      </c>
      <c r="BS110" s="99">
        <v>800</v>
      </c>
      <c r="BT110" s="113"/>
      <c r="BU110" s="102">
        <f>BR110+BS110-BT110</f>
        <v>2600</v>
      </c>
      <c r="BV110" s="99">
        <v>800</v>
      </c>
      <c r="BW110" s="113"/>
      <c r="BX110" s="102">
        <f>BU110+BV110-BW110</f>
        <v>3400</v>
      </c>
      <c r="BY110" s="99">
        <v>800</v>
      </c>
      <c r="BZ110" s="113"/>
      <c r="CA110" s="102">
        <f>BX110+BY110-BZ110</f>
        <v>4200</v>
      </c>
      <c r="CB110" s="99">
        <v>800</v>
      </c>
      <c r="CC110" s="113"/>
      <c r="CD110" s="102">
        <f>CA110+CB110-CC110</f>
        <v>5000</v>
      </c>
      <c r="CE110" s="99">
        <v>800</v>
      </c>
      <c r="CF110" s="113"/>
      <c r="CG110" s="102">
        <f>CD110+CE110-CF110</f>
        <v>5800</v>
      </c>
      <c r="CH110" s="99">
        <v>800</v>
      </c>
      <c r="CI110" s="113"/>
      <c r="CJ110" s="102">
        <f>CG110+CH110-CI110</f>
        <v>6600</v>
      </c>
      <c r="CK110" s="99">
        <v>800</v>
      </c>
      <c r="CL110" s="113"/>
      <c r="CM110" s="102">
        <f>CJ110+CK110-CL110</f>
        <v>7400</v>
      </c>
      <c r="CN110" s="99">
        <v>800</v>
      </c>
      <c r="CO110" s="113"/>
      <c r="CP110" s="102">
        <f>CM110+CN110-CO110</f>
        <v>8200</v>
      </c>
      <c r="CQ110" s="99">
        <v>800</v>
      </c>
      <c r="CR110" s="113"/>
      <c r="CS110" s="102">
        <f t="shared" si="215"/>
        <v>9000</v>
      </c>
      <c r="CT110" s="99">
        <v>800</v>
      </c>
      <c r="CU110" s="113"/>
      <c r="CV110" s="102">
        <f t="shared" ref="CV110:CV118" si="219">CS110+CT110-CU110</f>
        <v>9800</v>
      </c>
      <c r="CW110" s="99">
        <v>800</v>
      </c>
      <c r="CX110" s="113"/>
      <c r="CY110" s="102">
        <f t="shared" ref="CY110:CY118" si="220">CV110+CW110-CX110</f>
        <v>10600</v>
      </c>
    </row>
    <row r="111" spans="1:103">
      <c r="A111" s="41">
        <f>VLOOKUP(B111,справочник!$B$2:$E$322,4,FALSE)</f>
        <v>197</v>
      </c>
      <c r="B111" t="str">
        <f t="shared" si="166"/>
        <v>205Иванова Татьяна Викторовна</v>
      </c>
      <c r="C111" s="1">
        <v>205</v>
      </c>
      <c r="D111" s="2" t="s">
        <v>102</v>
      </c>
      <c r="E111" s="1" t="s">
        <v>419</v>
      </c>
      <c r="F111" s="16">
        <v>40862</v>
      </c>
      <c r="G111" s="16">
        <v>40848</v>
      </c>
      <c r="H111" s="17">
        <f t="shared" si="218"/>
        <v>50</v>
      </c>
      <c r="I111" s="1">
        <f t="shared" si="172"/>
        <v>50000</v>
      </c>
      <c r="J111" s="17">
        <f>16000+33000</f>
        <v>49000</v>
      </c>
      <c r="K111" s="17"/>
      <c r="L111" s="18">
        <f t="shared" si="191"/>
        <v>1000</v>
      </c>
      <c r="M111" s="22"/>
      <c r="N111" s="22"/>
      <c r="O111" s="22"/>
      <c r="P111" s="22"/>
      <c r="Q111" s="22"/>
      <c r="R111" s="22"/>
      <c r="S111" s="22">
        <v>6600</v>
      </c>
      <c r="T111" s="22"/>
      <c r="U111" s="22"/>
      <c r="V111" s="22"/>
      <c r="W111" s="22"/>
      <c r="X111" s="22"/>
      <c r="Y111" s="18">
        <f t="shared" si="167"/>
        <v>6600</v>
      </c>
      <c r="Z111" s="96">
        <v>12</v>
      </c>
      <c r="AA111" s="96">
        <f t="shared" si="168"/>
        <v>9600</v>
      </c>
      <c r="AB111" s="96">
        <f t="shared" si="169"/>
        <v>4000</v>
      </c>
      <c r="AC111" s="99">
        <v>800</v>
      </c>
      <c r="AD111" s="98"/>
      <c r="AE111" s="102">
        <f t="shared" si="170"/>
        <v>4800</v>
      </c>
      <c r="AF111" s="99">
        <v>800</v>
      </c>
      <c r="AG111" s="98"/>
      <c r="AH111" s="102">
        <f t="shared" si="194"/>
        <v>5600</v>
      </c>
      <c r="AI111" s="99">
        <v>800</v>
      </c>
      <c r="AJ111" s="98"/>
      <c r="AK111" s="102">
        <f t="shared" si="195"/>
        <v>6400</v>
      </c>
      <c r="AL111" s="99">
        <v>800</v>
      </c>
      <c r="AM111" s="98">
        <v>8000</v>
      </c>
      <c r="AN111" s="102">
        <f t="shared" si="196"/>
        <v>-800</v>
      </c>
      <c r="AO111" s="99">
        <v>800</v>
      </c>
      <c r="AP111" s="113"/>
      <c r="AQ111" s="102">
        <f t="shared" si="197"/>
        <v>0</v>
      </c>
      <c r="AR111" s="99">
        <v>800</v>
      </c>
      <c r="AS111" s="113"/>
      <c r="AT111" s="102">
        <f t="shared" si="198"/>
        <v>800</v>
      </c>
      <c r="AU111" s="99">
        <v>800</v>
      </c>
      <c r="AV111" s="113"/>
      <c r="AW111" s="102">
        <f t="shared" si="199"/>
        <v>1600</v>
      </c>
      <c r="AX111" s="99">
        <v>800</v>
      </c>
      <c r="AY111" s="113"/>
      <c r="AZ111" s="102">
        <f t="shared" si="200"/>
        <v>2400</v>
      </c>
      <c r="BA111" s="99">
        <v>800</v>
      </c>
      <c r="BB111" s="113"/>
      <c r="BC111" s="102">
        <f t="shared" si="201"/>
        <v>3200</v>
      </c>
      <c r="BD111" s="99">
        <v>800</v>
      </c>
      <c r="BE111" s="113"/>
      <c r="BF111" s="102">
        <f t="shared" si="202"/>
        <v>4000</v>
      </c>
      <c r="BG111" s="99">
        <v>800</v>
      </c>
      <c r="BH111" s="113"/>
      <c r="BI111" s="102">
        <f t="shared" si="203"/>
        <v>4800</v>
      </c>
      <c r="BJ111" s="99">
        <v>800</v>
      </c>
      <c r="BK111" s="113"/>
      <c r="BL111" s="102">
        <f t="shared" si="204"/>
        <v>5600</v>
      </c>
      <c r="BM111" s="99">
        <v>800</v>
      </c>
      <c r="BN111" s="113"/>
      <c r="BO111" s="102">
        <f t="shared" si="205"/>
        <v>6400</v>
      </c>
      <c r="BP111" s="99">
        <v>800</v>
      </c>
      <c r="BQ111" s="113"/>
      <c r="BR111" s="102">
        <f t="shared" ref="BR111:BR113" si="221">BO111+BP111-BQ111</f>
        <v>7200</v>
      </c>
      <c r="BS111" s="99">
        <v>800</v>
      </c>
      <c r="BT111" s="113"/>
      <c r="BU111" s="102">
        <f t="shared" ref="BU111:BU113" si="222">BR111+BS111-BT111</f>
        <v>8000</v>
      </c>
      <c r="BV111" s="99">
        <v>800</v>
      </c>
      <c r="BW111" s="113">
        <v>9600</v>
      </c>
      <c r="BX111" s="102">
        <f t="shared" ref="BX111:BX113" si="223">BU111+BV111-BW111</f>
        <v>-800</v>
      </c>
      <c r="BY111" s="99">
        <v>800</v>
      </c>
      <c r="BZ111" s="113"/>
      <c r="CA111" s="102">
        <f t="shared" ref="CA111:CA113" si="224">BX111+BY111-BZ111</f>
        <v>0</v>
      </c>
      <c r="CB111" s="99">
        <v>800</v>
      </c>
      <c r="CC111" s="113"/>
      <c r="CD111" s="102">
        <f t="shared" ref="CD111:CD113" si="225">CA111+CB111-CC111</f>
        <v>800</v>
      </c>
      <c r="CE111" s="99">
        <v>800</v>
      </c>
      <c r="CF111" s="113"/>
      <c r="CG111" s="102">
        <f t="shared" ref="CG111:CG113" si="226">CD111+CE111-CF111</f>
        <v>1600</v>
      </c>
      <c r="CH111" s="99">
        <v>800</v>
      </c>
      <c r="CI111" s="113"/>
      <c r="CJ111" s="102">
        <f t="shared" ref="CJ111:CJ113" si="227">CG111+CH111-CI111</f>
        <v>2400</v>
      </c>
      <c r="CK111" s="99">
        <v>800</v>
      </c>
      <c r="CL111" s="113"/>
      <c r="CM111" s="102">
        <f t="shared" ref="CM111:CM113" si="228">CJ111+CK111-CL111</f>
        <v>3200</v>
      </c>
      <c r="CN111" s="99">
        <v>800</v>
      </c>
      <c r="CO111" s="113"/>
      <c r="CP111" s="102">
        <f t="shared" ref="CP111:CP113" si="229">CM111+CN111-CO111</f>
        <v>4000</v>
      </c>
      <c r="CQ111" s="99">
        <v>800</v>
      </c>
      <c r="CR111" s="113"/>
      <c r="CS111" s="102">
        <f t="shared" si="215"/>
        <v>4800</v>
      </c>
      <c r="CT111" s="99">
        <v>800</v>
      </c>
      <c r="CU111" s="113"/>
      <c r="CV111" s="102">
        <f t="shared" si="219"/>
        <v>5600</v>
      </c>
      <c r="CW111" s="99">
        <v>800</v>
      </c>
      <c r="CX111" s="113">
        <v>5600</v>
      </c>
      <c r="CY111" s="102">
        <f t="shared" si="220"/>
        <v>800</v>
      </c>
    </row>
    <row r="112" spans="1:103">
      <c r="A112" s="41">
        <f>VLOOKUP(B112,справочник!$B$2:$E$322,4,FALSE)</f>
        <v>295</v>
      </c>
      <c r="B112" t="str">
        <f t="shared" si="166"/>
        <v>310Измайлов Михаил Михайлович</v>
      </c>
      <c r="C112" s="1">
        <v>310</v>
      </c>
      <c r="D112" s="2" t="s">
        <v>103</v>
      </c>
      <c r="E112" s="1" t="s">
        <v>420</v>
      </c>
      <c r="F112" s="16">
        <v>41994</v>
      </c>
      <c r="G112" s="16">
        <v>42005</v>
      </c>
      <c r="H112" s="17">
        <f t="shared" si="218"/>
        <v>12</v>
      </c>
      <c r="I112" s="1">
        <f t="shared" si="172"/>
        <v>12000</v>
      </c>
      <c r="J112" s="17"/>
      <c r="K112" s="17"/>
      <c r="L112" s="18">
        <f t="shared" si="191"/>
        <v>12000</v>
      </c>
      <c r="M112" s="22"/>
      <c r="N112" s="22"/>
      <c r="O112" s="22"/>
      <c r="P112" s="22"/>
      <c r="Q112" s="22"/>
      <c r="R112" s="22"/>
      <c r="S112" s="22"/>
      <c r="T112" s="22">
        <v>18150</v>
      </c>
      <c r="U112" s="22"/>
      <c r="V112" s="22"/>
      <c r="W112" s="22"/>
      <c r="X112" s="22"/>
      <c r="Y112" s="18">
        <f t="shared" si="167"/>
        <v>18150</v>
      </c>
      <c r="Z112" s="96">
        <v>12</v>
      </c>
      <c r="AA112" s="96">
        <f t="shared" si="168"/>
        <v>9600</v>
      </c>
      <c r="AB112" s="96">
        <f t="shared" si="169"/>
        <v>3450</v>
      </c>
      <c r="AC112" s="99">
        <v>800</v>
      </c>
      <c r="AD112" s="98"/>
      <c r="AE112" s="102">
        <f t="shared" si="170"/>
        <v>4250</v>
      </c>
      <c r="AF112" s="99">
        <v>800</v>
      </c>
      <c r="AG112" s="98"/>
      <c r="AH112" s="102">
        <f t="shared" si="194"/>
        <v>5050</v>
      </c>
      <c r="AI112" s="99">
        <v>800</v>
      </c>
      <c r="AJ112" s="98">
        <v>5000</v>
      </c>
      <c r="AK112" s="102">
        <f t="shared" si="195"/>
        <v>850</v>
      </c>
      <c r="AL112" s="99">
        <v>800</v>
      </c>
      <c r="AM112" s="98"/>
      <c r="AN112" s="102">
        <f t="shared" si="196"/>
        <v>1650</v>
      </c>
      <c r="AO112" s="99">
        <v>800</v>
      </c>
      <c r="AP112" s="113"/>
      <c r="AQ112" s="102">
        <f t="shared" si="197"/>
        <v>2450</v>
      </c>
      <c r="AR112" s="99">
        <v>800</v>
      </c>
      <c r="AS112" s="113"/>
      <c r="AT112" s="102">
        <f t="shared" si="198"/>
        <v>3250</v>
      </c>
      <c r="AU112" s="99">
        <v>800</v>
      </c>
      <c r="AV112" s="113"/>
      <c r="AW112" s="102">
        <f t="shared" si="199"/>
        <v>4050</v>
      </c>
      <c r="AX112" s="99">
        <v>800</v>
      </c>
      <c r="AY112" s="113"/>
      <c r="AZ112" s="102">
        <f t="shared" si="200"/>
        <v>4850</v>
      </c>
      <c r="BA112" s="99">
        <v>800</v>
      </c>
      <c r="BB112" s="113">
        <v>6000</v>
      </c>
      <c r="BC112" s="102">
        <f t="shared" si="201"/>
        <v>-350</v>
      </c>
      <c r="BD112" s="99">
        <v>800</v>
      </c>
      <c r="BE112" s="113"/>
      <c r="BF112" s="102">
        <f t="shared" si="202"/>
        <v>450</v>
      </c>
      <c r="BG112" s="99">
        <v>800</v>
      </c>
      <c r="BH112" s="113"/>
      <c r="BI112" s="102">
        <f t="shared" si="203"/>
        <v>1250</v>
      </c>
      <c r="BJ112" s="99">
        <v>800</v>
      </c>
      <c r="BK112" s="113"/>
      <c r="BL112" s="102">
        <f t="shared" si="204"/>
        <v>2050</v>
      </c>
      <c r="BM112" s="99">
        <v>800</v>
      </c>
      <c r="BN112" s="113"/>
      <c r="BO112" s="102">
        <f t="shared" si="205"/>
        <v>2850</v>
      </c>
      <c r="BP112" s="99">
        <v>800</v>
      </c>
      <c r="BQ112" s="113"/>
      <c r="BR112" s="102">
        <f t="shared" si="221"/>
        <v>3650</v>
      </c>
      <c r="BS112" s="99">
        <v>800</v>
      </c>
      <c r="BT112" s="113"/>
      <c r="BU112" s="102">
        <f t="shared" si="222"/>
        <v>4450</v>
      </c>
      <c r="BV112" s="99">
        <v>800</v>
      </c>
      <c r="BW112" s="113"/>
      <c r="BX112" s="102">
        <f t="shared" si="223"/>
        <v>5250</v>
      </c>
      <c r="BY112" s="99">
        <v>800</v>
      </c>
      <c r="BZ112" s="113">
        <v>5000</v>
      </c>
      <c r="CA112" s="102">
        <f t="shared" si="224"/>
        <v>1050</v>
      </c>
      <c r="CB112" s="99">
        <v>800</v>
      </c>
      <c r="CC112" s="113"/>
      <c r="CD112" s="102">
        <f t="shared" si="225"/>
        <v>1850</v>
      </c>
      <c r="CE112" s="99">
        <v>800</v>
      </c>
      <c r="CF112" s="113"/>
      <c r="CG112" s="102">
        <f t="shared" si="226"/>
        <v>2650</v>
      </c>
      <c r="CH112" s="99">
        <v>800</v>
      </c>
      <c r="CI112" s="113"/>
      <c r="CJ112" s="102">
        <f t="shared" si="227"/>
        <v>3450</v>
      </c>
      <c r="CK112" s="99">
        <v>800</v>
      </c>
      <c r="CL112" s="113"/>
      <c r="CM112" s="102">
        <f t="shared" si="228"/>
        <v>4250</v>
      </c>
      <c r="CN112" s="99">
        <v>800</v>
      </c>
      <c r="CO112" s="113"/>
      <c r="CP112" s="102">
        <f t="shared" si="229"/>
        <v>5050</v>
      </c>
      <c r="CQ112" s="99">
        <v>800</v>
      </c>
      <c r="CR112" s="113"/>
      <c r="CS112" s="102">
        <f t="shared" si="215"/>
        <v>5850</v>
      </c>
      <c r="CT112" s="99">
        <v>800</v>
      </c>
      <c r="CU112" s="113"/>
      <c r="CV112" s="102">
        <f t="shared" si="219"/>
        <v>6650</v>
      </c>
      <c r="CW112" s="99">
        <v>800</v>
      </c>
      <c r="CX112" s="113"/>
      <c r="CY112" s="102">
        <f t="shared" si="220"/>
        <v>7450</v>
      </c>
    </row>
    <row r="113" spans="1:103">
      <c r="A113" s="41">
        <f>VLOOKUP(B113,справочник!$B$2:$E$322,4,FALSE)</f>
        <v>196</v>
      </c>
      <c r="B113" t="str">
        <f t="shared" si="166"/>
        <v>204Казарин Сергей Викторович</v>
      </c>
      <c r="C113" s="1">
        <v>204</v>
      </c>
      <c r="D113" s="2" t="s">
        <v>104</v>
      </c>
      <c r="E113" s="1" t="s">
        <v>421</v>
      </c>
      <c r="F113" s="16">
        <v>40945</v>
      </c>
      <c r="G113" s="16">
        <v>40969</v>
      </c>
      <c r="H113" s="17">
        <f t="shared" si="218"/>
        <v>46</v>
      </c>
      <c r="I113" s="1">
        <f t="shared" si="172"/>
        <v>46000</v>
      </c>
      <c r="J113" s="17">
        <f>46000</f>
        <v>46000</v>
      </c>
      <c r="K113" s="17"/>
      <c r="L113" s="18">
        <f t="shared" si="191"/>
        <v>0</v>
      </c>
      <c r="M113" s="22"/>
      <c r="N113" s="22"/>
      <c r="O113" s="22">
        <v>4800</v>
      </c>
      <c r="P113" s="22"/>
      <c r="Q113" s="22"/>
      <c r="R113" s="22"/>
      <c r="S113" s="22"/>
      <c r="T113">
        <v>2400</v>
      </c>
      <c r="U113" s="22"/>
      <c r="V113" s="22"/>
      <c r="W113" s="84">
        <v>2400</v>
      </c>
      <c r="X113" s="22"/>
      <c r="Y113" s="18">
        <f t="shared" si="167"/>
        <v>9600</v>
      </c>
      <c r="Z113" s="96">
        <v>12</v>
      </c>
      <c r="AA113" s="96">
        <f t="shared" si="168"/>
        <v>9600</v>
      </c>
      <c r="AB113" s="96">
        <f t="shared" si="169"/>
        <v>0</v>
      </c>
      <c r="AC113" s="99">
        <v>800</v>
      </c>
      <c r="AD113" s="98"/>
      <c r="AE113" s="102">
        <f t="shared" si="170"/>
        <v>800</v>
      </c>
      <c r="AF113" s="99">
        <v>800</v>
      </c>
      <c r="AG113" s="98">
        <v>3200</v>
      </c>
      <c r="AH113" s="102">
        <f t="shared" si="194"/>
        <v>-1600</v>
      </c>
      <c r="AI113" s="99">
        <v>800</v>
      </c>
      <c r="AJ113" s="98"/>
      <c r="AK113" s="102">
        <f t="shared" si="195"/>
        <v>-800</v>
      </c>
      <c r="AL113" s="99">
        <v>800</v>
      </c>
      <c r="AM113" s="98"/>
      <c r="AN113" s="102">
        <f t="shared" si="196"/>
        <v>0</v>
      </c>
      <c r="AO113" s="99">
        <v>800</v>
      </c>
      <c r="AP113" s="113"/>
      <c r="AQ113" s="102">
        <f t="shared" si="197"/>
        <v>800</v>
      </c>
      <c r="AR113" s="99">
        <v>800</v>
      </c>
      <c r="AS113" s="113"/>
      <c r="AT113" s="102">
        <f t="shared" si="198"/>
        <v>1600</v>
      </c>
      <c r="AU113" s="99">
        <v>800</v>
      </c>
      <c r="AV113" s="113">
        <v>3200</v>
      </c>
      <c r="AW113" s="102">
        <f t="shared" si="199"/>
        <v>-800</v>
      </c>
      <c r="AX113" s="99">
        <v>800</v>
      </c>
      <c r="AY113" s="113"/>
      <c r="AZ113" s="102">
        <f t="shared" si="200"/>
        <v>0</v>
      </c>
      <c r="BA113" s="99">
        <v>800</v>
      </c>
      <c r="BB113" s="113">
        <v>3200</v>
      </c>
      <c r="BC113" s="102">
        <f t="shared" si="201"/>
        <v>-2400</v>
      </c>
      <c r="BD113" s="99">
        <v>800</v>
      </c>
      <c r="BE113" s="113"/>
      <c r="BF113" s="102">
        <f t="shared" si="202"/>
        <v>-1600</v>
      </c>
      <c r="BG113" s="99">
        <v>800</v>
      </c>
      <c r="BH113" s="113"/>
      <c r="BI113" s="102">
        <f t="shared" si="203"/>
        <v>-800</v>
      </c>
      <c r="BJ113" s="99">
        <v>800</v>
      </c>
      <c r="BK113" s="113"/>
      <c r="BL113" s="102">
        <f t="shared" si="204"/>
        <v>0</v>
      </c>
      <c r="BM113" s="99">
        <v>800</v>
      </c>
      <c r="BN113" s="113">
        <v>4800</v>
      </c>
      <c r="BO113" s="102">
        <f t="shared" si="205"/>
        <v>-4000</v>
      </c>
      <c r="BP113" s="99">
        <v>800</v>
      </c>
      <c r="BQ113" s="113"/>
      <c r="BR113" s="102">
        <f t="shared" si="221"/>
        <v>-3200</v>
      </c>
      <c r="BS113" s="99">
        <v>800</v>
      </c>
      <c r="BT113" s="113"/>
      <c r="BU113" s="102">
        <f t="shared" si="222"/>
        <v>-2400</v>
      </c>
      <c r="BV113" s="99">
        <v>800</v>
      </c>
      <c r="BW113" s="113"/>
      <c r="BX113" s="102">
        <f t="shared" si="223"/>
        <v>-1600</v>
      </c>
      <c r="BY113" s="99">
        <v>800</v>
      </c>
      <c r="BZ113" s="113"/>
      <c r="CA113" s="102">
        <f t="shared" si="224"/>
        <v>-800</v>
      </c>
      <c r="CB113" s="99">
        <v>800</v>
      </c>
      <c r="CC113" s="113"/>
      <c r="CD113" s="102">
        <f t="shared" si="225"/>
        <v>0</v>
      </c>
      <c r="CE113" s="99">
        <v>800</v>
      </c>
      <c r="CF113" s="113"/>
      <c r="CG113" s="102">
        <f t="shared" si="226"/>
        <v>800</v>
      </c>
      <c r="CH113" s="99">
        <v>800</v>
      </c>
      <c r="CI113" s="113"/>
      <c r="CJ113" s="102">
        <f t="shared" si="227"/>
        <v>1600</v>
      </c>
      <c r="CK113" s="99">
        <v>800</v>
      </c>
      <c r="CL113" s="113"/>
      <c r="CM113" s="102">
        <f t="shared" si="228"/>
        <v>2400</v>
      </c>
      <c r="CN113" s="99">
        <v>800</v>
      </c>
      <c r="CO113" s="113"/>
      <c r="CP113" s="102">
        <f t="shared" si="229"/>
        <v>3200</v>
      </c>
      <c r="CQ113" s="99">
        <v>800</v>
      </c>
      <c r="CR113" s="113"/>
      <c r="CS113" s="102">
        <f t="shared" si="215"/>
        <v>4000</v>
      </c>
      <c r="CT113" s="99">
        <v>800</v>
      </c>
      <c r="CU113" s="113">
        <v>4800</v>
      </c>
      <c r="CV113" s="102">
        <f t="shared" si="219"/>
        <v>0</v>
      </c>
      <c r="CW113" s="99">
        <v>800</v>
      </c>
      <c r="CX113" s="113"/>
      <c r="CY113" s="102">
        <f t="shared" si="220"/>
        <v>800</v>
      </c>
    </row>
    <row r="114" spans="1:103" ht="24">
      <c r="A114" s="41" t="e">
        <f>VLOOKUP(B114,справочник!$B$2:$E$322,4,FALSE)</f>
        <v>#N/A</v>
      </c>
      <c r="B114" t="str">
        <f t="shared" si="166"/>
        <v>129Казымов Горхмаз Гамид 1/2 и Лавренчук Александр Владиславович 1/2</v>
      </c>
      <c r="C114" s="1">
        <v>129</v>
      </c>
      <c r="D114" s="2" t="s">
        <v>815</v>
      </c>
      <c r="E114" s="1" t="s">
        <v>422</v>
      </c>
      <c r="F114" s="16">
        <v>41580</v>
      </c>
      <c r="G114" s="16">
        <v>41609</v>
      </c>
      <c r="H114" s="17">
        <f t="shared" si="218"/>
        <v>25</v>
      </c>
      <c r="I114" s="1">
        <f t="shared" si="172"/>
        <v>25000</v>
      </c>
      <c r="J114" s="17">
        <f>5000+1500+5000</f>
        <v>11500</v>
      </c>
      <c r="K114" s="17"/>
      <c r="L114" s="18">
        <f t="shared" si="191"/>
        <v>13500</v>
      </c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18">
        <f t="shared" si="167"/>
        <v>0</v>
      </c>
      <c r="Z114" s="96">
        <v>12</v>
      </c>
      <c r="AA114" s="96">
        <f t="shared" si="168"/>
        <v>9600</v>
      </c>
      <c r="AB114" s="96">
        <f t="shared" si="169"/>
        <v>23100</v>
      </c>
      <c r="AC114" s="99">
        <v>800</v>
      </c>
      <c r="AD114" s="98"/>
      <c r="AE114" s="102">
        <f t="shared" si="170"/>
        <v>23900</v>
      </c>
      <c r="AF114" s="99">
        <v>800</v>
      </c>
      <c r="AG114" s="98"/>
      <c r="AH114" s="102">
        <f t="shared" si="194"/>
        <v>24700</v>
      </c>
      <c r="AI114" s="99">
        <v>800</v>
      </c>
      <c r="AJ114" s="98"/>
      <c r="AK114" s="102">
        <f t="shared" si="195"/>
        <v>25500</v>
      </c>
      <c r="AL114" s="99">
        <v>800</v>
      </c>
      <c r="AM114" s="98"/>
      <c r="AN114" s="102">
        <f t="shared" si="196"/>
        <v>26300</v>
      </c>
      <c r="AO114" s="99">
        <v>800</v>
      </c>
      <c r="AP114" s="113"/>
      <c r="AQ114" s="102">
        <f t="shared" si="197"/>
        <v>27100</v>
      </c>
      <c r="AR114" s="99">
        <v>800</v>
      </c>
      <c r="AS114" s="113"/>
      <c r="AT114" s="102">
        <f t="shared" si="198"/>
        <v>27900</v>
      </c>
      <c r="AU114" s="99">
        <v>800</v>
      </c>
      <c r="AV114" s="113"/>
      <c r="AW114" s="102">
        <f t="shared" si="199"/>
        <v>28700</v>
      </c>
      <c r="AX114" s="99">
        <v>800</v>
      </c>
      <c r="AY114" s="113"/>
      <c r="AZ114" s="102">
        <f t="shared" si="200"/>
        <v>29500</v>
      </c>
      <c r="BA114" s="99">
        <v>800</v>
      </c>
      <c r="BB114" s="113"/>
      <c r="BC114" s="102">
        <f t="shared" si="201"/>
        <v>30300</v>
      </c>
      <c r="BD114" s="99">
        <v>800</v>
      </c>
      <c r="BE114" s="113"/>
      <c r="BF114" s="102">
        <f t="shared" si="202"/>
        <v>31100</v>
      </c>
      <c r="BG114" s="99">
        <v>800</v>
      </c>
      <c r="BH114" s="113"/>
      <c r="BI114" s="102">
        <f t="shared" si="203"/>
        <v>31900</v>
      </c>
      <c r="BJ114" s="99">
        <v>800</v>
      </c>
      <c r="BK114" s="113"/>
      <c r="BL114" s="102">
        <f t="shared" si="204"/>
        <v>32700</v>
      </c>
      <c r="BM114" s="99">
        <v>800</v>
      </c>
      <c r="BN114" s="113"/>
      <c r="BO114" s="102">
        <f>BL114+BM114-BN114</f>
        <v>33500</v>
      </c>
      <c r="BP114" s="99">
        <v>800</v>
      </c>
      <c r="BQ114" s="113"/>
      <c r="BR114" s="102">
        <f>BO114+BP114-BQ114</f>
        <v>34300</v>
      </c>
      <c r="BS114" s="99">
        <v>800</v>
      </c>
      <c r="BT114" s="113"/>
      <c r="BU114" s="102">
        <f>BR114+BS114-BT114</f>
        <v>35100</v>
      </c>
      <c r="BV114" s="99">
        <v>800</v>
      </c>
      <c r="BW114" s="113"/>
      <c r="BX114" s="102">
        <f>BU114+BV114-BW114</f>
        <v>35900</v>
      </c>
      <c r="BY114" s="99">
        <v>800</v>
      </c>
      <c r="BZ114" s="113"/>
      <c r="CA114" s="102">
        <f>BX114+BY114-BZ114</f>
        <v>36700</v>
      </c>
      <c r="CB114" s="99">
        <v>800</v>
      </c>
      <c r="CC114" s="113"/>
      <c r="CD114" s="102">
        <f>CA114+CB114-CC114</f>
        <v>37500</v>
      </c>
      <c r="CE114" s="99">
        <v>800</v>
      </c>
      <c r="CF114" s="113"/>
      <c r="CG114" s="102">
        <f>CD114+CE114-CF114</f>
        <v>38300</v>
      </c>
      <c r="CH114" s="99">
        <v>800</v>
      </c>
      <c r="CI114" s="113"/>
      <c r="CJ114" s="102">
        <f>CG114+CH114-CI114</f>
        <v>39100</v>
      </c>
      <c r="CK114" s="99">
        <v>800</v>
      </c>
      <c r="CL114" s="113"/>
      <c r="CM114" s="102">
        <f>CJ114+CK114-CL114</f>
        <v>39900</v>
      </c>
      <c r="CN114" s="99">
        <v>800</v>
      </c>
      <c r="CO114" s="113"/>
      <c r="CP114" s="102">
        <f>CM114+CN114-CO114</f>
        <v>40700</v>
      </c>
      <c r="CQ114" s="99">
        <v>800</v>
      </c>
      <c r="CR114" s="113"/>
      <c r="CS114" s="102">
        <f t="shared" si="215"/>
        <v>41500</v>
      </c>
      <c r="CT114" s="99">
        <v>800</v>
      </c>
      <c r="CU114" s="113"/>
      <c r="CV114" s="102">
        <f t="shared" si="219"/>
        <v>42300</v>
      </c>
      <c r="CW114" s="99">
        <v>800</v>
      </c>
      <c r="CX114" s="113"/>
      <c r="CY114" s="102">
        <f t="shared" si="220"/>
        <v>43100</v>
      </c>
    </row>
    <row r="115" spans="1:103">
      <c r="A115" s="41">
        <f>VLOOKUP(B115,справочник!$B$2:$E$322,4,FALSE)</f>
        <v>250</v>
      </c>
      <c r="B115" t="str">
        <f t="shared" si="166"/>
        <v>261Каляникова Наталья Сергеевна</v>
      </c>
      <c r="C115" s="1">
        <v>261</v>
      </c>
      <c r="D115" s="2" t="s">
        <v>106</v>
      </c>
      <c r="E115" s="1" t="s">
        <v>423</v>
      </c>
      <c r="F115" s="16">
        <v>41498</v>
      </c>
      <c r="G115" s="16">
        <v>41518</v>
      </c>
      <c r="H115" s="17">
        <f t="shared" si="218"/>
        <v>28</v>
      </c>
      <c r="I115" s="1">
        <f t="shared" si="172"/>
        <v>28000</v>
      </c>
      <c r="J115" s="17">
        <v>13000</v>
      </c>
      <c r="K115" s="17">
        <v>1000</v>
      </c>
      <c r="L115" s="18">
        <f t="shared" si="191"/>
        <v>14000</v>
      </c>
      <c r="M115" s="22"/>
      <c r="N115" s="22"/>
      <c r="O115" s="22">
        <v>1000</v>
      </c>
      <c r="P115" s="22">
        <v>1000</v>
      </c>
      <c r="Q115" s="22">
        <v>1000</v>
      </c>
      <c r="R115" s="22"/>
      <c r="S115" s="22">
        <v>1000</v>
      </c>
      <c r="T115" s="22"/>
      <c r="U115" s="22">
        <v>2500</v>
      </c>
      <c r="V115" s="22">
        <v>1000</v>
      </c>
      <c r="W115" s="84">
        <v>2000</v>
      </c>
      <c r="X115" s="22"/>
      <c r="Y115" s="18">
        <f t="shared" si="167"/>
        <v>9500</v>
      </c>
      <c r="Z115" s="96">
        <v>12</v>
      </c>
      <c r="AA115" s="96">
        <f t="shared" si="168"/>
        <v>9600</v>
      </c>
      <c r="AB115" s="96">
        <f t="shared" si="169"/>
        <v>14100</v>
      </c>
      <c r="AC115" s="99">
        <v>800</v>
      </c>
      <c r="AD115" s="97">
        <v>2000</v>
      </c>
      <c r="AE115" s="102">
        <f t="shared" si="170"/>
        <v>12900</v>
      </c>
      <c r="AF115" s="99">
        <v>800</v>
      </c>
      <c r="AG115" s="97"/>
      <c r="AH115" s="102">
        <f t="shared" si="194"/>
        <v>13700</v>
      </c>
      <c r="AI115" s="99">
        <v>800</v>
      </c>
      <c r="AJ115" s="97"/>
      <c r="AK115" s="102">
        <f t="shared" si="195"/>
        <v>14500</v>
      </c>
      <c r="AL115" s="99">
        <v>800</v>
      </c>
      <c r="AM115" s="97">
        <v>2000</v>
      </c>
      <c r="AN115" s="102">
        <f t="shared" si="196"/>
        <v>13300</v>
      </c>
      <c r="AO115" s="99">
        <v>800</v>
      </c>
      <c r="AP115" s="97">
        <v>2000</v>
      </c>
      <c r="AQ115" s="102">
        <f t="shared" si="197"/>
        <v>12100</v>
      </c>
      <c r="AR115" s="99">
        <v>800</v>
      </c>
      <c r="AS115" s="97">
        <v>2000</v>
      </c>
      <c r="AT115" s="102">
        <f t="shared" si="198"/>
        <v>10900</v>
      </c>
      <c r="AU115" s="99">
        <v>800</v>
      </c>
      <c r="AV115" s="97">
        <v>2000</v>
      </c>
      <c r="AW115" s="102">
        <f t="shared" si="199"/>
        <v>9700</v>
      </c>
      <c r="AX115" s="99">
        <v>800</v>
      </c>
      <c r="AY115" s="97">
        <v>2000</v>
      </c>
      <c r="AZ115" s="102">
        <f t="shared" si="200"/>
        <v>8500</v>
      </c>
      <c r="BA115" s="99">
        <v>800</v>
      </c>
      <c r="BB115" s="97"/>
      <c r="BC115" s="102">
        <f t="shared" si="201"/>
        <v>9300</v>
      </c>
      <c r="BD115" s="99">
        <v>800</v>
      </c>
      <c r="BE115" s="97">
        <v>2000</v>
      </c>
      <c r="BF115" s="102">
        <f>BC115+BD115-BE115</f>
        <v>8100</v>
      </c>
      <c r="BG115" s="99">
        <v>800</v>
      </c>
      <c r="BH115" s="97">
        <v>2000</v>
      </c>
      <c r="BI115" s="102">
        <f>BF115+BG115-BH115</f>
        <v>6900</v>
      </c>
      <c r="BJ115" s="99">
        <v>800</v>
      </c>
      <c r="BK115" s="97">
        <v>2000</v>
      </c>
      <c r="BL115" s="102">
        <f>BI115+BJ115-BK115</f>
        <v>5700</v>
      </c>
      <c r="BM115" s="99">
        <v>800</v>
      </c>
      <c r="BN115" s="97">
        <v>8000</v>
      </c>
      <c r="BO115" s="102">
        <f>BL115+BM115-BN115</f>
        <v>-1500</v>
      </c>
      <c r="BP115" s="99">
        <v>800</v>
      </c>
      <c r="BQ115" s="97"/>
      <c r="BR115" s="102">
        <f>BO115+BP115-BQ115</f>
        <v>-700</v>
      </c>
      <c r="BS115" s="99">
        <v>800</v>
      </c>
      <c r="BT115" s="97"/>
      <c r="BU115" s="102">
        <f>BR115+BS115-BT115</f>
        <v>100</v>
      </c>
      <c r="BV115" s="99">
        <v>800</v>
      </c>
      <c r="BW115" s="97">
        <v>1700</v>
      </c>
      <c r="BX115" s="102">
        <f>BU115+BV115-BW115</f>
        <v>-800</v>
      </c>
      <c r="BY115" s="99">
        <v>800</v>
      </c>
      <c r="BZ115" s="97"/>
      <c r="CA115" s="102">
        <f>BX115+BY115-BZ115</f>
        <v>0</v>
      </c>
      <c r="CB115" s="99">
        <v>800</v>
      </c>
      <c r="CC115" s="97"/>
      <c r="CD115" s="102">
        <f>CA115+CB115-CC115</f>
        <v>800</v>
      </c>
      <c r="CE115" s="99">
        <v>800</v>
      </c>
      <c r="CF115" s="97"/>
      <c r="CG115" s="102">
        <f>CD115+CE115-CF115</f>
        <v>1600</v>
      </c>
      <c r="CH115" s="99">
        <v>800</v>
      </c>
      <c r="CI115" s="97"/>
      <c r="CJ115" s="102">
        <f>CG115+CH115-CI115</f>
        <v>2400</v>
      </c>
      <c r="CK115" s="99">
        <v>800</v>
      </c>
      <c r="CL115" s="97">
        <v>3200</v>
      </c>
      <c r="CM115" s="102">
        <f>CJ115+CK115-CL115</f>
        <v>0</v>
      </c>
      <c r="CN115" s="99">
        <v>800</v>
      </c>
      <c r="CO115" s="97"/>
      <c r="CP115" s="102">
        <f>CM115+CN115-CO115</f>
        <v>800</v>
      </c>
      <c r="CQ115" s="99">
        <v>800</v>
      </c>
      <c r="CR115" s="97"/>
      <c r="CS115" s="102">
        <f t="shared" si="215"/>
        <v>1600</v>
      </c>
      <c r="CT115" s="99">
        <v>800</v>
      </c>
      <c r="CU115" s="97"/>
      <c r="CV115" s="102">
        <f t="shared" si="219"/>
        <v>2400</v>
      </c>
      <c r="CW115" s="99">
        <v>800</v>
      </c>
      <c r="CX115" s="97"/>
      <c r="CY115" s="102">
        <f t="shared" si="220"/>
        <v>3200</v>
      </c>
    </row>
    <row r="116" spans="1:103">
      <c r="A116" s="41">
        <f>VLOOKUP(B116,справочник!$B$2:$E$322,4,FALSE)</f>
        <v>153</v>
      </c>
      <c r="B116" t="str">
        <f t="shared" si="166"/>
        <v>161Канышкина Юлия Юрьевна</v>
      </c>
      <c r="C116" s="1">
        <v>161</v>
      </c>
      <c r="D116" s="2" t="s">
        <v>107</v>
      </c>
      <c r="E116" s="1" t="s">
        <v>424</v>
      </c>
      <c r="F116" s="16">
        <v>40994</v>
      </c>
      <c r="G116" s="16">
        <v>41000</v>
      </c>
      <c r="H116" s="17">
        <f t="shared" si="218"/>
        <v>45</v>
      </c>
      <c r="I116" s="1">
        <f t="shared" si="172"/>
        <v>45000</v>
      </c>
      <c r="J116" s="17">
        <v>41000</v>
      </c>
      <c r="K116" s="17"/>
      <c r="L116" s="18">
        <f t="shared" si="191"/>
        <v>4000</v>
      </c>
      <c r="M116" s="22"/>
      <c r="N116" s="22"/>
      <c r="O116" s="22"/>
      <c r="P116" s="22">
        <v>7200</v>
      </c>
      <c r="Q116" s="22"/>
      <c r="R116" s="22"/>
      <c r="S116" s="22">
        <v>1600</v>
      </c>
      <c r="T116" s="22"/>
      <c r="U116" s="22"/>
      <c r="V116" s="22"/>
      <c r="W116" s="84">
        <v>4000</v>
      </c>
      <c r="X116" s="22"/>
      <c r="Y116" s="18">
        <f t="shared" si="167"/>
        <v>12800</v>
      </c>
      <c r="Z116" s="96">
        <v>12</v>
      </c>
      <c r="AA116" s="96">
        <f t="shared" si="168"/>
        <v>9600</v>
      </c>
      <c r="AB116" s="96">
        <f t="shared" si="169"/>
        <v>800</v>
      </c>
      <c r="AC116" s="99">
        <v>800</v>
      </c>
      <c r="AD116" s="98"/>
      <c r="AE116" s="102">
        <f t="shared" si="170"/>
        <v>1600</v>
      </c>
      <c r="AF116" s="99">
        <v>800</v>
      </c>
      <c r="AG116" s="98"/>
      <c r="AH116" s="102">
        <f t="shared" si="194"/>
        <v>2400</v>
      </c>
      <c r="AI116" s="99">
        <v>800</v>
      </c>
      <c r="AJ116" s="98"/>
      <c r="AK116" s="102">
        <f t="shared" si="195"/>
        <v>3200</v>
      </c>
      <c r="AL116" s="99">
        <v>800</v>
      </c>
      <c r="AM116" s="98">
        <v>2400</v>
      </c>
      <c r="AN116" s="102">
        <f t="shared" si="196"/>
        <v>1600</v>
      </c>
      <c r="AO116" s="99">
        <v>800</v>
      </c>
      <c r="AP116" s="113">
        <v>1600</v>
      </c>
      <c r="AQ116" s="102">
        <f t="shared" si="197"/>
        <v>800</v>
      </c>
      <c r="AR116" s="99">
        <v>800</v>
      </c>
      <c r="AS116" s="113">
        <v>1600</v>
      </c>
      <c r="AT116" s="102">
        <f t="shared" si="198"/>
        <v>0</v>
      </c>
      <c r="AU116" s="99">
        <v>800</v>
      </c>
      <c r="AV116" s="113"/>
      <c r="AW116" s="102">
        <f t="shared" si="199"/>
        <v>800</v>
      </c>
      <c r="AX116" s="99">
        <v>800</v>
      </c>
      <c r="AY116" s="113"/>
      <c r="AZ116" s="102">
        <f t="shared" si="200"/>
        <v>1600</v>
      </c>
      <c r="BA116" s="99">
        <v>800</v>
      </c>
      <c r="BB116" s="113"/>
      <c r="BC116" s="102">
        <f t="shared" si="201"/>
        <v>2400</v>
      </c>
      <c r="BD116" s="99">
        <v>800</v>
      </c>
      <c r="BE116" s="113"/>
      <c r="BF116" s="102">
        <f t="shared" si="202"/>
        <v>3200</v>
      </c>
      <c r="BG116" s="99">
        <v>800</v>
      </c>
      <c r="BH116" s="113"/>
      <c r="BI116" s="102">
        <f t="shared" ref="BI116:BI131" si="230">BF116+BG116-BH116</f>
        <v>4000</v>
      </c>
      <c r="BJ116" s="99">
        <v>800</v>
      </c>
      <c r="BK116" s="113">
        <v>4800</v>
      </c>
      <c r="BL116" s="102">
        <f t="shared" ref="BL116:BL131" si="231">BI116+BJ116-BK116</f>
        <v>0</v>
      </c>
      <c r="BM116" s="99">
        <v>800</v>
      </c>
      <c r="BN116" s="113"/>
      <c r="BO116" s="102">
        <f>BL116+BM116-BN116</f>
        <v>800</v>
      </c>
      <c r="BP116" s="99">
        <v>800</v>
      </c>
      <c r="BQ116" s="113"/>
      <c r="BR116" s="102">
        <f>BO116+BP116-BQ116</f>
        <v>1600</v>
      </c>
      <c r="BS116" s="99">
        <v>800</v>
      </c>
      <c r="BT116" s="113"/>
      <c r="BU116" s="102">
        <f>BR116+BS116-BT116</f>
        <v>2400</v>
      </c>
      <c r="BV116" s="99">
        <v>800</v>
      </c>
      <c r="BW116" s="113"/>
      <c r="BX116" s="102">
        <f>BU116+BV116-BW116</f>
        <v>3200</v>
      </c>
      <c r="BY116" s="99">
        <v>800</v>
      </c>
      <c r="BZ116" s="113"/>
      <c r="CA116" s="102">
        <f>BX116+BY116-BZ116</f>
        <v>4000</v>
      </c>
      <c r="CB116" s="99">
        <v>800</v>
      </c>
      <c r="CC116" s="113"/>
      <c r="CD116" s="102">
        <f>CA116+CB116-CC116</f>
        <v>4800</v>
      </c>
      <c r="CE116" s="99">
        <v>800</v>
      </c>
      <c r="CF116" s="113"/>
      <c r="CG116" s="102">
        <f>CD116+CE116-CF116</f>
        <v>5600</v>
      </c>
      <c r="CH116" s="99">
        <v>800</v>
      </c>
      <c r="CI116" s="113"/>
      <c r="CJ116" s="102">
        <f>CG116+CH116-CI116</f>
        <v>6400</v>
      </c>
      <c r="CK116" s="99">
        <v>800</v>
      </c>
      <c r="CL116" s="113">
        <v>8000</v>
      </c>
      <c r="CM116" s="102">
        <f>CJ116+CK116-CL116</f>
        <v>-800</v>
      </c>
      <c r="CN116" s="99">
        <v>800</v>
      </c>
      <c r="CO116" s="113">
        <v>800</v>
      </c>
      <c r="CP116" s="102">
        <f>CM116+CN116-CO116</f>
        <v>-800</v>
      </c>
      <c r="CQ116" s="99">
        <v>800</v>
      </c>
      <c r="CR116" s="113"/>
      <c r="CS116" s="102">
        <f t="shared" si="215"/>
        <v>0</v>
      </c>
      <c r="CT116" s="99">
        <v>800</v>
      </c>
      <c r="CU116" s="113">
        <v>1600</v>
      </c>
      <c r="CV116" s="102">
        <f t="shared" si="219"/>
        <v>-800</v>
      </c>
      <c r="CW116" s="99">
        <v>800</v>
      </c>
      <c r="CX116" s="113">
        <v>800</v>
      </c>
      <c r="CY116" s="102">
        <f t="shared" si="220"/>
        <v>-800</v>
      </c>
    </row>
    <row r="117" spans="1:103">
      <c r="A117" s="41">
        <f>VLOOKUP(B117,справочник!$B$2:$E$322,4,FALSE)</f>
        <v>106</v>
      </c>
      <c r="B117" t="str">
        <f t="shared" si="166"/>
        <v>111Карпекина Лилия Рафаэльевна</v>
      </c>
      <c r="C117" s="1">
        <v>111</v>
      </c>
      <c r="D117" s="2" t="s">
        <v>108</v>
      </c>
      <c r="E117" s="1" t="s">
        <v>425</v>
      </c>
      <c r="F117" s="16">
        <v>41463</v>
      </c>
      <c r="G117" s="16">
        <v>41282</v>
      </c>
      <c r="H117" s="17">
        <f t="shared" si="218"/>
        <v>36</v>
      </c>
      <c r="I117" s="1">
        <f t="shared" si="172"/>
        <v>36000</v>
      </c>
      <c r="J117" s="17">
        <v>1000</v>
      </c>
      <c r="K117" s="17"/>
      <c r="L117" s="18">
        <f t="shared" si="191"/>
        <v>35000</v>
      </c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18">
        <f t="shared" si="167"/>
        <v>0</v>
      </c>
      <c r="Z117" s="96">
        <v>12</v>
      </c>
      <c r="AA117" s="96">
        <f t="shared" si="168"/>
        <v>9600</v>
      </c>
      <c r="AB117" s="96">
        <f t="shared" si="169"/>
        <v>44600</v>
      </c>
      <c r="AC117" s="99">
        <v>800</v>
      </c>
      <c r="AD117" s="98"/>
      <c r="AE117" s="102">
        <f t="shared" si="170"/>
        <v>45400</v>
      </c>
      <c r="AF117" s="99">
        <v>800</v>
      </c>
      <c r="AG117" s="98"/>
      <c r="AH117" s="102">
        <f t="shared" si="194"/>
        <v>46200</v>
      </c>
      <c r="AI117" s="99">
        <v>800</v>
      </c>
      <c r="AJ117" s="98">
        <v>5000</v>
      </c>
      <c r="AK117" s="102">
        <f t="shared" si="195"/>
        <v>42000</v>
      </c>
      <c r="AL117" s="99">
        <v>800</v>
      </c>
      <c r="AM117" s="98"/>
      <c r="AN117" s="102">
        <f t="shared" si="196"/>
        <v>42800</v>
      </c>
      <c r="AO117" s="99">
        <v>800</v>
      </c>
      <c r="AP117" s="113"/>
      <c r="AQ117" s="102">
        <f t="shared" si="197"/>
        <v>43600</v>
      </c>
      <c r="AR117" s="99">
        <v>800</v>
      </c>
      <c r="AS117" s="113"/>
      <c r="AT117" s="102">
        <f t="shared" si="198"/>
        <v>44400</v>
      </c>
      <c r="AU117" s="99">
        <v>800</v>
      </c>
      <c r="AV117" s="113"/>
      <c r="AW117" s="102">
        <f t="shared" si="199"/>
        <v>45200</v>
      </c>
      <c r="AX117" s="99">
        <v>800</v>
      </c>
      <c r="AY117" s="113"/>
      <c r="AZ117" s="102">
        <f t="shared" si="200"/>
        <v>46000</v>
      </c>
      <c r="BA117" s="99">
        <v>800</v>
      </c>
      <c r="BB117" s="113"/>
      <c r="BC117" s="102">
        <f t="shared" si="201"/>
        <v>46800</v>
      </c>
      <c r="BD117" s="99">
        <v>800</v>
      </c>
      <c r="BE117" s="113"/>
      <c r="BF117" s="102">
        <f t="shared" si="202"/>
        <v>47600</v>
      </c>
      <c r="BG117" s="99">
        <v>800</v>
      </c>
      <c r="BH117" s="113"/>
      <c r="BI117" s="102">
        <f t="shared" si="230"/>
        <v>48400</v>
      </c>
      <c r="BJ117" s="99">
        <v>800</v>
      </c>
      <c r="BK117" s="113"/>
      <c r="BL117" s="102">
        <f t="shared" si="231"/>
        <v>49200</v>
      </c>
      <c r="BM117" s="99">
        <v>800</v>
      </c>
      <c r="BN117" s="113"/>
      <c r="BO117" s="102">
        <f t="shared" ref="BO117:BO131" si="232">BL117+BM117-BN117</f>
        <v>50000</v>
      </c>
      <c r="BP117" s="99">
        <v>800</v>
      </c>
      <c r="BQ117" s="113">
        <f>2000+3000</f>
        <v>5000</v>
      </c>
      <c r="BR117" s="102">
        <f t="shared" ref="BR117:BR118" si="233">BO117+BP117-BQ117</f>
        <v>45800</v>
      </c>
      <c r="BS117" s="99">
        <v>800</v>
      </c>
      <c r="BT117" s="113">
        <v>1500</v>
      </c>
      <c r="BU117" s="102">
        <f t="shared" ref="BU117:BU118" si="234">BR117+BS117-BT117</f>
        <v>45100</v>
      </c>
      <c r="BV117" s="99">
        <v>800</v>
      </c>
      <c r="BW117" s="113">
        <f>1500+1500</f>
        <v>3000</v>
      </c>
      <c r="BX117" s="102">
        <f t="shared" ref="BX117:BX118" si="235">BU117+BV117-BW117</f>
        <v>42900</v>
      </c>
      <c r="BY117" s="99">
        <v>800</v>
      </c>
      <c r="BZ117" s="113"/>
      <c r="CA117" s="102">
        <f t="shared" ref="CA117:CA118" si="236">BX117+BY117-BZ117</f>
        <v>43700</v>
      </c>
      <c r="CB117" s="99">
        <v>800</v>
      </c>
      <c r="CC117" s="113"/>
      <c r="CD117" s="102">
        <f t="shared" ref="CD117:CD118" si="237">CA117+CB117-CC117</f>
        <v>44500</v>
      </c>
      <c r="CE117" s="99">
        <v>800</v>
      </c>
      <c r="CF117" s="113"/>
      <c r="CG117" s="102">
        <f t="shared" ref="CG117:CG118" si="238">CD117+CE117-CF117</f>
        <v>45300</v>
      </c>
      <c r="CH117" s="99">
        <v>800</v>
      </c>
      <c r="CI117" s="113">
        <v>3000</v>
      </c>
      <c r="CJ117" s="102">
        <f t="shared" ref="CJ117:CJ118" si="239">CG117+CH117-CI117</f>
        <v>43100</v>
      </c>
      <c r="CK117" s="99">
        <v>800</v>
      </c>
      <c r="CL117" s="113">
        <v>1000</v>
      </c>
      <c r="CM117" s="102">
        <f t="shared" ref="CM117:CM118" si="240">CJ117+CK117-CL117</f>
        <v>42900</v>
      </c>
      <c r="CN117" s="99">
        <v>800</v>
      </c>
      <c r="CO117" s="113">
        <v>1200</v>
      </c>
      <c r="CP117" s="102">
        <f t="shared" ref="CP117:CP118" si="241">CM117+CN117-CO117</f>
        <v>42500</v>
      </c>
      <c r="CQ117" s="99">
        <v>800</v>
      </c>
      <c r="CR117" s="113">
        <v>1600</v>
      </c>
      <c r="CS117" s="102">
        <f t="shared" si="215"/>
        <v>41700</v>
      </c>
      <c r="CT117" s="99">
        <v>800</v>
      </c>
      <c r="CU117" s="113">
        <f>1200+2000</f>
        <v>3200</v>
      </c>
      <c r="CV117" s="102">
        <f t="shared" si="219"/>
        <v>39300</v>
      </c>
      <c r="CW117" s="99">
        <v>800</v>
      </c>
      <c r="CX117" s="113"/>
      <c r="CY117" s="102">
        <f t="shared" si="220"/>
        <v>40100</v>
      </c>
    </row>
    <row r="118" spans="1:103">
      <c r="A118" s="41">
        <f>VLOOKUP(B118,справочник!$B$2:$E$322,4,FALSE)</f>
        <v>222</v>
      </c>
      <c r="B118" t="str">
        <f t="shared" si="166"/>
        <v>231Карпова Елена Витальевна</v>
      </c>
      <c r="C118" s="1">
        <v>231</v>
      </c>
      <c r="D118" s="2" t="s">
        <v>109</v>
      </c>
      <c r="E118" s="1" t="s">
        <v>426</v>
      </c>
      <c r="F118" s="16">
        <v>41429</v>
      </c>
      <c r="G118" s="16">
        <v>41456</v>
      </c>
      <c r="H118" s="17">
        <f t="shared" si="218"/>
        <v>30</v>
      </c>
      <c r="I118" s="1">
        <f t="shared" si="172"/>
        <v>30000</v>
      </c>
      <c r="J118" s="17">
        <v>25000</v>
      </c>
      <c r="K118" s="17">
        <v>5000</v>
      </c>
      <c r="L118" s="18">
        <f t="shared" si="191"/>
        <v>0</v>
      </c>
      <c r="M118" s="22"/>
      <c r="N118" s="22">
        <v>3200</v>
      </c>
      <c r="O118" s="22"/>
      <c r="P118" s="22"/>
      <c r="Q118" s="22">
        <v>4000</v>
      </c>
      <c r="R118" s="22"/>
      <c r="S118" s="22"/>
      <c r="T118" s="22"/>
      <c r="U118" s="22"/>
      <c r="V118" s="22">
        <v>2400</v>
      </c>
      <c r="W118" s="22"/>
      <c r="X118" s="22"/>
      <c r="Y118" s="18">
        <f t="shared" si="167"/>
        <v>9600</v>
      </c>
      <c r="Z118" s="96">
        <v>12</v>
      </c>
      <c r="AA118" s="96">
        <f t="shared" si="168"/>
        <v>9600</v>
      </c>
      <c r="AB118" s="96">
        <f t="shared" si="169"/>
        <v>0</v>
      </c>
      <c r="AC118" s="99">
        <v>800</v>
      </c>
      <c r="AD118" s="98"/>
      <c r="AE118" s="102">
        <f t="shared" si="170"/>
        <v>800</v>
      </c>
      <c r="AF118" s="99">
        <v>800</v>
      </c>
      <c r="AG118" s="98"/>
      <c r="AH118" s="102">
        <f t="shared" si="194"/>
        <v>1600</v>
      </c>
      <c r="AI118" s="99">
        <v>800</v>
      </c>
      <c r="AJ118" s="98"/>
      <c r="AK118" s="102">
        <f t="shared" si="195"/>
        <v>2400</v>
      </c>
      <c r="AL118" s="99">
        <v>800</v>
      </c>
      <c r="AM118" s="98"/>
      <c r="AN118" s="102">
        <f t="shared" si="196"/>
        <v>3200</v>
      </c>
      <c r="AO118" s="99">
        <v>800</v>
      </c>
      <c r="AP118" s="113"/>
      <c r="AQ118" s="102">
        <f t="shared" si="197"/>
        <v>4000</v>
      </c>
      <c r="AR118" s="99">
        <v>800</v>
      </c>
      <c r="AS118" s="113"/>
      <c r="AT118" s="102">
        <f t="shared" si="198"/>
        <v>4800</v>
      </c>
      <c r="AU118" s="99">
        <v>800</v>
      </c>
      <c r="AV118" s="113"/>
      <c r="AW118" s="102">
        <f t="shared" si="199"/>
        <v>5600</v>
      </c>
      <c r="AX118" s="99">
        <v>800</v>
      </c>
      <c r="AY118" s="113"/>
      <c r="AZ118" s="102">
        <f t="shared" si="200"/>
        <v>6400</v>
      </c>
      <c r="BA118" s="99">
        <v>800</v>
      </c>
      <c r="BB118" s="113"/>
      <c r="BC118" s="102">
        <f t="shared" si="201"/>
        <v>7200</v>
      </c>
      <c r="BD118" s="99">
        <v>800</v>
      </c>
      <c r="BE118" s="113"/>
      <c r="BF118" s="102">
        <f t="shared" si="202"/>
        <v>8000</v>
      </c>
      <c r="BG118" s="99">
        <v>800</v>
      </c>
      <c r="BH118" s="113">
        <v>9600</v>
      </c>
      <c r="BI118" s="102">
        <f t="shared" si="230"/>
        <v>-800</v>
      </c>
      <c r="BJ118" s="99">
        <v>800</v>
      </c>
      <c r="BK118" s="113"/>
      <c r="BL118" s="102">
        <f t="shared" si="231"/>
        <v>0</v>
      </c>
      <c r="BM118" s="99">
        <v>800</v>
      </c>
      <c r="BN118" s="113"/>
      <c r="BO118" s="102">
        <f t="shared" si="232"/>
        <v>800</v>
      </c>
      <c r="BP118" s="99">
        <v>800</v>
      </c>
      <c r="BQ118" s="113"/>
      <c r="BR118" s="102">
        <f t="shared" si="233"/>
        <v>1600</v>
      </c>
      <c r="BS118" s="99">
        <v>800</v>
      </c>
      <c r="BT118" s="113"/>
      <c r="BU118" s="102">
        <f t="shared" si="234"/>
        <v>2400</v>
      </c>
      <c r="BV118" s="99">
        <v>800</v>
      </c>
      <c r="BW118" s="113"/>
      <c r="BX118" s="102">
        <f t="shared" si="235"/>
        <v>3200</v>
      </c>
      <c r="BY118" s="99">
        <v>800</v>
      </c>
      <c r="BZ118" s="113">
        <v>10800</v>
      </c>
      <c r="CA118" s="102">
        <f t="shared" si="236"/>
        <v>-6800</v>
      </c>
      <c r="CB118" s="99">
        <v>800</v>
      </c>
      <c r="CC118" s="113"/>
      <c r="CD118" s="102">
        <f t="shared" si="237"/>
        <v>-6000</v>
      </c>
      <c r="CE118" s="99">
        <v>800</v>
      </c>
      <c r="CF118" s="113"/>
      <c r="CG118" s="102">
        <f t="shared" si="238"/>
        <v>-5200</v>
      </c>
      <c r="CH118" s="99">
        <v>800</v>
      </c>
      <c r="CI118" s="113"/>
      <c r="CJ118" s="102">
        <f t="shared" si="239"/>
        <v>-4400</v>
      </c>
      <c r="CK118" s="99">
        <v>800</v>
      </c>
      <c r="CL118" s="113"/>
      <c r="CM118" s="102">
        <f t="shared" si="240"/>
        <v>-3600</v>
      </c>
      <c r="CN118" s="99">
        <v>800</v>
      </c>
      <c r="CO118" s="113"/>
      <c r="CP118" s="102">
        <f t="shared" si="241"/>
        <v>-2800</v>
      </c>
      <c r="CQ118" s="99">
        <v>800</v>
      </c>
      <c r="CR118" s="113"/>
      <c r="CS118" s="102">
        <f t="shared" si="215"/>
        <v>-2000</v>
      </c>
      <c r="CT118" s="99">
        <v>800</v>
      </c>
      <c r="CU118" s="113"/>
      <c r="CV118" s="102">
        <f t="shared" si="219"/>
        <v>-1200</v>
      </c>
      <c r="CW118" s="99">
        <v>800</v>
      </c>
      <c r="CX118" s="113"/>
      <c r="CY118" s="102">
        <f t="shared" si="220"/>
        <v>-400</v>
      </c>
    </row>
    <row r="119" spans="1:103">
      <c r="A119" s="103">
        <f>VLOOKUP(B119,справочник!$B$2:$E$322,4,FALSE)</f>
        <v>208</v>
      </c>
      <c r="B119" s="80" t="str">
        <f t="shared" si="166"/>
        <v>218Катушкин Роман Юрьевич</v>
      </c>
      <c r="C119" s="5">
        <v>218</v>
      </c>
      <c r="D119" s="7" t="s">
        <v>110</v>
      </c>
      <c r="E119" s="5" t="s">
        <v>427</v>
      </c>
      <c r="F119" s="19">
        <v>41052</v>
      </c>
      <c r="G119" s="19">
        <v>41061</v>
      </c>
      <c r="H119" s="20">
        <f t="shared" si="218"/>
        <v>43</v>
      </c>
      <c r="I119" s="5">
        <f t="shared" si="172"/>
        <v>43000</v>
      </c>
      <c r="J119" s="20">
        <f>40500</f>
        <v>40500</v>
      </c>
      <c r="K119" s="20"/>
      <c r="L119" s="21">
        <f t="shared" si="191"/>
        <v>2500</v>
      </c>
      <c r="M119" s="21"/>
      <c r="N119" s="21"/>
      <c r="O119" s="21"/>
      <c r="P119" s="21"/>
      <c r="Q119" s="21"/>
      <c r="R119" s="21"/>
      <c r="S119" s="21"/>
      <c r="T119" s="80">
        <v>3600</v>
      </c>
      <c r="U119" s="21"/>
      <c r="V119" s="21"/>
      <c r="W119" s="21"/>
      <c r="X119" s="21"/>
      <c r="Y119" s="21">
        <f t="shared" si="167"/>
        <v>3600</v>
      </c>
      <c r="Z119" s="104">
        <v>12</v>
      </c>
      <c r="AA119" s="104">
        <f t="shared" si="168"/>
        <v>9600</v>
      </c>
      <c r="AB119" s="104">
        <f t="shared" si="169"/>
        <v>8500</v>
      </c>
      <c r="AC119" s="104">
        <v>800</v>
      </c>
      <c r="AD119" s="105">
        <v>3000</v>
      </c>
      <c r="AE119" s="106">
        <f t="shared" si="170"/>
        <v>6300</v>
      </c>
      <c r="AF119" s="104">
        <v>800</v>
      </c>
      <c r="AG119" s="105"/>
      <c r="AH119" s="106">
        <f t="shared" si="194"/>
        <v>7100</v>
      </c>
      <c r="AI119" s="104">
        <v>800</v>
      </c>
      <c r="AJ119" s="105"/>
      <c r="AK119" s="106">
        <f t="shared" si="195"/>
        <v>7900</v>
      </c>
      <c r="AL119" s="104">
        <v>800</v>
      </c>
      <c r="AM119" s="105"/>
      <c r="AN119" s="106">
        <f t="shared" si="196"/>
        <v>8700</v>
      </c>
      <c r="AO119" s="104">
        <v>800</v>
      </c>
      <c r="AP119" s="105"/>
      <c r="AQ119" s="106">
        <f t="shared" si="197"/>
        <v>9500</v>
      </c>
      <c r="AR119" s="104">
        <v>800</v>
      </c>
      <c r="AS119" s="105"/>
      <c r="AT119" s="106">
        <f t="shared" si="198"/>
        <v>10300</v>
      </c>
      <c r="AU119" s="104">
        <v>800</v>
      </c>
      <c r="AV119" s="105"/>
      <c r="AW119" s="106">
        <f t="shared" si="199"/>
        <v>11100</v>
      </c>
      <c r="AX119" s="104">
        <v>800</v>
      </c>
      <c r="AY119" s="105"/>
      <c r="AZ119" s="106">
        <f t="shared" si="200"/>
        <v>11900</v>
      </c>
      <c r="BA119" s="104">
        <v>800</v>
      </c>
      <c r="BB119" s="105"/>
      <c r="BC119" s="106">
        <f t="shared" si="201"/>
        <v>12700</v>
      </c>
      <c r="BD119" s="104">
        <v>800</v>
      </c>
      <c r="BE119" s="105">
        <v>5000</v>
      </c>
      <c r="BF119" s="106">
        <f t="shared" si="202"/>
        <v>8500</v>
      </c>
      <c r="BG119" s="104">
        <v>800</v>
      </c>
      <c r="BH119" s="105">
        <v>10000</v>
      </c>
      <c r="BI119" s="106">
        <f t="shared" si="230"/>
        <v>-700</v>
      </c>
      <c r="BJ119" s="104">
        <v>800</v>
      </c>
      <c r="BK119" s="105"/>
      <c r="BL119" s="106">
        <f>BI119+BJ119-BK119</f>
        <v>100</v>
      </c>
      <c r="BM119" s="104">
        <v>800</v>
      </c>
      <c r="BN119" s="105"/>
      <c r="BO119" s="106">
        <f>BL119+BM119-BN119</f>
        <v>900</v>
      </c>
      <c r="BP119" s="104">
        <v>800</v>
      </c>
      <c r="BQ119" s="105"/>
      <c r="BR119" s="106">
        <f>BO119+BP119-BQ119</f>
        <v>1700</v>
      </c>
      <c r="BS119" s="104">
        <v>800</v>
      </c>
      <c r="BT119" s="105"/>
      <c r="BU119" s="106">
        <f>BR119+BS119-BT119</f>
        <v>2500</v>
      </c>
      <c r="BV119" s="104">
        <v>800</v>
      </c>
      <c r="BW119" s="105">
        <v>4200</v>
      </c>
      <c r="BX119" s="106">
        <f>BU119+BV119-BW119</f>
        <v>-900</v>
      </c>
      <c r="BY119" s="104">
        <v>800</v>
      </c>
      <c r="BZ119" s="105"/>
      <c r="CA119" s="106">
        <f>BX119+BY119-BZ119</f>
        <v>-100</v>
      </c>
      <c r="CB119" s="104">
        <v>800</v>
      </c>
      <c r="CC119" s="105"/>
      <c r="CD119" s="106">
        <f>CA119+CB119-CC119</f>
        <v>700</v>
      </c>
      <c r="CE119" s="104">
        <v>800</v>
      </c>
      <c r="CF119" s="105"/>
      <c r="CG119" s="106">
        <f>CD119+CE119-CF119</f>
        <v>1500</v>
      </c>
      <c r="CH119" s="104">
        <v>800</v>
      </c>
      <c r="CI119" s="105"/>
      <c r="CJ119" s="106">
        <f>CG119+CH119-CI119</f>
        <v>2300</v>
      </c>
      <c r="CK119" s="104">
        <v>800</v>
      </c>
      <c r="CL119" s="105"/>
      <c r="CM119" s="106">
        <f>CJ119+CK119-CL119</f>
        <v>3100</v>
      </c>
      <c r="CN119" s="104">
        <v>800</v>
      </c>
      <c r="CO119" s="105"/>
      <c r="CP119" s="106">
        <f>CM119+CN119-CO119</f>
        <v>3900</v>
      </c>
      <c r="CQ119" s="104">
        <v>800</v>
      </c>
      <c r="CR119" s="105"/>
      <c r="CS119" s="106">
        <f>CP119+CQ119-CR119</f>
        <v>4700</v>
      </c>
      <c r="CT119" s="104">
        <v>800</v>
      </c>
      <c r="CU119" s="105">
        <v>5500</v>
      </c>
      <c r="CV119" s="106">
        <f>CS119+CT119-CU119</f>
        <v>0</v>
      </c>
      <c r="CW119" s="104">
        <v>800</v>
      </c>
      <c r="CX119" s="105"/>
      <c r="CY119" s="106">
        <f>CV119+CW119-CX119</f>
        <v>800</v>
      </c>
    </row>
    <row r="120" spans="1:103" ht="24">
      <c r="A120" s="103"/>
      <c r="B120" s="80"/>
      <c r="C120" s="5">
        <v>217</v>
      </c>
      <c r="D120" s="7" t="s">
        <v>750</v>
      </c>
      <c r="E120" s="5"/>
      <c r="F120" s="5"/>
      <c r="G120" s="5"/>
      <c r="H120" s="20"/>
      <c r="I120" s="5">
        <f t="shared" si="172"/>
        <v>0</v>
      </c>
      <c r="J120" s="20"/>
      <c r="K120" s="20"/>
      <c r="L120" s="21">
        <f t="shared" si="191"/>
        <v>0</v>
      </c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>
        <f t="shared" si="167"/>
        <v>0</v>
      </c>
      <c r="Z120" s="104"/>
      <c r="AA120" s="104">
        <f t="shared" si="168"/>
        <v>0</v>
      </c>
      <c r="AB120" s="104">
        <f t="shared" si="169"/>
        <v>0</v>
      </c>
      <c r="AC120" s="104"/>
      <c r="AD120" s="105"/>
      <c r="AE120" s="106">
        <f t="shared" si="170"/>
        <v>0</v>
      </c>
      <c r="AF120" s="104"/>
      <c r="AG120" s="105"/>
      <c r="AH120" s="106"/>
      <c r="AI120" s="104"/>
      <c r="AJ120" s="105"/>
      <c r="AK120" s="106">
        <f t="shared" si="195"/>
        <v>0</v>
      </c>
      <c r="AL120" s="104"/>
      <c r="AM120" s="105"/>
      <c r="AN120" s="106"/>
      <c r="AO120" s="104"/>
      <c r="AP120" s="105"/>
      <c r="AQ120" s="106">
        <f t="shared" si="197"/>
        <v>0</v>
      </c>
      <c r="AR120" s="104"/>
      <c r="AS120" s="105"/>
      <c r="AT120" s="106">
        <f t="shared" si="198"/>
        <v>0</v>
      </c>
      <c r="AU120" s="104"/>
      <c r="AV120" s="105"/>
      <c r="AW120" s="106">
        <f t="shared" si="199"/>
        <v>0</v>
      </c>
      <c r="AX120" s="104"/>
      <c r="AY120" s="105"/>
      <c r="AZ120" s="106">
        <f t="shared" si="200"/>
        <v>0</v>
      </c>
      <c r="BA120" s="104"/>
      <c r="BB120" s="105"/>
      <c r="BC120" s="106">
        <f t="shared" si="201"/>
        <v>0</v>
      </c>
      <c r="BD120" s="104"/>
      <c r="BE120" s="105"/>
      <c r="BF120" s="106">
        <f t="shared" si="202"/>
        <v>0</v>
      </c>
      <c r="BG120" s="104"/>
      <c r="BH120" s="105"/>
      <c r="BI120" s="106">
        <f t="shared" si="230"/>
        <v>0</v>
      </c>
      <c r="BJ120" s="104"/>
      <c r="BK120" s="105"/>
      <c r="BL120" s="106">
        <f>BI120+BJ120-BK120</f>
        <v>0</v>
      </c>
      <c r="BM120" s="104"/>
      <c r="BN120" s="105"/>
      <c r="BO120" s="106">
        <f t="shared" si="232"/>
        <v>0</v>
      </c>
      <c r="BP120" s="104"/>
      <c r="BQ120" s="105"/>
      <c r="BR120" s="106">
        <f t="shared" ref="BR120:BR131" si="242">BO120+BP120-BQ120</f>
        <v>0</v>
      </c>
      <c r="BS120" s="104"/>
      <c r="BT120" s="105"/>
      <c r="BU120" s="106">
        <f t="shared" ref="BU120:BU131" si="243">BR120+BS120-BT120</f>
        <v>0</v>
      </c>
      <c r="BV120" s="104"/>
      <c r="BW120" s="105"/>
      <c r="BX120" s="106">
        <f t="shared" ref="BX120:BX131" si="244">BU120+BV120-BW120</f>
        <v>0</v>
      </c>
      <c r="BY120" s="104"/>
      <c r="BZ120" s="105"/>
      <c r="CA120" s="106">
        <f t="shared" ref="CA120:CA131" si="245">BX120+BY120-BZ120</f>
        <v>0</v>
      </c>
      <c r="CB120" s="104"/>
      <c r="CC120" s="105"/>
      <c r="CD120" s="106">
        <f t="shared" ref="CD120:CD131" si="246">CA120+CB120-CC120</f>
        <v>0</v>
      </c>
      <c r="CE120" s="104"/>
      <c r="CF120" s="105"/>
      <c r="CG120" s="106">
        <f t="shared" ref="CG120:CG131" si="247">CD120+CE120-CF120</f>
        <v>0</v>
      </c>
      <c r="CH120" s="104"/>
      <c r="CI120" s="105"/>
      <c r="CJ120" s="106">
        <f t="shared" ref="CJ120:CJ131" si="248">CG120+CH120-CI120</f>
        <v>0</v>
      </c>
      <c r="CK120" s="104"/>
      <c r="CL120" s="105"/>
      <c r="CM120" s="106">
        <f t="shared" ref="CM120:CM131" si="249">CJ120+CK120-CL120</f>
        <v>0</v>
      </c>
      <c r="CN120" s="104"/>
      <c r="CO120" s="105"/>
      <c r="CP120" s="106">
        <f t="shared" ref="CP120:CP131" si="250">CM120+CN120-CO120</f>
        <v>0</v>
      </c>
      <c r="CQ120" s="104"/>
      <c r="CR120" s="105"/>
      <c r="CS120" s="106">
        <f t="shared" ref="CS120" si="251">CO120+CP120-CR120</f>
        <v>0</v>
      </c>
      <c r="CT120" s="104"/>
      <c r="CU120" s="105"/>
      <c r="CV120" s="106">
        <f t="shared" ref="CV120" si="252">CR120+CS120-CU120</f>
        <v>0</v>
      </c>
      <c r="CW120" s="104"/>
      <c r="CX120" s="105"/>
      <c r="CY120" s="106">
        <f t="shared" ref="CY120" si="253">CU120+CV120-CX120</f>
        <v>0</v>
      </c>
    </row>
    <row r="121" spans="1:103">
      <c r="A121" s="41">
        <f>VLOOKUP(B121,справочник!$B$2:$E$322,4,FALSE)</f>
        <v>231</v>
      </c>
      <c r="B121" t="str">
        <f t="shared" si="166"/>
        <v>240Кашичкин Александр Борисович</v>
      </c>
      <c r="C121" s="1">
        <v>240</v>
      </c>
      <c r="D121" s="2" t="s">
        <v>112</v>
      </c>
      <c r="E121" s="1" t="s">
        <v>428</v>
      </c>
      <c r="F121" s="16">
        <v>41357</v>
      </c>
      <c r="G121" s="16">
        <v>41365</v>
      </c>
      <c r="H121" s="17">
        <f t="shared" ref="H121:H132" si="254">INT(($H$326-G121)/30)</f>
        <v>33</v>
      </c>
      <c r="I121" s="1">
        <f t="shared" si="172"/>
        <v>33000</v>
      </c>
      <c r="J121" s="17">
        <v>28000</v>
      </c>
      <c r="K121" s="17"/>
      <c r="L121" s="18">
        <f t="shared" si="191"/>
        <v>5000</v>
      </c>
      <c r="M121" s="22"/>
      <c r="N121" s="22">
        <v>5000</v>
      </c>
      <c r="O121" s="22"/>
      <c r="P121" s="22">
        <v>1000</v>
      </c>
      <c r="Q121" s="22"/>
      <c r="R121" s="22"/>
      <c r="S121" s="22"/>
      <c r="T121" s="22"/>
      <c r="U121" s="22"/>
      <c r="V121" s="22"/>
      <c r="W121" s="22"/>
      <c r="X121" s="22"/>
      <c r="Y121" s="18">
        <f t="shared" si="167"/>
        <v>6000</v>
      </c>
      <c r="Z121" s="96">
        <v>12</v>
      </c>
      <c r="AA121" s="96">
        <f t="shared" si="168"/>
        <v>9600</v>
      </c>
      <c r="AB121" s="96">
        <f t="shared" si="169"/>
        <v>8600</v>
      </c>
      <c r="AC121" s="99">
        <v>800</v>
      </c>
      <c r="AD121" s="98"/>
      <c r="AE121" s="102">
        <f t="shared" si="170"/>
        <v>9400</v>
      </c>
      <c r="AF121" s="99">
        <v>800</v>
      </c>
      <c r="AG121" s="98"/>
      <c r="AH121" s="102">
        <f t="shared" si="194"/>
        <v>10200</v>
      </c>
      <c r="AI121" s="99">
        <v>800</v>
      </c>
      <c r="AJ121" s="98"/>
      <c r="AK121" s="102">
        <f t="shared" si="195"/>
        <v>11000</v>
      </c>
      <c r="AL121" s="99">
        <v>800</v>
      </c>
      <c r="AM121" s="98"/>
      <c r="AN121" s="102">
        <f t="shared" si="196"/>
        <v>11800</v>
      </c>
      <c r="AO121" s="99">
        <v>800</v>
      </c>
      <c r="AP121" s="113"/>
      <c r="AQ121" s="102">
        <f t="shared" si="197"/>
        <v>12600</v>
      </c>
      <c r="AR121" s="99">
        <v>800</v>
      </c>
      <c r="AS121" s="113"/>
      <c r="AT121" s="102">
        <f t="shared" si="198"/>
        <v>13400</v>
      </c>
      <c r="AU121" s="99">
        <v>800</v>
      </c>
      <c r="AV121" s="113"/>
      <c r="AW121" s="102">
        <f t="shared" si="199"/>
        <v>14200</v>
      </c>
      <c r="AX121" s="99">
        <v>800</v>
      </c>
      <c r="AY121" s="113"/>
      <c r="AZ121" s="102">
        <f t="shared" si="200"/>
        <v>15000</v>
      </c>
      <c r="BA121" s="99">
        <v>800</v>
      </c>
      <c r="BB121" s="113"/>
      <c r="BC121" s="102">
        <f t="shared" si="201"/>
        <v>15800</v>
      </c>
      <c r="BD121" s="99">
        <v>800</v>
      </c>
      <c r="BE121" s="113"/>
      <c r="BF121" s="102">
        <f t="shared" si="202"/>
        <v>16600</v>
      </c>
      <c r="BG121" s="99">
        <v>800</v>
      </c>
      <c r="BH121" s="113"/>
      <c r="BI121" s="102">
        <f t="shared" si="230"/>
        <v>17400</v>
      </c>
      <c r="BJ121" s="99">
        <v>800</v>
      </c>
      <c r="BK121" s="113">
        <v>10000</v>
      </c>
      <c r="BL121" s="102">
        <f t="shared" si="231"/>
        <v>8200</v>
      </c>
      <c r="BM121" s="99">
        <v>800</v>
      </c>
      <c r="BN121" s="113"/>
      <c r="BO121" s="102">
        <f t="shared" si="232"/>
        <v>9000</v>
      </c>
      <c r="BP121" s="99">
        <v>800</v>
      </c>
      <c r="BQ121" s="113"/>
      <c r="BR121" s="102">
        <f t="shared" si="242"/>
        <v>9800</v>
      </c>
      <c r="BS121" s="99">
        <v>800</v>
      </c>
      <c r="BT121" s="113">
        <v>10000</v>
      </c>
      <c r="BU121" s="102">
        <f t="shared" si="243"/>
        <v>600</v>
      </c>
      <c r="BV121" s="99">
        <v>800</v>
      </c>
      <c r="BW121" s="113"/>
      <c r="BX121" s="102">
        <f t="shared" si="244"/>
        <v>1400</v>
      </c>
      <c r="BY121" s="99">
        <v>800</v>
      </c>
      <c r="BZ121" s="113"/>
      <c r="CA121" s="102">
        <f t="shared" si="245"/>
        <v>2200</v>
      </c>
      <c r="CB121" s="99">
        <v>800</v>
      </c>
      <c r="CC121" s="113"/>
      <c r="CD121" s="102">
        <f t="shared" si="246"/>
        <v>3000</v>
      </c>
      <c r="CE121" s="99">
        <v>800</v>
      </c>
      <c r="CF121" s="113"/>
      <c r="CG121" s="102">
        <f t="shared" si="247"/>
        <v>3800</v>
      </c>
      <c r="CH121" s="99">
        <v>800</v>
      </c>
      <c r="CI121" s="113"/>
      <c r="CJ121" s="102">
        <f t="shared" si="248"/>
        <v>4600</v>
      </c>
      <c r="CK121" s="99">
        <v>800</v>
      </c>
      <c r="CL121" s="113"/>
      <c r="CM121" s="102">
        <f t="shared" si="249"/>
        <v>5400</v>
      </c>
      <c r="CN121" s="99">
        <v>800</v>
      </c>
      <c r="CO121" s="113"/>
      <c r="CP121" s="102">
        <f t="shared" si="250"/>
        <v>6200</v>
      </c>
      <c r="CQ121" s="99">
        <v>800</v>
      </c>
      <c r="CR121" s="113"/>
      <c r="CS121" s="102">
        <f>CP121++CQ121-CR121</f>
        <v>7000</v>
      </c>
      <c r="CT121" s="99">
        <v>800</v>
      </c>
      <c r="CU121" s="113">
        <v>10000</v>
      </c>
      <c r="CV121" s="102">
        <f>CS121++CT121-CU121</f>
        <v>-2200</v>
      </c>
      <c r="CW121" s="99">
        <v>800</v>
      </c>
      <c r="CX121" s="113"/>
      <c r="CY121" s="102">
        <f>CV121++CW121-CX121</f>
        <v>-1400</v>
      </c>
    </row>
    <row r="122" spans="1:103">
      <c r="A122" s="41" t="e">
        <f>VLOOKUP(B122,справочник!$B$2:$E$322,4,FALSE)</f>
        <v>#N/A</v>
      </c>
      <c r="B122" t="str">
        <f t="shared" si="166"/>
        <v>82Киеня Валентина Александровна</v>
      </c>
      <c r="C122" s="1">
        <v>82</v>
      </c>
      <c r="D122" s="2" t="s">
        <v>759</v>
      </c>
      <c r="E122" s="1" t="s">
        <v>429</v>
      </c>
      <c r="F122" s="16">
        <v>40682</v>
      </c>
      <c r="G122" s="16">
        <v>40695</v>
      </c>
      <c r="H122" s="17">
        <f t="shared" si="254"/>
        <v>55</v>
      </c>
      <c r="I122" s="1">
        <f t="shared" si="172"/>
        <v>55000</v>
      </c>
      <c r="J122" s="17">
        <v>54000</v>
      </c>
      <c r="K122" s="17">
        <v>3000</v>
      </c>
      <c r="L122" s="18">
        <f t="shared" si="191"/>
        <v>-2000</v>
      </c>
      <c r="M122" s="22"/>
      <c r="N122" s="22">
        <v>2400</v>
      </c>
      <c r="O122" s="22"/>
      <c r="P122" s="22">
        <v>2400</v>
      </c>
      <c r="Q122" s="22"/>
      <c r="R122" s="22"/>
      <c r="S122" s="22"/>
      <c r="T122">
        <v>2400</v>
      </c>
      <c r="U122" s="22"/>
      <c r="V122" s="22"/>
      <c r="W122" s="22">
        <v>2400</v>
      </c>
      <c r="X122" s="22"/>
      <c r="Y122" s="18">
        <f t="shared" si="167"/>
        <v>9600</v>
      </c>
      <c r="Z122" s="96">
        <v>12</v>
      </c>
      <c r="AA122" s="96">
        <f t="shared" si="168"/>
        <v>9600</v>
      </c>
      <c r="AB122" s="96">
        <f t="shared" si="169"/>
        <v>-2000</v>
      </c>
      <c r="AC122" s="99">
        <v>800</v>
      </c>
      <c r="AD122" s="98"/>
      <c r="AE122" s="102">
        <f t="shared" si="170"/>
        <v>-1200</v>
      </c>
      <c r="AF122" s="99">
        <v>800</v>
      </c>
      <c r="AG122" s="98"/>
      <c r="AH122" s="102">
        <f t="shared" si="194"/>
        <v>-400</v>
      </c>
      <c r="AI122" s="99">
        <v>800</v>
      </c>
      <c r="AJ122" s="98">
        <v>400</v>
      </c>
      <c r="AK122" s="102">
        <f t="shared" si="195"/>
        <v>0</v>
      </c>
      <c r="AL122" s="99">
        <v>800</v>
      </c>
      <c r="AM122" s="98"/>
      <c r="AN122" s="102">
        <f t="shared" si="196"/>
        <v>800</v>
      </c>
      <c r="AO122" s="99">
        <v>800</v>
      </c>
      <c r="AP122" s="113"/>
      <c r="AQ122" s="102">
        <f t="shared" si="197"/>
        <v>1600</v>
      </c>
      <c r="AR122" s="99">
        <v>800</v>
      </c>
      <c r="AS122" s="113">
        <v>2400</v>
      </c>
      <c r="AT122" s="102">
        <f t="shared" si="198"/>
        <v>0</v>
      </c>
      <c r="AU122" s="99">
        <v>800</v>
      </c>
      <c r="AV122" s="113"/>
      <c r="AW122" s="102">
        <f t="shared" si="199"/>
        <v>800</v>
      </c>
      <c r="AX122" s="99">
        <v>800</v>
      </c>
      <c r="AY122" s="113">
        <v>1600</v>
      </c>
      <c r="AZ122" s="102">
        <f t="shared" si="200"/>
        <v>0</v>
      </c>
      <c r="BA122" s="99">
        <v>800</v>
      </c>
      <c r="BB122" s="113">
        <v>1600</v>
      </c>
      <c r="BC122" s="102">
        <f t="shared" si="201"/>
        <v>-800</v>
      </c>
      <c r="BD122" s="99">
        <v>800</v>
      </c>
      <c r="BE122" s="113"/>
      <c r="BF122" s="102">
        <f t="shared" si="202"/>
        <v>0</v>
      </c>
      <c r="BG122" s="99">
        <v>800</v>
      </c>
      <c r="BH122" s="113"/>
      <c r="BI122" s="102">
        <f t="shared" si="230"/>
        <v>800</v>
      </c>
      <c r="BJ122" s="99">
        <v>800</v>
      </c>
      <c r="BK122" s="113"/>
      <c r="BL122" s="102">
        <f t="shared" si="231"/>
        <v>1600</v>
      </c>
      <c r="BM122" s="99">
        <v>800</v>
      </c>
      <c r="BN122" s="113"/>
      <c r="BO122" s="102">
        <f t="shared" si="232"/>
        <v>2400</v>
      </c>
      <c r="BP122" s="99">
        <v>800</v>
      </c>
      <c r="BQ122" s="113">
        <v>2400</v>
      </c>
      <c r="BR122" s="102">
        <f t="shared" si="242"/>
        <v>800</v>
      </c>
      <c r="BS122" s="99">
        <v>800</v>
      </c>
      <c r="BT122" s="113"/>
      <c r="BU122" s="102">
        <f t="shared" si="243"/>
        <v>1600</v>
      </c>
      <c r="BV122" s="99">
        <v>800</v>
      </c>
      <c r="BW122" s="113">
        <v>2400</v>
      </c>
      <c r="BX122" s="102">
        <f t="shared" si="244"/>
        <v>0</v>
      </c>
      <c r="BY122" s="99">
        <v>800</v>
      </c>
      <c r="BZ122" s="113"/>
      <c r="CA122" s="102">
        <f t="shared" si="245"/>
        <v>800</v>
      </c>
      <c r="CB122" s="99">
        <v>800</v>
      </c>
      <c r="CC122" s="113"/>
      <c r="CD122" s="102">
        <f t="shared" si="246"/>
        <v>1600</v>
      </c>
      <c r="CE122" s="99">
        <v>800</v>
      </c>
      <c r="CF122" s="113"/>
      <c r="CG122" s="102">
        <f t="shared" si="247"/>
        <v>2400</v>
      </c>
      <c r="CH122" s="99">
        <v>800</v>
      </c>
      <c r="CI122" s="113">
        <v>1600</v>
      </c>
      <c r="CJ122" s="102">
        <f t="shared" si="248"/>
        <v>1600</v>
      </c>
      <c r="CK122" s="99">
        <v>800</v>
      </c>
      <c r="CL122" s="113">
        <v>1600</v>
      </c>
      <c r="CM122" s="102">
        <f t="shared" si="249"/>
        <v>800</v>
      </c>
      <c r="CN122" s="99">
        <v>800</v>
      </c>
      <c r="CO122" s="113"/>
      <c r="CP122" s="102">
        <f t="shared" si="250"/>
        <v>1600</v>
      </c>
      <c r="CQ122" s="99">
        <v>800</v>
      </c>
      <c r="CR122" s="113">
        <v>1600</v>
      </c>
      <c r="CS122" s="102">
        <f t="shared" ref="CS122:CS131" si="255">CP122++CQ122-CR122</f>
        <v>800</v>
      </c>
      <c r="CT122" s="99">
        <v>800</v>
      </c>
      <c r="CU122" s="113"/>
      <c r="CV122" s="102">
        <f t="shared" ref="CV122:CV131" si="256">CS122++CT122-CU122</f>
        <v>1600</v>
      </c>
      <c r="CW122" s="99">
        <v>800</v>
      </c>
      <c r="CX122" s="113">
        <v>1600</v>
      </c>
      <c r="CY122" s="102">
        <f t="shared" ref="CY122:CY131" si="257">CV122++CW122-CX122</f>
        <v>800</v>
      </c>
    </row>
    <row r="123" spans="1:103">
      <c r="A123" s="41" t="e">
        <f>VLOOKUP(B123,справочник!$B$2:$E$322,4,FALSE)</f>
        <v>#N/A</v>
      </c>
      <c r="B123" t="str">
        <f t="shared" si="166"/>
        <v>87Кикоть Наталья Петровна</v>
      </c>
      <c r="C123" s="1">
        <v>87</v>
      </c>
      <c r="D123" s="2" t="s">
        <v>779</v>
      </c>
      <c r="E123" s="1" t="s">
        <v>430</v>
      </c>
      <c r="F123" s="16">
        <v>41148</v>
      </c>
      <c r="G123" s="16">
        <v>41153</v>
      </c>
      <c r="H123" s="17">
        <f t="shared" si="254"/>
        <v>40</v>
      </c>
      <c r="I123" s="1">
        <f t="shared" si="172"/>
        <v>40000</v>
      </c>
      <c r="J123" s="17">
        <v>35000</v>
      </c>
      <c r="K123" s="17"/>
      <c r="L123" s="18">
        <f t="shared" si="191"/>
        <v>5000</v>
      </c>
      <c r="M123" s="22">
        <v>3000</v>
      </c>
      <c r="N123" s="22"/>
      <c r="O123" s="22">
        <v>3000</v>
      </c>
      <c r="P123" s="22"/>
      <c r="Q123" s="22"/>
      <c r="R123" s="22"/>
      <c r="S123" s="22"/>
      <c r="T123" s="22"/>
      <c r="U123" s="22"/>
      <c r="V123" s="22">
        <v>2000</v>
      </c>
      <c r="W123" s="22"/>
      <c r="X123" s="22"/>
      <c r="Y123" s="18">
        <f t="shared" si="167"/>
        <v>8000</v>
      </c>
      <c r="Z123" s="96">
        <v>12</v>
      </c>
      <c r="AA123" s="96">
        <f t="shared" si="168"/>
        <v>9600</v>
      </c>
      <c r="AB123" s="96">
        <f t="shared" si="169"/>
        <v>6600</v>
      </c>
      <c r="AC123" s="99">
        <v>800</v>
      </c>
      <c r="AD123" s="98"/>
      <c r="AE123" s="102">
        <f t="shared" si="170"/>
        <v>7400</v>
      </c>
      <c r="AF123" s="99">
        <v>800</v>
      </c>
      <c r="AG123" s="98"/>
      <c r="AH123" s="102">
        <f t="shared" si="194"/>
        <v>8200</v>
      </c>
      <c r="AI123" s="99">
        <v>800</v>
      </c>
      <c r="AJ123" s="98">
        <v>3200</v>
      </c>
      <c r="AK123" s="102">
        <f t="shared" si="195"/>
        <v>5800</v>
      </c>
      <c r="AL123" s="99">
        <v>800</v>
      </c>
      <c r="AM123" s="98">
        <v>2000</v>
      </c>
      <c r="AN123" s="102">
        <f t="shared" si="196"/>
        <v>4600</v>
      </c>
      <c r="AO123" s="99">
        <v>800</v>
      </c>
      <c r="AP123" s="113"/>
      <c r="AQ123" s="102">
        <f t="shared" si="197"/>
        <v>5400</v>
      </c>
      <c r="AR123" s="99">
        <v>800</v>
      </c>
      <c r="AS123" s="113"/>
      <c r="AT123" s="102">
        <f t="shared" si="198"/>
        <v>6200</v>
      </c>
      <c r="AU123" s="99">
        <v>800</v>
      </c>
      <c r="AV123" s="113"/>
      <c r="AW123" s="102">
        <f t="shared" si="199"/>
        <v>7000</v>
      </c>
      <c r="AX123" s="99">
        <v>800</v>
      </c>
      <c r="AY123" s="113"/>
      <c r="AZ123" s="102">
        <f t="shared" si="200"/>
        <v>7800</v>
      </c>
      <c r="BA123" s="99">
        <v>800</v>
      </c>
      <c r="BB123" s="113"/>
      <c r="BC123" s="102">
        <f t="shared" si="201"/>
        <v>8600</v>
      </c>
      <c r="BD123" s="99">
        <v>800</v>
      </c>
      <c r="BE123" s="113"/>
      <c r="BF123" s="102">
        <f t="shared" si="202"/>
        <v>9400</v>
      </c>
      <c r="BG123" s="99">
        <v>800</v>
      </c>
      <c r="BH123" s="113"/>
      <c r="BI123" s="102">
        <f t="shared" si="230"/>
        <v>10200</v>
      </c>
      <c r="BJ123" s="99">
        <v>800</v>
      </c>
      <c r="BK123" s="113"/>
      <c r="BL123" s="102">
        <f t="shared" si="231"/>
        <v>11000</v>
      </c>
      <c r="BM123" s="99">
        <v>800</v>
      </c>
      <c r="BN123" s="113"/>
      <c r="BO123" s="102">
        <f t="shared" si="232"/>
        <v>11800</v>
      </c>
      <c r="BP123" s="99">
        <v>800</v>
      </c>
      <c r="BQ123" s="113"/>
      <c r="BR123" s="102">
        <f t="shared" si="242"/>
        <v>12600</v>
      </c>
      <c r="BS123" s="99">
        <v>800</v>
      </c>
      <c r="BT123" s="113"/>
      <c r="BU123" s="102">
        <f t="shared" si="243"/>
        <v>13400</v>
      </c>
      <c r="BV123" s="99">
        <v>800</v>
      </c>
      <c r="BW123" s="113"/>
      <c r="BX123" s="102">
        <f t="shared" si="244"/>
        <v>14200</v>
      </c>
      <c r="BY123" s="99">
        <v>800</v>
      </c>
      <c r="BZ123" s="113">
        <v>5000</v>
      </c>
      <c r="CA123" s="102">
        <f t="shared" si="245"/>
        <v>10000</v>
      </c>
      <c r="CB123" s="99">
        <v>800</v>
      </c>
      <c r="CC123" s="113"/>
      <c r="CD123" s="102">
        <f t="shared" si="246"/>
        <v>10800</v>
      </c>
      <c r="CE123" s="99">
        <v>800</v>
      </c>
      <c r="CF123" s="113"/>
      <c r="CG123" s="102">
        <f t="shared" si="247"/>
        <v>11600</v>
      </c>
      <c r="CH123" s="99">
        <v>800</v>
      </c>
      <c r="CI123" s="113"/>
      <c r="CJ123" s="102">
        <f t="shared" si="248"/>
        <v>12400</v>
      </c>
      <c r="CK123" s="99">
        <v>800</v>
      </c>
      <c r="CL123" s="113"/>
      <c r="CM123" s="102">
        <f t="shared" si="249"/>
        <v>13200</v>
      </c>
      <c r="CN123" s="99">
        <v>800</v>
      </c>
      <c r="CO123" s="113"/>
      <c r="CP123" s="102">
        <f t="shared" si="250"/>
        <v>14000</v>
      </c>
      <c r="CQ123" s="99">
        <v>800</v>
      </c>
      <c r="CR123" s="113"/>
      <c r="CS123" s="102">
        <f t="shared" si="255"/>
        <v>14800</v>
      </c>
      <c r="CT123" s="99">
        <v>800</v>
      </c>
      <c r="CU123" s="113"/>
      <c r="CV123" s="102">
        <f t="shared" si="256"/>
        <v>15600</v>
      </c>
      <c r="CW123" s="99">
        <v>800</v>
      </c>
      <c r="CX123" s="113"/>
      <c r="CY123" s="102">
        <f t="shared" si="257"/>
        <v>16400</v>
      </c>
    </row>
    <row r="124" spans="1:103">
      <c r="A124" s="41">
        <f>VLOOKUP(B124,справочник!$B$2:$E$322,4,FALSE)</f>
        <v>8</v>
      </c>
      <c r="B124" t="str">
        <f t="shared" si="166"/>
        <v>8Кириенко Раиса Федоровна</v>
      </c>
      <c r="C124" s="1">
        <v>8</v>
      </c>
      <c r="D124" s="2" t="s">
        <v>115</v>
      </c>
      <c r="E124" s="1" t="s">
        <v>431</v>
      </c>
      <c r="F124" s="16">
        <v>41741</v>
      </c>
      <c r="G124" s="16">
        <v>41760</v>
      </c>
      <c r="H124" s="17">
        <f t="shared" si="254"/>
        <v>20</v>
      </c>
      <c r="I124" s="1">
        <f t="shared" si="172"/>
        <v>20000</v>
      </c>
      <c r="J124" s="17">
        <v>18000</v>
      </c>
      <c r="K124" s="17"/>
      <c r="L124" s="18">
        <f t="shared" si="191"/>
        <v>2000</v>
      </c>
      <c r="M124" s="22"/>
      <c r="N124" s="22"/>
      <c r="O124" s="22"/>
      <c r="P124" s="22"/>
      <c r="Q124" s="22"/>
      <c r="R124" s="22">
        <v>4000</v>
      </c>
      <c r="S124" s="22"/>
      <c r="T124" s="22"/>
      <c r="U124" s="22"/>
      <c r="V124" s="22">
        <v>7600</v>
      </c>
      <c r="W124" s="22"/>
      <c r="X124" s="22"/>
      <c r="Y124" s="18">
        <f t="shared" si="167"/>
        <v>11600</v>
      </c>
      <c r="Z124" s="96">
        <v>12</v>
      </c>
      <c r="AA124" s="96">
        <f t="shared" si="168"/>
        <v>9600</v>
      </c>
      <c r="AB124" s="96">
        <f t="shared" si="169"/>
        <v>0</v>
      </c>
      <c r="AC124" s="99">
        <v>800</v>
      </c>
      <c r="AD124" s="98"/>
      <c r="AE124" s="102">
        <f t="shared" si="170"/>
        <v>800</v>
      </c>
      <c r="AF124" s="99">
        <v>800</v>
      </c>
      <c r="AG124" s="98"/>
      <c r="AH124" s="102">
        <f t="shared" si="194"/>
        <v>1600</v>
      </c>
      <c r="AI124" s="99">
        <v>800</v>
      </c>
      <c r="AJ124" s="98">
        <v>4000</v>
      </c>
      <c r="AK124" s="102">
        <f t="shared" si="195"/>
        <v>-1600</v>
      </c>
      <c r="AL124" s="99">
        <v>800</v>
      </c>
      <c r="AM124" s="98"/>
      <c r="AN124" s="102">
        <f t="shared" si="196"/>
        <v>-800</v>
      </c>
      <c r="AO124" s="99">
        <v>800</v>
      </c>
      <c r="AP124" s="113"/>
      <c r="AQ124" s="102">
        <f t="shared" si="197"/>
        <v>0</v>
      </c>
      <c r="AR124" s="99">
        <v>800</v>
      </c>
      <c r="AS124" s="113"/>
      <c r="AT124" s="102">
        <f t="shared" si="198"/>
        <v>800</v>
      </c>
      <c r="AU124" s="99">
        <v>800</v>
      </c>
      <c r="AV124" s="113"/>
      <c r="AW124" s="102">
        <f t="shared" si="199"/>
        <v>1600</v>
      </c>
      <c r="AX124" s="99">
        <v>800</v>
      </c>
      <c r="AY124" s="113"/>
      <c r="AZ124" s="102">
        <f t="shared" si="200"/>
        <v>2400</v>
      </c>
      <c r="BA124" s="99">
        <v>800</v>
      </c>
      <c r="BB124" s="113"/>
      <c r="BC124" s="102">
        <f t="shared" si="201"/>
        <v>3200</v>
      </c>
      <c r="BD124" s="99">
        <v>800</v>
      </c>
      <c r="BE124" s="113"/>
      <c r="BF124" s="102">
        <f t="shared" si="202"/>
        <v>4000</v>
      </c>
      <c r="BG124" s="99">
        <v>800</v>
      </c>
      <c r="BH124" s="113"/>
      <c r="BI124" s="102">
        <f t="shared" si="230"/>
        <v>4800</v>
      </c>
      <c r="BJ124" s="99">
        <v>800</v>
      </c>
      <c r="BK124" s="113"/>
      <c r="BL124" s="102">
        <f t="shared" si="231"/>
        <v>5600</v>
      </c>
      <c r="BM124" s="99">
        <v>800</v>
      </c>
      <c r="BN124" s="113"/>
      <c r="BO124" s="102">
        <f t="shared" si="232"/>
        <v>6400</v>
      </c>
      <c r="BP124" s="99">
        <v>800</v>
      </c>
      <c r="BQ124" s="113"/>
      <c r="BR124" s="102">
        <f t="shared" si="242"/>
        <v>7200</v>
      </c>
      <c r="BS124" s="99">
        <v>800</v>
      </c>
      <c r="BT124" s="113"/>
      <c r="BU124" s="102">
        <f t="shared" si="243"/>
        <v>8000</v>
      </c>
      <c r="BV124" s="99">
        <v>800</v>
      </c>
      <c r="BW124" s="113"/>
      <c r="BX124" s="102">
        <f t="shared" si="244"/>
        <v>8800</v>
      </c>
      <c r="BY124" s="99">
        <v>800</v>
      </c>
      <c r="BZ124" s="113"/>
      <c r="CA124" s="102">
        <f t="shared" si="245"/>
        <v>9600</v>
      </c>
      <c r="CB124" s="99">
        <v>800</v>
      </c>
      <c r="CC124" s="113"/>
      <c r="CD124" s="102">
        <f t="shared" si="246"/>
        <v>10400</v>
      </c>
      <c r="CE124" s="99">
        <v>800</v>
      </c>
      <c r="CF124" s="113"/>
      <c r="CG124" s="102">
        <f t="shared" si="247"/>
        <v>11200</v>
      </c>
      <c r="CH124" s="99">
        <v>800</v>
      </c>
      <c r="CI124" s="113"/>
      <c r="CJ124" s="102">
        <f t="shared" si="248"/>
        <v>12000</v>
      </c>
      <c r="CK124" s="99">
        <v>800</v>
      </c>
      <c r="CL124" s="113"/>
      <c r="CM124" s="102">
        <f t="shared" si="249"/>
        <v>12800</v>
      </c>
      <c r="CN124" s="99">
        <v>800</v>
      </c>
      <c r="CO124" s="113"/>
      <c r="CP124" s="102">
        <f t="shared" si="250"/>
        <v>13600</v>
      </c>
      <c r="CQ124" s="99">
        <v>800</v>
      </c>
      <c r="CR124" s="113"/>
      <c r="CS124" s="102">
        <f t="shared" si="255"/>
        <v>14400</v>
      </c>
      <c r="CT124" s="99">
        <v>800</v>
      </c>
      <c r="CU124" s="113"/>
      <c r="CV124" s="102">
        <f t="shared" si="256"/>
        <v>15200</v>
      </c>
      <c r="CW124" s="99">
        <v>800</v>
      </c>
      <c r="CX124" s="113"/>
      <c r="CY124" s="102">
        <f t="shared" si="257"/>
        <v>16000</v>
      </c>
    </row>
    <row r="125" spans="1:103">
      <c r="A125" s="41">
        <f>VLOOKUP(B125,справочник!$B$2:$E$322,4,FALSE)</f>
        <v>149</v>
      </c>
      <c r="B125" t="str">
        <f t="shared" si="166"/>
        <v>157Кириллов Вадим Александрович</v>
      </c>
      <c r="C125" s="1">
        <v>157</v>
      </c>
      <c r="D125" s="2" t="s">
        <v>116</v>
      </c>
      <c r="E125" s="1" t="s">
        <v>432</v>
      </c>
      <c r="F125" s="16">
        <v>40820</v>
      </c>
      <c r="G125" s="16">
        <v>40817</v>
      </c>
      <c r="H125" s="17">
        <f t="shared" si="254"/>
        <v>51</v>
      </c>
      <c r="I125" s="1">
        <f t="shared" si="172"/>
        <v>51000</v>
      </c>
      <c r="J125" s="17">
        <f>1000</f>
        <v>1000</v>
      </c>
      <c r="K125" s="17">
        <v>1000</v>
      </c>
      <c r="L125" s="18">
        <f t="shared" si="191"/>
        <v>49000</v>
      </c>
      <c r="M125" s="22"/>
      <c r="N125" s="22"/>
      <c r="O125" s="22">
        <v>1000</v>
      </c>
      <c r="P125" s="22"/>
      <c r="Q125" s="22">
        <v>1000</v>
      </c>
      <c r="R125" s="22"/>
      <c r="S125" s="22"/>
      <c r="T125" s="22"/>
      <c r="U125" s="22"/>
      <c r="V125" s="22"/>
      <c r="W125" s="22"/>
      <c r="X125" s="22"/>
      <c r="Y125" s="18">
        <f t="shared" si="167"/>
        <v>2000</v>
      </c>
      <c r="Z125" s="96">
        <v>12</v>
      </c>
      <c r="AA125" s="96">
        <f t="shared" si="168"/>
        <v>9600</v>
      </c>
      <c r="AB125" s="96">
        <f t="shared" si="169"/>
        <v>56600</v>
      </c>
      <c r="AC125" s="99">
        <v>800</v>
      </c>
      <c r="AD125" s="98">
        <v>3000</v>
      </c>
      <c r="AE125" s="102">
        <f t="shared" si="170"/>
        <v>54400</v>
      </c>
      <c r="AF125" s="99">
        <v>800</v>
      </c>
      <c r="AG125" s="98">
        <v>3000</v>
      </c>
      <c r="AH125" s="102">
        <f t="shared" si="194"/>
        <v>52200</v>
      </c>
      <c r="AI125" s="99">
        <v>800</v>
      </c>
      <c r="AJ125" s="98"/>
      <c r="AK125" s="102">
        <f t="shared" si="195"/>
        <v>53000</v>
      </c>
      <c r="AL125" s="99">
        <v>800</v>
      </c>
      <c r="AM125" s="98">
        <v>3000</v>
      </c>
      <c r="AN125" s="102">
        <f t="shared" si="196"/>
        <v>50800</v>
      </c>
      <c r="AO125" s="99">
        <v>800</v>
      </c>
      <c r="AP125" s="113"/>
      <c r="AQ125" s="102">
        <f t="shared" si="197"/>
        <v>51600</v>
      </c>
      <c r="AR125" s="99">
        <v>800</v>
      </c>
      <c r="AS125" s="113"/>
      <c r="AT125" s="102">
        <f t="shared" si="198"/>
        <v>52400</v>
      </c>
      <c r="AU125" s="99">
        <v>800</v>
      </c>
      <c r="AV125" s="113"/>
      <c r="AW125" s="102">
        <f t="shared" si="199"/>
        <v>53200</v>
      </c>
      <c r="AX125" s="99">
        <v>800</v>
      </c>
      <c r="AY125" s="113">
        <v>800</v>
      </c>
      <c r="AZ125" s="102">
        <f t="shared" si="200"/>
        <v>53200</v>
      </c>
      <c r="BA125" s="99">
        <v>800</v>
      </c>
      <c r="BB125" s="113">
        <f>1600+9000</f>
        <v>10600</v>
      </c>
      <c r="BC125" s="102">
        <f t="shared" si="201"/>
        <v>43400</v>
      </c>
      <c r="BD125" s="99">
        <v>800</v>
      </c>
      <c r="BE125" s="113">
        <v>2200</v>
      </c>
      <c r="BF125" s="102">
        <f t="shared" si="202"/>
        <v>42000</v>
      </c>
      <c r="BG125" s="99">
        <v>800</v>
      </c>
      <c r="BH125" s="113">
        <v>3800</v>
      </c>
      <c r="BI125" s="102">
        <f t="shared" si="230"/>
        <v>39000</v>
      </c>
      <c r="BJ125" s="99">
        <v>800</v>
      </c>
      <c r="BK125" s="113">
        <v>3800</v>
      </c>
      <c r="BL125" s="102">
        <f t="shared" si="231"/>
        <v>36000</v>
      </c>
      <c r="BM125" s="99">
        <v>800</v>
      </c>
      <c r="BN125" s="113">
        <v>3800</v>
      </c>
      <c r="BO125" s="102">
        <f t="shared" si="232"/>
        <v>33000</v>
      </c>
      <c r="BP125" s="99">
        <v>800</v>
      </c>
      <c r="BQ125" s="113">
        <v>3800</v>
      </c>
      <c r="BR125" s="102">
        <f t="shared" si="242"/>
        <v>30000</v>
      </c>
      <c r="BS125" s="99">
        <v>800</v>
      </c>
      <c r="BT125" s="113">
        <v>3800</v>
      </c>
      <c r="BU125" s="102">
        <f t="shared" si="243"/>
        <v>27000</v>
      </c>
      <c r="BV125" s="99">
        <v>800</v>
      </c>
      <c r="BW125" s="113">
        <v>3800</v>
      </c>
      <c r="BX125" s="102">
        <f t="shared" si="244"/>
        <v>24000</v>
      </c>
      <c r="BY125" s="99">
        <v>800</v>
      </c>
      <c r="BZ125" s="113"/>
      <c r="CA125" s="102">
        <f t="shared" si="245"/>
        <v>24800</v>
      </c>
      <c r="CB125" s="99">
        <v>800</v>
      </c>
      <c r="CC125" s="113">
        <v>3800</v>
      </c>
      <c r="CD125" s="102">
        <f t="shared" si="246"/>
        <v>21800</v>
      </c>
      <c r="CE125" s="99">
        <v>800</v>
      </c>
      <c r="CF125" s="113">
        <v>3800</v>
      </c>
      <c r="CG125" s="102">
        <f t="shared" si="247"/>
        <v>18800</v>
      </c>
      <c r="CH125" s="99">
        <v>800</v>
      </c>
      <c r="CI125" s="113">
        <v>26400</v>
      </c>
      <c r="CJ125" s="102">
        <f t="shared" si="248"/>
        <v>-6800</v>
      </c>
      <c r="CK125" s="99">
        <v>800</v>
      </c>
      <c r="CL125" s="113"/>
      <c r="CM125" s="102">
        <f t="shared" si="249"/>
        <v>-6000</v>
      </c>
      <c r="CN125" s="99">
        <v>800</v>
      </c>
      <c r="CO125" s="113"/>
      <c r="CP125" s="102">
        <f t="shared" si="250"/>
        <v>-5200</v>
      </c>
      <c r="CQ125" s="99">
        <v>800</v>
      </c>
      <c r="CR125" s="113"/>
      <c r="CS125" s="102">
        <f t="shared" si="255"/>
        <v>-4400</v>
      </c>
      <c r="CT125" s="99">
        <v>800</v>
      </c>
      <c r="CU125" s="113"/>
      <c r="CV125" s="102">
        <f t="shared" si="256"/>
        <v>-3600</v>
      </c>
      <c r="CW125" s="99">
        <v>800</v>
      </c>
      <c r="CX125" s="113"/>
      <c r="CY125" s="102">
        <f t="shared" si="257"/>
        <v>-2800</v>
      </c>
    </row>
    <row r="126" spans="1:103" ht="24">
      <c r="A126" s="41" t="e">
        <f>VLOOKUP(B126,справочник!$B$2:$E$322,4,FALSE)</f>
        <v>#N/A</v>
      </c>
      <c r="B126" t="str">
        <f t="shared" si="166"/>
        <v>30Кириллов Дмитрий Александрович (новый собственник Емельянова Екатерина Николаевна)</v>
      </c>
      <c r="C126" s="1">
        <v>30</v>
      </c>
      <c r="D126" s="2" t="s">
        <v>810</v>
      </c>
      <c r="E126" s="1" t="s">
        <v>433</v>
      </c>
      <c r="F126" s="16">
        <v>40906</v>
      </c>
      <c r="G126" s="16">
        <v>40909</v>
      </c>
      <c r="H126" s="17">
        <f t="shared" si="254"/>
        <v>48</v>
      </c>
      <c r="I126" s="1">
        <f t="shared" si="172"/>
        <v>48000</v>
      </c>
      <c r="J126" s="17">
        <f>1000</f>
        <v>1000</v>
      </c>
      <c r="K126" s="17"/>
      <c r="L126" s="18">
        <f t="shared" si="191"/>
        <v>47000</v>
      </c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18">
        <f t="shared" si="167"/>
        <v>0</v>
      </c>
      <c r="Z126" s="96">
        <v>12</v>
      </c>
      <c r="AA126" s="96">
        <f t="shared" si="168"/>
        <v>9600</v>
      </c>
      <c r="AB126" s="96">
        <f t="shared" si="169"/>
        <v>56600</v>
      </c>
      <c r="AC126" s="99">
        <v>800</v>
      </c>
      <c r="AD126" s="98">
        <v>1000</v>
      </c>
      <c r="AE126" s="102">
        <f t="shared" si="170"/>
        <v>56400</v>
      </c>
      <c r="AF126" s="99">
        <v>800</v>
      </c>
      <c r="AG126" s="98">
        <v>3000</v>
      </c>
      <c r="AH126" s="102">
        <f t="shared" si="194"/>
        <v>54200</v>
      </c>
      <c r="AI126" s="99">
        <v>800</v>
      </c>
      <c r="AJ126" s="98">
        <v>2000</v>
      </c>
      <c r="AK126" s="102">
        <f t="shared" si="195"/>
        <v>53000</v>
      </c>
      <c r="AL126" s="99">
        <v>800</v>
      </c>
      <c r="AM126" s="98"/>
      <c r="AN126" s="102">
        <f t="shared" si="196"/>
        <v>53800</v>
      </c>
      <c r="AO126" s="99">
        <v>800</v>
      </c>
      <c r="AP126" s="113">
        <v>5000</v>
      </c>
      <c r="AQ126" s="102">
        <f t="shared" si="197"/>
        <v>49600</v>
      </c>
      <c r="AR126" s="99">
        <v>800</v>
      </c>
      <c r="AS126" s="113"/>
      <c r="AT126" s="102">
        <f t="shared" si="198"/>
        <v>50400</v>
      </c>
      <c r="AU126" s="99">
        <v>800</v>
      </c>
      <c r="AV126" s="113"/>
      <c r="AW126" s="102">
        <f t="shared" si="199"/>
        <v>51200</v>
      </c>
      <c r="AX126" s="99">
        <v>800</v>
      </c>
      <c r="AY126" s="113"/>
      <c r="AZ126" s="102">
        <f t="shared" si="200"/>
        <v>52000</v>
      </c>
      <c r="BA126" s="99">
        <v>800</v>
      </c>
      <c r="BB126" s="113">
        <f>3000+5000</f>
        <v>8000</v>
      </c>
      <c r="BC126" s="102">
        <f t="shared" si="201"/>
        <v>44800</v>
      </c>
      <c r="BD126" s="99">
        <v>800</v>
      </c>
      <c r="BE126" s="113">
        <v>3000</v>
      </c>
      <c r="BF126" s="102">
        <f t="shared" si="202"/>
        <v>42600</v>
      </c>
      <c r="BG126" s="99">
        <v>800</v>
      </c>
      <c r="BH126" s="113"/>
      <c r="BI126" s="102">
        <f t="shared" si="230"/>
        <v>43400</v>
      </c>
      <c r="BJ126" s="99">
        <v>800</v>
      </c>
      <c r="BK126" s="113">
        <v>3000</v>
      </c>
      <c r="BL126" s="102">
        <f t="shared" si="231"/>
        <v>41200</v>
      </c>
      <c r="BM126" s="99">
        <v>800</v>
      </c>
      <c r="BN126" s="113"/>
      <c r="BO126" s="102">
        <f t="shared" si="232"/>
        <v>42000</v>
      </c>
      <c r="BP126" s="99">
        <v>800</v>
      </c>
      <c r="BQ126" s="113">
        <v>5000</v>
      </c>
      <c r="BR126" s="102">
        <f t="shared" si="242"/>
        <v>37800</v>
      </c>
      <c r="BS126" s="99">
        <v>800</v>
      </c>
      <c r="BT126" s="113"/>
      <c r="BU126" s="102">
        <f t="shared" si="243"/>
        <v>38600</v>
      </c>
      <c r="BV126" s="99">
        <v>800</v>
      </c>
      <c r="BW126" s="113"/>
      <c r="BX126" s="102">
        <f t="shared" si="244"/>
        <v>39400</v>
      </c>
      <c r="BY126" s="99">
        <v>800</v>
      </c>
      <c r="BZ126" s="113"/>
      <c r="CA126" s="102">
        <f t="shared" si="245"/>
        <v>40200</v>
      </c>
      <c r="CB126" s="99">
        <v>800</v>
      </c>
      <c r="CC126" s="113"/>
      <c r="CD126" s="102">
        <f t="shared" si="246"/>
        <v>41000</v>
      </c>
      <c r="CE126" s="99">
        <v>800</v>
      </c>
      <c r="CF126" s="113"/>
      <c r="CG126" s="102">
        <f t="shared" si="247"/>
        <v>41800</v>
      </c>
      <c r="CH126" s="99">
        <v>800</v>
      </c>
      <c r="CI126" s="113"/>
      <c r="CJ126" s="102">
        <f t="shared" si="248"/>
        <v>42600</v>
      </c>
      <c r="CK126" s="99">
        <v>800</v>
      </c>
      <c r="CL126" s="113"/>
      <c r="CM126" s="102">
        <f t="shared" si="249"/>
        <v>43400</v>
      </c>
      <c r="CN126" s="99">
        <v>800</v>
      </c>
      <c r="CO126" s="113">
        <v>44200</v>
      </c>
      <c r="CP126" s="102">
        <f t="shared" si="250"/>
        <v>0</v>
      </c>
      <c r="CQ126" s="99">
        <v>800</v>
      </c>
      <c r="CR126" s="113"/>
      <c r="CS126" s="102">
        <f t="shared" si="255"/>
        <v>800</v>
      </c>
      <c r="CT126" s="99">
        <v>800</v>
      </c>
      <c r="CU126" s="113">
        <v>1600</v>
      </c>
      <c r="CV126" s="102">
        <f t="shared" si="256"/>
        <v>0</v>
      </c>
      <c r="CW126" s="99">
        <v>800</v>
      </c>
      <c r="CX126" s="113">
        <v>1600</v>
      </c>
      <c r="CY126" s="102">
        <f t="shared" si="257"/>
        <v>-800</v>
      </c>
    </row>
    <row r="127" spans="1:103">
      <c r="A127" s="41">
        <f>VLOOKUP(B127,справочник!$B$2:$E$322,4,FALSE)</f>
        <v>269</v>
      </c>
      <c r="B127" t="str">
        <f t="shared" si="166"/>
        <v>282Коваленко Ирина Леонидовна</v>
      </c>
      <c r="C127" s="1">
        <v>282</v>
      </c>
      <c r="D127" s="2" t="s">
        <v>118</v>
      </c>
      <c r="E127" s="1" t="s">
        <v>434</v>
      </c>
      <c r="F127" s="16">
        <v>41254</v>
      </c>
      <c r="G127" s="16">
        <v>41275</v>
      </c>
      <c r="H127" s="17">
        <f t="shared" si="254"/>
        <v>36</v>
      </c>
      <c r="I127" s="1">
        <f t="shared" si="172"/>
        <v>36000</v>
      </c>
      <c r="J127" s="17">
        <v>18000</v>
      </c>
      <c r="K127" s="17"/>
      <c r="L127" s="18">
        <f t="shared" si="191"/>
        <v>18000</v>
      </c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84">
        <v>12000</v>
      </c>
      <c r="X127" s="22"/>
      <c r="Y127" s="18">
        <f t="shared" si="167"/>
        <v>12000</v>
      </c>
      <c r="Z127" s="96">
        <v>12</v>
      </c>
      <c r="AA127" s="96">
        <f t="shared" si="168"/>
        <v>9600</v>
      </c>
      <c r="AB127" s="96">
        <f t="shared" si="169"/>
        <v>15600</v>
      </c>
      <c r="AC127" s="99">
        <v>800</v>
      </c>
      <c r="AD127" s="98"/>
      <c r="AE127" s="102">
        <f t="shared" si="170"/>
        <v>16400</v>
      </c>
      <c r="AF127" s="99">
        <v>800</v>
      </c>
      <c r="AG127" s="98"/>
      <c r="AH127" s="102">
        <f t="shared" si="194"/>
        <v>17200</v>
      </c>
      <c r="AI127" s="99">
        <v>800</v>
      </c>
      <c r="AJ127" s="98"/>
      <c r="AK127" s="102">
        <f t="shared" si="195"/>
        <v>18000</v>
      </c>
      <c r="AL127" s="99">
        <v>800</v>
      </c>
      <c r="AM127" s="98"/>
      <c r="AN127" s="102">
        <f t="shared" si="196"/>
        <v>18800</v>
      </c>
      <c r="AO127" s="99">
        <v>800</v>
      </c>
      <c r="AP127" s="113"/>
      <c r="AQ127" s="102">
        <f t="shared" si="197"/>
        <v>19600</v>
      </c>
      <c r="AR127" s="99">
        <v>800</v>
      </c>
      <c r="AS127" s="113"/>
      <c r="AT127" s="102">
        <f t="shared" si="198"/>
        <v>20400</v>
      </c>
      <c r="AU127" s="99">
        <v>800</v>
      </c>
      <c r="AV127" s="113"/>
      <c r="AW127" s="102">
        <f t="shared" si="199"/>
        <v>21200</v>
      </c>
      <c r="AX127" s="99">
        <v>800</v>
      </c>
      <c r="AY127" s="113"/>
      <c r="AZ127" s="102">
        <f t="shared" si="200"/>
        <v>22000</v>
      </c>
      <c r="BA127" s="99">
        <v>800</v>
      </c>
      <c r="BB127" s="113"/>
      <c r="BC127" s="102">
        <f t="shared" si="201"/>
        <v>22800</v>
      </c>
      <c r="BD127" s="99">
        <v>800</v>
      </c>
      <c r="BE127" s="113">
        <v>12000</v>
      </c>
      <c r="BF127" s="102">
        <f t="shared" si="202"/>
        <v>11600</v>
      </c>
      <c r="BG127" s="99">
        <v>800</v>
      </c>
      <c r="BH127" s="113">
        <v>13200</v>
      </c>
      <c r="BI127" s="102">
        <f t="shared" si="230"/>
        <v>-800</v>
      </c>
      <c r="BJ127" s="99">
        <v>800</v>
      </c>
      <c r="BK127" s="113"/>
      <c r="BL127" s="102">
        <f t="shared" si="231"/>
        <v>0</v>
      </c>
      <c r="BM127" s="99">
        <v>800</v>
      </c>
      <c r="BN127" s="113"/>
      <c r="BO127" s="102">
        <f t="shared" si="232"/>
        <v>800</v>
      </c>
      <c r="BP127" s="99">
        <v>800</v>
      </c>
      <c r="BQ127" s="113"/>
      <c r="BR127" s="102">
        <f t="shared" si="242"/>
        <v>1600</v>
      </c>
      <c r="BS127" s="99">
        <v>800</v>
      </c>
      <c r="BT127" s="113"/>
      <c r="BU127" s="102">
        <f t="shared" si="243"/>
        <v>2400</v>
      </c>
      <c r="BV127" s="99">
        <v>800</v>
      </c>
      <c r="BW127" s="113"/>
      <c r="BX127" s="102">
        <f t="shared" si="244"/>
        <v>3200</v>
      </c>
      <c r="BY127" s="99">
        <v>800</v>
      </c>
      <c r="BZ127" s="113"/>
      <c r="CA127" s="102">
        <f t="shared" si="245"/>
        <v>4000</v>
      </c>
      <c r="CB127" s="99">
        <v>800</v>
      </c>
      <c r="CC127" s="113"/>
      <c r="CD127" s="102">
        <f t="shared" si="246"/>
        <v>4800</v>
      </c>
      <c r="CE127" s="99">
        <v>800</v>
      </c>
      <c r="CF127" s="113"/>
      <c r="CG127" s="102">
        <f t="shared" si="247"/>
        <v>5600</v>
      </c>
      <c r="CH127" s="99">
        <v>800</v>
      </c>
      <c r="CI127" s="113"/>
      <c r="CJ127" s="102">
        <f t="shared" si="248"/>
        <v>6400</v>
      </c>
      <c r="CK127" s="99">
        <v>800</v>
      </c>
      <c r="CL127" s="113"/>
      <c r="CM127" s="102">
        <f t="shared" si="249"/>
        <v>7200</v>
      </c>
      <c r="CN127" s="99">
        <v>800</v>
      </c>
      <c r="CO127" s="113"/>
      <c r="CP127" s="102">
        <f t="shared" si="250"/>
        <v>8000</v>
      </c>
      <c r="CQ127" s="99">
        <v>800</v>
      </c>
      <c r="CR127" s="113"/>
      <c r="CS127" s="102">
        <f t="shared" si="255"/>
        <v>8800</v>
      </c>
      <c r="CT127" s="99">
        <v>800</v>
      </c>
      <c r="CU127" s="113"/>
      <c r="CV127" s="102">
        <f t="shared" si="256"/>
        <v>9600</v>
      </c>
      <c r="CW127" s="99">
        <v>800</v>
      </c>
      <c r="CX127" s="113"/>
      <c r="CY127" s="102">
        <f t="shared" si="257"/>
        <v>10400</v>
      </c>
    </row>
    <row r="128" spans="1:103">
      <c r="A128" s="41">
        <f>VLOOKUP(B128,справочник!$B$2:$E$322,4,FALSE)</f>
        <v>271</v>
      </c>
      <c r="B128" t="str">
        <f t="shared" si="166"/>
        <v>284Кожемякин Сергей Владимирович</v>
      </c>
      <c r="C128" s="1">
        <v>284</v>
      </c>
      <c r="D128" s="2" t="s">
        <v>119</v>
      </c>
      <c r="E128" s="1" t="s">
        <v>435</v>
      </c>
      <c r="F128" s="16">
        <v>42044</v>
      </c>
      <c r="G128" s="16">
        <v>42095</v>
      </c>
      <c r="H128" s="17">
        <f t="shared" si="254"/>
        <v>9</v>
      </c>
      <c r="I128" s="1">
        <f t="shared" si="172"/>
        <v>9000</v>
      </c>
      <c r="J128" s="17">
        <v>4000</v>
      </c>
      <c r="K128" s="17">
        <v>5000</v>
      </c>
      <c r="L128" s="18">
        <f t="shared" si="191"/>
        <v>0</v>
      </c>
      <c r="M128" s="22"/>
      <c r="N128" s="22"/>
      <c r="O128" s="22"/>
      <c r="P128" s="22"/>
      <c r="Q128" s="22"/>
      <c r="R128" s="22">
        <v>5000</v>
      </c>
      <c r="S128" s="22"/>
      <c r="T128" s="22"/>
      <c r="U128" s="22"/>
      <c r="V128" s="22"/>
      <c r="W128" s="22"/>
      <c r="X128" s="22">
        <v>3000</v>
      </c>
      <c r="Y128" s="18">
        <f t="shared" si="167"/>
        <v>8000</v>
      </c>
      <c r="Z128" s="96">
        <v>12</v>
      </c>
      <c r="AA128" s="96">
        <f t="shared" si="168"/>
        <v>9600</v>
      </c>
      <c r="AB128" s="96">
        <f t="shared" si="169"/>
        <v>1600</v>
      </c>
      <c r="AC128" s="99">
        <v>800</v>
      </c>
      <c r="AD128" s="98"/>
      <c r="AE128" s="102">
        <f t="shared" si="170"/>
        <v>2400</v>
      </c>
      <c r="AF128" s="99">
        <v>800</v>
      </c>
      <c r="AG128" s="98"/>
      <c r="AH128" s="102">
        <f t="shared" si="194"/>
        <v>3200</v>
      </c>
      <c r="AI128" s="99">
        <v>800</v>
      </c>
      <c r="AJ128" s="98"/>
      <c r="AK128" s="102">
        <f t="shared" si="195"/>
        <v>4000</v>
      </c>
      <c r="AL128" s="99">
        <v>800</v>
      </c>
      <c r="AM128" s="98"/>
      <c r="AN128" s="102">
        <f t="shared" si="196"/>
        <v>4800</v>
      </c>
      <c r="AO128" s="99">
        <v>800</v>
      </c>
      <c r="AP128" s="113"/>
      <c r="AQ128" s="102">
        <f t="shared" si="197"/>
        <v>5600</v>
      </c>
      <c r="AR128" s="99">
        <v>800</v>
      </c>
      <c r="AS128" s="113"/>
      <c r="AT128" s="102">
        <f t="shared" si="198"/>
        <v>6400</v>
      </c>
      <c r="AU128" s="99">
        <v>800</v>
      </c>
      <c r="AV128" s="113"/>
      <c r="AW128" s="102">
        <f t="shared" si="199"/>
        <v>7200</v>
      </c>
      <c r="AX128" s="99">
        <v>800</v>
      </c>
      <c r="AY128" s="113"/>
      <c r="AZ128" s="102">
        <f t="shared" si="200"/>
        <v>8000</v>
      </c>
      <c r="BA128" s="99">
        <v>800</v>
      </c>
      <c r="BB128" s="113"/>
      <c r="BC128" s="102">
        <f t="shared" si="201"/>
        <v>8800</v>
      </c>
      <c r="BD128" s="99">
        <v>800</v>
      </c>
      <c r="BE128" s="113"/>
      <c r="BF128" s="102">
        <f t="shared" si="202"/>
        <v>9600</v>
      </c>
      <c r="BG128" s="99">
        <v>800</v>
      </c>
      <c r="BH128" s="113"/>
      <c r="BI128" s="102">
        <f t="shared" si="230"/>
        <v>10400</v>
      </c>
      <c r="BJ128" s="99">
        <v>800</v>
      </c>
      <c r="BK128" s="113">
        <v>11200</v>
      </c>
      <c r="BL128" s="102">
        <f t="shared" si="231"/>
        <v>0</v>
      </c>
      <c r="BM128" s="99">
        <v>800</v>
      </c>
      <c r="BN128" s="113"/>
      <c r="BO128" s="102">
        <f t="shared" si="232"/>
        <v>800</v>
      </c>
      <c r="BP128" s="99">
        <v>800</v>
      </c>
      <c r="BQ128" s="113"/>
      <c r="BR128" s="102">
        <f t="shared" si="242"/>
        <v>1600</v>
      </c>
      <c r="BS128" s="99">
        <v>800</v>
      </c>
      <c r="BT128" s="113">
        <v>2400</v>
      </c>
      <c r="BU128" s="102">
        <f t="shared" si="243"/>
        <v>0</v>
      </c>
      <c r="BV128" s="99">
        <v>800</v>
      </c>
      <c r="BW128" s="113"/>
      <c r="BX128" s="102">
        <f t="shared" si="244"/>
        <v>800</v>
      </c>
      <c r="BY128" s="99">
        <v>800</v>
      </c>
      <c r="BZ128" s="113"/>
      <c r="CA128" s="102">
        <f t="shared" si="245"/>
        <v>1600</v>
      </c>
      <c r="CB128" s="99">
        <v>800</v>
      </c>
      <c r="CC128" s="113"/>
      <c r="CD128" s="102">
        <f t="shared" si="246"/>
        <v>2400</v>
      </c>
      <c r="CE128" s="99">
        <v>800</v>
      </c>
      <c r="CF128" s="113">
        <v>2400</v>
      </c>
      <c r="CG128" s="102">
        <f t="shared" si="247"/>
        <v>800</v>
      </c>
      <c r="CH128" s="99">
        <v>800</v>
      </c>
      <c r="CI128" s="113"/>
      <c r="CJ128" s="102">
        <f t="shared" si="248"/>
        <v>1600</v>
      </c>
      <c r="CK128" s="99">
        <v>800</v>
      </c>
      <c r="CL128" s="113">
        <v>1600</v>
      </c>
      <c r="CM128" s="102">
        <f t="shared" si="249"/>
        <v>800</v>
      </c>
      <c r="CN128" s="99">
        <v>800</v>
      </c>
      <c r="CO128" s="113"/>
      <c r="CP128" s="102">
        <f t="shared" si="250"/>
        <v>1600</v>
      </c>
      <c r="CQ128" s="99">
        <v>800</v>
      </c>
      <c r="CR128" s="113"/>
      <c r="CS128" s="102">
        <f t="shared" si="255"/>
        <v>2400</v>
      </c>
      <c r="CT128" s="99">
        <v>800</v>
      </c>
      <c r="CU128" s="113">
        <v>3200</v>
      </c>
      <c r="CV128" s="102">
        <f t="shared" si="256"/>
        <v>0</v>
      </c>
      <c r="CW128" s="99">
        <v>800</v>
      </c>
      <c r="CX128" s="113"/>
      <c r="CY128" s="102">
        <f t="shared" si="257"/>
        <v>800</v>
      </c>
    </row>
    <row r="129" spans="1:103">
      <c r="A129" s="41">
        <f>VLOOKUP(B129,справочник!$B$2:$E$322,4,FALSE)</f>
        <v>265</v>
      </c>
      <c r="B129" t="str">
        <f t="shared" si="166"/>
        <v>278Козловский Алексей Гаврилович</v>
      </c>
      <c r="C129" s="1">
        <v>278</v>
      </c>
      <c r="D129" s="2" t="s">
        <v>120</v>
      </c>
      <c r="E129" s="1" t="s">
        <v>436</v>
      </c>
      <c r="F129" s="16">
        <v>40812</v>
      </c>
      <c r="G129" s="16">
        <v>40787</v>
      </c>
      <c r="H129" s="17">
        <f t="shared" si="254"/>
        <v>52</v>
      </c>
      <c r="I129" s="1">
        <f t="shared" si="172"/>
        <v>52000</v>
      </c>
      <c r="J129" s="17">
        <f>2000+27000</f>
        <v>29000</v>
      </c>
      <c r="K129" s="17"/>
      <c r="L129" s="18">
        <f t="shared" si="191"/>
        <v>23000</v>
      </c>
      <c r="M129" s="22"/>
      <c r="N129" s="22"/>
      <c r="O129" s="22">
        <v>3000</v>
      </c>
      <c r="P129" s="22"/>
      <c r="Q129" s="22"/>
      <c r="R129" s="22"/>
      <c r="S129" s="22">
        <v>3000</v>
      </c>
      <c r="T129" s="22"/>
      <c r="U129" s="22">
        <v>3000</v>
      </c>
      <c r="V129" s="22"/>
      <c r="W129" s="84">
        <v>3000</v>
      </c>
      <c r="X129" s="22"/>
      <c r="Y129" s="18">
        <f t="shared" si="167"/>
        <v>12000</v>
      </c>
      <c r="Z129" s="96">
        <v>12</v>
      </c>
      <c r="AA129" s="96">
        <f t="shared" si="168"/>
        <v>9600</v>
      </c>
      <c r="AB129" s="96">
        <f t="shared" si="169"/>
        <v>20600</v>
      </c>
      <c r="AC129" s="99">
        <v>800</v>
      </c>
      <c r="AD129" s="98"/>
      <c r="AE129" s="102">
        <f t="shared" si="170"/>
        <v>21400</v>
      </c>
      <c r="AF129" s="99">
        <v>800</v>
      </c>
      <c r="AG129" s="98"/>
      <c r="AH129" s="102">
        <f t="shared" si="194"/>
        <v>22200</v>
      </c>
      <c r="AI129" s="99">
        <v>800</v>
      </c>
      <c r="AJ129" s="98"/>
      <c r="AK129" s="102">
        <f t="shared" si="195"/>
        <v>23000</v>
      </c>
      <c r="AL129" s="99">
        <v>800</v>
      </c>
      <c r="AM129" s="98"/>
      <c r="AN129" s="102">
        <f t="shared" si="196"/>
        <v>23800</v>
      </c>
      <c r="AO129" s="99">
        <v>800</v>
      </c>
      <c r="AP129" s="113"/>
      <c r="AQ129" s="102">
        <f t="shared" si="197"/>
        <v>24600</v>
      </c>
      <c r="AR129" s="99">
        <v>800</v>
      </c>
      <c r="AS129" s="113">
        <v>15000</v>
      </c>
      <c r="AT129" s="102">
        <f t="shared" si="198"/>
        <v>10400</v>
      </c>
      <c r="AU129" s="99">
        <v>800</v>
      </c>
      <c r="AV129" s="113"/>
      <c r="AW129" s="102">
        <f t="shared" si="199"/>
        <v>11200</v>
      </c>
      <c r="AX129" s="99">
        <v>800</v>
      </c>
      <c r="AY129" s="113">
        <v>3000</v>
      </c>
      <c r="AZ129" s="102">
        <f t="shared" si="200"/>
        <v>9000</v>
      </c>
      <c r="BA129" s="99">
        <v>800</v>
      </c>
      <c r="BB129" s="113"/>
      <c r="BC129" s="102">
        <f t="shared" si="201"/>
        <v>9800</v>
      </c>
      <c r="BD129" s="99">
        <v>800</v>
      </c>
      <c r="BE129" s="113">
        <v>1600</v>
      </c>
      <c r="BF129" s="102">
        <f t="shared" si="202"/>
        <v>9000</v>
      </c>
      <c r="BG129" s="99">
        <v>800</v>
      </c>
      <c r="BH129" s="113">
        <v>1600</v>
      </c>
      <c r="BI129" s="102">
        <f t="shared" si="230"/>
        <v>8200</v>
      </c>
      <c r="BJ129" s="99">
        <v>800</v>
      </c>
      <c r="BK129" s="113">
        <v>2000</v>
      </c>
      <c r="BL129" s="102">
        <f t="shared" si="231"/>
        <v>7000</v>
      </c>
      <c r="BM129" s="99">
        <v>800</v>
      </c>
      <c r="BN129" s="113">
        <v>1600</v>
      </c>
      <c r="BO129" s="102">
        <f t="shared" si="232"/>
        <v>6200</v>
      </c>
      <c r="BP129" s="99">
        <v>800</v>
      </c>
      <c r="BQ129" s="113"/>
      <c r="BR129" s="102">
        <f t="shared" si="242"/>
        <v>7000</v>
      </c>
      <c r="BS129" s="99">
        <v>800</v>
      </c>
      <c r="BT129" s="113"/>
      <c r="BU129" s="102">
        <f t="shared" si="243"/>
        <v>7800</v>
      </c>
      <c r="BV129" s="99">
        <v>800</v>
      </c>
      <c r="BW129" s="113">
        <v>3200</v>
      </c>
      <c r="BX129" s="102">
        <f t="shared" si="244"/>
        <v>5400</v>
      </c>
      <c r="BY129" s="99">
        <v>800</v>
      </c>
      <c r="BZ129" s="113">
        <v>2000</v>
      </c>
      <c r="CA129" s="102">
        <f t="shared" si="245"/>
        <v>4200</v>
      </c>
      <c r="CB129" s="99">
        <v>800</v>
      </c>
      <c r="CC129" s="113">
        <v>2400</v>
      </c>
      <c r="CD129" s="102">
        <f t="shared" si="246"/>
        <v>2600</v>
      </c>
      <c r="CE129" s="99">
        <v>800</v>
      </c>
      <c r="CF129" s="113">
        <v>1600</v>
      </c>
      <c r="CG129" s="102">
        <f t="shared" si="247"/>
        <v>1800</v>
      </c>
      <c r="CH129" s="99">
        <v>800</v>
      </c>
      <c r="CI129" s="113"/>
      <c r="CJ129" s="102">
        <f t="shared" si="248"/>
        <v>2600</v>
      </c>
      <c r="CK129" s="99">
        <v>800</v>
      </c>
      <c r="CL129" s="113"/>
      <c r="CM129" s="102">
        <f t="shared" si="249"/>
        <v>3400</v>
      </c>
      <c r="CN129" s="99">
        <v>800</v>
      </c>
      <c r="CO129" s="113">
        <v>2400</v>
      </c>
      <c r="CP129" s="102">
        <f t="shared" si="250"/>
        <v>1800</v>
      </c>
      <c r="CQ129" s="99">
        <v>800</v>
      </c>
      <c r="CR129" s="113"/>
      <c r="CS129" s="102">
        <f t="shared" si="255"/>
        <v>2600</v>
      </c>
      <c r="CT129" s="99">
        <v>800</v>
      </c>
      <c r="CU129" s="113">
        <v>800</v>
      </c>
      <c r="CV129" s="102">
        <f t="shared" si="256"/>
        <v>2600</v>
      </c>
      <c r="CW129" s="99">
        <v>800</v>
      </c>
      <c r="CX129" s="113"/>
      <c r="CY129" s="102">
        <f t="shared" si="257"/>
        <v>3400</v>
      </c>
    </row>
    <row r="130" spans="1:103" ht="24">
      <c r="A130" s="41" t="e">
        <f>VLOOKUP(B130,справочник!$B$2:$E$322,4,FALSE)</f>
        <v>#N/A</v>
      </c>
      <c r="B130" t="str">
        <f t="shared" si="166"/>
        <v>181Кряжкова Виктория Сергеевна (новый собственник Колесников Никита Олегович)</v>
      </c>
      <c r="C130" s="1">
        <v>181</v>
      </c>
      <c r="D130" s="2" t="s">
        <v>787</v>
      </c>
      <c r="E130" s="1" t="s">
        <v>437</v>
      </c>
      <c r="F130" s="16">
        <v>40793</v>
      </c>
      <c r="G130" s="16">
        <v>40787</v>
      </c>
      <c r="H130" s="17">
        <f t="shared" si="254"/>
        <v>52</v>
      </c>
      <c r="I130" s="1">
        <f t="shared" si="172"/>
        <v>52000</v>
      </c>
      <c r="J130" s="17">
        <v>1000</v>
      </c>
      <c r="K130" s="17"/>
      <c r="L130" s="18">
        <f t="shared" si="191"/>
        <v>51000</v>
      </c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18">
        <f t="shared" si="167"/>
        <v>0</v>
      </c>
      <c r="Z130" s="96">
        <v>12</v>
      </c>
      <c r="AA130" s="96">
        <f t="shared" si="168"/>
        <v>9600</v>
      </c>
      <c r="AB130" s="96">
        <f t="shared" si="169"/>
        <v>60600</v>
      </c>
      <c r="AC130" s="99">
        <v>800</v>
      </c>
      <c r="AD130" s="98"/>
      <c r="AE130" s="102">
        <f t="shared" si="170"/>
        <v>61400</v>
      </c>
      <c r="AF130" s="99">
        <v>800</v>
      </c>
      <c r="AG130" s="98"/>
      <c r="AH130" s="102">
        <f t="shared" si="194"/>
        <v>62200</v>
      </c>
      <c r="AI130" s="99">
        <v>800</v>
      </c>
      <c r="AJ130" s="98"/>
      <c r="AK130" s="102">
        <f t="shared" si="195"/>
        <v>63000</v>
      </c>
      <c r="AL130" s="99">
        <v>800</v>
      </c>
      <c r="AM130" s="98"/>
      <c r="AN130" s="102">
        <f t="shared" si="196"/>
        <v>63800</v>
      </c>
      <c r="AO130" s="99">
        <v>800</v>
      </c>
      <c r="AP130" s="113"/>
      <c r="AQ130" s="102">
        <f t="shared" si="197"/>
        <v>64600</v>
      </c>
      <c r="AR130" s="99">
        <v>800</v>
      </c>
      <c r="AS130" s="113"/>
      <c r="AT130" s="102">
        <f t="shared" si="198"/>
        <v>65400</v>
      </c>
      <c r="AU130" s="99">
        <v>800</v>
      </c>
      <c r="AV130" s="113"/>
      <c r="AW130" s="102">
        <f t="shared" si="199"/>
        <v>66200</v>
      </c>
      <c r="AX130" s="99">
        <v>800</v>
      </c>
      <c r="AY130" s="113"/>
      <c r="AZ130" s="102">
        <f t="shared" si="200"/>
        <v>67000</v>
      </c>
      <c r="BA130" s="99">
        <v>800</v>
      </c>
      <c r="BB130" s="113"/>
      <c r="BC130" s="102">
        <f t="shared" si="201"/>
        <v>67800</v>
      </c>
      <c r="BD130" s="99">
        <v>800</v>
      </c>
      <c r="BE130" s="113"/>
      <c r="BF130" s="102">
        <f t="shared" si="202"/>
        <v>68600</v>
      </c>
      <c r="BG130" s="99">
        <v>800</v>
      </c>
      <c r="BH130" s="113"/>
      <c r="BI130" s="102">
        <f t="shared" si="230"/>
        <v>69400</v>
      </c>
      <c r="BJ130" s="99">
        <v>800</v>
      </c>
      <c r="BK130" s="113"/>
      <c r="BL130" s="102">
        <f t="shared" si="231"/>
        <v>70200</v>
      </c>
      <c r="BM130" s="99">
        <v>800</v>
      </c>
      <c r="BN130" s="113"/>
      <c r="BO130" s="102">
        <f t="shared" si="232"/>
        <v>71000</v>
      </c>
      <c r="BP130" s="99">
        <v>800</v>
      </c>
      <c r="BQ130" s="113"/>
      <c r="BR130" s="102">
        <f t="shared" si="242"/>
        <v>71800</v>
      </c>
      <c r="BS130" s="99">
        <v>800</v>
      </c>
      <c r="BT130" s="113"/>
      <c r="BU130" s="102">
        <f t="shared" si="243"/>
        <v>72600</v>
      </c>
      <c r="BV130" s="99">
        <v>800</v>
      </c>
      <c r="BW130" s="113"/>
      <c r="BX130" s="102">
        <f t="shared" si="244"/>
        <v>73400</v>
      </c>
      <c r="BY130" s="99">
        <v>800</v>
      </c>
      <c r="BZ130" s="113"/>
      <c r="CA130" s="102">
        <f t="shared" si="245"/>
        <v>74200</v>
      </c>
      <c r="CB130" s="99">
        <v>800</v>
      </c>
      <c r="CC130" s="113"/>
      <c r="CD130" s="102">
        <f t="shared" si="246"/>
        <v>75000</v>
      </c>
      <c r="CE130" s="99">
        <v>800</v>
      </c>
      <c r="CF130" s="113"/>
      <c r="CG130" s="102">
        <f t="shared" si="247"/>
        <v>75800</v>
      </c>
      <c r="CH130" s="99">
        <v>800</v>
      </c>
      <c r="CI130" s="113"/>
      <c r="CJ130" s="102">
        <f t="shared" si="248"/>
        <v>76600</v>
      </c>
      <c r="CK130" s="99">
        <v>800</v>
      </c>
      <c r="CL130" s="113"/>
      <c r="CM130" s="102">
        <f t="shared" si="249"/>
        <v>77400</v>
      </c>
      <c r="CN130" s="99">
        <v>800</v>
      </c>
      <c r="CO130" s="113"/>
      <c r="CP130" s="102">
        <f t="shared" si="250"/>
        <v>78200</v>
      </c>
      <c r="CQ130" s="99">
        <v>800</v>
      </c>
      <c r="CR130" s="113"/>
      <c r="CS130" s="102">
        <f t="shared" si="255"/>
        <v>79000</v>
      </c>
      <c r="CT130" s="99">
        <v>800</v>
      </c>
      <c r="CU130" s="113"/>
      <c r="CV130" s="102">
        <f t="shared" si="256"/>
        <v>79800</v>
      </c>
      <c r="CW130" s="99">
        <v>800</v>
      </c>
      <c r="CX130" s="113"/>
      <c r="CY130" s="102">
        <f t="shared" si="257"/>
        <v>80600</v>
      </c>
    </row>
    <row r="131" spans="1:103">
      <c r="A131" s="41">
        <f>VLOOKUP(B131,справочник!$B$2:$E$322,4,FALSE)</f>
        <v>305</v>
      </c>
      <c r="B131" t="str">
        <f t="shared" si="166"/>
        <v>320Колесов Вадим Владимирович</v>
      </c>
      <c r="C131" s="1">
        <v>320</v>
      </c>
      <c r="D131" s="2" t="s">
        <v>122</v>
      </c>
      <c r="E131" s="1" t="s">
        <v>438</v>
      </c>
      <c r="F131" s="16">
        <v>41929</v>
      </c>
      <c r="G131" s="16">
        <v>41944</v>
      </c>
      <c r="H131" s="17">
        <f t="shared" si="254"/>
        <v>14</v>
      </c>
      <c r="I131" s="1">
        <f t="shared" si="172"/>
        <v>14000</v>
      </c>
      <c r="J131" s="17">
        <v>1000</v>
      </c>
      <c r="K131" s="17"/>
      <c r="L131" s="18">
        <f t="shared" si="191"/>
        <v>13000</v>
      </c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18">
        <f t="shared" si="167"/>
        <v>0</v>
      </c>
      <c r="Z131" s="96">
        <v>12</v>
      </c>
      <c r="AA131" s="96">
        <f t="shared" si="168"/>
        <v>9600</v>
      </c>
      <c r="AB131" s="96">
        <f t="shared" si="169"/>
        <v>22600</v>
      </c>
      <c r="AC131" s="99">
        <v>800</v>
      </c>
      <c r="AD131" s="98"/>
      <c r="AE131" s="102">
        <f t="shared" si="170"/>
        <v>23400</v>
      </c>
      <c r="AF131" s="99">
        <v>800</v>
      </c>
      <c r="AG131" s="98"/>
      <c r="AH131" s="102">
        <f t="shared" si="194"/>
        <v>24200</v>
      </c>
      <c r="AI131" s="99">
        <v>800</v>
      </c>
      <c r="AJ131" s="98"/>
      <c r="AK131" s="102">
        <f t="shared" si="195"/>
        <v>25000</v>
      </c>
      <c r="AL131" s="99">
        <v>800</v>
      </c>
      <c r="AM131" s="98"/>
      <c r="AN131" s="102">
        <f t="shared" si="196"/>
        <v>25800</v>
      </c>
      <c r="AO131" s="99">
        <v>800</v>
      </c>
      <c r="AP131" s="113"/>
      <c r="AQ131" s="102">
        <f t="shared" si="197"/>
        <v>26600</v>
      </c>
      <c r="AR131" s="99">
        <v>800</v>
      </c>
      <c r="AS131" s="113"/>
      <c r="AT131" s="102">
        <f t="shared" si="198"/>
        <v>27400</v>
      </c>
      <c r="AU131" s="99">
        <v>800</v>
      </c>
      <c r="AV131" s="113"/>
      <c r="AW131" s="102">
        <f t="shared" si="199"/>
        <v>28200</v>
      </c>
      <c r="AX131" s="99">
        <v>800</v>
      </c>
      <c r="AY131" s="113"/>
      <c r="AZ131" s="102">
        <f t="shared" si="200"/>
        <v>29000</v>
      </c>
      <c r="BA131" s="99">
        <v>800</v>
      </c>
      <c r="BB131" s="113"/>
      <c r="BC131" s="102">
        <f t="shared" si="201"/>
        <v>29800</v>
      </c>
      <c r="BD131" s="99">
        <v>800</v>
      </c>
      <c r="BE131" s="113"/>
      <c r="BF131" s="102">
        <f t="shared" si="202"/>
        <v>30600</v>
      </c>
      <c r="BG131" s="99">
        <v>800</v>
      </c>
      <c r="BH131" s="113"/>
      <c r="BI131" s="102">
        <f t="shared" si="230"/>
        <v>31400</v>
      </c>
      <c r="BJ131" s="99">
        <v>800</v>
      </c>
      <c r="BK131" s="113"/>
      <c r="BL131" s="102">
        <f t="shared" si="231"/>
        <v>32200</v>
      </c>
      <c r="BM131" s="99">
        <v>800</v>
      </c>
      <c r="BN131" s="113"/>
      <c r="BO131" s="102">
        <f t="shared" si="232"/>
        <v>33000</v>
      </c>
      <c r="BP131" s="99">
        <v>800</v>
      </c>
      <c r="BQ131" s="113"/>
      <c r="BR131" s="102">
        <f t="shared" si="242"/>
        <v>33800</v>
      </c>
      <c r="BS131" s="99">
        <v>800</v>
      </c>
      <c r="BT131" s="113"/>
      <c r="BU131" s="102">
        <f t="shared" si="243"/>
        <v>34600</v>
      </c>
      <c r="BV131" s="99">
        <v>800</v>
      </c>
      <c r="BW131" s="113"/>
      <c r="BX131" s="102">
        <f t="shared" si="244"/>
        <v>35400</v>
      </c>
      <c r="BY131" s="99">
        <v>800</v>
      </c>
      <c r="BZ131" s="113"/>
      <c r="CA131" s="102">
        <f t="shared" si="245"/>
        <v>36200</v>
      </c>
      <c r="CB131" s="99">
        <v>800</v>
      </c>
      <c r="CC131" s="113"/>
      <c r="CD131" s="102">
        <f t="shared" si="246"/>
        <v>37000</v>
      </c>
      <c r="CE131" s="99">
        <v>800</v>
      </c>
      <c r="CF131" s="113"/>
      <c r="CG131" s="102">
        <f t="shared" si="247"/>
        <v>37800</v>
      </c>
      <c r="CH131" s="99">
        <v>800</v>
      </c>
      <c r="CI131" s="113"/>
      <c r="CJ131" s="102">
        <f t="shared" si="248"/>
        <v>38600</v>
      </c>
      <c r="CK131" s="99">
        <v>800</v>
      </c>
      <c r="CL131" s="113"/>
      <c r="CM131" s="102">
        <f t="shared" si="249"/>
        <v>39400</v>
      </c>
      <c r="CN131" s="99">
        <v>800</v>
      </c>
      <c r="CO131" s="113"/>
      <c r="CP131" s="102">
        <f t="shared" si="250"/>
        <v>40200</v>
      </c>
      <c r="CQ131" s="99">
        <v>800</v>
      </c>
      <c r="CR131" s="113"/>
      <c r="CS131" s="102">
        <f t="shared" si="255"/>
        <v>41000</v>
      </c>
      <c r="CT131" s="99">
        <v>800</v>
      </c>
      <c r="CU131" s="113"/>
      <c r="CV131" s="102">
        <f t="shared" si="256"/>
        <v>41800</v>
      </c>
      <c r="CW131" s="99">
        <v>800</v>
      </c>
      <c r="CX131" s="113"/>
      <c r="CY131" s="102">
        <f t="shared" si="257"/>
        <v>42600</v>
      </c>
    </row>
    <row r="132" spans="1:103" s="80" customFormat="1">
      <c r="A132" s="103">
        <f>VLOOKUP(B132,справочник!$B$2:$E$322,4,FALSE)</f>
        <v>69</v>
      </c>
      <c r="B132" s="80" t="str">
        <f t="shared" si="166"/>
        <v>75Колташ Анна Владимировна</v>
      </c>
      <c r="C132" s="5">
        <v>75</v>
      </c>
      <c r="D132" s="7" t="s">
        <v>123</v>
      </c>
      <c r="E132" s="5" t="s">
        <v>439</v>
      </c>
      <c r="F132" s="19" t="s">
        <v>440</v>
      </c>
      <c r="G132" s="19">
        <v>40787</v>
      </c>
      <c r="H132" s="20">
        <f t="shared" si="254"/>
        <v>52</v>
      </c>
      <c r="I132" s="5">
        <f t="shared" si="172"/>
        <v>52000</v>
      </c>
      <c r="J132" s="20">
        <f>3000+10000</f>
        <v>13000</v>
      </c>
      <c r="K132" s="20"/>
      <c r="L132" s="21">
        <f t="shared" si="191"/>
        <v>39000</v>
      </c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>
        <f t="shared" si="167"/>
        <v>0</v>
      </c>
      <c r="Z132" s="104">
        <v>12</v>
      </c>
      <c r="AA132" s="104">
        <f t="shared" si="168"/>
        <v>9600</v>
      </c>
      <c r="AB132" s="104">
        <f t="shared" si="169"/>
        <v>48600</v>
      </c>
      <c r="AC132" s="104">
        <v>800</v>
      </c>
      <c r="AD132" s="105"/>
      <c r="AE132" s="227">
        <f>SUM(AB132:AB133)+SUM(AC132:AC133)-SUM(AD132:AD133)</f>
        <v>49400</v>
      </c>
      <c r="AF132" s="104">
        <v>800</v>
      </c>
      <c r="AG132" s="105"/>
      <c r="AH132" s="227">
        <f>SUM(AE132:AE133)+SUM(AF132:AF133)-SUM(AG132:AG133)</f>
        <v>50200</v>
      </c>
      <c r="AI132" s="104">
        <v>800</v>
      </c>
      <c r="AJ132" s="105"/>
      <c r="AK132" s="227">
        <f>SUM(AH132:AH133)+SUM(AI132:AI133)-SUM(AJ132:AJ133)</f>
        <v>51000</v>
      </c>
      <c r="AL132" s="104">
        <v>800</v>
      </c>
      <c r="AM132" s="105"/>
      <c r="AN132" s="227">
        <f>SUM(AK132:AK133)+SUM(AL132:AL133)-SUM(AM132:AM133)</f>
        <v>51800</v>
      </c>
      <c r="AO132" s="104">
        <v>800</v>
      </c>
      <c r="AP132" s="105"/>
      <c r="AQ132" s="227">
        <f>SUM(AN132:AN133)+SUM(AO132:AO133)-SUM(AP132:AP133)</f>
        <v>52600</v>
      </c>
      <c r="AR132" s="104">
        <v>800</v>
      </c>
      <c r="AS132" s="105"/>
      <c r="AT132" s="227">
        <f>SUM(AQ132:AQ133)+SUM(AR132:AR133)-SUM(AS132:AS133)</f>
        <v>53400</v>
      </c>
      <c r="AU132" s="104">
        <v>800</v>
      </c>
      <c r="AV132" s="105"/>
      <c r="AW132" s="212">
        <f>SUM(AT132:AT133)+SUM(AU132:AU133)-SUM(AV132:AV133)</f>
        <v>54200</v>
      </c>
      <c r="AX132" s="104">
        <v>800</v>
      </c>
      <c r="AY132" s="105"/>
      <c r="AZ132" s="212">
        <f>SUM(AW132:AW133)+SUM(AX132:AX133)-SUM(AY132:AY133)</f>
        <v>55000</v>
      </c>
      <c r="BA132" s="104">
        <v>800</v>
      </c>
      <c r="BB132" s="105"/>
      <c r="BC132" s="212">
        <f>SUM(AZ132:AZ133)+SUM(BA132:BA133)-SUM(BB132:BB133)</f>
        <v>55800</v>
      </c>
      <c r="BD132" s="104">
        <v>800</v>
      </c>
      <c r="BE132" s="105"/>
      <c r="BF132" s="212">
        <f>SUM(BC132:BC133)+SUM(BD132:BD133)-SUM(BE132:BE133)</f>
        <v>56600</v>
      </c>
      <c r="BG132" s="104">
        <v>800</v>
      </c>
      <c r="BH132" s="105"/>
      <c r="BI132" s="212">
        <f>SUM(BF132:BF133)+SUM(BG132:BG133)-SUM(BH132:BH133)</f>
        <v>57400</v>
      </c>
      <c r="BJ132" s="104">
        <v>800</v>
      </c>
      <c r="BK132" s="105"/>
      <c r="BL132" s="212">
        <f>SUM(BI132:BI133)+SUM(BJ132:BJ133)-SUM(BK132:BK133)</f>
        <v>58200</v>
      </c>
      <c r="BM132" s="104">
        <v>800</v>
      </c>
      <c r="BN132" s="105"/>
      <c r="BO132" s="212">
        <f>SUM(BL132:BL133)+SUM(BM132:BM133)-SUM(BN132:BN133)</f>
        <v>59000</v>
      </c>
      <c r="BP132" s="104">
        <v>800</v>
      </c>
      <c r="BQ132" s="105"/>
      <c r="BR132" s="212">
        <f>SUM(BO132:BO133)+SUM(BP132:BP133)-SUM(BQ132:BQ133)</f>
        <v>59800</v>
      </c>
      <c r="BS132" s="104">
        <v>800</v>
      </c>
      <c r="BT132" s="105"/>
      <c r="BU132" s="212">
        <f>SUM(BR132:BR133)+SUM(BS132:BS133)-SUM(BT132:BT133)</f>
        <v>60600</v>
      </c>
      <c r="BV132" s="104">
        <v>800</v>
      </c>
      <c r="BW132" s="105"/>
      <c r="BX132" s="212">
        <f>SUM(BU132:BU133)+SUM(BV132:BV133)-SUM(BW132:BW133)</f>
        <v>61400</v>
      </c>
      <c r="BY132" s="104">
        <v>800</v>
      </c>
      <c r="BZ132" s="105"/>
      <c r="CA132" s="212">
        <f>SUM(BX132:BX133)+SUM(BY132:BY133)-SUM(BZ132:BZ133)</f>
        <v>62200</v>
      </c>
      <c r="CB132" s="104">
        <v>800</v>
      </c>
      <c r="CC132" s="105"/>
      <c r="CD132" s="212">
        <f>SUM(CA132:CA133)+SUM(CB132:CB133)-SUM(CC132:CC133)</f>
        <v>63000</v>
      </c>
      <c r="CE132" s="104">
        <v>800</v>
      </c>
      <c r="CF132" s="105"/>
      <c r="CG132" s="212">
        <f>SUM(CD132:CD133)+SUM(CE132:CE133)-SUM(CF132:CF133)</f>
        <v>63800</v>
      </c>
      <c r="CH132" s="104">
        <v>800</v>
      </c>
      <c r="CI132" s="105"/>
      <c r="CJ132" s="212">
        <f>SUM(CG132:CG133)+SUM(CH132:CH133)-SUM(CI132:CI133)</f>
        <v>64600</v>
      </c>
      <c r="CK132" s="104">
        <v>800</v>
      </c>
      <c r="CL132" s="105"/>
      <c r="CM132" s="212">
        <f>SUM(CJ132:CJ133)+SUM(CK132:CK133)-SUM(CL132:CL133)</f>
        <v>65400</v>
      </c>
      <c r="CN132" s="104">
        <v>800</v>
      </c>
      <c r="CO132" s="105"/>
      <c r="CP132" s="212">
        <f>SUM(CM132:CM133)+SUM(CN132:CN133)-SUM(CO132:CO133)</f>
        <v>66200</v>
      </c>
      <c r="CQ132" s="104">
        <v>800</v>
      </c>
      <c r="CR132" s="105"/>
      <c r="CS132" s="212">
        <f>CP132+CQ132-CR132</f>
        <v>67000</v>
      </c>
      <c r="CT132" s="104">
        <v>800</v>
      </c>
      <c r="CU132" s="105"/>
      <c r="CV132" s="212">
        <f>CS132+CT132-CU132</f>
        <v>67800</v>
      </c>
      <c r="CW132" s="104">
        <v>800</v>
      </c>
      <c r="CX132" s="105"/>
      <c r="CY132" s="212">
        <f>CV132+CW132-CX132</f>
        <v>68600</v>
      </c>
    </row>
    <row r="133" spans="1:103" s="80" customFormat="1">
      <c r="A133" s="103">
        <f>VLOOKUP(B133,справочник!$B$2:$E$322,4,FALSE)</f>
        <v>69</v>
      </c>
      <c r="B133" s="80" t="str">
        <f t="shared" si="166"/>
        <v>76Колташ Анна Владимировна</v>
      </c>
      <c r="C133" s="5">
        <v>76</v>
      </c>
      <c r="D133" s="7" t="s">
        <v>123</v>
      </c>
      <c r="E133" s="5" t="s">
        <v>441</v>
      </c>
      <c r="F133" s="5"/>
      <c r="G133" s="5"/>
      <c r="H133" s="20"/>
      <c r="I133" s="5">
        <f t="shared" si="172"/>
        <v>0</v>
      </c>
      <c r="J133" s="20"/>
      <c r="K133" s="20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>
        <f t="shared" si="167"/>
        <v>0</v>
      </c>
      <c r="Z133" s="104"/>
      <c r="AA133" s="104">
        <f t="shared" si="168"/>
        <v>0</v>
      </c>
      <c r="AB133" s="104">
        <f t="shared" si="169"/>
        <v>0</v>
      </c>
      <c r="AC133" s="104">
        <v>0</v>
      </c>
      <c r="AD133" s="105"/>
      <c r="AE133" s="228"/>
      <c r="AF133" s="104">
        <v>0</v>
      </c>
      <c r="AG133" s="105"/>
      <c r="AH133" s="228"/>
      <c r="AI133" s="104">
        <v>0</v>
      </c>
      <c r="AJ133" s="105"/>
      <c r="AK133" s="228"/>
      <c r="AL133" s="104">
        <v>0</v>
      </c>
      <c r="AM133" s="105"/>
      <c r="AN133" s="228"/>
      <c r="AO133" s="104">
        <v>0</v>
      </c>
      <c r="AP133" s="105"/>
      <c r="AQ133" s="228"/>
      <c r="AR133" s="104">
        <v>0</v>
      </c>
      <c r="AS133" s="105"/>
      <c r="AT133" s="228"/>
      <c r="AU133" s="104">
        <v>0</v>
      </c>
      <c r="AV133" s="105"/>
      <c r="AW133" s="214"/>
      <c r="AX133" s="104">
        <v>0</v>
      </c>
      <c r="AY133" s="105"/>
      <c r="AZ133" s="214"/>
      <c r="BA133" s="104">
        <v>0</v>
      </c>
      <c r="BB133" s="105"/>
      <c r="BC133" s="214"/>
      <c r="BD133" s="104">
        <v>0</v>
      </c>
      <c r="BE133" s="105"/>
      <c r="BF133" s="214"/>
      <c r="BG133" s="104">
        <v>0</v>
      </c>
      <c r="BH133" s="105"/>
      <c r="BI133" s="214"/>
      <c r="BJ133" s="104">
        <v>0</v>
      </c>
      <c r="BK133" s="105"/>
      <c r="BL133" s="214"/>
      <c r="BM133" s="104">
        <v>0</v>
      </c>
      <c r="BN133" s="105"/>
      <c r="BO133" s="214"/>
      <c r="BP133" s="104">
        <v>0</v>
      </c>
      <c r="BQ133" s="105"/>
      <c r="BR133" s="214"/>
      <c r="BS133" s="104">
        <v>0</v>
      </c>
      <c r="BT133" s="105"/>
      <c r="BU133" s="214"/>
      <c r="BV133" s="104">
        <v>0</v>
      </c>
      <c r="BW133" s="105"/>
      <c r="BX133" s="214"/>
      <c r="BY133" s="104">
        <v>0</v>
      </c>
      <c r="BZ133" s="105"/>
      <c r="CA133" s="214"/>
      <c r="CB133" s="104">
        <v>0</v>
      </c>
      <c r="CC133" s="105"/>
      <c r="CD133" s="214"/>
      <c r="CE133" s="104">
        <v>0</v>
      </c>
      <c r="CF133" s="105"/>
      <c r="CG133" s="214"/>
      <c r="CH133" s="104">
        <v>0</v>
      </c>
      <c r="CI133" s="105"/>
      <c r="CJ133" s="214"/>
      <c r="CK133" s="104">
        <v>0</v>
      </c>
      <c r="CL133" s="105"/>
      <c r="CM133" s="214"/>
      <c r="CN133" s="104">
        <v>0</v>
      </c>
      <c r="CO133" s="105"/>
      <c r="CP133" s="214"/>
      <c r="CQ133" s="104">
        <v>0</v>
      </c>
      <c r="CR133" s="105"/>
      <c r="CS133" s="214"/>
      <c r="CT133" s="104">
        <v>0</v>
      </c>
      <c r="CU133" s="105"/>
      <c r="CV133" s="214"/>
      <c r="CW133" s="104">
        <v>0</v>
      </c>
      <c r="CX133" s="105"/>
      <c r="CY133" s="214"/>
    </row>
    <row r="134" spans="1:103">
      <c r="A134" s="41">
        <f>VLOOKUP(B134,справочник!$B$2:$E$322,4,FALSE)</f>
        <v>1</v>
      </c>
      <c r="B134" t="str">
        <f t="shared" ref="B134:B198" si="258">CONCATENATE(C134,D134)</f>
        <v>1Колыгина Нина Николаевна</v>
      </c>
      <c r="C134" s="1">
        <v>1</v>
      </c>
      <c r="D134" s="2" t="s">
        <v>124</v>
      </c>
      <c r="E134" s="1" t="s">
        <v>442</v>
      </c>
      <c r="F134" s="16">
        <v>41409</v>
      </c>
      <c r="G134" s="16">
        <v>41548</v>
      </c>
      <c r="H134" s="17">
        <f t="shared" ref="H134:H153" si="259">INT(($H$326-G134)/30)</f>
        <v>27</v>
      </c>
      <c r="I134" s="1">
        <f t="shared" si="172"/>
        <v>27000</v>
      </c>
      <c r="J134" s="17">
        <v>24000</v>
      </c>
      <c r="K134" s="17">
        <v>5600</v>
      </c>
      <c r="L134" s="18">
        <f t="shared" ref="L134:L187" si="260">I134-J134-K134</f>
        <v>-2600</v>
      </c>
      <c r="M134" s="22"/>
      <c r="N134" s="22">
        <v>4200</v>
      </c>
      <c r="O134" s="22"/>
      <c r="P134" s="22"/>
      <c r="Q134" s="22"/>
      <c r="R134" s="22"/>
      <c r="S134" s="22"/>
      <c r="T134" s="22"/>
      <c r="U134" s="22"/>
      <c r="V134" s="22"/>
      <c r="W134" s="22"/>
      <c r="X134" s="22">
        <v>5600</v>
      </c>
      <c r="Y134" s="18">
        <f t="shared" ref="Y134:Y198" si="261">SUM(M134:X134)</f>
        <v>9800</v>
      </c>
      <c r="Z134" s="96">
        <v>12</v>
      </c>
      <c r="AA134" s="96">
        <f t="shared" ref="AA134:AA198" si="262">Z134*800</f>
        <v>9600</v>
      </c>
      <c r="AB134" s="96">
        <f t="shared" ref="AB134:AB198" si="263">L134+AA134-Y134</f>
        <v>-2800</v>
      </c>
      <c r="AC134" s="99">
        <v>800</v>
      </c>
      <c r="AD134" s="98"/>
      <c r="AE134" s="102">
        <f t="shared" ref="AE134:AE198" si="264">AB134+AC134-AD134</f>
        <v>-2000</v>
      </c>
      <c r="AF134" s="99">
        <v>800</v>
      </c>
      <c r="AG134" s="98"/>
      <c r="AH134" s="102">
        <f t="shared" ref="AH134:AH152" si="265">AE134+AF134-AG134</f>
        <v>-1200</v>
      </c>
      <c r="AI134" s="99">
        <v>800</v>
      </c>
      <c r="AJ134" s="98"/>
      <c r="AK134" s="102">
        <f t="shared" ref="AK134:AK138" si="266">AH134+AI134-AJ134</f>
        <v>-400</v>
      </c>
      <c r="AL134" s="99">
        <v>800</v>
      </c>
      <c r="AM134" s="98"/>
      <c r="AN134" s="102">
        <f t="shared" ref="AN134:AN138" si="267">AK134+AL134-AM134</f>
        <v>400</v>
      </c>
      <c r="AO134" s="99">
        <v>800</v>
      </c>
      <c r="AP134" s="113"/>
      <c r="AQ134" s="102">
        <f t="shared" ref="AQ134:AQ138" si="268">AN134+AO134-AP134</f>
        <v>1200</v>
      </c>
      <c r="AR134" s="99">
        <v>800</v>
      </c>
      <c r="AS134" s="113"/>
      <c r="AT134" s="102">
        <f t="shared" ref="AT134:AT138" si="269">AQ134+AR134-AS134</f>
        <v>2000</v>
      </c>
      <c r="AU134" s="99">
        <v>800</v>
      </c>
      <c r="AV134" s="113"/>
      <c r="AW134" s="102">
        <f t="shared" ref="AW134:AW136" si="270">AT134+AU134-AV134</f>
        <v>2800</v>
      </c>
      <c r="AX134" s="99">
        <v>800</v>
      </c>
      <c r="AY134" s="113"/>
      <c r="AZ134" s="102">
        <f t="shared" ref="AZ134:AZ136" si="271">AW134+AX134-AY134</f>
        <v>3600</v>
      </c>
      <c r="BA134" s="99">
        <v>800</v>
      </c>
      <c r="BB134" s="113"/>
      <c r="BC134" s="102">
        <f t="shared" ref="BC134:BC136" si="272">AZ134+BA134-BB134</f>
        <v>4400</v>
      </c>
      <c r="BD134" s="99">
        <v>800</v>
      </c>
      <c r="BE134" s="113"/>
      <c r="BF134" s="102">
        <f t="shared" ref="BF134:BF136" si="273">BC134+BD134-BE134</f>
        <v>5200</v>
      </c>
      <c r="BG134" s="99">
        <v>800</v>
      </c>
      <c r="BH134" s="113"/>
      <c r="BI134" s="102">
        <f t="shared" ref="BI134:BI136" si="274">BF134+BG134-BH134</f>
        <v>6000</v>
      </c>
      <c r="BJ134" s="99">
        <v>800</v>
      </c>
      <c r="BK134" s="113"/>
      <c r="BL134" s="102">
        <f t="shared" ref="BL134:BL135" si="275">BI134+BJ134-BK134</f>
        <v>6800</v>
      </c>
      <c r="BM134" s="99">
        <v>800</v>
      </c>
      <c r="BN134" s="113">
        <v>6800</v>
      </c>
      <c r="BO134" s="102">
        <f t="shared" ref="BO134:BO136" si="276">BL134+BM134-BN134</f>
        <v>800</v>
      </c>
      <c r="BP134" s="99">
        <v>800</v>
      </c>
      <c r="BQ134" s="113"/>
      <c r="BR134" s="102">
        <f t="shared" ref="BR134:BR136" si="277">BO134+BP134-BQ134</f>
        <v>1600</v>
      </c>
      <c r="BS134" s="99">
        <v>800</v>
      </c>
      <c r="BT134" s="113"/>
      <c r="BU134" s="102">
        <f t="shared" ref="BU134:BU136" si="278">BR134+BS134-BT134</f>
        <v>2400</v>
      </c>
      <c r="BV134" s="99">
        <v>800</v>
      </c>
      <c r="BW134" s="113"/>
      <c r="BX134" s="102">
        <f t="shared" ref="BX134:BX136" si="279">BU134+BV134-BW134</f>
        <v>3200</v>
      </c>
      <c r="BY134" s="99">
        <v>800</v>
      </c>
      <c r="BZ134" s="113"/>
      <c r="CA134" s="102">
        <f t="shared" ref="CA134:CA136" si="280">BX134+BY134-BZ134</f>
        <v>4000</v>
      </c>
      <c r="CB134" s="99">
        <v>800</v>
      </c>
      <c r="CC134" s="113"/>
      <c r="CD134" s="102">
        <f t="shared" ref="CD134:CD136" si="281">CA134+CB134-CC134</f>
        <v>4800</v>
      </c>
      <c r="CE134" s="99">
        <v>800</v>
      </c>
      <c r="CF134" s="113"/>
      <c r="CG134" s="102">
        <f t="shared" ref="CG134:CG136" si="282">CD134+CE134-CF134</f>
        <v>5600</v>
      </c>
      <c r="CH134" s="99">
        <v>800</v>
      </c>
      <c r="CI134" s="113"/>
      <c r="CJ134" s="102">
        <f t="shared" ref="CJ134:CJ136" si="283">CG134+CH134-CI134</f>
        <v>6400</v>
      </c>
      <c r="CK134" s="99">
        <v>800</v>
      </c>
      <c r="CL134" s="113"/>
      <c r="CM134" s="102">
        <f t="shared" ref="CM134:CM136" si="284">CJ134+CK134-CL134</f>
        <v>7200</v>
      </c>
      <c r="CN134" s="99">
        <v>800</v>
      </c>
      <c r="CO134" s="113">
        <v>4800</v>
      </c>
      <c r="CP134" s="102">
        <f t="shared" ref="CP134:CP136" si="285">CM134+CN134-CO134</f>
        <v>3200</v>
      </c>
      <c r="CQ134" s="99">
        <v>800</v>
      </c>
      <c r="CR134" s="113"/>
      <c r="CS134" s="102">
        <f>CP134+CQ134-CR134</f>
        <v>4000</v>
      </c>
      <c r="CT134" s="99">
        <v>800</v>
      </c>
      <c r="CU134" s="113"/>
      <c r="CV134" s="102">
        <f>CS134+CT134-CU134</f>
        <v>4800</v>
      </c>
      <c r="CW134" s="99">
        <v>800</v>
      </c>
      <c r="CX134" s="113"/>
      <c r="CY134" s="102">
        <f>CV134+CW134-CX134</f>
        <v>5600</v>
      </c>
    </row>
    <row r="135" spans="1:103">
      <c r="A135" s="41">
        <f>VLOOKUP(B135,справочник!$B$2:$E$322,4,FALSE)</f>
        <v>302</v>
      </c>
      <c r="B135" t="str">
        <f t="shared" si="258"/>
        <v>317Колышкина Александра Сергеевна</v>
      </c>
      <c r="C135" s="1">
        <v>317</v>
      </c>
      <c r="D135" s="2" t="s">
        <v>125</v>
      </c>
      <c r="E135" s="1" t="s">
        <v>443</v>
      </c>
      <c r="F135" s="16">
        <v>40997</v>
      </c>
      <c r="G135" s="16">
        <v>41000</v>
      </c>
      <c r="H135" s="17">
        <f t="shared" si="259"/>
        <v>45</v>
      </c>
      <c r="I135" s="1">
        <f t="shared" si="172"/>
        <v>45000</v>
      </c>
      <c r="J135" s="17">
        <v>32000</v>
      </c>
      <c r="K135" s="17"/>
      <c r="L135" s="18">
        <f t="shared" si="260"/>
        <v>13000</v>
      </c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18">
        <f t="shared" si="261"/>
        <v>0</v>
      </c>
      <c r="Z135" s="96">
        <v>12</v>
      </c>
      <c r="AA135" s="96">
        <f t="shared" si="262"/>
        <v>9600</v>
      </c>
      <c r="AB135" s="96">
        <f t="shared" si="263"/>
        <v>22600</v>
      </c>
      <c r="AC135" s="99">
        <v>800</v>
      </c>
      <c r="AD135" s="98"/>
      <c r="AE135" s="102">
        <f t="shared" si="264"/>
        <v>23400</v>
      </c>
      <c r="AF135" s="99">
        <v>800</v>
      </c>
      <c r="AG135" s="98"/>
      <c r="AH135" s="102">
        <f t="shared" si="265"/>
        <v>24200</v>
      </c>
      <c r="AI135" s="99">
        <v>800</v>
      </c>
      <c r="AJ135" s="98"/>
      <c r="AK135" s="102">
        <f t="shared" si="266"/>
        <v>25000</v>
      </c>
      <c r="AL135" s="99">
        <v>800</v>
      </c>
      <c r="AM135" s="98"/>
      <c r="AN135" s="102">
        <f t="shared" si="267"/>
        <v>25800</v>
      </c>
      <c r="AO135" s="99">
        <v>800</v>
      </c>
      <c r="AP135" s="113"/>
      <c r="AQ135" s="102">
        <f t="shared" si="268"/>
        <v>26600</v>
      </c>
      <c r="AR135" s="99">
        <v>800</v>
      </c>
      <c r="AS135" s="113"/>
      <c r="AT135" s="102">
        <f t="shared" si="269"/>
        <v>27400</v>
      </c>
      <c r="AU135" s="99">
        <v>800</v>
      </c>
      <c r="AV135" s="113"/>
      <c r="AW135" s="102">
        <f t="shared" si="270"/>
        <v>28200</v>
      </c>
      <c r="AX135" s="99">
        <v>800</v>
      </c>
      <c r="AY135" s="113"/>
      <c r="AZ135" s="102">
        <f t="shared" si="271"/>
        <v>29000</v>
      </c>
      <c r="BA135" s="99">
        <v>800</v>
      </c>
      <c r="BB135" s="113"/>
      <c r="BC135" s="102">
        <f t="shared" si="272"/>
        <v>29800</v>
      </c>
      <c r="BD135" s="99">
        <v>800</v>
      </c>
      <c r="BE135" s="113"/>
      <c r="BF135" s="102">
        <f t="shared" si="273"/>
        <v>30600</v>
      </c>
      <c r="BG135" s="99">
        <v>800</v>
      </c>
      <c r="BH135" s="113"/>
      <c r="BI135" s="102">
        <f t="shared" si="274"/>
        <v>31400</v>
      </c>
      <c r="BJ135" s="99">
        <v>800</v>
      </c>
      <c r="BK135" s="113"/>
      <c r="BL135" s="102">
        <f t="shared" si="275"/>
        <v>32200</v>
      </c>
      <c r="BM135" s="99">
        <v>800</v>
      </c>
      <c r="BN135" s="113"/>
      <c r="BO135" s="102">
        <f t="shared" si="276"/>
        <v>33000</v>
      </c>
      <c r="BP135" s="99">
        <v>800</v>
      </c>
      <c r="BQ135" s="113"/>
      <c r="BR135" s="102">
        <f t="shared" si="277"/>
        <v>33800</v>
      </c>
      <c r="BS135" s="99">
        <v>800</v>
      </c>
      <c r="BT135" s="113"/>
      <c r="BU135" s="102">
        <f t="shared" si="278"/>
        <v>34600</v>
      </c>
      <c r="BV135" s="99">
        <v>800</v>
      </c>
      <c r="BW135" s="113"/>
      <c r="BX135" s="102">
        <f t="shared" si="279"/>
        <v>35400</v>
      </c>
      <c r="BY135" s="99">
        <v>800</v>
      </c>
      <c r="BZ135" s="113"/>
      <c r="CA135" s="102">
        <f t="shared" si="280"/>
        <v>36200</v>
      </c>
      <c r="CB135" s="99">
        <v>800</v>
      </c>
      <c r="CC135" s="113"/>
      <c r="CD135" s="102">
        <f t="shared" si="281"/>
        <v>37000</v>
      </c>
      <c r="CE135" s="99">
        <v>800</v>
      </c>
      <c r="CF135" s="113"/>
      <c r="CG135" s="102">
        <f t="shared" si="282"/>
        <v>37800</v>
      </c>
      <c r="CH135" s="99">
        <v>800</v>
      </c>
      <c r="CI135" s="113"/>
      <c r="CJ135" s="102">
        <f t="shared" si="283"/>
        <v>38600</v>
      </c>
      <c r="CK135" s="99">
        <v>800</v>
      </c>
      <c r="CL135" s="113"/>
      <c r="CM135" s="102">
        <f t="shared" si="284"/>
        <v>39400</v>
      </c>
      <c r="CN135" s="99">
        <v>800</v>
      </c>
      <c r="CO135" s="113"/>
      <c r="CP135" s="102">
        <f t="shared" si="285"/>
        <v>40200</v>
      </c>
      <c r="CQ135" s="99">
        <v>800</v>
      </c>
      <c r="CR135" s="113"/>
      <c r="CS135" s="102">
        <f t="shared" ref="CS135:CS152" si="286">CP135+CQ135-CR135</f>
        <v>41000</v>
      </c>
      <c r="CT135" s="99">
        <v>800</v>
      </c>
      <c r="CU135" s="113"/>
      <c r="CV135" s="102">
        <f t="shared" ref="CV135:CV152" si="287">CS135+CT135-CU135</f>
        <v>41800</v>
      </c>
      <c r="CW135" s="99">
        <v>800</v>
      </c>
      <c r="CX135" s="113"/>
      <c r="CY135" s="102">
        <f t="shared" ref="CY135:CY152" si="288">CV135+CW135-CX135</f>
        <v>42600</v>
      </c>
    </row>
    <row r="136" spans="1:103">
      <c r="A136" s="41">
        <f>VLOOKUP(B136,справочник!$B$2:$E$322,4,FALSE)</f>
        <v>123</v>
      </c>
      <c r="B136" t="str">
        <f t="shared" si="258"/>
        <v>128Кондратьева Юлия Викторовна</v>
      </c>
      <c r="C136" s="1">
        <v>128</v>
      </c>
      <c r="D136" s="2" t="s">
        <v>126</v>
      </c>
      <c r="E136" s="1" t="s">
        <v>444</v>
      </c>
      <c r="F136" s="16">
        <v>40960</v>
      </c>
      <c r="G136" s="16">
        <v>40940</v>
      </c>
      <c r="H136" s="17">
        <f t="shared" si="259"/>
        <v>47</v>
      </c>
      <c r="I136" s="1">
        <f t="shared" si="172"/>
        <v>47000</v>
      </c>
      <c r="J136" s="17">
        <v>34000</v>
      </c>
      <c r="K136" s="17"/>
      <c r="L136" s="18">
        <f t="shared" si="260"/>
        <v>13000</v>
      </c>
      <c r="M136" s="22"/>
      <c r="N136" s="22"/>
      <c r="O136" s="22"/>
      <c r="P136" s="22"/>
      <c r="Q136" s="22"/>
      <c r="R136" s="22"/>
      <c r="S136" s="22">
        <v>20000</v>
      </c>
      <c r="T136" s="22"/>
      <c r="U136" s="22"/>
      <c r="V136" s="22"/>
      <c r="W136" s="22"/>
      <c r="X136" s="22"/>
      <c r="Y136" s="18">
        <f t="shared" si="261"/>
        <v>20000</v>
      </c>
      <c r="Z136" s="96">
        <v>12</v>
      </c>
      <c r="AA136" s="96">
        <f t="shared" si="262"/>
        <v>9600</v>
      </c>
      <c r="AB136" s="96">
        <f t="shared" si="263"/>
        <v>2600</v>
      </c>
      <c r="AC136" s="99">
        <v>800</v>
      </c>
      <c r="AD136" s="110">
        <v>5000</v>
      </c>
      <c r="AE136" s="102">
        <f t="shared" si="264"/>
        <v>-1600</v>
      </c>
      <c r="AF136" s="99">
        <v>800</v>
      </c>
      <c r="AG136" s="110"/>
      <c r="AH136" s="102">
        <f t="shared" si="265"/>
        <v>-800</v>
      </c>
      <c r="AI136" s="99">
        <v>800</v>
      </c>
      <c r="AJ136" s="110"/>
      <c r="AK136" s="102">
        <f t="shared" si="266"/>
        <v>0</v>
      </c>
      <c r="AL136" s="99">
        <v>800</v>
      </c>
      <c r="AM136" s="110"/>
      <c r="AN136" s="102">
        <f t="shared" si="267"/>
        <v>800</v>
      </c>
      <c r="AO136" s="99">
        <v>800</v>
      </c>
      <c r="AP136" s="115"/>
      <c r="AQ136" s="102">
        <f t="shared" si="268"/>
        <v>1600</v>
      </c>
      <c r="AR136" s="99">
        <v>800</v>
      </c>
      <c r="AS136" s="115"/>
      <c r="AT136" s="102">
        <f t="shared" si="269"/>
        <v>2400</v>
      </c>
      <c r="AU136" s="99">
        <v>800</v>
      </c>
      <c r="AV136" s="115"/>
      <c r="AW136" s="102">
        <f t="shared" si="270"/>
        <v>3200</v>
      </c>
      <c r="AX136" s="99">
        <v>800</v>
      </c>
      <c r="AY136" s="115"/>
      <c r="AZ136" s="102">
        <f t="shared" si="271"/>
        <v>4000</v>
      </c>
      <c r="BA136" s="99">
        <v>800</v>
      </c>
      <c r="BB136" s="115"/>
      <c r="BC136" s="102">
        <f t="shared" si="272"/>
        <v>4800</v>
      </c>
      <c r="BD136" s="99">
        <v>800</v>
      </c>
      <c r="BE136" s="115"/>
      <c r="BF136" s="102">
        <f t="shared" si="273"/>
        <v>5600</v>
      </c>
      <c r="BG136" s="99">
        <v>800</v>
      </c>
      <c r="BH136" s="115"/>
      <c r="BI136" s="102">
        <f t="shared" si="274"/>
        <v>6400</v>
      </c>
      <c r="BJ136" s="99">
        <v>800</v>
      </c>
      <c r="BK136" s="115">
        <v>10000</v>
      </c>
      <c r="BL136" s="102">
        <f>BI136+BJ136-BK136</f>
        <v>-2800</v>
      </c>
      <c r="BM136" s="99">
        <v>800</v>
      </c>
      <c r="BN136" s="115"/>
      <c r="BO136" s="102">
        <f t="shared" si="276"/>
        <v>-2000</v>
      </c>
      <c r="BP136" s="99">
        <v>800</v>
      </c>
      <c r="BQ136" s="115"/>
      <c r="BR136" s="102">
        <f t="shared" si="277"/>
        <v>-1200</v>
      </c>
      <c r="BS136" s="99">
        <v>800</v>
      </c>
      <c r="BT136" s="115"/>
      <c r="BU136" s="102">
        <f t="shared" si="278"/>
        <v>-400</v>
      </c>
      <c r="BV136" s="99">
        <v>800</v>
      </c>
      <c r="BW136" s="115"/>
      <c r="BX136" s="102">
        <f t="shared" si="279"/>
        <v>400</v>
      </c>
      <c r="BY136" s="99">
        <v>800</v>
      </c>
      <c r="BZ136" s="115"/>
      <c r="CA136" s="102">
        <f t="shared" si="280"/>
        <v>1200</v>
      </c>
      <c r="CB136" s="99">
        <v>800</v>
      </c>
      <c r="CC136" s="115"/>
      <c r="CD136" s="102">
        <f t="shared" si="281"/>
        <v>2000</v>
      </c>
      <c r="CE136" s="99">
        <v>800</v>
      </c>
      <c r="CF136" s="115"/>
      <c r="CG136" s="102">
        <f t="shared" si="282"/>
        <v>2800</v>
      </c>
      <c r="CH136" s="99">
        <v>800</v>
      </c>
      <c r="CI136" s="115"/>
      <c r="CJ136" s="102">
        <f t="shared" si="283"/>
        <v>3600</v>
      </c>
      <c r="CK136" s="99">
        <v>800</v>
      </c>
      <c r="CL136" s="115"/>
      <c r="CM136" s="102">
        <f t="shared" si="284"/>
        <v>4400</v>
      </c>
      <c r="CN136" s="99">
        <v>800</v>
      </c>
      <c r="CO136" s="115"/>
      <c r="CP136" s="102">
        <f t="shared" si="285"/>
        <v>5200</v>
      </c>
      <c r="CQ136" s="99">
        <v>800</v>
      </c>
      <c r="CR136" s="115"/>
      <c r="CS136" s="102">
        <f t="shared" si="286"/>
        <v>6000</v>
      </c>
      <c r="CT136" s="99">
        <v>800</v>
      </c>
      <c r="CU136" s="115">
        <v>6800</v>
      </c>
      <c r="CV136" s="102">
        <f t="shared" si="287"/>
        <v>0</v>
      </c>
      <c r="CW136" s="99">
        <v>800</v>
      </c>
      <c r="CX136" s="115"/>
      <c r="CY136" s="102">
        <f t="shared" si="288"/>
        <v>800</v>
      </c>
    </row>
    <row r="137" spans="1:103" ht="24">
      <c r="A137" s="41">
        <f>VLOOKUP(B137,справочник!$B$2:$E$322,4,FALSE)</f>
        <v>163</v>
      </c>
      <c r="B137" t="str">
        <f t="shared" si="258"/>
        <v>171Кондратюк Наталья Петровна 1/2,  Соболев Олег Юрьевич 1/2</v>
      </c>
      <c r="C137" s="1">
        <v>171</v>
      </c>
      <c r="D137" s="2" t="s">
        <v>127</v>
      </c>
      <c r="E137" s="1"/>
      <c r="F137" s="16">
        <v>41809</v>
      </c>
      <c r="G137" s="16">
        <v>41821</v>
      </c>
      <c r="H137" s="17">
        <f t="shared" si="259"/>
        <v>18</v>
      </c>
      <c r="I137" s="1">
        <f t="shared" si="172"/>
        <v>18000</v>
      </c>
      <c r="J137" s="17">
        <f>5000+4000</f>
        <v>9000</v>
      </c>
      <c r="K137" s="17"/>
      <c r="L137" s="18">
        <f t="shared" si="260"/>
        <v>9000</v>
      </c>
      <c r="M137" s="22"/>
      <c r="N137" s="22"/>
      <c r="O137" s="22"/>
      <c r="P137" s="22"/>
      <c r="Q137" s="22"/>
      <c r="R137" s="22"/>
      <c r="S137" s="22"/>
      <c r="T137">
        <v>6100</v>
      </c>
      <c r="U137" s="22"/>
      <c r="V137" s="22"/>
      <c r="W137" s="22"/>
      <c r="X137" s="22"/>
      <c r="Y137" s="18">
        <f t="shared" si="261"/>
        <v>6100</v>
      </c>
      <c r="Z137" s="96">
        <v>12</v>
      </c>
      <c r="AA137" s="96">
        <f t="shared" si="262"/>
        <v>9600</v>
      </c>
      <c r="AB137" s="96">
        <f t="shared" si="263"/>
        <v>12500</v>
      </c>
      <c r="AC137" s="99">
        <v>800</v>
      </c>
      <c r="AD137" s="110">
        <v>4000</v>
      </c>
      <c r="AE137" s="102">
        <f t="shared" si="264"/>
        <v>9300</v>
      </c>
      <c r="AF137" s="99">
        <v>800</v>
      </c>
      <c r="AG137" s="110"/>
      <c r="AH137" s="102">
        <f t="shared" si="265"/>
        <v>10100</v>
      </c>
      <c r="AI137" s="99">
        <v>800</v>
      </c>
      <c r="AJ137" s="110"/>
      <c r="AK137" s="102">
        <f t="shared" si="266"/>
        <v>10900</v>
      </c>
      <c r="AL137" s="99">
        <v>800</v>
      </c>
      <c r="AM137" s="110"/>
      <c r="AN137" s="102">
        <f t="shared" si="267"/>
        <v>11700</v>
      </c>
      <c r="AO137" s="99">
        <v>800</v>
      </c>
      <c r="AP137" s="115"/>
      <c r="AQ137" s="102">
        <f t="shared" si="268"/>
        <v>12500</v>
      </c>
      <c r="AR137" s="99">
        <v>800</v>
      </c>
      <c r="AS137" s="115">
        <f>2500+4800</f>
        <v>7300</v>
      </c>
      <c r="AT137" s="102">
        <f>AQ137+AR137-AS137</f>
        <v>6000</v>
      </c>
      <c r="AU137" s="99">
        <v>800</v>
      </c>
      <c r="AV137" s="115"/>
      <c r="AW137" s="102">
        <f>AT137+AU137-AV137</f>
        <v>6800</v>
      </c>
      <c r="AX137" s="99">
        <v>800</v>
      </c>
      <c r="AY137" s="115"/>
      <c r="AZ137" s="102">
        <f>AW137+AX137-AY137</f>
        <v>7600</v>
      </c>
      <c r="BA137" s="99">
        <v>800</v>
      </c>
      <c r="BB137" s="115"/>
      <c r="BC137" s="102">
        <f>AZ137+BA137-BB137</f>
        <v>8400</v>
      </c>
      <c r="BD137" s="99">
        <v>800</v>
      </c>
      <c r="BE137" s="115"/>
      <c r="BF137" s="102">
        <f>BC137+BD137-BE137</f>
        <v>9200</v>
      </c>
      <c r="BG137" s="99">
        <v>800</v>
      </c>
      <c r="BH137" s="115"/>
      <c r="BI137" s="102">
        <f>BF137+BG137-BH137</f>
        <v>10000</v>
      </c>
      <c r="BJ137" s="99">
        <v>800</v>
      </c>
      <c r="BK137" s="115">
        <v>4800</v>
      </c>
      <c r="BL137" s="102">
        <f>BI137+BJ137-BK137</f>
        <v>6000</v>
      </c>
      <c r="BM137" s="99">
        <v>800</v>
      </c>
      <c r="BN137" s="115"/>
      <c r="BO137" s="102">
        <f>BL137+BM137-BN137</f>
        <v>6800</v>
      </c>
      <c r="BP137" s="99">
        <v>800</v>
      </c>
      <c r="BQ137" s="115"/>
      <c r="BR137" s="102">
        <f>BO137+BP137-BQ137</f>
        <v>7600</v>
      </c>
      <c r="BS137" s="99">
        <v>800</v>
      </c>
      <c r="BT137" s="115"/>
      <c r="BU137" s="102">
        <f>BR137+BS137-BT137</f>
        <v>8400</v>
      </c>
      <c r="BV137" s="99">
        <v>800</v>
      </c>
      <c r="BW137" s="115"/>
      <c r="BX137" s="102">
        <f>BU137+BV137-BW137</f>
        <v>9200</v>
      </c>
      <c r="BY137" s="99">
        <v>800</v>
      </c>
      <c r="BZ137" s="115"/>
      <c r="CA137" s="102">
        <f>BX137+BY137-BZ137</f>
        <v>10000</v>
      </c>
      <c r="CB137" s="99">
        <v>800</v>
      </c>
      <c r="CC137" s="115"/>
      <c r="CD137" s="102">
        <f>CA137+CB137-CC137</f>
        <v>10800</v>
      </c>
      <c r="CE137" s="99">
        <v>800</v>
      </c>
      <c r="CF137" s="115"/>
      <c r="CG137" s="102">
        <f>CD137+CE137-CF137</f>
        <v>11600</v>
      </c>
      <c r="CH137" s="99">
        <v>800</v>
      </c>
      <c r="CI137" s="115"/>
      <c r="CJ137" s="102">
        <f>CG137+CH137-CI137</f>
        <v>12400</v>
      </c>
      <c r="CK137" s="99">
        <v>800</v>
      </c>
      <c r="CL137" s="115">
        <v>4800</v>
      </c>
      <c r="CM137" s="102">
        <f>CJ137+CK137-CL137</f>
        <v>8400</v>
      </c>
      <c r="CN137" s="99">
        <v>800</v>
      </c>
      <c r="CO137" s="115"/>
      <c r="CP137" s="102">
        <f>CM137+CN137-CO137</f>
        <v>9200</v>
      </c>
      <c r="CQ137" s="99">
        <v>800</v>
      </c>
      <c r="CR137" s="115"/>
      <c r="CS137" s="102">
        <f t="shared" si="286"/>
        <v>10000</v>
      </c>
      <c r="CT137" s="99">
        <v>800</v>
      </c>
      <c r="CU137" s="115"/>
      <c r="CV137" s="102">
        <f t="shared" si="287"/>
        <v>10800</v>
      </c>
      <c r="CW137" s="99">
        <v>800</v>
      </c>
      <c r="CX137" s="115"/>
      <c r="CY137" s="102">
        <f t="shared" si="288"/>
        <v>11600</v>
      </c>
    </row>
    <row r="138" spans="1:103">
      <c r="A138" s="41">
        <f>VLOOKUP(B138,справочник!$B$2:$E$322,4,FALSE)</f>
        <v>110</v>
      </c>
      <c r="B138" t="str">
        <f t="shared" si="258"/>
        <v>115Кондрашов Роман Вячеславович</v>
      </c>
      <c r="C138" s="1">
        <v>115</v>
      </c>
      <c r="D138" s="2" t="s">
        <v>128</v>
      </c>
      <c r="E138" s="1" t="s">
        <v>445</v>
      </c>
      <c r="F138" s="16">
        <v>41101</v>
      </c>
      <c r="G138" s="16">
        <v>41091</v>
      </c>
      <c r="H138" s="17">
        <f t="shared" si="259"/>
        <v>42</v>
      </c>
      <c r="I138" s="1">
        <f t="shared" si="172"/>
        <v>42000</v>
      </c>
      <c r="J138" s="17">
        <v>23000</v>
      </c>
      <c r="K138" s="17"/>
      <c r="L138" s="18">
        <f t="shared" si="260"/>
        <v>19000</v>
      </c>
      <c r="M138" s="22"/>
      <c r="N138" s="22"/>
      <c r="O138" s="22"/>
      <c r="P138" s="22"/>
      <c r="Q138" s="22"/>
      <c r="R138" s="22"/>
      <c r="S138" s="22">
        <v>2400</v>
      </c>
      <c r="T138">
        <v>3600</v>
      </c>
      <c r="U138" s="22"/>
      <c r="V138" s="22">
        <v>1600</v>
      </c>
      <c r="W138" s="22"/>
      <c r="X138" s="22">
        <f>4000+5000</f>
        <v>9000</v>
      </c>
      <c r="Y138" s="18">
        <f t="shared" si="261"/>
        <v>16600</v>
      </c>
      <c r="Z138" s="96">
        <v>12</v>
      </c>
      <c r="AA138" s="96">
        <f t="shared" si="262"/>
        <v>9600</v>
      </c>
      <c r="AB138" s="96">
        <f t="shared" si="263"/>
        <v>12000</v>
      </c>
      <c r="AC138" s="99">
        <v>800</v>
      </c>
      <c r="AD138" s="110">
        <v>1800</v>
      </c>
      <c r="AE138" s="102">
        <f t="shared" si="264"/>
        <v>11000</v>
      </c>
      <c r="AF138" s="99">
        <v>800</v>
      </c>
      <c r="AG138" s="110"/>
      <c r="AH138" s="102">
        <f t="shared" si="265"/>
        <v>11800</v>
      </c>
      <c r="AI138" s="99">
        <v>800</v>
      </c>
      <c r="AJ138" s="110"/>
      <c r="AK138" s="102">
        <f t="shared" si="266"/>
        <v>12600</v>
      </c>
      <c r="AL138" s="99">
        <v>800</v>
      </c>
      <c r="AM138" s="110">
        <f>1000+2400</f>
        <v>3400</v>
      </c>
      <c r="AN138" s="102">
        <f t="shared" si="267"/>
        <v>10000</v>
      </c>
      <c r="AO138" s="99">
        <v>800</v>
      </c>
      <c r="AP138" s="115"/>
      <c r="AQ138" s="102">
        <f t="shared" si="268"/>
        <v>10800</v>
      </c>
      <c r="AR138" s="99">
        <v>800</v>
      </c>
      <c r="AS138" s="115"/>
      <c r="AT138" s="102">
        <f t="shared" si="269"/>
        <v>11600</v>
      </c>
      <c r="AU138" s="99">
        <v>800</v>
      </c>
      <c r="AV138" s="115"/>
      <c r="AW138" s="102">
        <f t="shared" ref="AW138" si="289">AT138+AU138-AV138</f>
        <v>12400</v>
      </c>
      <c r="AX138" s="99">
        <v>800</v>
      </c>
      <c r="AY138" s="115"/>
      <c r="AZ138" s="102">
        <f t="shared" ref="AZ138" si="290">AW138+AX138-AY138</f>
        <v>13200</v>
      </c>
      <c r="BA138" s="99">
        <v>800</v>
      </c>
      <c r="BB138" s="115"/>
      <c r="BC138" s="102">
        <f t="shared" ref="BC138" si="291">AZ138+BA138-BB138</f>
        <v>14000</v>
      </c>
      <c r="BD138" s="99">
        <v>800</v>
      </c>
      <c r="BE138" s="115">
        <f>1600+1600</f>
        <v>3200</v>
      </c>
      <c r="BF138" s="102">
        <f t="shared" ref="BF138" si="292">BC138+BD138-BE138</f>
        <v>11600</v>
      </c>
      <c r="BG138" s="99">
        <v>800</v>
      </c>
      <c r="BH138" s="115"/>
      <c r="BI138" s="102">
        <f t="shared" ref="BI138" si="293">BF138+BG138-BH138</f>
        <v>12400</v>
      </c>
      <c r="BJ138" s="99">
        <v>800</v>
      </c>
      <c r="BK138" s="115">
        <v>1600</v>
      </c>
      <c r="BL138" s="102">
        <f t="shared" ref="BL138" si="294">BI138+BJ138-BK138</f>
        <v>11600</v>
      </c>
      <c r="BM138" s="99">
        <v>800</v>
      </c>
      <c r="BN138" s="115"/>
      <c r="BO138" s="102">
        <f t="shared" ref="BO138" si="295">BL138+BM138-BN138</f>
        <v>12400</v>
      </c>
      <c r="BP138" s="99">
        <v>800</v>
      </c>
      <c r="BQ138" s="115">
        <v>1600</v>
      </c>
      <c r="BR138" s="102">
        <f t="shared" ref="BR138" si="296">BO138+BP138-BQ138</f>
        <v>11600</v>
      </c>
      <c r="BS138" s="99">
        <v>800</v>
      </c>
      <c r="BT138" s="115">
        <f>2000+2400+2000</f>
        <v>6400</v>
      </c>
      <c r="BU138" s="102">
        <f t="shared" ref="BU138" si="297">BR138+BS138-BT138</f>
        <v>6000</v>
      </c>
      <c r="BV138" s="99">
        <v>800</v>
      </c>
      <c r="BW138" s="115">
        <f>1000+1600</f>
        <v>2600</v>
      </c>
      <c r="BX138" s="102">
        <f t="shared" ref="BX138" si="298">BU138+BV138-BW138</f>
        <v>4200</v>
      </c>
      <c r="BY138" s="99">
        <v>800</v>
      </c>
      <c r="BZ138" s="115"/>
      <c r="CA138" s="102">
        <f t="shared" ref="CA138" si="299">BX138+BY138-BZ138</f>
        <v>5000</v>
      </c>
      <c r="CB138" s="99">
        <v>800</v>
      </c>
      <c r="CC138" s="115"/>
      <c r="CD138" s="102">
        <f t="shared" ref="CD138" si="300">CA138+CB138-CC138</f>
        <v>5800</v>
      </c>
      <c r="CE138" s="99">
        <v>800</v>
      </c>
      <c r="CF138" s="115"/>
      <c r="CG138" s="102">
        <f t="shared" ref="CG138" si="301">CD138+CE138-CF138</f>
        <v>6600</v>
      </c>
      <c r="CH138" s="99">
        <v>800</v>
      </c>
      <c r="CI138" s="115">
        <f>1600+2000</f>
        <v>3600</v>
      </c>
      <c r="CJ138" s="102">
        <f t="shared" ref="CJ138" si="302">CG138+CH138-CI138</f>
        <v>3800</v>
      </c>
      <c r="CK138" s="99">
        <v>800</v>
      </c>
      <c r="CL138" s="115"/>
      <c r="CM138" s="102">
        <f t="shared" ref="CM138" si="303">CJ138+CK138-CL138</f>
        <v>4600</v>
      </c>
      <c r="CN138" s="99">
        <v>800</v>
      </c>
      <c r="CO138" s="115">
        <f>1600+2000</f>
        <v>3600</v>
      </c>
      <c r="CP138" s="102">
        <f t="shared" ref="CP138" si="304">CM138+CN138-CO138</f>
        <v>1800</v>
      </c>
      <c r="CQ138" s="99">
        <v>800</v>
      </c>
      <c r="CR138" s="115">
        <f>1600+2000</f>
        <v>3600</v>
      </c>
      <c r="CS138" s="102">
        <f t="shared" si="286"/>
        <v>-1000</v>
      </c>
      <c r="CT138" s="99">
        <v>800</v>
      </c>
      <c r="CU138" s="115">
        <f>800+1000+800</f>
        <v>2600</v>
      </c>
      <c r="CV138" s="102">
        <f t="shared" si="287"/>
        <v>-2800</v>
      </c>
      <c r="CW138" s="99">
        <v>800</v>
      </c>
      <c r="CX138" s="115"/>
      <c r="CY138" s="102">
        <f t="shared" si="288"/>
        <v>-2000</v>
      </c>
    </row>
    <row r="139" spans="1:103" ht="24">
      <c r="A139" s="41" t="e">
        <f>VLOOKUP(B139,справочник!$B$2:$E$322,4,FALSE)</f>
        <v>#N/A</v>
      </c>
      <c r="B139" t="str">
        <f t="shared" si="258"/>
        <v>117Кондрашов Сергей Вячеславович(новый собственник Балыкин Александр Иванович)</v>
      </c>
      <c r="C139" s="1">
        <v>117</v>
      </c>
      <c r="D139" s="2" t="s">
        <v>771</v>
      </c>
      <c r="E139" s="1"/>
      <c r="F139" s="16">
        <v>41101</v>
      </c>
      <c r="G139" s="16">
        <v>41091</v>
      </c>
      <c r="H139" s="17">
        <f t="shared" si="259"/>
        <v>42</v>
      </c>
      <c r="I139" s="1">
        <f t="shared" si="172"/>
        <v>42000</v>
      </c>
      <c r="J139" s="17">
        <f>25000</f>
        <v>25000</v>
      </c>
      <c r="K139" s="17"/>
      <c r="L139" s="18">
        <f t="shared" si="260"/>
        <v>17000</v>
      </c>
      <c r="M139" s="22"/>
      <c r="N139" s="22">
        <v>4800</v>
      </c>
      <c r="O139" s="22"/>
      <c r="P139" s="22"/>
      <c r="Q139" s="22"/>
      <c r="R139" s="22" t="s">
        <v>731</v>
      </c>
      <c r="S139" s="22">
        <v>4800</v>
      </c>
      <c r="T139" s="22"/>
      <c r="U139" s="22"/>
      <c r="V139" s="22"/>
      <c r="W139" s="22"/>
      <c r="X139" s="22">
        <v>4800</v>
      </c>
      <c r="Y139" s="18">
        <f t="shared" si="261"/>
        <v>14400</v>
      </c>
      <c r="Z139" s="96">
        <v>12</v>
      </c>
      <c r="AA139" s="96">
        <f t="shared" si="262"/>
        <v>9600</v>
      </c>
      <c r="AB139" s="96">
        <f t="shared" si="263"/>
        <v>12200</v>
      </c>
      <c r="AC139" s="99">
        <v>800</v>
      </c>
      <c r="AD139" s="110"/>
      <c r="AE139" s="102">
        <f t="shared" si="264"/>
        <v>13000</v>
      </c>
      <c r="AF139" s="99">
        <v>800</v>
      </c>
      <c r="AG139" s="110"/>
      <c r="AH139" s="102">
        <f>AE139+AF139-AG139</f>
        <v>13800</v>
      </c>
      <c r="AI139" s="99">
        <v>800</v>
      </c>
      <c r="AJ139" s="110"/>
      <c r="AK139" s="102">
        <f>AH139+AI139-AJ139</f>
        <v>14600</v>
      </c>
      <c r="AL139" s="99">
        <v>800</v>
      </c>
      <c r="AM139" s="110"/>
      <c r="AN139" s="102">
        <f>AK139+AL139-AM139</f>
        <v>15400</v>
      </c>
      <c r="AO139" s="99">
        <v>800</v>
      </c>
      <c r="AP139" s="115"/>
      <c r="AQ139" s="102">
        <f>AN139+AO139-AP139</f>
        <v>16200</v>
      </c>
      <c r="AR139" s="99">
        <v>800</v>
      </c>
      <c r="AS139" s="115"/>
      <c r="AT139" s="102">
        <f>AQ139+AR139-AS139</f>
        <v>17000</v>
      </c>
      <c r="AU139" s="99">
        <v>800</v>
      </c>
      <c r="AV139" s="115"/>
      <c r="AW139" s="102">
        <f>AT139+AU139-AV139</f>
        <v>17800</v>
      </c>
      <c r="AX139" s="99">
        <v>800</v>
      </c>
      <c r="AY139" s="115">
        <v>4800</v>
      </c>
      <c r="AZ139" s="102">
        <f>AW139+AX139-AY139</f>
        <v>13800</v>
      </c>
      <c r="BA139" s="99">
        <v>800</v>
      </c>
      <c r="BB139" s="115"/>
      <c r="BC139" s="102">
        <f>AZ139+BA139-BB139</f>
        <v>14600</v>
      </c>
      <c r="BD139" s="99">
        <v>800</v>
      </c>
      <c r="BE139" s="115"/>
      <c r="BF139" s="102">
        <f>BC139+BD139-BE139</f>
        <v>15400</v>
      </c>
      <c r="BG139" s="99">
        <v>800</v>
      </c>
      <c r="BH139" s="115"/>
      <c r="BI139" s="102">
        <f>BF139+BG139-BH139</f>
        <v>16200</v>
      </c>
      <c r="BJ139" s="99">
        <v>800</v>
      </c>
      <c r="BK139" s="115">
        <v>4800</v>
      </c>
      <c r="BL139" s="102">
        <f>BI139+BJ139-BK139</f>
        <v>12200</v>
      </c>
      <c r="BM139" s="99">
        <v>800</v>
      </c>
      <c r="BN139" s="115"/>
      <c r="BO139" s="102">
        <f>BL139+BM139-BN139</f>
        <v>13000</v>
      </c>
      <c r="BP139" s="99">
        <v>800</v>
      </c>
      <c r="BQ139" s="115"/>
      <c r="BR139" s="102">
        <f>BO139+BP139-BQ139</f>
        <v>13800</v>
      </c>
      <c r="BS139" s="99">
        <v>800</v>
      </c>
      <c r="BT139" s="115"/>
      <c r="BU139" s="102">
        <f>BR139+BS139-BT139</f>
        <v>14600</v>
      </c>
      <c r="BV139" s="99">
        <v>800</v>
      </c>
      <c r="BW139" s="115"/>
      <c r="BX139" s="102">
        <f>BU139+BV139-BW139</f>
        <v>15400</v>
      </c>
      <c r="BY139" s="99">
        <v>800</v>
      </c>
      <c r="BZ139" s="115"/>
      <c r="CA139" s="102">
        <f>BX139+BY139-BZ139</f>
        <v>16200</v>
      </c>
      <c r="CB139" s="99">
        <v>800</v>
      </c>
      <c r="CC139" s="115"/>
      <c r="CD139" s="102">
        <f>CA139+CB139-CC139</f>
        <v>17000</v>
      </c>
      <c r="CE139" s="99">
        <v>800</v>
      </c>
      <c r="CF139" s="115">
        <v>5000</v>
      </c>
      <c r="CG139" s="102">
        <f>CD139+CE139-CF139</f>
        <v>12800</v>
      </c>
      <c r="CH139" s="99">
        <v>800</v>
      </c>
      <c r="CI139" s="115"/>
      <c r="CJ139" s="102">
        <f>CG139+CH139-CI139</f>
        <v>13600</v>
      </c>
      <c r="CK139" s="99">
        <v>800</v>
      </c>
      <c r="CL139" s="115"/>
      <c r="CM139" s="102">
        <f>CJ139+CK139-CL139</f>
        <v>14400</v>
      </c>
      <c r="CN139" s="99">
        <v>800</v>
      </c>
      <c r="CO139" s="115"/>
      <c r="CP139" s="102">
        <f>CM139+CN139-CO139</f>
        <v>15200</v>
      </c>
      <c r="CQ139" s="99">
        <v>800</v>
      </c>
      <c r="CR139" s="115"/>
      <c r="CS139" s="102">
        <f t="shared" si="286"/>
        <v>16000</v>
      </c>
      <c r="CT139" s="99">
        <v>800</v>
      </c>
      <c r="CU139" s="115"/>
      <c r="CV139" s="102">
        <f t="shared" si="287"/>
        <v>16800</v>
      </c>
      <c r="CW139" s="99">
        <v>800</v>
      </c>
      <c r="CX139" s="115"/>
      <c r="CY139" s="102">
        <f t="shared" si="288"/>
        <v>17600</v>
      </c>
    </row>
    <row r="140" spans="1:103">
      <c r="A140" s="41">
        <f>VLOOKUP(B140,справочник!$B$2:$E$322,4,FALSE)</f>
        <v>190</v>
      </c>
      <c r="B140" t="str">
        <f t="shared" si="258"/>
        <v>198Коновальцев Олег Серафимович</v>
      </c>
      <c r="C140" s="1">
        <v>198</v>
      </c>
      <c r="D140" s="2" t="s">
        <v>130</v>
      </c>
      <c r="E140" s="1" t="s">
        <v>446</v>
      </c>
      <c r="F140" s="16">
        <v>41407</v>
      </c>
      <c r="G140" s="16">
        <v>41426</v>
      </c>
      <c r="H140" s="17">
        <f t="shared" si="259"/>
        <v>31</v>
      </c>
      <c r="I140" s="1">
        <f t="shared" ref="I140:I187" si="305">H140*1000</f>
        <v>31000</v>
      </c>
      <c r="J140" s="17">
        <v>15000</v>
      </c>
      <c r="K140" s="17"/>
      <c r="L140" s="18">
        <f t="shared" si="260"/>
        <v>16000</v>
      </c>
      <c r="M140" s="22"/>
      <c r="N140" s="22"/>
      <c r="O140" s="22"/>
      <c r="P140" s="22"/>
      <c r="Q140" s="22"/>
      <c r="R140" s="22">
        <v>800</v>
      </c>
      <c r="S140" s="22"/>
      <c r="T140" s="22"/>
      <c r="U140" s="22"/>
      <c r="V140" s="22"/>
      <c r="W140" s="22"/>
      <c r="X140" s="22"/>
      <c r="Y140" s="18">
        <f t="shared" si="261"/>
        <v>800</v>
      </c>
      <c r="Z140" s="96">
        <v>12</v>
      </c>
      <c r="AA140" s="96">
        <f t="shared" si="262"/>
        <v>9600</v>
      </c>
      <c r="AB140" s="96">
        <f t="shared" si="263"/>
        <v>24800</v>
      </c>
      <c r="AC140" s="99">
        <v>800</v>
      </c>
      <c r="AD140" s="110"/>
      <c r="AE140" s="102">
        <f t="shared" si="264"/>
        <v>25600</v>
      </c>
      <c r="AF140" s="99">
        <v>800</v>
      </c>
      <c r="AG140" s="110"/>
      <c r="AH140" s="102">
        <f t="shared" si="265"/>
        <v>26400</v>
      </c>
      <c r="AI140" s="99">
        <v>800</v>
      </c>
      <c r="AJ140" s="110"/>
      <c r="AK140" s="102">
        <f t="shared" ref="AK140:AK152" si="306">AH140+AI140-AJ140</f>
        <v>27200</v>
      </c>
      <c r="AL140" s="99">
        <v>800</v>
      </c>
      <c r="AM140" s="110"/>
      <c r="AN140" s="102">
        <f t="shared" ref="AN140:AN152" si="307">AK140+AL140-AM140</f>
        <v>28000</v>
      </c>
      <c r="AO140" s="99">
        <v>800</v>
      </c>
      <c r="AP140" s="115"/>
      <c r="AQ140" s="102">
        <f t="shared" ref="AQ140:AQ152" si="308">AN140+AO140-AP140</f>
        <v>28800</v>
      </c>
      <c r="AR140" s="99">
        <v>800</v>
      </c>
      <c r="AS140" s="115"/>
      <c r="AT140" s="102">
        <f t="shared" ref="AT140:AT152" si="309">AQ140+AR140-AS140</f>
        <v>29600</v>
      </c>
      <c r="AU140" s="99">
        <v>800</v>
      </c>
      <c r="AV140" s="115"/>
      <c r="AW140" s="102">
        <f t="shared" ref="AW140:AW152" si="310">AT140+AU140-AV140</f>
        <v>30400</v>
      </c>
      <c r="AX140" s="99">
        <v>800</v>
      </c>
      <c r="AY140" s="115">
        <v>5000</v>
      </c>
      <c r="AZ140" s="102">
        <f t="shared" ref="AZ140:AZ152" si="311">AW140+AX140-AY140</f>
        <v>26200</v>
      </c>
      <c r="BA140" s="99">
        <v>800</v>
      </c>
      <c r="BB140" s="115"/>
      <c r="BC140" s="102">
        <f t="shared" ref="BC140:BC152" si="312">AZ140+BA140-BB140</f>
        <v>27000</v>
      </c>
      <c r="BD140" s="99">
        <v>800</v>
      </c>
      <c r="BE140" s="115"/>
      <c r="BF140" s="102">
        <f t="shared" ref="BF140:BF152" si="313">BC140+BD140-BE140</f>
        <v>27800</v>
      </c>
      <c r="BG140" s="99">
        <v>800</v>
      </c>
      <c r="BH140" s="115"/>
      <c r="BI140" s="102">
        <f t="shared" ref="BI140:BI141" si="314">BF140+BG140-BH140</f>
        <v>28600</v>
      </c>
      <c r="BJ140" s="99">
        <v>800</v>
      </c>
      <c r="BK140" s="115"/>
      <c r="BL140" s="102">
        <f t="shared" ref="BL140:BL141" si="315">BI140+BJ140-BK140</f>
        <v>29400</v>
      </c>
      <c r="BM140" s="99">
        <v>800</v>
      </c>
      <c r="BN140" s="115"/>
      <c r="BO140" s="102">
        <f t="shared" ref="BO140:BO141" si="316">BL140+BM140-BN140</f>
        <v>30200</v>
      </c>
      <c r="BP140" s="99">
        <v>800</v>
      </c>
      <c r="BQ140" s="115"/>
      <c r="BR140" s="102">
        <f t="shared" ref="BR140:BR141" si="317">BO140+BP140-BQ140</f>
        <v>31000</v>
      </c>
      <c r="BS140" s="99">
        <v>800</v>
      </c>
      <c r="BT140" s="115"/>
      <c r="BU140" s="102">
        <f t="shared" ref="BU140:BU141" si="318">BR140+BS140-BT140</f>
        <v>31800</v>
      </c>
      <c r="BV140" s="99">
        <v>800</v>
      </c>
      <c r="BW140" s="115"/>
      <c r="BX140" s="102">
        <f t="shared" ref="BX140:BX141" si="319">BU140+BV140-BW140</f>
        <v>32600</v>
      </c>
      <c r="BY140" s="99">
        <v>800</v>
      </c>
      <c r="BZ140" s="115"/>
      <c r="CA140" s="102">
        <f t="shared" ref="CA140:CA141" si="320">BX140+BY140-BZ140</f>
        <v>33400</v>
      </c>
      <c r="CB140" s="99">
        <v>800</v>
      </c>
      <c r="CC140" s="115"/>
      <c r="CD140" s="102">
        <f t="shared" ref="CD140:CD141" si="321">CA140+CB140-CC140</f>
        <v>34200</v>
      </c>
      <c r="CE140" s="99">
        <v>800</v>
      </c>
      <c r="CF140" s="115">
        <v>500</v>
      </c>
      <c r="CG140" s="102">
        <f t="shared" ref="CG140:CG141" si="322">CD140+CE140-CF140</f>
        <v>34500</v>
      </c>
      <c r="CH140" s="99">
        <v>800</v>
      </c>
      <c r="CI140" s="115"/>
      <c r="CJ140" s="102">
        <f t="shared" ref="CJ140:CJ141" si="323">CG140+CH140-CI140</f>
        <v>35300</v>
      </c>
      <c r="CK140" s="99">
        <v>800</v>
      </c>
      <c r="CL140" s="115"/>
      <c r="CM140" s="102">
        <f t="shared" ref="CM140:CM141" si="324">CJ140+CK140-CL140</f>
        <v>36100</v>
      </c>
      <c r="CN140" s="99">
        <v>800</v>
      </c>
      <c r="CO140" s="115"/>
      <c r="CP140" s="102">
        <f t="shared" ref="CP140:CP141" si="325">CM140+CN140-CO140</f>
        <v>36900</v>
      </c>
      <c r="CQ140" s="99">
        <v>800</v>
      </c>
      <c r="CR140" s="115"/>
      <c r="CS140" s="102">
        <f t="shared" si="286"/>
        <v>37700</v>
      </c>
      <c r="CT140" s="99">
        <v>800</v>
      </c>
      <c r="CU140" s="115"/>
      <c r="CV140" s="102">
        <f t="shared" si="287"/>
        <v>38500</v>
      </c>
      <c r="CW140" s="99">
        <v>800</v>
      </c>
      <c r="CX140" s="115"/>
      <c r="CY140" s="102">
        <f t="shared" si="288"/>
        <v>39300</v>
      </c>
    </row>
    <row r="141" spans="1:103">
      <c r="A141" s="41" t="e">
        <f>VLOOKUP(B141,справочник!$B$2:$E$322,4,FALSE)</f>
        <v>#N/A</v>
      </c>
      <c r="B141" t="str">
        <f t="shared" si="258"/>
        <v>88Кононенко Алла Николаевна</v>
      </c>
      <c r="C141" s="1">
        <v>88</v>
      </c>
      <c r="D141" s="2" t="s">
        <v>760</v>
      </c>
      <c r="E141" s="1" t="s">
        <v>447</v>
      </c>
      <c r="F141" s="16">
        <v>40675</v>
      </c>
      <c r="G141" s="16">
        <v>40695</v>
      </c>
      <c r="H141" s="17">
        <f t="shared" si="259"/>
        <v>55</v>
      </c>
      <c r="I141" s="1">
        <f t="shared" si="305"/>
        <v>55000</v>
      </c>
      <c r="J141" s="17">
        <f>1000+49000</f>
        <v>50000</v>
      </c>
      <c r="K141" s="17"/>
      <c r="L141" s="18">
        <f t="shared" si="260"/>
        <v>5000</v>
      </c>
      <c r="M141" s="22">
        <v>2800</v>
      </c>
      <c r="N141" s="22">
        <v>800</v>
      </c>
      <c r="O141" s="22">
        <v>800</v>
      </c>
      <c r="P141" s="22">
        <v>800</v>
      </c>
      <c r="Q141" s="22">
        <v>800</v>
      </c>
      <c r="R141" s="22">
        <v>800</v>
      </c>
      <c r="S141" s="22">
        <v>800</v>
      </c>
      <c r="T141">
        <v>800</v>
      </c>
      <c r="U141" s="22"/>
      <c r="V141" s="22">
        <v>1600</v>
      </c>
      <c r="W141" s="22">
        <v>800</v>
      </c>
      <c r="X141" s="22">
        <v>800</v>
      </c>
      <c r="Y141" s="18">
        <f t="shared" si="261"/>
        <v>11600</v>
      </c>
      <c r="Z141" s="96">
        <v>12</v>
      </c>
      <c r="AA141" s="96">
        <f t="shared" si="262"/>
        <v>9600</v>
      </c>
      <c r="AB141" s="96">
        <f t="shared" si="263"/>
        <v>3000</v>
      </c>
      <c r="AC141" s="99">
        <v>800</v>
      </c>
      <c r="AD141" s="111">
        <v>800</v>
      </c>
      <c r="AE141" s="102">
        <f t="shared" si="264"/>
        <v>3000</v>
      </c>
      <c r="AF141" s="99">
        <v>800</v>
      </c>
      <c r="AG141" s="111"/>
      <c r="AH141" s="102">
        <f t="shared" si="265"/>
        <v>3800</v>
      </c>
      <c r="AI141" s="99">
        <v>800</v>
      </c>
      <c r="AJ141" s="111">
        <v>1600</v>
      </c>
      <c r="AK141" s="102">
        <f t="shared" si="306"/>
        <v>3000</v>
      </c>
      <c r="AL141" s="99">
        <v>800</v>
      </c>
      <c r="AM141" s="111">
        <f>3000+800</f>
        <v>3800</v>
      </c>
      <c r="AN141" s="102">
        <f t="shared" si="307"/>
        <v>0</v>
      </c>
      <c r="AO141" s="99">
        <v>800</v>
      </c>
      <c r="AP141" s="111"/>
      <c r="AQ141" s="102">
        <f t="shared" si="308"/>
        <v>800</v>
      </c>
      <c r="AR141" s="99">
        <v>800</v>
      </c>
      <c r="AS141" s="111">
        <v>1600</v>
      </c>
      <c r="AT141" s="102">
        <f t="shared" si="309"/>
        <v>0</v>
      </c>
      <c r="AU141" s="99">
        <v>800</v>
      </c>
      <c r="AV141" s="111"/>
      <c r="AW141" s="102">
        <f t="shared" si="310"/>
        <v>800</v>
      </c>
      <c r="AX141" s="99">
        <v>800</v>
      </c>
      <c r="AY141" s="111">
        <v>1600</v>
      </c>
      <c r="AZ141" s="102">
        <f t="shared" si="311"/>
        <v>0</v>
      </c>
      <c r="BA141" s="99">
        <v>800</v>
      </c>
      <c r="BB141" s="111"/>
      <c r="BC141" s="102">
        <f t="shared" si="312"/>
        <v>800</v>
      </c>
      <c r="BD141" s="99">
        <v>800</v>
      </c>
      <c r="BE141" s="111">
        <v>1600</v>
      </c>
      <c r="BF141" s="102">
        <f t="shared" si="313"/>
        <v>0</v>
      </c>
      <c r="BG141" s="99">
        <v>800</v>
      </c>
      <c r="BH141" s="111"/>
      <c r="BI141" s="102">
        <f t="shared" si="314"/>
        <v>800</v>
      </c>
      <c r="BJ141" s="99">
        <v>800</v>
      </c>
      <c r="BK141" s="111">
        <v>1600</v>
      </c>
      <c r="BL141" s="102">
        <f t="shared" si="315"/>
        <v>0</v>
      </c>
      <c r="BM141" s="99">
        <v>800</v>
      </c>
      <c r="BN141" s="111"/>
      <c r="BO141" s="102">
        <f t="shared" si="316"/>
        <v>800</v>
      </c>
      <c r="BP141" s="99">
        <v>800</v>
      </c>
      <c r="BQ141" s="111"/>
      <c r="BR141" s="102">
        <f t="shared" si="317"/>
        <v>1600</v>
      </c>
      <c r="BS141" s="99">
        <v>800</v>
      </c>
      <c r="BT141" s="111">
        <v>2400</v>
      </c>
      <c r="BU141" s="102">
        <f t="shared" si="318"/>
        <v>0</v>
      </c>
      <c r="BV141" s="99">
        <v>800</v>
      </c>
      <c r="BW141" s="111">
        <v>2400</v>
      </c>
      <c r="BX141" s="102">
        <f t="shared" si="319"/>
        <v>-1600</v>
      </c>
      <c r="BY141" s="99">
        <v>800</v>
      </c>
      <c r="BZ141" s="111"/>
      <c r="CA141" s="102">
        <f t="shared" si="320"/>
        <v>-800</v>
      </c>
      <c r="CB141" s="99">
        <v>800</v>
      </c>
      <c r="CC141" s="111"/>
      <c r="CD141" s="102">
        <f t="shared" si="321"/>
        <v>0</v>
      </c>
      <c r="CE141" s="99">
        <v>800</v>
      </c>
      <c r="CF141" s="111">
        <v>2400</v>
      </c>
      <c r="CG141" s="102">
        <f t="shared" si="322"/>
        <v>-1600</v>
      </c>
      <c r="CH141" s="99">
        <v>800</v>
      </c>
      <c r="CI141" s="111"/>
      <c r="CJ141" s="102">
        <f t="shared" si="323"/>
        <v>-800</v>
      </c>
      <c r="CK141" s="99">
        <v>800</v>
      </c>
      <c r="CL141" s="111"/>
      <c r="CM141" s="102">
        <f t="shared" si="324"/>
        <v>0</v>
      </c>
      <c r="CN141" s="99">
        <v>800</v>
      </c>
      <c r="CO141" s="111">
        <v>2400</v>
      </c>
      <c r="CP141" s="102">
        <f t="shared" si="325"/>
        <v>-1600</v>
      </c>
      <c r="CQ141" s="99">
        <v>800</v>
      </c>
      <c r="CR141" s="111"/>
      <c r="CS141" s="102">
        <f t="shared" si="286"/>
        <v>-800</v>
      </c>
      <c r="CT141" s="99">
        <v>800</v>
      </c>
      <c r="CU141" s="111"/>
      <c r="CV141" s="102">
        <f t="shared" si="287"/>
        <v>0</v>
      </c>
      <c r="CW141" s="99">
        <v>800</v>
      </c>
      <c r="CX141" s="111"/>
      <c r="CY141" s="102">
        <f t="shared" si="288"/>
        <v>800</v>
      </c>
    </row>
    <row r="142" spans="1:103">
      <c r="A142" s="41">
        <f>VLOOKUP(B142,справочник!$B$2:$E$322,4,FALSE)</f>
        <v>133</v>
      </c>
      <c r="B142" t="str">
        <f t="shared" si="258"/>
        <v>140Короткевич Наталья Владимировна</v>
      </c>
      <c r="C142" s="1">
        <v>140</v>
      </c>
      <c r="D142" s="2" t="s">
        <v>132</v>
      </c>
      <c r="E142" s="1" t="s">
        <v>448</v>
      </c>
      <c r="F142" s="16">
        <v>41008</v>
      </c>
      <c r="G142" s="16">
        <v>41000</v>
      </c>
      <c r="H142" s="17">
        <f t="shared" si="259"/>
        <v>45</v>
      </c>
      <c r="I142" s="1">
        <f t="shared" si="305"/>
        <v>45000</v>
      </c>
      <c r="J142" s="17">
        <v>41000</v>
      </c>
      <c r="K142" s="17">
        <v>4000</v>
      </c>
      <c r="L142" s="18">
        <f t="shared" si="260"/>
        <v>0</v>
      </c>
      <c r="M142" s="22"/>
      <c r="N142" s="22">
        <v>1000</v>
      </c>
      <c r="O142" s="22">
        <v>1000</v>
      </c>
      <c r="P142" s="22">
        <v>1000</v>
      </c>
      <c r="Q142" s="22">
        <v>1000</v>
      </c>
      <c r="R142" s="22">
        <v>1000</v>
      </c>
      <c r="S142" s="22">
        <v>1000</v>
      </c>
      <c r="T142">
        <v>1000</v>
      </c>
      <c r="U142" s="22">
        <v>1000</v>
      </c>
      <c r="V142" s="22">
        <v>1000</v>
      </c>
      <c r="W142" s="22"/>
      <c r="X142" s="22"/>
      <c r="Y142" s="18">
        <f t="shared" si="261"/>
        <v>9000</v>
      </c>
      <c r="Z142" s="96">
        <v>12</v>
      </c>
      <c r="AA142" s="96">
        <f t="shared" si="262"/>
        <v>9600</v>
      </c>
      <c r="AB142" s="96">
        <f t="shared" si="263"/>
        <v>600</v>
      </c>
      <c r="AC142" s="99">
        <v>800</v>
      </c>
      <c r="AD142" s="110">
        <v>800</v>
      </c>
      <c r="AE142" s="102">
        <f t="shared" si="264"/>
        <v>600</v>
      </c>
      <c r="AF142" s="99">
        <v>800</v>
      </c>
      <c r="AG142" s="110">
        <v>800</v>
      </c>
      <c r="AH142" s="102">
        <f t="shared" si="265"/>
        <v>600</v>
      </c>
      <c r="AI142" s="99">
        <v>800</v>
      </c>
      <c r="AJ142" s="110"/>
      <c r="AK142" s="102">
        <f t="shared" si="306"/>
        <v>1400</v>
      </c>
      <c r="AL142" s="99">
        <v>800</v>
      </c>
      <c r="AM142" s="110">
        <v>1400</v>
      </c>
      <c r="AN142" s="102">
        <f t="shared" si="307"/>
        <v>800</v>
      </c>
      <c r="AO142" s="99">
        <v>800</v>
      </c>
      <c r="AP142" s="115"/>
      <c r="AQ142" s="102">
        <f t="shared" si="308"/>
        <v>1600</v>
      </c>
      <c r="AR142" s="99">
        <v>800</v>
      </c>
      <c r="AS142" s="115"/>
      <c r="AT142" s="102">
        <f t="shared" si="309"/>
        <v>2400</v>
      </c>
      <c r="AU142" s="99">
        <v>800</v>
      </c>
      <c r="AV142" s="115">
        <v>1600</v>
      </c>
      <c r="AW142" s="102">
        <f t="shared" si="310"/>
        <v>1600</v>
      </c>
      <c r="AX142" s="99">
        <v>800</v>
      </c>
      <c r="AY142" s="115">
        <v>1600</v>
      </c>
      <c r="AZ142" s="102">
        <f t="shared" si="311"/>
        <v>800</v>
      </c>
      <c r="BA142" s="99">
        <v>800</v>
      </c>
      <c r="BB142" s="115"/>
      <c r="BC142" s="102">
        <f t="shared" si="312"/>
        <v>1600</v>
      </c>
      <c r="BD142" s="99">
        <v>800</v>
      </c>
      <c r="BE142" s="115">
        <v>1189.52</v>
      </c>
      <c r="BF142" s="102">
        <f>BC142+BD142-BE142</f>
        <v>1210.48</v>
      </c>
      <c r="BG142" s="99">
        <v>800</v>
      </c>
      <c r="BH142" s="115">
        <v>2800</v>
      </c>
      <c r="BI142" s="102">
        <f>BF142+BG142-BH142</f>
        <v>-789.52</v>
      </c>
      <c r="BJ142" s="99">
        <v>800</v>
      </c>
      <c r="BK142" s="115"/>
      <c r="BL142" s="102">
        <f>BI142+BJ142-BK142</f>
        <v>10.480000000000018</v>
      </c>
      <c r="BM142" s="99">
        <v>800</v>
      </c>
      <c r="BN142" s="115">
        <v>1600</v>
      </c>
      <c r="BO142" s="102">
        <f>BL142+BM142-BN142</f>
        <v>-789.52</v>
      </c>
      <c r="BP142" s="99">
        <v>800</v>
      </c>
      <c r="BQ142" s="115"/>
      <c r="BR142" s="102">
        <f>BO142+BP142-BQ142</f>
        <v>10.480000000000018</v>
      </c>
      <c r="BS142" s="99">
        <v>800</v>
      </c>
      <c r="BT142" s="115"/>
      <c r="BU142" s="102">
        <f>BR142+BS142-BT142</f>
        <v>810.48</v>
      </c>
      <c r="BV142" s="99">
        <v>800</v>
      </c>
      <c r="BW142" s="115">
        <v>1600</v>
      </c>
      <c r="BX142" s="102">
        <f>BU142+BV142-BW142</f>
        <v>10.480000000000018</v>
      </c>
      <c r="BY142" s="99">
        <v>800</v>
      </c>
      <c r="BZ142" s="115"/>
      <c r="CA142" s="102">
        <f>BX142+BY142-BZ142</f>
        <v>810.48</v>
      </c>
      <c r="CB142" s="99">
        <v>800</v>
      </c>
      <c r="CC142" s="115"/>
      <c r="CD142" s="102">
        <f>CA142+CB142-CC142</f>
        <v>1610.48</v>
      </c>
      <c r="CE142" s="99">
        <v>800</v>
      </c>
      <c r="CF142" s="115"/>
      <c r="CG142" s="102">
        <f>CD142+CE142-CF142</f>
        <v>2410.48</v>
      </c>
      <c r="CH142" s="99">
        <v>800</v>
      </c>
      <c r="CI142" s="115">
        <v>4000</v>
      </c>
      <c r="CJ142" s="102">
        <f>CG142+CH142-CI142</f>
        <v>-789.52</v>
      </c>
      <c r="CK142" s="99">
        <v>800</v>
      </c>
      <c r="CL142" s="115"/>
      <c r="CM142" s="102">
        <f>CJ142+CK142-CL142</f>
        <v>10.480000000000018</v>
      </c>
      <c r="CN142" s="99">
        <v>800</v>
      </c>
      <c r="CO142" s="115"/>
      <c r="CP142" s="102">
        <f>CM142+CN142-CO142</f>
        <v>810.48</v>
      </c>
      <c r="CQ142" s="99">
        <v>800</v>
      </c>
      <c r="CR142" s="115"/>
      <c r="CS142" s="102">
        <f t="shared" si="286"/>
        <v>1610.48</v>
      </c>
      <c r="CT142" s="99">
        <v>800</v>
      </c>
      <c r="CU142" s="115"/>
      <c r="CV142" s="102">
        <f t="shared" si="287"/>
        <v>2410.48</v>
      </c>
      <c r="CW142" s="99">
        <v>800</v>
      </c>
      <c r="CX142" s="115"/>
      <c r="CY142" s="102">
        <f t="shared" si="288"/>
        <v>3210.48</v>
      </c>
    </row>
    <row r="143" spans="1:103">
      <c r="A143" s="41">
        <f>VLOOKUP(B143,справочник!$B$2:$E$322,4,FALSE)</f>
        <v>202</v>
      </c>
      <c r="B143" t="str">
        <f t="shared" si="258"/>
        <v>212Корчинская Ирина Анатольевна</v>
      </c>
      <c r="C143" s="1">
        <v>212</v>
      </c>
      <c r="D143" s="2" t="s">
        <v>133</v>
      </c>
      <c r="E143" s="1" t="s">
        <v>449</v>
      </c>
      <c r="F143" s="16">
        <v>41100</v>
      </c>
      <c r="G143" s="16">
        <v>41091</v>
      </c>
      <c r="H143" s="17">
        <f t="shared" si="259"/>
        <v>42</v>
      </c>
      <c r="I143" s="1">
        <f t="shared" si="305"/>
        <v>42000</v>
      </c>
      <c r="J143" s="17">
        <v>18000</v>
      </c>
      <c r="K143" s="17"/>
      <c r="L143" s="18">
        <f t="shared" si="260"/>
        <v>24000</v>
      </c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18">
        <f t="shared" si="261"/>
        <v>0</v>
      </c>
      <c r="Z143" s="96">
        <v>12</v>
      </c>
      <c r="AA143" s="96">
        <f t="shared" si="262"/>
        <v>9600</v>
      </c>
      <c r="AB143" s="96">
        <f t="shared" si="263"/>
        <v>33600</v>
      </c>
      <c r="AC143" s="99">
        <v>800</v>
      </c>
      <c r="AD143" s="98"/>
      <c r="AE143" s="102">
        <f t="shared" si="264"/>
        <v>34400</v>
      </c>
      <c r="AF143" s="99">
        <v>800</v>
      </c>
      <c r="AG143" s="98"/>
      <c r="AH143" s="102">
        <f t="shared" si="265"/>
        <v>35200</v>
      </c>
      <c r="AI143" s="99">
        <v>800</v>
      </c>
      <c r="AJ143" s="98"/>
      <c r="AK143" s="102">
        <f t="shared" si="306"/>
        <v>36000</v>
      </c>
      <c r="AL143" s="99">
        <v>800</v>
      </c>
      <c r="AM143" s="98"/>
      <c r="AN143" s="102">
        <f t="shared" si="307"/>
        <v>36800</v>
      </c>
      <c r="AO143" s="99">
        <v>800</v>
      </c>
      <c r="AP143" s="113"/>
      <c r="AQ143" s="102">
        <f t="shared" si="308"/>
        <v>37600</v>
      </c>
      <c r="AR143" s="99">
        <v>800</v>
      </c>
      <c r="AS143" s="113"/>
      <c r="AT143" s="102">
        <f t="shared" si="309"/>
        <v>38400</v>
      </c>
      <c r="AU143" s="99">
        <v>800</v>
      </c>
      <c r="AV143" s="113"/>
      <c r="AW143" s="102">
        <f t="shared" si="310"/>
        <v>39200</v>
      </c>
      <c r="AX143" s="99">
        <v>800</v>
      </c>
      <c r="AY143" s="113"/>
      <c r="AZ143" s="102">
        <f t="shared" si="311"/>
        <v>40000</v>
      </c>
      <c r="BA143" s="99">
        <v>800</v>
      </c>
      <c r="BB143" s="113"/>
      <c r="BC143" s="102">
        <f t="shared" si="312"/>
        <v>40800</v>
      </c>
      <c r="BD143" s="99">
        <v>800</v>
      </c>
      <c r="BE143" s="113"/>
      <c r="BF143" s="102">
        <f t="shared" si="313"/>
        <v>41600</v>
      </c>
      <c r="BG143" s="99">
        <v>800</v>
      </c>
      <c r="BH143" s="113"/>
      <c r="BI143" s="102">
        <f t="shared" ref="BI143:BI152" si="326">BF143+BG143-BH143</f>
        <v>42400</v>
      </c>
      <c r="BJ143" s="99">
        <v>800</v>
      </c>
      <c r="BK143" s="113"/>
      <c r="BL143" s="102">
        <f t="shared" ref="BL143:BL152" si="327">BI143+BJ143-BK143</f>
        <v>43200</v>
      </c>
      <c r="BM143" s="99">
        <v>800</v>
      </c>
      <c r="BN143" s="113"/>
      <c r="BO143" s="102">
        <f t="shared" ref="BO143:BO152" si="328">BL143+BM143-BN143</f>
        <v>44000</v>
      </c>
      <c r="BP143" s="99">
        <v>800</v>
      </c>
      <c r="BQ143" s="113"/>
      <c r="BR143" s="102">
        <f t="shared" ref="BR143:BR152" si="329">BO143+BP143-BQ143</f>
        <v>44800</v>
      </c>
      <c r="BS143" s="99">
        <v>800</v>
      </c>
      <c r="BT143" s="113"/>
      <c r="BU143" s="102">
        <f t="shared" ref="BU143:BU152" si="330">BR143+BS143-BT143</f>
        <v>45600</v>
      </c>
      <c r="BV143" s="99">
        <v>800</v>
      </c>
      <c r="BW143" s="113"/>
      <c r="BX143" s="102">
        <f t="shared" ref="BX143" si="331">BU143+BV143-BW143</f>
        <v>46400</v>
      </c>
      <c r="BY143" s="99">
        <v>800</v>
      </c>
      <c r="BZ143" s="113"/>
      <c r="CA143" s="102">
        <f t="shared" ref="CA143" si="332">BX143+BY143-BZ143</f>
        <v>47200</v>
      </c>
      <c r="CB143" s="99">
        <v>800</v>
      </c>
      <c r="CC143" s="113"/>
      <c r="CD143" s="102">
        <f t="shared" ref="CD143" si="333">CA143+CB143-CC143</f>
        <v>48000</v>
      </c>
      <c r="CE143" s="99">
        <v>800</v>
      </c>
      <c r="CF143" s="113"/>
      <c r="CG143" s="102">
        <f t="shared" ref="CG143" si="334">CD143+CE143-CF143</f>
        <v>48800</v>
      </c>
      <c r="CH143" s="99">
        <v>800</v>
      </c>
      <c r="CI143" s="113"/>
      <c r="CJ143" s="102">
        <f t="shared" ref="CJ143" si="335">CG143+CH143-CI143</f>
        <v>49600</v>
      </c>
      <c r="CK143" s="99">
        <v>800</v>
      </c>
      <c r="CL143" s="113"/>
      <c r="CM143" s="102">
        <f t="shared" ref="CM143" si="336">CJ143+CK143-CL143</f>
        <v>50400</v>
      </c>
      <c r="CN143" s="99">
        <v>800</v>
      </c>
      <c r="CO143" s="113"/>
      <c r="CP143" s="102">
        <f t="shared" ref="CP143" si="337">CM143+CN143-CO143</f>
        <v>51200</v>
      </c>
      <c r="CQ143" s="99">
        <v>800</v>
      </c>
      <c r="CR143" s="113"/>
      <c r="CS143" s="102">
        <f t="shared" si="286"/>
        <v>52000</v>
      </c>
      <c r="CT143" s="99">
        <v>800</v>
      </c>
      <c r="CU143" s="113"/>
      <c r="CV143" s="102">
        <f t="shared" si="287"/>
        <v>52800</v>
      </c>
      <c r="CW143" s="99">
        <v>800</v>
      </c>
      <c r="CX143" s="113"/>
      <c r="CY143" s="102">
        <f t="shared" si="288"/>
        <v>53600</v>
      </c>
    </row>
    <row r="144" spans="1:103" ht="24">
      <c r="A144" s="41" t="e">
        <f>VLOOKUP(B144,справочник!$B$2:$E$322,4,FALSE)</f>
        <v>#N/A</v>
      </c>
      <c r="B144" t="str">
        <f t="shared" si="258"/>
        <v>200Косенков Степан Федорович (новый собственник Галактионова Ирина Анатольевна)</v>
      </c>
      <c r="C144" s="1">
        <v>200</v>
      </c>
      <c r="D144" s="2" t="s">
        <v>791</v>
      </c>
      <c r="E144" s="1" t="s">
        <v>450</v>
      </c>
      <c r="F144" s="16">
        <v>41829</v>
      </c>
      <c r="G144" s="16">
        <v>41852</v>
      </c>
      <c r="H144" s="17">
        <f t="shared" si="259"/>
        <v>17</v>
      </c>
      <c r="I144" s="1">
        <f t="shared" si="305"/>
        <v>17000</v>
      </c>
      <c r="J144" s="17"/>
      <c r="K144" s="17"/>
      <c r="L144" s="18">
        <f t="shared" si="260"/>
        <v>17000</v>
      </c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18">
        <f t="shared" si="261"/>
        <v>0</v>
      </c>
      <c r="Z144" s="96">
        <v>12</v>
      </c>
      <c r="AA144" s="96">
        <f t="shared" si="262"/>
        <v>9600</v>
      </c>
      <c r="AB144" s="96">
        <f t="shared" si="263"/>
        <v>26600</v>
      </c>
      <c r="AC144" s="99">
        <v>800</v>
      </c>
      <c r="AD144" s="98"/>
      <c r="AE144" s="102">
        <f t="shared" si="264"/>
        <v>27400</v>
      </c>
      <c r="AF144" s="99">
        <v>800</v>
      </c>
      <c r="AG144" s="98"/>
      <c r="AH144" s="102">
        <f t="shared" si="265"/>
        <v>28200</v>
      </c>
      <c r="AI144" s="99">
        <v>800</v>
      </c>
      <c r="AJ144" s="98"/>
      <c r="AK144" s="102">
        <f t="shared" si="306"/>
        <v>29000</v>
      </c>
      <c r="AL144" s="99">
        <v>800</v>
      </c>
      <c r="AM144" s="98"/>
      <c r="AN144" s="102">
        <f t="shared" si="307"/>
        <v>29800</v>
      </c>
      <c r="AO144" s="99">
        <v>800</v>
      </c>
      <c r="AP144" s="113"/>
      <c r="AQ144" s="102">
        <f t="shared" si="308"/>
        <v>30600</v>
      </c>
      <c r="AR144" s="99">
        <v>800</v>
      </c>
      <c r="AS144" s="113"/>
      <c r="AT144" s="102">
        <f t="shared" si="309"/>
        <v>31400</v>
      </c>
      <c r="AU144" s="99">
        <v>800</v>
      </c>
      <c r="AV144" s="113"/>
      <c r="AW144" s="102">
        <f t="shared" si="310"/>
        <v>32200</v>
      </c>
      <c r="AX144" s="99">
        <v>800</v>
      </c>
      <c r="AY144" s="113"/>
      <c r="AZ144" s="102">
        <f t="shared" si="311"/>
        <v>33000</v>
      </c>
      <c r="BA144" s="99">
        <v>800</v>
      </c>
      <c r="BB144" s="113"/>
      <c r="BC144" s="102">
        <f t="shared" si="312"/>
        <v>33800</v>
      </c>
      <c r="BD144" s="99">
        <v>800</v>
      </c>
      <c r="BE144" s="113"/>
      <c r="BF144" s="102">
        <f t="shared" si="313"/>
        <v>34600</v>
      </c>
      <c r="BG144" s="99">
        <v>800</v>
      </c>
      <c r="BH144" s="113"/>
      <c r="BI144" s="102">
        <f t="shared" si="326"/>
        <v>35400</v>
      </c>
      <c r="BJ144" s="99">
        <v>800</v>
      </c>
      <c r="BK144" s="113"/>
      <c r="BL144" s="102">
        <f t="shared" si="327"/>
        <v>36200</v>
      </c>
      <c r="BM144" s="99">
        <v>800</v>
      </c>
      <c r="BN144" s="113"/>
      <c r="BO144" s="102">
        <f t="shared" si="328"/>
        <v>37000</v>
      </c>
      <c r="BP144" s="99">
        <v>800</v>
      </c>
      <c r="BQ144" s="113">
        <v>1600</v>
      </c>
      <c r="BR144" s="102">
        <f t="shared" si="329"/>
        <v>36200</v>
      </c>
      <c r="BS144" s="99">
        <v>800</v>
      </c>
      <c r="BT144" s="113">
        <v>1600</v>
      </c>
      <c r="BU144" s="102">
        <f>BR144+BS144-BT144</f>
        <v>35400</v>
      </c>
      <c r="BV144" s="99">
        <v>800</v>
      </c>
      <c r="BW144" s="113">
        <v>1600</v>
      </c>
      <c r="BX144" s="102">
        <f>BU144+BV144-BW144</f>
        <v>34600</v>
      </c>
      <c r="BY144" s="99">
        <v>800</v>
      </c>
      <c r="BZ144" s="113"/>
      <c r="CA144" s="102">
        <f>BX144+BY144-BZ144</f>
        <v>35400</v>
      </c>
      <c r="CB144" s="99">
        <v>800</v>
      </c>
      <c r="CC144" s="113"/>
      <c r="CD144" s="102">
        <f>CA144+CB144-CC144</f>
        <v>36200</v>
      </c>
      <c r="CE144" s="99">
        <v>800</v>
      </c>
      <c r="CF144" s="113">
        <v>2400</v>
      </c>
      <c r="CG144" s="102">
        <f>CD144+CE144-CF144</f>
        <v>34600</v>
      </c>
      <c r="CH144" s="99">
        <v>800</v>
      </c>
      <c r="CI144" s="113"/>
      <c r="CJ144" s="102">
        <f>CG144+CH144-CI144</f>
        <v>35400</v>
      </c>
      <c r="CK144" s="99">
        <v>800</v>
      </c>
      <c r="CL144" s="113"/>
      <c r="CM144" s="102">
        <f>CJ144+CK144-CL144</f>
        <v>36200</v>
      </c>
      <c r="CN144" s="99">
        <v>800</v>
      </c>
      <c r="CO144" s="113"/>
      <c r="CP144" s="102">
        <f>CM144+CN144-CO144</f>
        <v>37000</v>
      </c>
      <c r="CQ144" s="99">
        <v>800</v>
      </c>
      <c r="CR144" s="113"/>
      <c r="CS144" s="102">
        <f t="shared" si="286"/>
        <v>37800</v>
      </c>
      <c r="CT144" s="99">
        <v>800</v>
      </c>
      <c r="CU144" s="113">
        <v>3200</v>
      </c>
      <c r="CV144" s="102">
        <f t="shared" si="287"/>
        <v>35400</v>
      </c>
      <c r="CW144" s="99">
        <v>800</v>
      </c>
      <c r="CX144" s="113"/>
      <c r="CY144" s="102">
        <f t="shared" si="288"/>
        <v>36200</v>
      </c>
    </row>
    <row r="145" spans="1:103">
      <c r="A145" s="41">
        <f>VLOOKUP(B145,справочник!$B$2:$E$322,4,FALSE)</f>
        <v>289</v>
      </c>
      <c r="B145" t="str">
        <f t="shared" si="258"/>
        <v>301Косенкова Елизавета Евгеньевна</v>
      </c>
      <c r="C145" s="1">
        <v>301</v>
      </c>
      <c r="D145" s="2" t="s">
        <v>135</v>
      </c>
      <c r="E145" s="1" t="s">
        <v>451</v>
      </c>
      <c r="F145" s="16">
        <v>41976</v>
      </c>
      <c r="G145" s="16">
        <v>42005</v>
      </c>
      <c r="H145" s="17">
        <f t="shared" si="259"/>
        <v>12</v>
      </c>
      <c r="I145" s="1">
        <f t="shared" si="305"/>
        <v>12000</v>
      </c>
      <c r="J145" s="17">
        <v>3000</v>
      </c>
      <c r="K145" s="17"/>
      <c r="L145" s="18">
        <f t="shared" si="260"/>
        <v>9000</v>
      </c>
      <c r="M145" s="22"/>
      <c r="N145" s="22"/>
      <c r="O145" s="22"/>
      <c r="P145" s="22"/>
      <c r="Q145" s="22"/>
      <c r="R145" s="22"/>
      <c r="S145" s="22"/>
      <c r="T145" s="22"/>
      <c r="U145" s="22"/>
      <c r="V145" s="22">
        <v>10000</v>
      </c>
      <c r="W145" s="22"/>
      <c r="X145" s="22"/>
      <c r="Y145" s="18">
        <f t="shared" si="261"/>
        <v>10000</v>
      </c>
      <c r="Z145" s="96">
        <v>12</v>
      </c>
      <c r="AA145" s="96">
        <f t="shared" si="262"/>
        <v>9600</v>
      </c>
      <c r="AB145" s="96">
        <f t="shared" si="263"/>
        <v>8600</v>
      </c>
      <c r="AC145" s="99">
        <v>800</v>
      </c>
      <c r="AD145" s="98"/>
      <c r="AE145" s="102">
        <f t="shared" si="264"/>
        <v>9400</v>
      </c>
      <c r="AF145" s="99">
        <v>800</v>
      </c>
      <c r="AG145" s="98"/>
      <c r="AH145" s="102">
        <f t="shared" si="265"/>
        <v>10200</v>
      </c>
      <c r="AI145" s="99">
        <v>800</v>
      </c>
      <c r="AJ145" s="98">
        <v>5000</v>
      </c>
      <c r="AK145" s="102">
        <f t="shared" si="306"/>
        <v>6000</v>
      </c>
      <c r="AL145" s="99">
        <v>800</v>
      </c>
      <c r="AM145" s="98"/>
      <c r="AN145" s="102">
        <f t="shared" si="307"/>
        <v>6800</v>
      </c>
      <c r="AO145" s="99">
        <v>800</v>
      </c>
      <c r="AP145" s="113">
        <v>6800</v>
      </c>
      <c r="AQ145" s="102">
        <f t="shared" si="308"/>
        <v>800</v>
      </c>
      <c r="AR145" s="99">
        <v>800</v>
      </c>
      <c r="AS145" s="113"/>
      <c r="AT145" s="102">
        <f t="shared" si="309"/>
        <v>1600</v>
      </c>
      <c r="AU145" s="99">
        <v>800</v>
      </c>
      <c r="AV145" s="113">
        <f>1600+4000</f>
        <v>5600</v>
      </c>
      <c r="AW145" s="102">
        <f t="shared" si="310"/>
        <v>-3200</v>
      </c>
      <c r="AX145" s="99">
        <v>800</v>
      </c>
      <c r="AY145" s="113"/>
      <c r="AZ145" s="102">
        <f t="shared" si="311"/>
        <v>-2400</v>
      </c>
      <c r="BA145" s="99">
        <v>800</v>
      </c>
      <c r="BB145" s="113"/>
      <c r="BC145" s="102">
        <f t="shared" si="312"/>
        <v>-1600</v>
      </c>
      <c r="BD145" s="99">
        <v>800</v>
      </c>
      <c r="BE145" s="113"/>
      <c r="BF145" s="102">
        <f t="shared" si="313"/>
        <v>-800</v>
      </c>
      <c r="BG145" s="99">
        <v>800</v>
      </c>
      <c r="BH145" s="113"/>
      <c r="BI145" s="102">
        <f t="shared" si="326"/>
        <v>0</v>
      </c>
      <c r="BJ145" s="99">
        <v>800</v>
      </c>
      <c r="BK145" s="113"/>
      <c r="BL145" s="102">
        <f t="shared" si="327"/>
        <v>800</v>
      </c>
      <c r="BM145" s="99">
        <v>800</v>
      </c>
      <c r="BN145" s="113">
        <v>5600</v>
      </c>
      <c r="BO145" s="102">
        <f t="shared" si="328"/>
        <v>-4000</v>
      </c>
      <c r="BP145" s="99">
        <v>800</v>
      </c>
      <c r="BQ145" s="113"/>
      <c r="BR145" s="102">
        <f t="shared" si="329"/>
        <v>-3200</v>
      </c>
      <c r="BS145" s="99">
        <v>800</v>
      </c>
      <c r="BT145" s="113"/>
      <c r="BU145" s="102">
        <f t="shared" si="330"/>
        <v>-2400</v>
      </c>
      <c r="BV145" s="99">
        <v>800</v>
      </c>
      <c r="BW145" s="113"/>
      <c r="BX145" s="102">
        <f t="shared" ref="BX145:BX152" si="338">BU145+BV145-BW145</f>
        <v>-1600</v>
      </c>
      <c r="BY145" s="99">
        <v>800</v>
      </c>
      <c r="BZ145" s="113"/>
      <c r="CA145" s="102">
        <f t="shared" ref="CA145:CA152" si="339">BX145+BY145-BZ145</f>
        <v>-800</v>
      </c>
      <c r="CB145" s="99">
        <v>800</v>
      </c>
      <c r="CC145" s="113">
        <v>4800</v>
      </c>
      <c r="CD145" s="102">
        <f t="shared" ref="CD145:CD152" si="340">CA145+CB145-CC145</f>
        <v>-4800</v>
      </c>
      <c r="CE145" s="99">
        <v>800</v>
      </c>
      <c r="CF145" s="113"/>
      <c r="CG145" s="102">
        <f t="shared" ref="CG145:CG152" si="341">CD145+CE145-CF145</f>
        <v>-4000</v>
      </c>
      <c r="CH145" s="99">
        <v>800</v>
      </c>
      <c r="CI145" s="113"/>
      <c r="CJ145" s="102">
        <f t="shared" ref="CJ145:CJ152" si="342">CG145+CH145-CI145</f>
        <v>-3200</v>
      </c>
      <c r="CK145" s="99">
        <v>800</v>
      </c>
      <c r="CL145" s="113"/>
      <c r="CM145" s="102">
        <f t="shared" ref="CM145:CM152" si="343">CJ145+CK145-CL145</f>
        <v>-2400</v>
      </c>
      <c r="CN145" s="99">
        <v>800</v>
      </c>
      <c r="CO145" s="113"/>
      <c r="CP145" s="102">
        <f t="shared" ref="CP145:CP152" si="344">CM145+CN145-CO145</f>
        <v>-1600</v>
      </c>
      <c r="CQ145" s="99">
        <v>800</v>
      </c>
      <c r="CR145" s="113"/>
      <c r="CS145" s="102">
        <f t="shared" si="286"/>
        <v>-800</v>
      </c>
      <c r="CT145" s="99">
        <v>800</v>
      </c>
      <c r="CU145" s="113"/>
      <c r="CV145" s="102">
        <f t="shared" si="287"/>
        <v>0</v>
      </c>
      <c r="CW145" s="99">
        <v>800</v>
      </c>
      <c r="CX145" s="113">
        <v>5600</v>
      </c>
      <c r="CY145" s="102">
        <f t="shared" si="288"/>
        <v>-4800</v>
      </c>
    </row>
    <row r="146" spans="1:103">
      <c r="A146" s="41">
        <f>VLOOKUP(B146,справочник!$B$2:$E$322,4,FALSE)</f>
        <v>143</v>
      </c>
      <c r="B146" t="str">
        <f t="shared" si="258"/>
        <v>151Красникова Раиса Михайловна</v>
      </c>
      <c r="C146" s="1">
        <v>151</v>
      </c>
      <c r="D146" s="2" t="s">
        <v>136</v>
      </c>
      <c r="E146" s="1" t="s">
        <v>452</v>
      </c>
      <c r="F146" s="16">
        <v>40841</v>
      </c>
      <c r="G146" s="16">
        <v>40848</v>
      </c>
      <c r="H146" s="17">
        <f t="shared" si="259"/>
        <v>50</v>
      </c>
      <c r="I146" s="1">
        <f t="shared" si="305"/>
        <v>50000</v>
      </c>
      <c r="J146" s="17">
        <v>37000</v>
      </c>
      <c r="K146" s="17"/>
      <c r="L146" s="18">
        <f t="shared" si="260"/>
        <v>13000</v>
      </c>
      <c r="M146" s="22"/>
      <c r="N146" s="22"/>
      <c r="O146" s="22"/>
      <c r="P146" s="22"/>
      <c r="Q146" s="22"/>
      <c r="R146" s="22">
        <v>4800</v>
      </c>
      <c r="S146" s="22"/>
      <c r="T146" s="22"/>
      <c r="U146" s="22"/>
      <c r="V146" s="22">
        <v>2900</v>
      </c>
      <c r="W146" s="22"/>
      <c r="X146" s="22">
        <v>2400</v>
      </c>
      <c r="Y146" s="18">
        <f t="shared" si="261"/>
        <v>10100</v>
      </c>
      <c r="Z146" s="96">
        <v>12</v>
      </c>
      <c r="AA146" s="96">
        <f t="shared" si="262"/>
        <v>9600</v>
      </c>
      <c r="AB146" s="96">
        <f t="shared" si="263"/>
        <v>12500</v>
      </c>
      <c r="AC146" s="99">
        <v>800</v>
      </c>
      <c r="AD146" s="98"/>
      <c r="AE146" s="102">
        <f t="shared" si="264"/>
        <v>13300</v>
      </c>
      <c r="AF146" s="99">
        <v>800</v>
      </c>
      <c r="AG146" s="98"/>
      <c r="AH146" s="102">
        <f t="shared" si="265"/>
        <v>14100</v>
      </c>
      <c r="AI146" s="99">
        <v>800</v>
      </c>
      <c r="AJ146" s="98">
        <v>2400</v>
      </c>
      <c r="AK146" s="102">
        <f t="shared" si="306"/>
        <v>12500</v>
      </c>
      <c r="AL146" s="99">
        <v>800</v>
      </c>
      <c r="AM146" s="98"/>
      <c r="AN146" s="102">
        <f t="shared" si="307"/>
        <v>13300</v>
      </c>
      <c r="AO146" s="99">
        <v>800</v>
      </c>
      <c r="AP146" s="113"/>
      <c r="AQ146" s="102">
        <f t="shared" si="308"/>
        <v>14100</v>
      </c>
      <c r="AR146" s="99">
        <v>800</v>
      </c>
      <c r="AS146" s="113">
        <v>2400</v>
      </c>
      <c r="AT146" s="102">
        <f t="shared" si="309"/>
        <v>12500</v>
      </c>
      <c r="AU146" s="99">
        <v>800</v>
      </c>
      <c r="AV146" s="113"/>
      <c r="AW146" s="102">
        <f t="shared" si="310"/>
        <v>13300</v>
      </c>
      <c r="AX146" s="99">
        <v>800</v>
      </c>
      <c r="AY146" s="113"/>
      <c r="AZ146" s="102">
        <f t="shared" si="311"/>
        <v>14100</v>
      </c>
      <c r="BA146" s="99">
        <v>800</v>
      </c>
      <c r="BB146" s="113"/>
      <c r="BC146" s="102">
        <f t="shared" si="312"/>
        <v>14900</v>
      </c>
      <c r="BD146" s="99">
        <v>800</v>
      </c>
      <c r="BE146" s="113"/>
      <c r="BF146" s="102">
        <f t="shared" si="313"/>
        <v>15700</v>
      </c>
      <c r="BG146" s="99">
        <v>800</v>
      </c>
      <c r="BH146" s="113">
        <v>2400</v>
      </c>
      <c r="BI146" s="102">
        <f t="shared" si="326"/>
        <v>14100</v>
      </c>
      <c r="BJ146" s="99">
        <v>800</v>
      </c>
      <c r="BK146" s="113"/>
      <c r="BL146" s="102">
        <f t="shared" si="327"/>
        <v>14900</v>
      </c>
      <c r="BM146" s="99">
        <v>800</v>
      </c>
      <c r="BN146" s="113">
        <v>2400</v>
      </c>
      <c r="BO146" s="102">
        <f t="shared" si="328"/>
        <v>13300</v>
      </c>
      <c r="BP146" s="99">
        <v>800</v>
      </c>
      <c r="BQ146" s="113">
        <v>2400</v>
      </c>
      <c r="BR146" s="102">
        <f t="shared" si="329"/>
        <v>11700</v>
      </c>
      <c r="BS146" s="99">
        <v>800</v>
      </c>
      <c r="BT146" s="113"/>
      <c r="BU146" s="102">
        <f t="shared" si="330"/>
        <v>12500</v>
      </c>
      <c r="BV146" s="99">
        <v>800</v>
      </c>
      <c r="BW146" s="113"/>
      <c r="BX146" s="102">
        <f t="shared" si="338"/>
        <v>13300</v>
      </c>
      <c r="BY146" s="99">
        <v>800</v>
      </c>
      <c r="BZ146" s="113"/>
      <c r="CA146" s="102">
        <f t="shared" si="339"/>
        <v>14100</v>
      </c>
      <c r="CB146" s="99">
        <v>800</v>
      </c>
      <c r="CC146" s="113">
        <v>2400</v>
      </c>
      <c r="CD146" s="102">
        <f t="shared" si="340"/>
        <v>12500</v>
      </c>
      <c r="CE146" s="99">
        <v>800</v>
      </c>
      <c r="CF146" s="113"/>
      <c r="CG146" s="102">
        <f t="shared" si="341"/>
        <v>13300</v>
      </c>
      <c r="CH146" s="99">
        <v>800</v>
      </c>
      <c r="CI146" s="113"/>
      <c r="CJ146" s="102">
        <f t="shared" si="342"/>
        <v>14100</v>
      </c>
      <c r="CK146" s="99">
        <v>800</v>
      </c>
      <c r="CL146" s="113">
        <v>2400</v>
      </c>
      <c r="CM146" s="102">
        <f t="shared" si="343"/>
        <v>12500</v>
      </c>
      <c r="CN146" s="99">
        <v>800</v>
      </c>
      <c r="CO146" s="113"/>
      <c r="CP146" s="102">
        <f t="shared" si="344"/>
        <v>13300</v>
      </c>
      <c r="CQ146" s="99">
        <v>800</v>
      </c>
      <c r="CR146" s="113"/>
      <c r="CS146" s="102">
        <f t="shared" si="286"/>
        <v>14100</v>
      </c>
      <c r="CT146" s="99">
        <v>800</v>
      </c>
      <c r="CU146" s="113">
        <v>2400</v>
      </c>
      <c r="CV146" s="102">
        <f t="shared" si="287"/>
        <v>12500</v>
      </c>
      <c r="CW146" s="99">
        <v>800</v>
      </c>
      <c r="CX146" s="113"/>
      <c r="CY146" s="102">
        <f t="shared" si="288"/>
        <v>13300</v>
      </c>
    </row>
    <row r="147" spans="1:103">
      <c r="A147" s="41">
        <f>VLOOKUP(B147,справочник!$B$2:$E$322,4,FALSE)</f>
        <v>62</v>
      </c>
      <c r="B147" t="str">
        <f t="shared" si="258"/>
        <v>64Кривой Владимир Аркадьевич</v>
      </c>
      <c r="C147" s="1">
        <v>64</v>
      </c>
      <c r="D147" s="2" t="s">
        <v>137</v>
      </c>
      <c r="E147" s="1" t="s">
        <v>453</v>
      </c>
      <c r="F147" s="16">
        <v>40816</v>
      </c>
      <c r="G147" s="16">
        <v>40817</v>
      </c>
      <c r="H147" s="17">
        <f t="shared" si="259"/>
        <v>51</v>
      </c>
      <c r="I147" s="1">
        <f t="shared" si="305"/>
        <v>51000</v>
      </c>
      <c r="J147" s="17">
        <f>1000+47000</f>
        <v>48000</v>
      </c>
      <c r="K147" s="17">
        <v>3000</v>
      </c>
      <c r="L147" s="18">
        <f t="shared" si="260"/>
        <v>0</v>
      </c>
      <c r="M147" s="29"/>
      <c r="N147" s="29"/>
      <c r="O147" s="29">
        <v>3200</v>
      </c>
      <c r="P147" s="29"/>
      <c r="Q147" s="29"/>
      <c r="R147" s="29"/>
      <c r="S147" s="29"/>
      <c r="T147">
        <v>3200</v>
      </c>
      <c r="U147" s="29"/>
      <c r="V147" s="29"/>
      <c r="W147" s="29"/>
      <c r="X147" s="29">
        <v>3200</v>
      </c>
      <c r="Y147" s="18">
        <f t="shared" si="261"/>
        <v>9600</v>
      </c>
      <c r="Z147" s="96">
        <v>12</v>
      </c>
      <c r="AA147" s="96">
        <f t="shared" si="262"/>
        <v>9600</v>
      </c>
      <c r="AB147" s="96">
        <f t="shared" si="263"/>
        <v>0</v>
      </c>
      <c r="AC147" s="99">
        <v>800</v>
      </c>
      <c r="AD147" s="98"/>
      <c r="AE147" s="102">
        <f t="shared" si="264"/>
        <v>800</v>
      </c>
      <c r="AF147" s="99">
        <v>800</v>
      </c>
      <c r="AG147" s="98"/>
      <c r="AH147" s="102">
        <f t="shared" si="265"/>
        <v>1600</v>
      </c>
      <c r="AI147" s="99">
        <v>800</v>
      </c>
      <c r="AJ147" s="98"/>
      <c r="AK147" s="102">
        <f t="shared" si="306"/>
        <v>2400</v>
      </c>
      <c r="AL147" s="99">
        <v>800</v>
      </c>
      <c r="AM147" s="98">
        <v>4000</v>
      </c>
      <c r="AN147" s="102">
        <f t="shared" si="307"/>
        <v>-800</v>
      </c>
      <c r="AO147" s="99">
        <v>800</v>
      </c>
      <c r="AP147" s="113"/>
      <c r="AQ147" s="102">
        <f t="shared" si="308"/>
        <v>0</v>
      </c>
      <c r="AR147" s="99">
        <v>800</v>
      </c>
      <c r="AS147" s="113"/>
      <c r="AT147" s="102">
        <f t="shared" si="309"/>
        <v>800</v>
      </c>
      <c r="AU147" s="99">
        <v>800</v>
      </c>
      <c r="AV147" s="113"/>
      <c r="AW147" s="102">
        <f t="shared" si="310"/>
        <v>1600</v>
      </c>
      <c r="AX147" s="99">
        <v>800</v>
      </c>
      <c r="AY147" s="113"/>
      <c r="AZ147" s="102">
        <f t="shared" si="311"/>
        <v>2400</v>
      </c>
      <c r="BA147" s="99">
        <v>800</v>
      </c>
      <c r="BB147" s="113">
        <v>4000</v>
      </c>
      <c r="BC147" s="102">
        <f t="shared" si="312"/>
        <v>-800</v>
      </c>
      <c r="BD147" s="99">
        <v>800</v>
      </c>
      <c r="BE147" s="113"/>
      <c r="BF147" s="102">
        <f t="shared" si="313"/>
        <v>0</v>
      </c>
      <c r="BG147" s="99">
        <v>800</v>
      </c>
      <c r="BH147" s="113"/>
      <c r="BI147" s="102">
        <f t="shared" si="326"/>
        <v>800</v>
      </c>
      <c r="BJ147" s="99">
        <v>800</v>
      </c>
      <c r="BK147" s="113">
        <v>3200</v>
      </c>
      <c r="BL147" s="102">
        <f t="shared" si="327"/>
        <v>-1600</v>
      </c>
      <c r="BM147" s="99">
        <v>800</v>
      </c>
      <c r="BN147" s="113"/>
      <c r="BO147" s="102">
        <f t="shared" si="328"/>
        <v>-800</v>
      </c>
      <c r="BP147" s="99">
        <v>800</v>
      </c>
      <c r="BQ147" s="113"/>
      <c r="BR147" s="102">
        <f t="shared" si="329"/>
        <v>0</v>
      </c>
      <c r="BS147" s="99">
        <v>800</v>
      </c>
      <c r="BT147" s="113"/>
      <c r="BU147" s="102">
        <f t="shared" si="330"/>
        <v>800</v>
      </c>
      <c r="BV147" s="99">
        <v>800</v>
      </c>
      <c r="BW147" s="113"/>
      <c r="BX147" s="102">
        <f t="shared" si="338"/>
        <v>1600</v>
      </c>
      <c r="BY147" s="99">
        <v>800</v>
      </c>
      <c r="BZ147" s="113">
        <v>3200</v>
      </c>
      <c r="CA147" s="102">
        <f t="shared" si="339"/>
        <v>-800</v>
      </c>
      <c r="CB147" s="99">
        <v>800</v>
      </c>
      <c r="CC147" s="113">
        <v>6000</v>
      </c>
      <c r="CD147" s="102">
        <f t="shared" si="340"/>
        <v>-6000</v>
      </c>
      <c r="CE147" s="99">
        <v>800</v>
      </c>
      <c r="CF147" s="113"/>
      <c r="CG147" s="102">
        <f t="shared" si="341"/>
        <v>-5200</v>
      </c>
      <c r="CH147" s="99">
        <v>800</v>
      </c>
      <c r="CI147" s="113"/>
      <c r="CJ147" s="102">
        <f t="shared" si="342"/>
        <v>-4400</v>
      </c>
      <c r="CK147" s="99">
        <v>800</v>
      </c>
      <c r="CL147" s="113">
        <v>3200</v>
      </c>
      <c r="CM147" s="102">
        <f t="shared" si="343"/>
        <v>-6800</v>
      </c>
      <c r="CN147" s="99">
        <v>800</v>
      </c>
      <c r="CO147" s="113"/>
      <c r="CP147" s="102">
        <f t="shared" si="344"/>
        <v>-6000</v>
      </c>
      <c r="CQ147" s="99">
        <v>800</v>
      </c>
      <c r="CR147" s="113"/>
      <c r="CS147" s="102">
        <f t="shared" si="286"/>
        <v>-5200</v>
      </c>
      <c r="CT147" s="99">
        <v>800</v>
      </c>
      <c r="CU147" s="113"/>
      <c r="CV147" s="102">
        <f t="shared" si="287"/>
        <v>-4400</v>
      </c>
      <c r="CW147" s="99">
        <v>800</v>
      </c>
      <c r="CX147" s="113">
        <v>1600</v>
      </c>
      <c r="CY147" s="102">
        <f t="shared" si="288"/>
        <v>-5200</v>
      </c>
    </row>
    <row r="148" spans="1:103" ht="24">
      <c r="A148" s="41" t="e">
        <f>VLOOKUP(B148,справочник!$B$2:$E$322,4,FALSE)</f>
        <v>#N/A</v>
      </c>
      <c r="B148" t="str">
        <f t="shared" si="258"/>
        <v>234Крупник Андрей Валерьевич (новый собственник Тимошенков Роман Николаевич)</v>
      </c>
      <c r="C148" s="1">
        <v>234</v>
      </c>
      <c r="D148" s="2" t="s">
        <v>823</v>
      </c>
      <c r="E148" s="1" t="s">
        <v>454</v>
      </c>
      <c r="F148" s="16">
        <v>41871</v>
      </c>
      <c r="G148" s="16">
        <v>41883</v>
      </c>
      <c r="H148" s="17">
        <f t="shared" si="259"/>
        <v>16</v>
      </c>
      <c r="I148" s="1">
        <f t="shared" si="305"/>
        <v>16000</v>
      </c>
      <c r="J148" s="17"/>
      <c r="K148" s="17"/>
      <c r="L148" s="18">
        <f t="shared" si="260"/>
        <v>16000</v>
      </c>
      <c r="M148" s="29"/>
      <c r="N148" s="29"/>
      <c r="O148" s="29"/>
      <c r="P148" s="29"/>
      <c r="Q148" s="29"/>
      <c r="R148" s="29"/>
      <c r="S148" s="29">
        <f>16000+4800</f>
        <v>20800</v>
      </c>
      <c r="T148" s="29"/>
      <c r="U148" s="29"/>
      <c r="V148" s="29"/>
      <c r="W148" s="29"/>
      <c r="X148" s="29"/>
      <c r="Y148" s="18">
        <f t="shared" si="261"/>
        <v>20800</v>
      </c>
      <c r="Z148" s="96">
        <v>12</v>
      </c>
      <c r="AA148" s="96">
        <f t="shared" si="262"/>
        <v>9600</v>
      </c>
      <c r="AB148" s="96">
        <f t="shared" si="263"/>
        <v>4800</v>
      </c>
      <c r="AC148" s="99">
        <v>800</v>
      </c>
      <c r="AD148" s="98"/>
      <c r="AE148" s="102">
        <f t="shared" si="264"/>
        <v>5600</v>
      </c>
      <c r="AF148" s="99">
        <v>800</v>
      </c>
      <c r="AG148" s="98"/>
      <c r="AH148" s="102">
        <f t="shared" si="265"/>
        <v>6400</v>
      </c>
      <c r="AI148" s="99">
        <v>800</v>
      </c>
      <c r="AJ148" s="98">
        <v>6400</v>
      </c>
      <c r="AK148" s="102">
        <f t="shared" si="306"/>
        <v>800</v>
      </c>
      <c r="AL148" s="99">
        <v>800</v>
      </c>
      <c r="AM148" s="98"/>
      <c r="AN148" s="102">
        <f t="shared" si="307"/>
        <v>1600</v>
      </c>
      <c r="AO148" s="99">
        <v>800</v>
      </c>
      <c r="AP148" s="113"/>
      <c r="AQ148" s="102">
        <f t="shared" si="308"/>
        <v>2400</v>
      </c>
      <c r="AR148" s="99">
        <v>800</v>
      </c>
      <c r="AS148" s="113"/>
      <c r="AT148" s="102">
        <f t="shared" si="309"/>
        <v>3200</v>
      </c>
      <c r="AU148" s="99">
        <v>800</v>
      </c>
      <c r="AV148" s="113"/>
      <c r="AW148" s="102">
        <f t="shared" si="310"/>
        <v>4000</v>
      </c>
      <c r="AX148" s="99">
        <v>800</v>
      </c>
      <c r="AY148" s="113">
        <v>4000</v>
      </c>
      <c r="AZ148" s="102">
        <f t="shared" si="311"/>
        <v>800</v>
      </c>
      <c r="BA148" s="99">
        <v>800</v>
      </c>
      <c r="BB148" s="113"/>
      <c r="BC148" s="102">
        <f t="shared" si="312"/>
        <v>1600</v>
      </c>
      <c r="BD148" s="99">
        <v>800</v>
      </c>
      <c r="BE148" s="113"/>
      <c r="BF148" s="102">
        <f t="shared" si="313"/>
        <v>2400</v>
      </c>
      <c r="BG148" s="99">
        <v>800</v>
      </c>
      <c r="BH148" s="113"/>
      <c r="BI148" s="102">
        <f t="shared" si="326"/>
        <v>3200</v>
      </c>
      <c r="BJ148" s="99">
        <v>800</v>
      </c>
      <c r="BK148" s="113"/>
      <c r="BL148" s="102">
        <f t="shared" si="327"/>
        <v>4000</v>
      </c>
      <c r="BM148" s="99">
        <v>800</v>
      </c>
      <c r="BN148" s="113"/>
      <c r="BO148" s="102">
        <f t="shared" si="328"/>
        <v>4800</v>
      </c>
      <c r="BP148" s="99">
        <v>800</v>
      </c>
      <c r="BQ148" s="113">
        <v>4000</v>
      </c>
      <c r="BR148" s="102">
        <f t="shared" si="329"/>
        <v>1600</v>
      </c>
      <c r="BS148" s="99">
        <v>800</v>
      </c>
      <c r="BT148" s="113"/>
      <c r="BU148" s="102">
        <f t="shared" si="330"/>
        <v>2400</v>
      </c>
      <c r="BV148" s="99">
        <v>800</v>
      </c>
      <c r="BW148" s="113"/>
      <c r="BX148" s="102">
        <f t="shared" si="338"/>
        <v>3200</v>
      </c>
      <c r="BY148" s="99">
        <v>800</v>
      </c>
      <c r="BZ148" s="113">
        <v>3000</v>
      </c>
      <c r="CA148" s="102">
        <f t="shared" si="339"/>
        <v>1000</v>
      </c>
      <c r="CB148" s="99">
        <v>800</v>
      </c>
      <c r="CC148" s="113"/>
      <c r="CD148" s="102">
        <f t="shared" si="340"/>
        <v>1800</v>
      </c>
      <c r="CE148" s="99">
        <v>800</v>
      </c>
      <c r="CF148" s="113"/>
      <c r="CG148" s="102">
        <f t="shared" si="341"/>
        <v>2600</v>
      </c>
      <c r="CH148" s="99">
        <v>800</v>
      </c>
      <c r="CI148" s="113"/>
      <c r="CJ148" s="102">
        <f t="shared" si="342"/>
        <v>3400</v>
      </c>
      <c r="CK148" s="99">
        <v>800</v>
      </c>
      <c r="CL148" s="113"/>
      <c r="CM148" s="102">
        <f t="shared" si="343"/>
        <v>4200</v>
      </c>
      <c r="CN148" s="99">
        <v>800</v>
      </c>
      <c r="CO148" s="113"/>
      <c r="CP148" s="102">
        <f t="shared" si="344"/>
        <v>5000</v>
      </c>
      <c r="CQ148" s="99">
        <v>800</v>
      </c>
      <c r="CR148" s="113"/>
      <c r="CS148" s="102">
        <f t="shared" si="286"/>
        <v>5800</v>
      </c>
      <c r="CT148" s="99">
        <v>800</v>
      </c>
      <c r="CU148" s="113">
        <v>6600</v>
      </c>
      <c r="CV148" s="102">
        <f t="shared" si="287"/>
        <v>0</v>
      </c>
      <c r="CW148" s="99">
        <v>800</v>
      </c>
      <c r="CX148" s="113"/>
      <c r="CY148" s="102">
        <f t="shared" si="288"/>
        <v>800</v>
      </c>
    </row>
    <row r="149" spans="1:103">
      <c r="A149" s="41" t="e">
        <f>VLOOKUP(B149,справочник!$B$2:$E$322,4,FALSE)</f>
        <v>#N/A</v>
      </c>
      <c r="B149" t="str">
        <f t="shared" si="258"/>
        <v>279Кудрявцев Евгений Александрович</v>
      </c>
      <c r="C149" s="1">
        <v>279</v>
      </c>
      <c r="D149" s="2" t="s">
        <v>802</v>
      </c>
      <c r="E149" s="1" t="s">
        <v>455</v>
      </c>
      <c r="F149" s="16">
        <v>40799</v>
      </c>
      <c r="G149" s="16">
        <v>40787</v>
      </c>
      <c r="H149" s="17">
        <f t="shared" si="259"/>
        <v>52</v>
      </c>
      <c r="I149" s="1">
        <f t="shared" si="305"/>
        <v>52000</v>
      </c>
      <c r="J149" s="17">
        <f>40000+1000</f>
        <v>41000</v>
      </c>
      <c r="K149" s="17"/>
      <c r="L149" s="18">
        <f t="shared" si="260"/>
        <v>11000</v>
      </c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>
        <v>18000</v>
      </c>
      <c r="X149" s="29"/>
      <c r="Y149" s="18">
        <f t="shared" si="261"/>
        <v>18000</v>
      </c>
      <c r="Z149" s="96">
        <v>12</v>
      </c>
      <c r="AA149" s="96">
        <f t="shared" si="262"/>
        <v>9600</v>
      </c>
      <c r="AB149" s="96">
        <f t="shared" si="263"/>
        <v>2600</v>
      </c>
      <c r="AC149" s="99">
        <v>800</v>
      </c>
      <c r="AD149" s="98"/>
      <c r="AE149" s="102">
        <f t="shared" si="264"/>
        <v>3400</v>
      </c>
      <c r="AF149" s="99">
        <v>800</v>
      </c>
      <c r="AG149" s="98"/>
      <c r="AH149" s="102">
        <f t="shared" si="265"/>
        <v>4200</v>
      </c>
      <c r="AI149" s="99">
        <v>800</v>
      </c>
      <c r="AJ149" s="98"/>
      <c r="AK149" s="102">
        <f t="shared" si="306"/>
        <v>5000</v>
      </c>
      <c r="AL149" s="99">
        <v>800</v>
      </c>
      <c r="AM149" s="98">
        <v>5000</v>
      </c>
      <c r="AN149" s="102">
        <f t="shared" si="307"/>
        <v>800</v>
      </c>
      <c r="AO149" s="99">
        <v>800</v>
      </c>
      <c r="AP149" s="113"/>
      <c r="AQ149" s="102">
        <f t="shared" si="308"/>
        <v>1600</v>
      </c>
      <c r="AR149" s="99">
        <v>800</v>
      </c>
      <c r="AS149" s="113"/>
      <c r="AT149" s="102">
        <f t="shared" si="309"/>
        <v>2400</v>
      </c>
      <c r="AU149" s="99">
        <v>800</v>
      </c>
      <c r="AV149" s="113"/>
      <c r="AW149" s="102">
        <f t="shared" si="310"/>
        <v>3200</v>
      </c>
      <c r="AX149" s="99">
        <v>800</v>
      </c>
      <c r="AY149" s="113"/>
      <c r="AZ149" s="102">
        <f t="shared" si="311"/>
        <v>4000</v>
      </c>
      <c r="BA149" s="99">
        <v>800</v>
      </c>
      <c r="BB149" s="113"/>
      <c r="BC149" s="102">
        <f t="shared" si="312"/>
        <v>4800</v>
      </c>
      <c r="BD149" s="99">
        <v>800</v>
      </c>
      <c r="BE149" s="113"/>
      <c r="BF149" s="102">
        <f t="shared" si="313"/>
        <v>5600</v>
      </c>
      <c r="BG149" s="99">
        <v>800</v>
      </c>
      <c r="BH149" s="113"/>
      <c r="BI149" s="102">
        <f t="shared" si="326"/>
        <v>6400</v>
      </c>
      <c r="BJ149" s="99">
        <v>800</v>
      </c>
      <c r="BK149" s="113"/>
      <c r="BL149" s="102">
        <f t="shared" si="327"/>
        <v>7200</v>
      </c>
      <c r="BM149" s="99">
        <v>800</v>
      </c>
      <c r="BN149" s="113"/>
      <c r="BO149" s="102">
        <f t="shared" si="328"/>
        <v>8000</v>
      </c>
      <c r="BP149" s="99">
        <v>800</v>
      </c>
      <c r="BQ149" s="113"/>
      <c r="BR149" s="102">
        <f t="shared" si="329"/>
        <v>8800</v>
      </c>
      <c r="BS149" s="99">
        <v>800</v>
      </c>
      <c r="BT149" s="113">
        <v>2500</v>
      </c>
      <c r="BU149" s="102">
        <f t="shared" si="330"/>
        <v>7100</v>
      </c>
      <c r="BV149" s="99">
        <v>800</v>
      </c>
      <c r="BW149" s="113">
        <v>3000</v>
      </c>
      <c r="BX149" s="102">
        <f t="shared" si="338"/>
        <v>4900</v>
      </c>
      <c r="BY149" s="99">
        <v>800</v>
      </c>
      <c r="BZ149" s="113">
        <v>3000</v>
      </c>
      <c r="CA149" s="102">
        <f t="shared" si="339"/>
        <v>2700</v>
      </c>
      <c r="CB149" s="99">
        <v>800</v>
      </c>
      <c r="CC149" s="113"/>
      <c r="CD149" s="102">
        <f t="shared" si="340"/>
        <v>3500</v>
      </c>
      <c r="CE149" s="99">
        <v>800</v>
      </c>
      <c r="CF149" s="113"/>
      <c r="CG149" s="102">
        <f t="shared" si="341"/>
        <v>4300</v>
      </c>
      <c r="CH149" s="99">
        <v>800</v>
      </c>
      <c r="CI149" s="113"/>
      <c r="CJ149" s="102">
        <f t="shared" si="342"/>
        <v>5100</v>
      </c>
      <c r="CK149" s="99">
        <v>800</v>
      </c>
      <c r="CL149" s="113"/>
      <c r="CM149" s="102">
        <f t="shared" si="343"/>
        <v>5900</v>
      </c>
      <c r="CN149" s="99">
        <v>800</v>
      </c>
      <c r="CO149" s="113">
        <v>4000</v>
      </c>
      <c r="CP149" s="102">
        <f t="shared" si="344"/>
        <v>2700</v>
      </c>
      <c r="CQ149" s="99">
        <v>800</v>
      </c>
      <c r="CR149" s="113"/>
      <c r="CS149" s="102">
        <f t="shared" si="286"/>
        <v>3500</v>
      </c>
      <c r="CT149" s="99">
        <v>800</v>
      </c>
      <c r="CU149" s="113">
        <v>3000</v>
      </c>
      <c r="CV149" s="102">
        <f t="shared" si="287"/>
        <v>1300</v>
      </c>
      <c r="CW149" s="99">
        <v>800</v>
      </c>
      <c r="CX149" s="113"/>
      <c r="CY149" s="102">
        <f t="shared" si="288"/>
        <v>2100</v>
      </c>
    </row>
    <row r="150" spans="1:103" ht="24">
      <c r="A150" s="41" t="e">
        <f>VLOOKUP(B150,справочник!$B$2:$E$322,4,FALSE)</f>
        <v>#N/A</v>
      </c>
      <c r="B150" t="str">
        <f t="shared" si="258"/>
        <v>165Кудрявцева Наталья Викторовна (новый собственник Клян Денис Владимирович)</v>
      </c>
      <c r="C150" s="1">
        <v>165</v>
      </c>
      <c r="D150" s="2" t="s">
        <v>790</v>
      </c>
      <c r="E150" s="1" t="s">
        <v>456</v>
      </c>
      <c r="F150" s="16">
        <v>40885</v>
      </c>
      <c r="G150" s="16">
        <v>40878</v>
      </c>
      <c r="H150" s="17">
        <f t="shared" si="259"/>
        <v>49</v>
      </c>
      <c r="I150" s="1">
        <f t="shared" si="305"/>
        <v>49000</v>
      </c>
      <c r="J150" s="17">
        <f>12000+13000</f>
        <v>25000</v>
      </c>
      <c r="K150" s="17"/>
      <c r="L150" s="18">
        <f t="shared" si="260"/>
        <v>24000</v>
      </c>
      <c r="M150" s="29">
        <v>1000</v>
      </c>
      <c r="N150" s="29"/>
      <c r="O150" s="29"/>
      <c r="P150" s="29"/>
      <c r="Q150" s="29"/>
      <c r="R150" s="29"/>
      <c r="S150" s="29"/>
      <c r="T150">
        <v>12000</v>
      </c>
      <c r="U150" s="29">
        <v>12000</v>
      </c>
      <c r="V150" s="29"/>
      <c r="W150" s="29"/>
      <c r="X150" s="29"/>
      <c r="Y150" s="18">
        <f t="shared" si="261"/>
        <v>25000</v>
      </c>
      <c r="Z150" s="96">
        <v>12</v>
      </c>
      <c r="AA150" s="96">
        <f t="shared" si="262"/>
        <v>9600</v>
      </c>
      <c r="AB150" s="96">
        <f t="shared" si="263"/>
        <v>8600</v>
      </c>
      <c r="AC150" s="99">
        <v>800</v>
      </c>
      <c r="AD150" s="98"/>
      <c r="AE150" s="102">
        <f t="shared" si="264"/>
        <v>9400</v>
      </c>
      <c r="AF150" s="99">
        <v>800</v>
      </c>
      <c r="AG150" s="98"/>
      <c r="AH150" s="102">
        <f t="shared" si="265"/>
        <v>10200</v>
      </c>
      <c r="AI150" s="99">
        <v>800</v>
      </c>
      <c r="AJ150" s="98"/>
      <c r="AK150" s="102">
        <f t="shared" si="306"/>
        <v>11000</v>
      </c>
      <c r="AL150" s="99">
        <v>800</v>
      </c>
      <c r="AM150" s="98"/>
      <c r="AN150" s="102">
        <f t="shared" si="307"/>
        <v>11800</v>
      </c>
      <c r="AO150" s="99">
        <v>800</v>
      </c>
      <c r="AP150" s="113"/>
      <c r="AQ150" s="102">
        <f t="shared" si="308"/>
        <v>12600</v>
      </c>
      <c r="AR150" s="99">
        <v>800</v>
      </c>
      <c r="AS150" s="113"/>
      <c r="AT150" s="102">
        <f t="shared" si="309"/>
        <v>13400</v>
      </c>
      <c r="AU150" s="99">
        <v>800</v>
      </c>
      <c r="AV150" s="113"/>
      <c r="AW150" s="102">
        <f t="shared" si="310"/>
        <v>14200</v>
      </c>
      <c r="AX150" s="99">
        <v>800</v>
      </c>
      <c r="AY150" s="113"/>
      <c r="AZ150" s="102">
        <f t="shared" si="311"/>
        <v>15000</v>
      </c>
      <c r="BA150" s="99">
        <v>800</v>
      </c>
      <c r="BB150" s="113">
        <v>1000</v>
      </c>
      <c r="BC150" s="102">
        <f t="shared" si="312"/>
        <v>14800</v>
      </c>
      <c r="BD150" s="99">
        <v>800</v>
      </c>
      <c r="BE150" s="113"/>
      <c r="BF150" s="102">
        <f t="shared" si="313"/>
        <v>15600</v>
      </c>
      <c r="BG150" s="99">
        <v>800</v>
      </c>
      <c r="BH150" s="113"/>
      <c r="BI150" s="102">
        <f t="shared" si="326"/>
        <v>16400</v>
      </c>
      <c r="BJ150" s="99">
        <v>800</v>
      </c>
      <c r="BK150" s="113"/>
      <c r="BL150" s="102">
        <f t="shared" si="327"/>
        <v>17200</v>
      </c>
      <c r="BM150" s="99">
        <v>800</v>
      </c>
      <c r="BN150" s="113"/>
      <c r="BO150" s="102">
        <f t="shared" si="328"/>
        <v>18000</v>
      </c>
      <c r="BP150" s="99">
        <v>800</v>
      </c>
      <c r="BQ150" s="113"/>
      <c r="BR150" s="102">
        <f t="shared" si="329"/>
        <v>18800</v>
      </c>
      <c r="BS150" s="99">
        <v>800</v>
      </c>
      <c r="BT150" s="113"/>
      <c r="BU150" s="102">
        <f t="shared" si="330"/>
        <v>19600</v>
      </c>
      <c r="BV150" s="99">
        <v>800</v>
      </c>
      <c r="BW150" s="113"/>
      <c r="BX150" s="102">
        <f t="shared" si="338"/>
        <v>20400</v>
      </c>
      <c r="BY150" s="99">
        <v>800</v>
      </c>
      <c r="BZ150" s="113"/>
      <c r="CA150" s="102">
        <f t="shared" si="339"/>
        <v>21200</v>
      </c>
      <c r="CB150" s="99">
        <v>800</v>
      </c>
      <c r="CC150" s="113"/>
      <c r="CD150" s="102">
        <f t="shared" si="340"/>
        <v>22000</v>
      </c>
      <c r="CE150" s="99">
        <v>800</v>
      </c>
      <c r="CF150" s="113"/>
      <c r="CG150" s="102">
        <f t="shared" si="341"/>
        <v>22800</v>
      </c>
      <c r="CH150" s="99">
        <v>800</v>
      </c>
      <c r="CI150" s="113"/>
      <c r="CJ150" s="102">
        <f t="shared" si="342"/>
        <v>23600</v>
      </c>
      <c r="CK150" s="99">
        <v>800</v>
      </c>
      <c r="CL150" s="113"/>
      <c r="CM150" s="102">
        <f t="shared" si="343"/>
        <v>24400</v>
      </c>
      <c r="CN150" s="99">
        <v>800</v>
      </c>
      <c r="CO150" s="113"/>
      <c r="CP150" s="102">
        <f t="shared" si="344"/>
        <v>25200</v>
      </c>
      <c r="CQ150" s="99">
        <v>800</v>
      </c>
      <c r="CR150" s="113"/>
      <c r="CS150" s="102">
        <f t="shared" si="286"/>
        <v>26000</v>
      </c>
      <c r="CT150" s="99">
        <v>800</v>
      </c>
      <c r="CU150" s="113"/>
      <c r="CV150" s="102">
        <f t="shared" si="287"/>
        <v>26800</v>
      </c>
      <c r="CW150" s="99">
        <v>800</v>
      </c>
      <c r="CX150" s="113"/>
      <c r="CY150" s="102">
        <f t="shared" si="288"/>
        <v>27600</v>
      </c>
    </row>
    <row r="151" spans="1:103">
      <c r="A151" s="41">
        <f>VLOOKUP(B151,справочник!$B$2:$E$322,4,FALSE)</f>
        <v>194</v>
      </c>
      <c r="B151" t="str">
        <f t="shared" si="258"/>
        <v>202Куликов Александр Владимирович</v>
      </c>
      <c r="C151" s="1">
        <v>202</v>
      </c>
      <c r="D151" s="2" t="s">
        <v>141</v>
      </c>
      <c r="E151" s="1" t="s">
        <v>457</v>
      </c>
      <c r="F151" s="16">
        <v>41898</v>
      </c>
      <c r="G151" s="16">
        <v>41913</v>
      </c>
      <c r="H151" s="17">
        <f t="shared" si="259"/>
        <v>15</v>
      </c>
      <c r="I151" s="1">
        <f t="shared" si="305"/>
        <v>15000</v>
      </c>
      <c r="J151" s="17">
        <v>11000</v>
      </c>
      <c r="K151" s="17"/>
      <c r="L151" s="18">
        <f t="shared" si="260"/>
        <v>4000</v>
      </c>
      <c r="M151" s="29"/>
      <c r="N151" s="29">
        <v>5000</v>
      </c>
      <c r="O151" s="29"/>
      <c r="P151" s="29"/>
      <c r="Q151" s="29"/>
      <c r="R151" s="29"/>
      <c r="S151" s="29"/>
      <c r="T151" s="29"/>
      <c r="U151" s="29">
        <v>9600</v>
      </c>
      <c r="V151" s="29"/>
      <c r="W151" s="29"/>
      <c r="X151" s="29"/>
      <c r="Y151" s="18">
        <f t="shared" si="261"/>
        <v>14600</v>
      </c>
      <c r="Z151" s="96">
        <v>12</v>
      </c>
      <c r="AA151" s="96">
        <f t="shared" si="262"/>
        <v>9600</v>
      </c>
      <c r="AB151" s="96">
        <f t="shared" si="263"/>
        <v>-1000</v>
      </c>
      <c r="AC151" s="99">
        <v>800</v>
      </c>
      <c r="AD151" s="98"/>
      <c r="AE151" s="102">
        <f t="shared" si="264"/>
        <v>-200</v>
      </c>
      <c r="AF151" s="99">
        <v>800</v>
      </c>
      <c r="AG151" s="98"/>
      <c r="AH151" s="102">
        <f t="shared" si="265"/>
        <v>600</v>
      </c>
      <c r="AI151" s="99">
        <v>800</v>
      </c>
      <c r="AJ151" s="98"/>
      <c r="AK151" s="102">
        <f t="shared" si="306"/>
        <v>1400</v>
      </c>
      <c r="AL151" s="99">
        <v>800</v>
      </c>
      <c r="AM151" s="98"/>
      <c r="AN151" s="102">
        <f t="shared" si="307"/>
        <v>2200</v>
      </c>
      <c r="AO151" s="99">
        <v>800</v>
      </c>
      <c r="AP151" s="113"/>
      <c r="AQ151" s="102">
        <f t="shared" si="308"/>
        <v>3000</v>
      </c>
      <c r="AR151" s="99">
        <v>800</v>
      </c>
      <c r="AS151" s="113"/>
      <c r="AT151" s="102">
        <f t="shared" si="309"/>
        <v>3800</v>
      </c>
      <c r="AU151" s="99">
        <v>800</v>
      </c>
      <c r="AV151" s="113"/>
      <c r="AW151" s="102">
        <f t="shared" si="310"/>
        <v>4600</v>
      </c>
      <c r="AX151" s="99">
        <v>800</v>
      </c>
      <c r="AY151" s="113"/>
      <c r="AZ151" s="102">
        <f t="shared" si="311"/>
        <v>5400</v>
      </c>
      <c r="BA151" s="99">
        <v>800</v>
      </c>
      <c r="BB151" s="113"/>
      <c r="BC151" s="102">
        <f t="shared" si="312"/>
        <v>6200</v>
      </c>
      <c r="BD151" s="99">
        <v>800</v>
      </c>
      <c r="BE151" s="113"/>
      <c r="BF151" s="102">
        <f t="shared" si="313"/>
        <v>7000</v>
      </c>
      <c r="BG151" s="99">
        <v>800</v>
      </c>
      <c r="BH151" s="113"/>
      <c r="BI151" s="102">
        <f t="shared" si="326"/>
        <v>7800</v>
      </c>
      <c r="BJ151" s="99">
        <v>800</v>
      </c>
      <c r="BK151" s="113">
        <v>8600</v>
      </c>
      <c r="BL151" s="102">
        <f t="shared" si="327"/>
        <v>0</v>
      </c>
      <c r="BM151" s="99">
        <v>800</v>
      </c>
      <c r="BN151" s="113"/>
      <c r="BO151" s="102">
        <f t="shared" si="328"/>
        <v>800</v>
      </c>
      <c r="BP151" s="99">
        <v>800</v>
      </c>
      <c r="BQ151" s="113"/>
      <c r="BR151" s="102">
        <f t="shared" si="329"/>
        <v>1600</v>
      </c>
      <c r="BS151" s="99">
        <v>800</v>
      </c>
      <c r="BT151" s="113"/>
      <c r="BU151" s="102">
        <f t="shared" si="330"/>
        <v>2400</v>
      </c>
      <c r="BV151" s="99">
        <v>800</v>
      </c>
      <c r="BW151" s="113"/>
      <c r="BX151" s="102">
        <f t="shared" si="338"/>
        <v>3200</v>
      </c>
      <c r="BY151" s="99">
        <v>800</v>
      </c>
      <c r="BZ151" s="113">
        <v>4800</v>
      </c>
      <c r="CA151" s="102">
        <f t="shared" si="339"/>
        <v>-800</v>
      </c>
      <c r="CB151" s="99">
        <v>800</v>
      </c>
      <c r="CC151" s="113"/>
      <c r="CD151" s="102">
        <f t="shared" si="340"/>
        <v>0</v>
      </c>
      <c r="CE151" s="99">
        <v>800</v>
      </c>
      <c r="CF151" s="113"/>
      <c r="CG151" s="102">
        <f t="shared" si="341"/>
        <v>800</v>
      </c>
      <c r="CH151" s="99">
        <v>800</v>
      </c>
      <c r="CI151" s="113"/>
      <c r="CJ151" s="102">
        <f t="shared" si="342"/>
        <v>1600</v>
      </c>
      <c r="CK151" s="99">
        <v>800</v>
      </c>
      <c r="CL151" s="113"/>
      <c r="CM151" s="102">
        <f t="shared" si="343"/>
        <v>2400</v>
      </c>
      <c r="CN151" s="99">
        <v>800</v>
      </c>
      <c r="CO151" s="113"/>
      <c r="CP151" s="102">
        <f t="shared" si="344"/>
        <v>3200</v>
      </c>
      <c r="CQ151" s="99">
        <v>800</v>
      </c>
      <c r="CR151" s="113"/>
      <c r="CS151" s="102">
        <f t="shared" si="286"/>
        <v>4000</v>
      </c>
      <c r="CT151" s="99">
        <v>800</v>
      </c>
      <c r="CU151" s="113"/>
      <c r="CV151" s="102">
        <f t="shared" si="287"/>
        <v>4800</v>
      </c>
      <c r="CW151" s="99">
        <v>800</v>
      </c>
      <c r="CX151" s="113">
        <v>4800</v>
      </c>
      <c r="CY151" s="102">
        <f t="shared" si="288"/>
        <v>800</v>
      </c>
    </row>
    <row r="152" spans="1:103">
      <c r="A152" s="41">
        <f>VLOOKUP(B152,справочник!$B$2:$E$322,4,FALSE)</f>
        <v>65</v>
      </c>
      <c r="B152" t="str">
        <f t="shared" si="258"/>
        <v xml:space="preserve">67Куликова Наталья Александровна </v>
      </c>
      <c r="C152" s="1">
        <v>67</v>
      </c>
      <c r="D152" s="2" t="s">
        <v>142</v>
      </c>
      <c r="E152" s="1" t="s">
        <v>458</v>
      </c>
      <c r="F152" s="16">
        <v>40872</v>
      </c>
      <c r="G152" s="16">
        <v>40848</v>
      </c>
      <c r="H152" s="17">
        <f t="shared" si="259"/>
        <v>50</v>
      </c>
      <c r="I152" s="1">
        <f t="shared" si="305"/>
        <v>50000</v>
      </c>
      <c r="J152" s="17">
        <f>30000</f>
        <v>30000</v>
      </c>
      <c r="K152" s="17"/>
      <c r="L152" s="18">
        <f t="shared" si="260"/>
        <v>20000</v>
      </c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18">
        <f t="shared" si="261"/>
        <v>0</v>
      </c>
      <c r="Z152" s="96">
        <v>12</v>
      </c>
      <c r="AA152" s="96">
        <f t="shared" si="262"/>
        <v>9600</v>
      </c>
      <c r="AB152" s="96">
        <f t="shared" si="263"/>
        <v>29600</v>
      </c>
      <c r="AC152" s="99">
        <v>800</v>
      </c>
      <c r="AD152" s="98"/>
      <c r="AE152" s="102">
        <f t="shared" si="264"/>
        <v>30400</v>
      </c>
      <c r="AF152" s="99">
        <v>800</v>
      </c>
      <c r="AG152" s="98"/>
      <c r="AH152" s="102">
        <f t="shared" si="265"/>
        <v>31200</v>
      </c>
      <c r="AI152" s="99">
        <v>800</v>
      </c>
      <c r="AJ152" s="98"/>
      <c r="AK152" s="102">
        <f t="shared" si="306"/>
        <v>32000</v>
      </c>
      <c r="AL152" s="99">
        <v>800</v>
      </c>
      <c r="AM152" s="98"/>
      <c r="AN152" s="102">
        <f t="shared" si="307"/>
        <v>32800</v>
      </c>
      <c r="AO152" s="99">
        <v>800</v>
      </c>
      <c r="AP152" s="113"/>
      <c r="AQ152" s="102">
        <f t="shared" si="308"/>
        <v>33600</v>
      </c>
      <c r="AR152" s="99">
        <v>800</v>
      </c>
      <c r="AS152" s="113"/>
      <c r="AT152" s="102">
        <f t="shared" si="309"/>
        <v>34400</v>
      </c>
      <c r="AU152" s="99">
        <v>800</v>
      </c>
      <c r="AV152" s="113"/>
      <c r="AW152" s="102">
        <f t="shared" si="310"/>
        <v>35200</v>
      </c>
      <c r="AX152" s="99">
        <v>800</v>
      </c>
      <c r="AY152" s="113"/>
      <c r="AZ152" s="102">
        <f t="shared" si="311"/>
        <v>36000</v>
      </c>
      <c r="BA152" s="99">
        <v>800</v>
      </c>
      <c r="BB152" s="113"/>
      <c r="BC152" s="102">
        <f t="shared" si="312"/>
        <v>36800</v>
      </c>
      <c r="BD152" s="99">
        <v>800</v>
      </c>
      <c r="BE152" s="113"/>
      <c r="BF152" s="102">
        <f t="shared" si="313"/>
        <v>37600</v>
      </c>
      <c r="BG152" s="99">
        <v>800</v>
      </c>
      <c r="BH152" s="113"/>
      <c r="BI152" s="102">
        <f t="shared" si="326"/>
        <v>38400</v>
      </c>
      <c r="BJ152" s="99">
        <v>800</v>
      </c>
      <c r="BK152" s="113"/>
      <c r="BL152" s="102">
        <f t="shared" si="327"/>
        <v>39200</v>
      </c>
      <c r="BM152" s="99">
        <v>800</v>
      </c>
      <c r="BN152" s="113"/>
      <c r="BO152" s="102">
        <f t="shared" si="328"/>
        <v>40000</v>
      </c>
      <c r="BP152" s="99">
        <v>800</v>
      </c>
      <c r="BQ152" s="113"/>
      <c r="BR152" s="102">
        <f t="shared" si="329"/>
        <v>40800</v>
      </c>
      <c r="BS152" s="99">
        <v>800</v>
      </c>
      <c r="BT152" s="113"/>
      <c r="BU152" s="102">
        <f t="shared" si="330"/>
        <v>41600</v>
      </c>
      <c r="BV152" s="99">
        <v>800</v>
      </c>
      <c r="BW152" s="113"/>
      <c r="BX152" s="102">
        <f t="shared" si="338"/>
        <v>42400</v>
      </c>
      <c r="BY152" s="99">
        <v>800</v>
      </c>
      <c r="BZ152" s="113"/>
      <c r="CA152" s="102">
        <f t="shared" si="339"/>
        <v>43200</v>
      </c>
      <c r="CB152" s="99">
        <v>800</v>
      </c>
      <c r="CC152" s="113"/>
      <c r="CD152" s="102">
        <f t="shared" si="340"/>
        <v>44000</v>
      </c>
      <c r="CE152" s="99">
        <v>800</v>
      </c>
      <c r="CF152" s="113"/>
      <c r="CG152" s="102">
        <f t="shared" si="341"/>
        <v>44800</v>
      </c>
      <c r="CH152" s="99">
        <v>800</v>
      </c>
      <c r="CI152" s="113"/>
      <c r="CJ152" s="102">
        <f t="shared" si="342"/>
        <v>45600</v>
      </c>
      <c r="CK152" s="99">
        <v>800</v>
      </c>
      <c r="CL152" s="113"/>
      <c r="CM152" s="102">
        <f t="shared" si="343"/>
        <v>46400</v>
      </c>
      <c r="CN152" s="99">
        <v>800</v>
      </c>
      <c r="CO152" s="113"/>
      <c r="CP152" s="102">
        <f t="shared" si="344"/>
        <v>47200</v>
      </c>
      <c r="CQ152" s="99">
        <v>800</v>
      </c>
      <c r="CR152" s="113"/>
      <c r="CS152" s="102">
        <f t="shared" si="286"/>
        <v>48000</v>
      </c>
      <c r="CT152" s="99">
        <v>800</v>
      </c>
      <c r="CU152" s="113"/>
      <c r="CV152" s="102">
        <f t="shared" si="287"/>
        <v>48800</v>
      </c>
      <c r="CW152" s="99">
        <v>800</v>
      </c>
      <c r="CX152" s="113"/>
      <c r="CY152" s="102">
        <f t="shared" si="288"/>
        <v>49600</v>
      </c>
    </row>
    <row r="153" spans="1:103" s="80" customFormat="1">
      <c r="A153" s="103" t="e">
        <f>VLOOKUP(B153,справочник!$B$2:$E$322,4,FALSE)</f>
        <v>#N/A</v>
      </c>
      <c r="B153" s="80" t="str">
        <f t="shared" si="258"/>
        <v>225Кулиш Сергей Александрович</v>
      </c>
      <c r="C153" s="5">
        <v>225</v>
      </c>
      <c r="D153" s="108" t="s">
        <v>821</v>
      </c>
      <c r="E153" s="5" t="s">
        <v>459</v>
      </c>
      <c r="F153" s="19">
        <v>41773</v>
      </c>
      <c r="G153" s="19">
        <v>41760</v>
      </c>
      <c r="H153" s="20">
        <f t="shared" si="259"/>
        <v>20</v>
      </c>
      <c r="I153" s="5">
        <f t="shared" si="305"/>
        <v>20000</v>
      </c>
      <c r="J153" s="20">
        <v>20000</v>
      </c>
      <c r="K153" s="20"/>
      <c r="L153" s="21">
        <f t="shared" si="260"/>
        <v>0</v>
      </c>
      <c r="M153" s="109"/>
      <c r="N153" s="109">
        <v>5200</v>
      </c>
      <c r="O153" s="109"/>
      <c r="P153" s="109"/>
      <c r="Q153" s="109"/>
      <c r="R153" s="109"/>
      <c r="S153" s="109"/>
      <c r="T153" s="109"/>
      <c r="U153" s="109"/>
      <c r="V153" s="109"/>
      <c r="W153" s="109">
        <v>4400</v>
      </c>
      <c r="X153" s="109"/>
      <c r="Y153" s="21">
        <f t="shared" si="261"/>
        <v>9600</v>
      </c>
      <c r="Z153" s="104">
        <v>12</v>
      </c>
      <c r="AA153" s="104">
        <f t="shared" si="262"/>
        <v>9600</v>
      </c>
      <c r="AB153" s="104">
        <f t="shared" si="263"/>
        <v>0</v>
      </c>
      <c r="AC153" s="104">
        <v>0</v>
      </c>
      <c r="AD153" s="105"/>
      <c r="AE153" s="227">
        <f>SUM(AB153:AB154)+SUM(AC153:AC154)-SUM(AD153:AD154)</f>
        <v>-1200</v>
      </c>
      <c r="AF153" s="104">
        <v>0</v>
      </c>
      <c r="AG153" s="105"/>
      <c r="AH153" s="227">
        <f>SUM(AE153:AE154)+SUM(AF153:AF154)-SUM(AG153:AG154)</f>
        <v>-400</v>
      </c>
      <c r="AI153" s="104">
        <v>0</v>
      </c>
      <c r="AJ153" s="105"/>
      <c r="AK153" s="227">
        <f>SUM(AH153:AH154)+SUM(AI153:AI154)-SUM(AJ153:AJ154)</f>
        <v>400</v>
      </c>
      <c r="AL153" s="104">
        <v>0</v>
      </c>
      <c r="AM153" s="105"/>
      <c r="AN153" s="227">
        <f>SUM(AK153:AK154)+SUM(AL153:AL154)-SUM(AM153:AM154)</f>
        <v>-2800</v>
      </c>
      <c r="AO153" s="104">
        <v>0</v>
      </c>
      <c r="AP153" s="105"/>
      <c r="AQ153" s="227">
        <f>SUM(AN153:AN154)+SUM(AO153:AO154)-SUM(AP153:AP154)</f>
        <v>-2000</v>
      </c>
      <c r="AR153" s="104">
        <v>0</v>
      </c>
      <c r="AS153" s="105"/>
      <c r="AT153" s="227">
        <f>SUM(AQ153:AQ154)+SUM(AR153:AR154)-SUM(AS153:AS154)</f>
        <v>-1200</v>
      </c>
      <c r="AU153" s="104">
        <v>0</v>
      </c>
      <c r="AV153" s="105"/>
      <c r="AW153" s="212">
        <f>SUM(AT153:AT154)+SUM(AU153:AU154)-SUM(AV153:AV154)</f>
        <v>-400</v>
      </c>
      <c r="AX153" s="104">
        <v>0</v>
      </c>
      <c r="AY153" s="105"/>
      <c r="AZ153" s="212">
        <f>SUM(AW153:AW154)+SUM(AX153:AX154)-SUM(AY153:AY154)</f>
        <v>400</v>
      </c>
      <c r="BA153" s="104">
        <v>0</v>
      </c>
      <c r="BB153" s="105"/>
      <c r="BC153" s="212">
        <f>SUM(AZ153:AZ154)+SUM(BA153:BA154)-SUM(BB153:BB154)</f>
        <v>1200</v>
      </c>
      <c r="BD153" s="104">
        <v>0</v>
      </c>
      <c r="BE153" s="105"/>
      <c r="BF153" s="212">
        <f>SUM(BC153:BC154)+SUM(BD153:BD154)-SUM(BE153:BE154)</f>
        <v>2000</v>
      </c>
      <c r="BG153" s="104">
        <v>0</v>
      </c>
      <c r="BH153" s="105"/>
      <c r="BI153" s="212">
        <f>SUM(BF153:BF154)+SUM(BG153:BG154)-SUM(BH153:BH154)</f>
        <v>2800</v>
      </c>
      <c r="BJ153" s="104">
        <v>0</v>
      </c>
      <c r="BK153" s="105"/>
      <c r="BL153" s="212">
        <f>SUM(BI153:BI154)+SUM(BJ153:BJ154)-SUM(BK153:BK154)</f>
        <v>3600</v>
      </c>
      <c r="BM153" s="104">
        <v>0</v>
      </c>
      <c r="BN153" s="218">
        <v>8600</v>
      </c>
      <c r="BO153" s="212">
        <f>SUM(BL153:BL154)+SUM(BM153:BM154)-SUM(BN153:BN154)</f>
        <v>-4200</v>
      </c>
      <c r="BP153" s="104">
        <v>0</v>
      </c>
      <c r="BQ153" s="218"/>
      <c r="BR153" s="212">
        <f>SUM(BO153:BO154)+SUM(BP153:BP154)-SUM(BQ153:BQ154)</f>
        <v>-3400</v>
      </c>
      <c r="BS153" s="104">
        <v>0</v>
      </c>
      <c r="BT153" s="218"/>
      <c r="BU153" s="212">
        <f>SUM(BR153:BR154)+SUM(BS153:BS154)-SUM(BT153:BT154)</f>
        <v>-2600</v>
      </c>
      <c r="BV153" s="104">
        <v>0</v>
      </c>
      <c r="BW153" s="218"/>
      <c r="BX153" s="212">
        <f>SUM(BU153:BU154)+SUM(BV153:BV154)-SUM(BW153:BW154)</f>
        <v>-1800</v>
      </c>
      <c r="BY153" s="104">
        <v>0</v>
      </c>
      <c r="BZ153" s="218"/>
      <c r="CA153" s="212">
        <f>SUM(BX153:BX154)+SUM(BY153:BY154)-SUM(BZ153:BZ154)</f>
        <v>-1000</v>
      </c>
      <c r="CB153" s="104">
        <v>0</v>
      </c>
      <c r="CC153" s="218">
        <v>10000</v>
      </c>
      <c r="CD153" s="212">
        <f>SUM(CA153:CA154)+SUM(CB153:CB154)-SUM(CC153:CC154)</f>
        <v>-10200</v>
      </c>
      <c r="CE153" s="104">
        <v>0</v>
      </c>
      <c r="CF153" s="218"/>
      <c r="CG153" s="212">
        <f>SUM(CD153:CD154)+SUM(CE153:CE154)-SUM(CF153:CF154)</f>
        <v>-9400</v>
      </c>
      <c r="CH153" s="104">
        <v>0</v>
      </c>
      <c r="CI153" s="218"/>
      <c r="CJ153" s="212">
        <f>SUM(CG153:CG154)+SUM(CH153:CH154)-SUM(CI153:CI154)</f>
        <v>-8600</v>
      </c>
      <c r="CK153" s="104">
        <v>0</v>
      </c>
      <c r="CL153" s="218"/>
      <c r="CM153" s="212">
        <f>SUM(CJ153:CJ154)+SUM(CK153:CK154)-SUM(CL153:CL154)</f>
        <v>-7800</v>
      </c>
      <c r="CN153" s="104">
        <v>0</v>
      </c>
      <c r="CO153" s="218"/>
      <c r="CP153" s="212">
        <f>SUM(CM153:CM154)+SUM(CN153:CN154)-SUM(CO153:CO154)</f>
        <v>-7000</v>
      </c>
      <c r="CQ153" s="104">
        <v>0</v>
      </c>
      <c r="CR153" s="218"/>
      <c r="CS153" s="212">
        <f>CP153+CQ154-CR153</f>
        <v>-6200</v>
      </c>
      <c r="CT153" s="104">
        <v>0</v>
      </c>
      <c r="CU153" s="218"/>
      <c r="CV153" s="212">
        <f>CS153+CT154-CU153</f>
        <v>-5400</v>
      </c>
      <c r="CW153" s="104">
        <v>0</v>
      </c>
      <c r="CX153" s="218"/>
      <c r="CY153" s="212">
        <f>CV153+CW154-CX153</f>
        <v>-4600</v>
      </c>
    </row>
    <row r="154" spans="1:103" s="80" customFormat="1">
      <c r="A154" s="103" t="e">
        <f>VLOOKUP(B154,справочник!$B$2:$E$322,4,FALSE)</f>
        <v>#N/A</v>
      </c>
      <c r="B154" s="80" t="str">
        <f t="shared" si="258"/>
        <v>226Кулиш Сергей Александрович</v>
      </c>
      <c r="C154" s="5">
        <v>226</v>
      </c>
      <c r="D154" s="108" t="s">
        <v>821</v>
      </c>
      <c r="E154" s="5" t="s">
        <v>460</v>
      </c>
      <c r="F154" s="19">
        <v>41773</v>
      </c>
      <c r="G154" s="19">
        <v>41760</v>
      </c>
      <c r="H154" s="20">
        <v>18</v>
      </c>
      <c r="I154" s="5">
        <f t="shared" si="305"/>
        <v>18000</v>
      </c>
      <c r="J154" s="20">
        <v>20000</v>
      </c>
      <c r="K154" s="20"/>
      <c r="L154" s="21">
        <f t="shared" si="260"/>
        <v>-2000</v>
      </c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21">
        <f t="shared" si="261"/>
        <v>0</v>
      </c>
      <c r="Z154" s="104">
        <v>0</v>
      </c>
      <c r="AA154" s="104">
        <f t="shared" si="262"/>
        <v>0</v>
      </c>
      <c r="AB154" s="104">
        <f t="shared" si="263"/>
        <v>-2000</v>
      </c>
      <c r="AC154" s="104">
        <v>800</v>
      </c>
      <c r="AD154" s="105"/>
      <c r="AE154" s="228"/>
      <c r="AF154" s="104">
        <v>800</v>
      </c>
      <c r="AG154" s="105"/>
      <c r="AH154" s="228"/>
      <c r="AI154" s="104">
        <v>800</v>
      </c>
      <c r="AJ154" s="105"/>
      <c r="AK154" s="228"/>
      <c r="AL154" s="104">
        <v>800</v>
      </c>
      <c r="AM154" s="105">
        <v>4000</v>
      </c>
      <c r="AN154" s="228"/>
      <c r="AO154" s="104">
        <v>800</v>
      </c>
      <c r="AP154" s="105"/>
      <c r="AQ154" s="228"/>
      <c r="AR154" s="104">
        <v>800</v>
      </c>
      <c r="AS154" s="105"/>
      <c r="AT154" s="228"/>
      <c r="AU154" s="104">
        <v>800</v>
      </c>
      <c r="AV154" s="105"/>
      <c r="AW154" s="214"/>
      <c r="AX154" s="104">
        <v>800</v>
      </c>
      <c r="AY154" s="105"/>
      <c r="AZ154" s="214"/>
      <c r="BA154" s="104">
        <v>800</v>
      </c>
      <c r="BB154" s="105"/>
      <c r="BC154" s="214"/>
      <c r="BD154" s="104">
        <v>800</v>
      </c>
      <c r="BE154" s="105"/>
      <c r="BF154" s="214"/>
      <c r="BG154" s="104">
        <v>800</v>
      </c>
      <c r="BH154" s="105"/>
      <c r="BI154" s="214"/>
      <c r="BJ154" s="104">
        <v>800</v>
      </c>
      <c r="BK154" s="105"/>
      <c r="BL154" s="214"/>
      <c r="BM154" s="104">
        <v>800</v>
      </c>
      <c r="BN154" s="219"/>
      <c r="BO154" s="214"/>
      <c r="BP154" s="104">
        <v>800</v>
      </c>
      <c r="BQ154" s="219"/>
      <c r="BR154" s="214"/>
      <c r="BS154" s="104">
        <v>800</v>
      </c>
      <c r="BT154" s="219"/>
      <c r="BU154" s="214"/>
      <c r="BV154" s="104">
        <v>800</v>
      </c>
      <c r="BW154" s="219"/>
      <c r="BX154" s="214"/>
      <c r="BY154" s="104">
        <v>800</v>
      </c>
      <c r="BZ154" s="219"/>
      <c r="CA154" s="214"/>
      <c r="CB154" s="104">
        <v>800</v>
      </c>
      <c r="CC154" s="219"/>
      <c r="CD154" s="214"/>
      <c r="CE154" s="104">
        <v>800</v>
      </c>
      <c r="CF154" s="219"/>
      <c r="CG154" s="214"/>
      <c r="CH154" s="104">
        <v>800</v>
      </c>
      <c r="CI154" s="219"/>
      <c r="CJ154" s="214"/>
      <c r="CK154" s="104">
        <v>800</v>
      </c>
      <c r="CL154" s="219"/>
      <c r="CM154" s="214"/>
      <c r="CN154" s="104">
        <v>800</v>
      </c>
      <c r="CO154" s="219"/>
      <c r="CP154" s="214"/>
      <c r="CQ154" s="104">
        <v>800</v>
      </c>
      <c r="CR154" s="219"/>
      <c r="CS154" s="214"/>
      <c r="CT154" s="104">
        <v>800</v>
      </c>
      <c r="CU154" s="219"/>
      <c r="CV154" s="214"/>
      <c r="CW154" s="104">
        <v>800</v>
      </c>
      <c r="CX154" s="219"/>
      <c r="CY154" s="214"/>
    </row>
    <row r="155" spans="1:103">
      <c r="A155" s="41">
        <f>VLOOKUP(B155,справочник!$B$2:$E$322,4,FALSE)</f>
        <v>56</v>
      </c>
      <c r="B155" t="str">
        <f t="shared" si="258"/>
        <v>58Кушваха Виджай Шанкар</v>
      </c>
      <c r="C155" s="1">
        <v>58</v>
      </c>
      <c r="D155" s="2" t="s">
        <v>144</v>
      </c>
      <c r="E155" s="1" t="s">
        <v>461</v>
      </c>
      <c r="F155" s="16">
        <v>40715</v>
      </c>
      <c r="G155" s="16">
        <v>40725</v>
      </c>
      <c r="H155" s="17">
        <f t="shared" ref="H155:H161" si="345">INT(($H$326-G155)/30)</f>
        <v>54</v>
      </c>
      <c r="I155" s="1">
        <f t="shared" si="305"/>
        <v>54000</v>
      </c>
      <c r="J155" s="17">
        <v>1000</v>
      </c>
      <c r="K155" s="17"/>
      <c r="L155" s="18">
        <f t="shared" si="260"/>
        <v>53000</v>
      </c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18">
        <f t="shared" si="261"/>
        <v>0</v>
      </c>
      <c r="Z155" s="96">
        <v>12</v>
      </c>
      <c r="AA155" s="96">
        <f t="shared" si="262"/>
        <v>9600</v>
      </c>
      <c r="AB155" s="96">
        <f t="shared" si="263"/>
        <v>62600</v>
      </c>
      <c r="AC155" s="99">
        <v>800</v>
      </c>
      <c r="AD155" s="98"/>
      <c r="AE155" s="102">
        <f t="shared" si="264"/>
        <v>63400</v>
      </c>
      <c r="AF155" s="99">
        <v>800</v>
      </c>
      <c r="AG155" s="98"/>
      <c r="AH155" s="102">
        <f t="shared" ref="AH155:AH160" si="346">AE155+AF155-AG155</f>
        <v>64200</v>
      </c>
      <c r="AI155" s="99">
        <v>800</v>
      </c>
      <c r="AJ155" s="98"/>
      <c r="AK155" s="102">
        <f t="shared" ref="AK155:AK160" si="347">AH155+AI155-AJ155</f>
        <v>65000</v>
      </c>
      <c r="AL155" s="99">
        <v>800</v>
      </c>
      <c r="AM155" s="98"/>
      <c r="AN155" s="102">
        <f t="shared" ref="AN155:AN160" si="348">AK155+AL155-AM155</f>
        <v>65800</v>
      </c>
      <c r="AO155" s="99">
        <v>800</v>
      </c>
      <c r="AP155" s="113"/>
      <c r="AQ155" s="102">
        <f t="shared" ref="AQ155:AQ160" si="349">AN155+AO155-AP155</f>
        <v>66600</v>
      </c>
      <c r="AR155" s="99">
        <v>800</v>
      </c>
      <c r="AS155" s="113"/>
      <c r="AT155" s="102">
        <f t="shared" ref="AT155:AT160" si="350">AQ155+AR155-AS155</f>
        <v>67400</v>
      </c>
      <c r="AU155" s="99">
        <v>800</v>
      </c>
      <c r="AV155" s="113"/>
      <c r="AW155" s="102">
        <f t="shared" ref="AW155:AW160" si="351">AT155+AU155-AV155</f>
        <v>68200</v>
      </c>
      <c r="AX155" s="99">
        <v>800</v>
      </c>
      <c r="AY155" s="113"/>
      <c r="AZ155" s="102">
        <f t="shared" ref="AZ155:AZ160" si="352">AW155+AX155-AY155</f>
        <v>69000</v>
      </c>
      <c r="BA155" s="99">
        <v>800</v>
      </c>
      <c r="BB155" s="113"/>
      <c r="BC155" s="102">
        <f t="shared" ref="BC155:BC160" si="353">AZ155+BA155-BB155</f>
        <v>69800</v>
      </c>
      <c r="BD155" s="99">
        <v>800</v>
      </c>
      <c r="BE155" s="113">
        <v>5000</v>
      </c>
      <c r="BF155" s="102">
        <f t="shared" ref="BF155:BF160" si="354">BC155+BD155-BE155</f>
        <v>65600</v>
      </c>
      <c r="BG155" s="99">
        <v>800</v>
      </c>
      <c r="BH155" s="113"/>
      <c r="BI155" s="102">
        <f t="shared" ref="BI155:BI160" si="355">BF155+BG155-BH155</f>
        <v>66400</v>
      </c>
      <c r="BJ155" s="99">
        <v>800</v>
      </c>
      <c r="BK155" s="113"/>
      <c r="BL155" s="102">
        <f t="shared" ref="BL155:BL160" si="356">BI155+BJ155-BK155</f>
        <v>67200</v>
      </c>
      <c r="BM155" s="99">
        <v>800</v>
      </c>
      <c r="BN155" s="113"/>
      <c r="BO155" s="102">
        <f t="shared" ref="BO155:BO160" si="357">BL155+BM155-BN155</f>
        <v>68000</v>
      </c>
      <c r="BP155" s="99">
        <v>800</v>
      </c>
      <c r="BQ155" s="113"/>
      <c r="BR155" s="102">
        <f t="shared" ref="BR155:BR160" si="358">BO155+BP155-BQ155</f>
        <v>68800</v>
      </c>
      <c r="BS155" s="99">
        <v>800</v>
      </c>
      <c r="BT155" s="113"/>
      <c r="BU155" s="102">
        <f t="shared" ref="BU155:BU160" si="359">BR155+BS155-BT155</f>
        <v>69600</v>
      </c>
      <c r="BV155" s="99">
        <v>800</v>
      </c>
      <c r="BW155" s="113"/>
      <c r="BX155" s="102">
        <f t="shared" ref="BX155:BX160" si="360">BU155+BV155-BW155</f>
        <v>70400</v>
      </c>
      <c r="BY155" s="99">
        <v>800</v>
      </c>
      <c r="BZ155" s="113"/>
      <c r="CA155" s="102">
        <f t="shared" ref="CA155:CA160" si="361">BX155+BY155-BZ155</f>
        <v>71200</v>
      </c>
      <c r="CB155" s="99">
        <v>800</v>
      </c>
      <c r="CC155" s="113"/>
      <c r="CD155" s="102">
        <f t="shared" ref="CD155:CD160" si="362">CA155+CB155-CC155</f>
        <v>72000</v>
      </c>
      <c r="CE155" s="99">
        <v>800</v>
      </c>
      <c r="CF155" s="113"/>
      <c r="CG155" s="102">
        <f t="shared" ref="CG155:CG160" si="363">CD155+CE155-CF155</f>
        <v>72800</v>
      </c>
      <c r="CH155" s="99">
        <v>800</v>
      </c>
      <c r="CI155" s="113"/>
      <c r="CJ155" s="102">
        <f t="shared" ref="CJ155:CJ160" si="364">CG155+CH155-CI155</f>
        <v>73600</v>
      </c>
      <c r="CK155" s="99">
        <v>800</v>
      </c>
      <c r="CL155" s="113"/>
      <c r="CM155" s="102">
        <f t="shared" ref="CM155:CM160" si="365">CJ155+CK155-CL155</f>
        <v>74400</v>
      </c>
      <c r="CN155" s="99">
        <v>800</v>
      </c>
      <c r="CO155" s="113"/>
      <c r="CP155" s="102">
        <f t="shared" ref="CP155:CP160" si="366">CM155+CN155-CO155</f>
        <v>75200</v>
      </c>
      <c r="CQ155" s="99">
        <v>800</v>
      </c>
      <c r="CR155" s="113">
        <v>10000</v>
      </c>
      <c r="CS155" s="102">
        <f>CP155+CQ155-CR155</f>
        <v>66000</v>
      </c>
      <c r="CT155" s="99">
        <v>800</v>
      </c>
      <c r="CU155" s="113"/>
      <c r="CV155" s="102">
        <f>CS155+CT155-CU155</f>
        <v>66800</v>
      </c>
      <c r="CW155" s="99">
        <v>800</v>
      </c>
      <c r="CX155" s="113"/>
      <c r="CY155" s="102">
        <f>CV155+CW155-CX155</f>
        <v>67600</v>
      </c>
    </row>
    <row r="156" spans="1:103">
      <c r="A156" s="41">
        <f>VLOOKUP(B156,справочник!$B$2:$E$322,4,FALSE)</f>
        <v>150</v>
      </c>
      <c r="B156" t="str">
        <f t="shared" si="258"/>
        <v>158Лайпанов Рустам Сеитбиевич</v>
      </c>
      <c r="C156" s="1">
        <v>158</v>
      </c>
      <c r="D156" s="2" t="s">
        <v>145</v>
      </c>
      <c r="E156" s="1" t="s">
        <v>462</v>
      </c>
      <c r="F156" s="16">
        <v>40770</v>
      </c>
      <c r="G156" s="16">
        <v>40787</v>
      </c>
      <c r="H156" s="17">
        <f t="shared" si="345"/>
        <v>52</v>
      </c>
      <c r="I156" s="1">
        <f t="shared" si="305"/>
        <v>52000</v>
      </c>
      <c r="J156" s="17">
        <f>21000+1000</f>
        <v>22000</v>
      </c>
      <c r="K156" s="17"/>
      <c r="L156" s="18">
        <f t="shared" si="260"/>
        <v>30000</v>
      </c>
      <c r="M156" s="29"/>
      <c r="N156" s="29"/>
      <c r="O156" s="29"/>
      <c r="P156" s="29"/>
      <c r="Q156" s="29"/>
      <c r="R156" s="29"/>
      <c r="S156" s="29"/>
      <c r="T156">
        <v>4800</v>
      </c>
      <c r="U156" s="29">
        <v>6000</v>
      </c>
      <c r="V156" s="29"/>
      <c r="W156" s="29"/>
      <c r="X156" s="29">
        <v>4800</v>
      </c>
      <c r="Y156" s="18">
        <f t="shared" si="261"/>
        <v>15600</v>
      </c>
      <c r="Z156" s="96">
        <v>12</v>
      </c>
      <c r="AA156" s="96">
        <f t="shared" si="262"/>
        <v>9600</v>
      </c>
      <c r="AB156" s="96">
        <f>L156+AA156-Y156</f>
        <v>24000</v>
      </c>
      <c r="AC156" s="99">
        <v>800</v>
      </c>
      <c r="AD156" s="98"/>
      <c r="AE156" s="102">
        <f t="shared" si="264"/>
        <v>24800</v>
      </c>
      <c r="AF156" s="99">
        <v>800</v>
      </c>
      <c r="AG156" s="98"/>
      <c r="AH156" s="102">
        <f t="shared" si="346"/>
        <v>25600</v>
      </c>
      <c r="AI156" s="99">
        <v>800</v>
      </c>
      <c r="AJ156" s="98"/>
      <c r="AK156" s="102">
        <f t="shared" si="347"/>
        <v>26400</v>
      </c>
      <c r="AL156" s="99">
        <v>800</v>
      </c>
      <c r="AM156" s="98"/>
      <c r="AN156" s="102">
        <f t="shared" si="348"/>
        <v>27200</v>
      </c>
      <c r="AO156" s="99">
        <v>800</v>
      </c>
      <c r="AP156" s="113">
        <v>4000</v>
      </c>
      <c r="AQ156" s="102">
        <f t="shared" si="349"/>
        <v>24000</v>
      </c>
      <c r="AR156" s="99">
        <v>800</v>
      </c>
      <c r="AS156" s="113"/>
      <c r="AT156" s="102">
        <f t="shared" si="350"/>
        <v>24800</v>
      </c>
      <c r="AU156" s="99">
        <v>800</v>
      </c>
      <c r="AV156" s="113"/>
      <c r="AW156" s="102">
        <f t="shared" si="351"/>
        <v>25600</v>
      </c>
      <c r="AX156" s="99">
        <v>800</v>
      </c>
      <c r="AY156" s="113"/>
      <c r="AZ156" s="102">
        <f t="shared" si="352"/>
        <v>26400</v>
      </c>
      <c r="BA156" s="99">
        <v>800</v>
      </c>
      <c r="BB156" s="113">
        <v>5600</v>
      </c>
      <c r="BC156" s="102">
        <f t="shared" si="353"/>
        <v>21600</v>
      </c>
      <c r="BD156" s="99">
        <v>800</v>
      </c>
      <c r="BE156" s="113"/>
      <c r="BF156" s="102">
        <f t="shared" si="354"/>
        <v>22400</v>
      </c>
      <c r="BG156" s="99">
        <v>800</v>
      </c>
      <c r="BH156" s="113"/>
      <c r="BI156" s="102">
        <f t="shared" si="355"/>
        <v>23200</v>
      </c>
      <c r="BJ156" s="99">
        <v>800</v>
      </c>
      <c r="BK156" s="113"/>
      <c r="BL156" s="102">
        <f t="shared" si="356"/>
        <v>24000</v>
      </c>
      <c r="BM156" s="99">
        <v>800</v>
      </c>
      <c r="BN156" s="113"/>
      <c r="BO156" s="102">
        <f t="shared" si="357"/>
        <v>24800</v>
      </c>
      <c r="BP156" s="99">
        <v>800</v>
      </c>
      <c r="BQ156" s="113"/>
      <c r="BR156" s="102">
        <f t="shared" si="358"/>
        <v>25600</v>
      </c>
      <c r="BS156" s="99">
        <v>800</v>
      </c>
      <c r="BT156" s="113"/>
      <c r="BU156" s="102">
        <f t="shared" si="359"/>
        <v>26400</v>
      </c>
      <c r="BV156" s="99">
        <v>800</v>
      </c>
      <c r="BW156" s="113"/>
      <c r="BX156" s="102">
        <f t="shared" si="360"/>
        <v>27200</v>
      </c>
      <c r="BY156" s="99">
        <v>800</v>
      </c>
      <c r="BZ156" s="113">
        <v>4800</v>
      </c>
      <c r="CA156" s="102">
        <f t="shared" si="361"/>
        <v>23200</v>
      </c>
      <c r="CB156" s="99">
        <v>800</v>
      </c>
      <c r="CC156" s="113"/>
      <c r="CD156" s="102">
        <f t="shared" si="362"/>
        <v>24000</v>
      </c>
      <c r="CE156" s="99">
        <v>800</v>
      </c>
      <c r="CF156" s="113"/>
      <c r="CG156" s="102">
        <f t="shared" si="363"/>
        <v>24800</v>
      </c>
      <c r="CH156" s="99">
        <v>800</v>
      </c>
      <c r="CI156" s="113"/>
      <c r="CJ156" s="102">
        <f t="shared" si="364"/>
        <v>25600</v>
      </c>
      <c r="CK156" s="99">
        <v>800</v>
      </c>
      <c r="CL156" s="113"/>
      <c r="CM156" s="102">
        <f t="shared" si="365"/>
        <v>26400</v>
      </c>
      <c r="CN156" s="99">
        <v>800</v>
      </c>
      <c r="CO156" s="113"/>
      <c r="CP156" s="102">
        <f t="shared" si="366"/>
        <v>27200</v>
      </c>
      <c r="CQ156" s="99">
        <v>800</v>
      </c>
      <c r="CR156" s="113">
        <v>3200</v>
      </c>
      <c r="CS156" s="102">
        <f t="shared" ref="CS156:CS160" si="367">CP156+CQ156-CR156</f>
        <v>24800</v>
      </c>
      <c r="CT156" s="99">
        <v>800</v>
      </c>
      <c r="CU156" s="113"/>
      <c r="CV156" s="102">
        <f t="shared" ref="CV156:CV160" si="368">CS156+CT156-CU156</f>
        <v>25600</v>
      </c>
      <c r="CW156" s="99">
        <v>800</v>
      </c>
      <c r="CX156" s="113"/>
      <c r="CY156" s="102">
        <f t="shared" ref="CY156:CY160" si="369">CV156+CW156-CX156</f>
        <v>26400</v>
      </c>
    </row>
    <row r="157" spans="1:103">
      <c r="A157" s="41">
        <f>VLOOKUP(B157,справочник!$B$2:$E$322,4,FALSE)</f>
        <v>243</v>
      </c>
      <c r="B157" t="str">
        <f t="shared" si="258"/>
        <v>254Лапшин Сергей Николаевич</v>
      </c>
      <c r="C157" s="1">
        <v>254</v>
      </c>
      <c r="D157" s="2" t="s">
        <v>146</v>
      </c>
      <c r="E157" s="1" t="s">
        <v>463</v>
      </c>
      <c r="F157" s="16">
        <v>40791</v>
      </c>
      <c r="G157" s="16">
        <v>40787</v>
      </c>
      <c r="H157" s="17">
        <f t="shared" si="345"/>
        <v>52</v>
      </c>
      <c r="I157" s="1">
        <f t="shared" si="305"/>
        <v>52000</v>
      </c>
      <c r="J157" s="17">
        <f>1000</f>
        <v>1000</v>
      </c>
      <c r="K157" s="17">
        <v>45000</v>
      </c>
      <c r="L157" s="18">
        <f t="shared" si="260"/>
        <v>6000</v>
      </c>
      <c r="M157" s="29">
        <v>5000</v>
      </c>
      <c r="N157" s="29">
        <v>4800</v>
      </c>
      <c r="O157" s="29"/>
      <c r="P157" s="29"/>
      <c r="Q157" s="29"/>
      <c r="R157" s="29">
        <v>4800</v>
      </c>
      <c r="S157" s="29"/>
      <c r="T157" s="29"/>
      <c r="U157" s="29"/>
      <c r="V157" s="29"/>
      <c r="W157" s="29"/>
      <c r="X157" s="29"/>
      <c r="Y157" s="18">
        <f t="shared" si="261"/>
        <v>14600</v>
      </c>
      <c r="Z157" s="96">
        <v>12</v>
      </c>
      <c r="AA157" s="96">
        <f t="shared" si="262"/>
        <v>9600</v>
      </c>
      <c r="AB157" s="96">
        <f t="shared" si="263"/>
        <v>1000</v>
      </c>
      <c r="AC157" s="99">
        <v>800</v>
      </c>
      <c r="AD157" s="98">
        <v>1600</v>
      </c>
      <c r="AE157" s="102">
        <f t="shared" si="264"/>
        <v>200</v>
      </c>
      <c r="AF157" s="99">
        <v>800</v>
      </c>
      <c r="AG157" s="98"/>
      <c r="AH157" s="102">
        <f t="shared" si="346"/>
        <v>1000</v>
      </c>
      <c r="AI157" s="99">
        <v>800</v>
      </c>
      <c r="AJ157" s="98">
        <v>800</v>
      </c>
      <c r="AK157" s="102">
        <f t="shared" si="347"/>
        <v>1000</v>
      </c>
      <c r="AL157" s="99">
        <v>800</v>
      </c>
      <c r="AM157" s="98"/>
      <c r="AN157" s="102">
        <f t="shared" si="348"/>
        <v>1800</v>
      </c>
      <c r="AO157" s="99">
        <v>800</v>
      </c>
      <c r="AP157" s="113">
        <v>2600</v>
      </c>
      <c r="AQ157" s="102">
        <f t="shared" si="349"/>
        <v>0</v>
      </c>
      <c r="AR157" s="99">
        <v>800</v>
      </c>
      <c r="AS157" s="113"/>
      <c r="AT157" s="102">
        <f t="shared" si="350"/>
        <v>800</v>
      </c>
      <c r="AU157" s="99">
        <v>800</v>
      </c>
      <c r="AV157" s="113"/>
      <c r="AW157" s="102">
        <f t="shared" si="351"/>
        <v>1600</v>
      </c>
      <c r="AX157" s="99">
        <v>800</v>
      </c>
      <c r="AY157" s="113"/>
      <c r="AZ157" s="102">
        <f t="shared" si="352"/>
        <v>2400</v>
      </c>
      <c r="BA157" s="99">
        <v>800</v>
      </c>
      <c r="BB157" s="113"/>
      <c r="BC157" s="102">
        <f t="shared" si="353"/>
        <v>3200</v>
      </c>
      <c r="BD157" s="99">
        <v>800</v>
      </c>
      <c r="BE157" s="113">
        <v>5000</v>
      </c>
      <c r="BF157" s="102">
        <f t="shared" si="354"/>
        <v>-1000</v>
      </c>
      <c r="BG157" s="99">
        <v>800</v>
      </c>
      <c r="BH157" s="113"/>
      <c r="BI157" s="102">
        <f t="shared" si="355"/>
        <v>-200</v>
      </c>
      <c r="BJ157" s="99">
        <v>800</v>
      </c>
      <c r="BK157" s="113">
        <v>1400</v>
      </c>
      <c r="BL157" s="102">
        <f t="shared" si="356"/>
        <v>-800</v>
      </c>
      <c r="BM157" s="99">
        <v>800</v>
      </c>
      <c r="BN157" s="113"/>
      <c r="BO157" s="102">
        <f t="shared" si="357"/>
        <v>0</v>
      </c>
      <c r="BP157" s="99">
        <v>800</v>
      </c>
      <c r="BQ157" s="113">
        <v>1600</v>
      </c>
      <c r="BR157" s="102">
        <f t="shared" si="358"/>
        <v>-800</v>
      </c>
      <c r="BS157" s="99">
        <v>800</v>
      </c>
      <c r="BT157" s="113"/>
      <c r="BU157" s="102">
        <f t="shared" si="359"/>
        <v>0</v>
      </c>
      <c r="BV157" s="99">
        <v>800</v>
      </c>
      <c r="BW157" s="113"/>
      <c r="BX157" s="102">
        <f t="shared" si="360"/>
        <v>800</v>
      </c>
      <c r="BY157" s="99">
        <v>800</v>
      </c>
      <c r="BZ157" s="113">
        <v>1600</v>
      </c>
      <c r="CA157" s="102">
        <f t="shared" si="361"/>
        <v>0</v>
      </c>
      <c r="CB157" s="99">
        <v>800</v>
      </c>
      <c r="CC157" s="113"/>
      <c r="CD157" s="102">
        <f t="shared" si="362"/>
        <v>800</v>
      </c>
      <c r="CE157" s="99">
        <v>800</v>
      </c>
      <c r="CF157" s="113"/>
      <c r="CG157" s="102">
        <f t="shared" si="363"/>
        <v>1600</v>
      </c>
      <c r="CH157" s="99">
        <v>800</v>
      </c>
      <c r="CI157" s="113">
        <v>2400</v>
      </c>
      <c r="CJ157" s="102">
        <f t="shared" si="364"/>
        <v>0</v>
      </c>
      <c r="CK157" s="99">
        <v>800</v>
      </c>
      <c r="CL157" s="113"/>
      <c r="CM157" s="102">
        <f t="shared" si="365"/>
        <v>800</v>
      </c>
      <c r="CN157" s="99">
        <v>800</v>
      </c>
      <c r="CO157" s="113"/>
      <c r="CP157" s="102">
        <f t="shared" si="366"/>
        <v>1600</v>
      </c>
      <c r="CQ157" s="99">
        <v>800</v>
      </c>
      <c r="CR157" s="113">
        <v>3200</v>
      </c>
      <c r="CS157" s="102">
        <f t="shared" si="367"/>
        <v>-800</v>
      </c>
      <c r="CT157" s="99">
        <v>800</v>
      </c>
      <c r="CU157" s="113"/>
      <c r="CV157" s="102">
        <f t="shared" si="368"/>
        <v>0</v>
      </c>
      <c r="CW157" s="99">
        <v>800</v>
      </c>
      <c r="CX157" s="113"/>
      <c r="CY157" s="102">
        <f t="shared" si="369"/>
        <v>800</v>
      </c>
    </row>
    <row r="158" spans="1:103">
      <c r="A158" s="41">
        <f>VLOOKUP(B158,справочник!$B$2:$E$322,4,FALSE)</f>
        <v>220</v>
      </c>
      <c r="B158" t="str">
        <f t="shared" si="258"/>
        <v>229Ларионова Наталья Владимировна</v>
      </c>
      <c r="C158" s="1">
        <v>229</v>
      </c>
      <c r="D158" s="2" t="s">
        <v>147</v>
      </c>
      <c r="E158" s="1" t="s">
        <v>464</v>
      </c>
      <c r="F158" s="16">
        <v>41800</v>
      </c>
      <c r="G158" s="16">
        <v>41821</v>
      </c>
      <c r="H158" s="17">
        <f t="shared" si="345"/>
        <v>18</v>
      </c>
      <c r="I158" s="1">
        <f t="shared" si="305"/>
        <v>18000</v>
      </c>
      <c r="J158" s="17">
        <f>1000</f>
        <v>1000</v>
      </c>
      <c r="K158" s="17"/>
      <c r="L158" s="18">
        <f t="shared" si="260"/>
        <v>17000</v>
      </c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18">
        <f t="shared" si="261"/>
        <v>0</v>
      </c>
      <c r="Z158" s="96">
        <v>12</v>
      </c>
      <c r="AA158" s="96">
        <f t="shared" si="262"/>
        <v>9600</v>
      </c>
      <c r="AB158" s="96">
        <f t="shared" si="263"/>
        <v>26600</v>
      </c>
      <c r="AC158" s="99">
        <v>800</v>
      </c>
      <c r="AD158" s="98"/>
      <c r="AE158" s="102">
        <f t="shared" si="264"/>
        <v>27400</v>
      </c>
      <c r="AF158" s="99">
        <v>800</v>
      </c>
      <c r="AG158" s="98"/>
      <c r="AH158" s="102">
        <f t="shared" si="346"/>
        <v>28200</v>
      </c>
      <c r="AI158" s="99">
        <v>800</v>
      </c>
      <c r="AJ158" s="98"/>
      <c r="AK158" s="102">
        <f t="shared" si="347"/>
        <v>29000</v>
      </c>
      <c r="AL158" s="99">
        <v>800</v>
      </c>
      <c r="AM158" s="98"/>
      <c r="AN158" s="102">
        <f t="shared" si="348"/>
        <v>29800</v>
      </c>
      <c r="AO158" s="99">
        <v>800</v>
      </c>
      <c r="AP158" s="113"/>
      <c r="AQ158" s="102">
        <f t="shared" si="349"/>
        <v>30600</v>
      </c>
      <c r="AR158" s="99">
        <v>800</v>
      </c>
      <c r="AS158" s="113"/>
      <c r="AT158" s="102">
        <f t="shared" si="350"/>
        <v>31400</v>
      </c>
      <c r="AU158" s="99">
        <v>800</v>
      </c>
      <c r="AV158" s="113"/>
      <c r="AW158" s="102">
        <f t="shared" si="351"/>
        <v>32200</v>
      </c>
      <c r="AX158" s="99">
        <v>800</v>
      </c>
      <c r="AY158" s="113"/>
      <c r="AZ158" s="102">
        <f t="shared" si="352"/>
        <v>33000</v>
      </c>
      <c r="BA158" s="99">
        <v>800</v>
      </c>
      <c r="BB158" s="113"/>
      <c r="BC158" s="102">
        <f t="shared" si="353"/>
        <v>33800</v>
      </c>
      <c r="BD158" s="99">
        <v>800</v>
      </c>
      <c r="BE158" s="113"/>
      <c r="BF158" s="102">
        <f t="shared" si="354"/>
        <v>34600</v>
      </c>
      <c r="BG158" s="99">
        <v>800</v>
      </c>
      <c r="BH158" s="113"/>
      <c r="BI158" s="102">
        <f t="shared" si="355"/>
        <v>35400</v>
      </c>
      <c r="BJ158" s="99">
        <v>800</v>
      </c>
      <c r="BK158" s="113"/>
      <c r="BL158" s="102">
        <f t="shared" si="356"/>
        <v>36200</v>
      </c>
      <c r="BM158" s="99">
        <v>800</v>
      </c>
      <c r="BN158" s="113"/>
      <c r="BO158" s="102">
        <f t="shared" si="357"/>
        <v>37000</v>
      </c>
      <c r="BP158" s="99">
        <v>800</v>
      </c>
      <c r="BQ158" s="113"/>
      <c r="BR158" s="102">
        <f t="shared" si="358"/>
        <v>37800</v>
      </c>
      <c r="BS158" s="99">
        <v>800</v>
      </c>
      <c r="BT158" s="113"/>
      <c r="BU158" s="102">
        <f t="shared" si="359"/>
        <v>38600</v>
      </c>
      <c r="BV158" s="99">
        <v>800</v>
      </c>
      <c r="BW158" s="113">
        <v>10000</v>
      </c>
      <c r="BX158" s="102">
        <f t="shared" si="360"/>
        <v>29400</v>
      </c>
      <c r="BY158" s="99">
        <v>800</v>
      </c>
      <c r="BZ158" s="113"/>
      <c r="CA158" s="102">
        <f t="shared" si="361"/>
        <v>30200</v>
      </c>
      <c r="CB158" s="99">
        <v>800</v>
      </c>
      <c r="CC158" s="113"/>
      <c r="CD158" s="102">
        <f t="shared" si="362"/>
        <v>31000</v>
      </c>
      <c r="CE158" s="99">
        <v>800</v>
      </c>
      <c r="CF158" s="113"/>
      <c r="CG158" s="102">
        <f t="shared" si="363"/>
        <v>31800</v>
      </c>
      <c r="CH158" s="99">
        <v>800</v>
      </c>
      <c r="CI158" s="113"/>
      <c r="CJ158" s="102">
        <f t="shared" si="364"/>
        <v>32600</v>
      </c>
      <c r="CK158" s="99">
        <v>800</v>
      </c>
      <c r="CL158" s="113"/>
      <c r="CM158" s="102">
        <f t="shared" si="365"/>
        <v>33400</v>
      </c>
      <c r="CN158" s="99">
        <v>800</v>
      </c>
      <c r="CO158" s="113"/>
      <c r="CP158" s="102">
        <f t="shared" si="366"/>
        <v>34200</v>
      </c>
      <c r="CQ158" s="99">
        <v>800</v>
      </c>
      <c r="CR158" s="113"/>
      <c r="CS158" s="102">
        <f t="shared" si="367"/>
        <v>35000</v>
      </c>
      <c r="CT158" s="99">
        <v>800</v>
      </c>
      <c r="CU158" s="113"/>
      <c r="CV158" s="102">
        <f t="shared" si="368"/>
        <v>35800</v>
      </c>
      <c r="CW158" s="99">
        <v>800</v>
      </c>
      <c r="CX158" s="113"/>
      <c r="CY158" s="102">
        <f t="shared" si="369"/>
        <v>36600</v>
      </c>
    </row>
    <row r="159" spans="1:103">
      <c r="A159" s="41">
        <f>VLOOKUP(B159,справочник!$B$2:$E$322,4,FALSE)</f>
        <v>3</v>
      </c>
      <c r="B159" t="str">
        <f t="shared" si="258"/>
        <v>3Лебедев Андрей Анатольевич</v>
      </c>
      <c r="C159" s="1">
        <v>3</v>
      </c>
      <c r="D159" s="2" t="s">
        <v>148</v>
      </c>
      <c r="E159" s="1" t="s">
        <v>465</v>
      </c>
      <c r="F159" s="16">
        <v>41954</v>
      </c>
      <c r="G159" s="16">
        <v>41609</v>
      </c>
      <c r="H159" s="17">
        <f t="shared" si="345"/>
        <v>25</v>
      </c>
      <c r="I159" s="1">
        <f t="shared" si="305"/>
        <v>25000</v>
      </c>
      <c r="J159" s="17">
        <f>4000</f>
        <v>4000</v>
      </c>
      <c r="K159" s="17"/>
      <c r="L159" s="18">
        <f t="shared" si="260"/>
        <v>21000</v>
      </c>
      <c r="M159" s="29"/>
      <c r="N159" s="29"/>
      <c r="O159" s="29"/>
      <c r="P159" s="29"/>
      <c r="Q159" s="29"/>
      <c r="R159" s="29"/>
      <c r="S159" s="29"/>
      <c r="T159" s="29"/>
      <c r="U159" s="29">
        <v>15000</v>
      </c>
      <c r="V159" s="29"/>
      <c r="W159" s="29"/>
      <c r="X159" s="29"/>
      <c r="Y159" s="18">
        <f t="shared" si="261"/>
        <v>15000</v>
      </c>
      <c r="Z159" s="96">
        <v>12</v>
      </c>
      <c r="AA159" s="96">
        <f t="shared" si="262"/>
        <v>9600</v>
      </c>
      <c r="AB159" s="96">
        <f t="shared" si="263"/>
        <v>15600</v>
      </c>
      <c r="AC159" s="99">
        <v>800</v>
      </c>
      <c r="AD159" s="98"/>
      <c r="AE159" s="102">
        <f t="shared" si="264"/>
        <v>16400</v>
      </c>
      <c r="AF159" s="99">
        <v>800</v>
      </c>
      <c r="AG159" s="98"/>
      <c r="AH159" s="102">
        <f t="shared" si="346"/>
        <v>17200</v>
      </c>
      <c r="AI159" s="99">
        <v>800</v>
      </c>
      <c r="AJ159" s="98"/>
      <c r="AK159" s="102">
        <f t="shared" si="347"/>
        <v>18000</v>
      </c>
      <c r="AL159" s="99">
        <v>800</v>
      </c>
      <c r="AM159" s="98"/>
      <c r="AN159" s="102">
        <f t="shared" si="348"/>
        <v>18800</v>
      </c>
      <c r="AO159" s="99">
        <v>800</v>
      </c>
      <c r="AP159" s="113"/>
      <c r="AQ159" s="102">
        <f t="shared" si="349"/>
        <v>19600</v>
      </c>
      <c r="AR159" s="99">
        <v>800</v>
      </c>
      <c r="AS159" s="113">
        <v>17000</v>
      </c>
      <c r="AT159" s="102">
        <f t="shared" si="350"/>
        <v>3400</v>
      </c>
      <c r="AU159" s="99">
        <v>800</v>
      </c>
      <c r="AV159" s="113"/>
      <c r="AW159" s="102">
        <f t="shared" si="351"/>
        <v>4200</v>
      </c>
      <c r="AX159" s="99">
        <v>800</v>
      </c>
      <c r="AY159" s="113"/>
      <c r="AZ159" s="102">
        <f t="shared" si="352"/>
        <v>5000</v>
      </c>
      <c r="BA159" s="99">
        <v>800</v>
      </c>
      <c r="BB159" s="113"/>
      <c r="BC159" s="102">
        <f t="shared" si="353"/>
        <v>5800</v>
      </c>
      <c r="BD159" s="99">
        <v>800</v>
      </c>
      <c r="BE159" s="113"/>
      <c r="BF159" s="102">
        <f t="shared" si="354"/>
        <v>6600</v>
      </c>
      <c r="BG159" s="99">
        <v>800</v>
      </c>
      <c r="BH159" s="113"/>
      <c r="BI159" s="102">
        <f t="shared" si="355"/>
        <v>7400</v>
      </c>
      <c r="BJ159" s="99">
        <v>800</v>
      </c>
      <c r="BK159" s="113"/>
      <c r="BL159" s="102">
        <f t="shared" si="356"/>
        <v>8200</v>
      </c>
      <c r="BM159" s="99">
        <v>800</v>
      </c>
      <c r="BN159" s="113"/>
      <c r="BO159" s="102">
        <f t="shared" si="357"/>
        <v>9000</v>
      </c>
      <c r="BP159" s="99">
        <v>800</v>
      </c>
      <c r="BQ159" s="113">
        <v>5000</v>
      </c>
      <c r="BR159" s="102">
        <f t="shared" si="358"/>
        <v>4800</v>
      </c>
      <c r="BS159" s="99">
        <v>800</v>
      </c>
      <c r="BT159" s="113"/>
      <c r="BU159" s="102">
        <f t="shared" si="359"/>
        <v>5600</v>
      </c>
      <c r="BV159" s="99">
        <v>800</v>
      </c>
      <c r="BW159" s="113"/>
      <c r="BX159" s="102">
        <f t="shared" si="360"/>
        <v>6400</v>
      </c>
      <c r="BY159" s="99">
        <v>800</v>
      </c>
      <c r="BZ159" s="113"/>
      <c r="CA159" s="102">
        <f t="shared" si="361"/>
        <v>7200</v>
      </c>
      <c r="CB159" s="99">
        <v>800</v>
      </c>
      <c r="CC159" s="113"/>
      <c r="CD159" s="102">
        <f t="shared" si="362"/>
        <v>8000</v>
      </c>
      <c r="CE159" s="99">
        <v>800</v>
      </c>
      <c r="CF159" s="113"/>
      <c r="CG159" s="102">
        <f t="shared" si="363"/>
        <v>8800</v>
      </c>
      <c r="CH159" s="99">
        <v>800</v>
      </c>
      <c r="CI159" s="113"/>
      <c r="CJ159" s="102">
        <f t="shared" si="364"/>
        <v>9600</v>
      </c>
      <c r="CK159" s="99">
        <v>800</v>
      </c>
      <c r="CL159" s="113"/>
      <c r="CM159" s="102">
        <f t="shared" si="365"/>
        <v>10400</v>
      </c>
      <c r="CN159" s="99">
        <v>800</v>
      </c>
      <c r="CO159" s="113"/>
      <c r="CP159" s="102">
        <f t="shared" si="366"/>
        <v>11200</v>
      </c>
      <c r="CQ159" s="99">
        <v>800</v>
      </c>
      <c r="CR159" s="113"/>
      <c r="CS159" s="102">
        <f t="shared" si="367"/>
        <v>12000</v>
      </c>
      <c r="CT159" s="99">
        <v>800</v>
      </c>
      <c r="CU159" s="113"/>
      <c r="CV159" s="102">
        <f t="shared" si="368"/>
        <v>12800</v>
      </c>
      <c r="CW159" s="99">
        <v>800</v>
      </c>
      <c r="CX159" s="113"/>
      <c r="CY159" s="102">
        <f t="shared" si="369"/>
        <v>13600</v>
      </c>
    </row>
    <row r="160" spans="1:103">
      <c r="A160" s="41">
        <f>VLOOKUP(B160,справочник!$B$2:$E$322,4,FALSE)</f>
        <v>158</v>
      </c>
      <c r="B160" t="str">
        <f t="shared" si="258"/>
        <v>166Лебедева Елена Александровна</v>
      </c>
      <c r="C160" s="1">
        <v>166</v>
      </c>
      <c r="D160" s="2" t="s">
        <v>149</v>
      </c>
      <c r="E160" s="1" t="s">
        <v>466</v>
      </c>
      <c r="F160" s="16">
        <v>41660</v>
      </c>
      <c r="G160" s="16">
        <v>41671</v>
      </c>
      <c r="H160" s="17">
        <f t="shared" si="345"/>
        <v>23</v>
      </c>
      <c r="I160" s="1">
        <f t="shared" si="305"/>
        <v>23000</v>
      </c>
      <c r="J160" s="17">
        <f>1000</f>
        <v>1000</v>
      </c>
      <c r="K160" s="17"/>
      <c r="L160" s="18">
        <f t="shared" si="260"/>
        <v>22000</v>
      </c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18">
        <f t="shared" si="261"/>
        <v>0</v>
      </c>
      <c r="Z160" s="96">
        <v>12</v>
      </c>
      <c r="AA160" s="96">
        <f t="shared" si="262"/>
        <v>9600</v>
      </c>
      <c r="AB160" s="96">
        <f t="shared" si="263"/>
        <v>31600</v>
      </c>
      <c r="AC160" s="99">
        <v>800</v>
      </c>
      <c r="AD160" s="98"/>
      <c r="AE160" s="102">
        <f t="shared" si="264"/>
        <v>32400</v>
      </c>
      <c r="AF160" s="99">
        <v>800</v>
      </c>
      <c r="AG160" s="98"/>
      <c r="AH160" s="102">
        <f t="shared" si="346"/>
        <v>33200</v>
      </c>
      <c r="AI160" s="99">
        <v>800</v>
      </c>
      <c r="AJ160" s="98"/>
      <c r="AK160" s="102">
        <f t="shared" si="347"/>
        <v>34000</v>
      </c>
      <c r="AL160" s="99">
        <v>800</v>
      </c>
      <c r="AM160" s="98"/>
      <c r="AN160" s="102">
        <f t="shared" si="348"/>
        <v>34800</v>
      </c>
      <c r="AO160" s="99">
        <v>800</v>
      </c>
      <c r="AP160" s="113"/>
      <c r="AQ160" s="102">
        <f t="shared" si="349"/>
        <v>35600</v>
      </c>
      <c r="AR160" s="99">
        <v>800</v>
      </c>
      <c r="AS160" s="113"/>
      <c r="AT160" s="102">
        <f t="shared" si="350"/>
        <v>36400</v>
      </c>
      <c r="AU160" s="99">
        <v>800</v>
      </c>
      <c r="AV160" s="113"/>
      <c r="AW160" s="102">
        <f t="shared" si="351"/>
        <v>37200</v>
      </c>
      <c r="AX160" s="99">
        <v>800</v>
      </c>
      <c r="AY160" s="113"/>
      <c r="AZ160" s="102">
        <f t="shared" si="352"/>
        <v>38000</v>
      </c>
      <c r="BA160" s="99">
        <v>800</v>
      </c>
      <c r="BB160" s="113"/>
      <c r="BC160" s="102">
        <f t="shared" si="353"/>
        <v>38800</v>
      </c>
      <c r="BD160" s="99">
        <v>800</v>
      </c>
      <c r="BE160" s="113"/>
      <c r="BF160" s="102">
        <f t="shared" si="354"/>
        <v>39600</v>
      </c>
      <c r="BG160" s="99">
        <v>800</v>
      </c>
      <c r="BH160" s="113"/>
      <c r="BI160" s="102">
        <f t="shared" si="355"/>
        <v>40400</v>
      </c>
      <c r="BJ160" s="99">
        <v>800</v>
      </c>
      <c r="BK160" s="113"/>
      <c r="BL160" s="102">
        <f t="shared" si="356"/>
        <v>41200</v>
      </c>
      <c r="BM160" s="99">
        <v>800</v>
      </c>
      <c r="BN160" s="113"/>
      <c r="BO160" s="102">
        <f t="shared" si="357"/>
        <v>42000</v>
      </c>
      <c r="BP160" s="99">
        <v>800</v>
      </c>
      <c r="BQ160" s="113"/>
      <c r="BR160" s="102">
        <f t="shared" si="358"/>
        <v>42800</v>
      </c>
      <c r="BS160" s="99">
        <v>800</v>
      </c>
      <c r="BT160" s="113"/>
      <c r="BU160" s="102">
        <f t="shared" si="359"/>
        <v>43600</v>
      </c>
      <c r="BV160" s="99">
        <v>800</v>
      </c>
      <c r="BW160" s="113"/>
      <c r="BX160" s="102">
        <f t="shared" si="360"/>
        <v>44400</v>
      </c>
      <c r="BY160" s="99">
        <v>800</v>
      </c>
      <c r="BZ160" s="113"/>
      <c r="CA160" s="102">
        <f t="shared" si="361"/>
        <v>45200</v>
      </c>
      <c r="CB160" s="99">
        <v>800</v>
      </c>
      <c r="CC160" s="113"/>
      <c r="CD160" s="102">
        <f t="shared" si="362"/>
        <v>46000</v>
      </c>
      <c r="CE160" s="99">
        <v>800</v>
      </c>
      <c r="CF160" s="113"/>
      <c r="CG160" s="102">
        <f t="shared" si="363"/>
        <v>46800</v>
      </c>
      <c r="CH160" s="99">
        <v>800</v>
      </c>
      <c r="CI160" s="113"/>
      <c r="CJ160" s="102">
        <f t="shared" si="364"/>
        <v>47600</v>
      </c>
      <c r="CK160" s="99">
        <v>800</v>
      </c>
      <c r="CL160" s="113"/>
      <c r="CM160" s="102">
        <f t="shared" si="365"/>
        <v>48400</v>
      </c>
      <c r="CN160" s="99">
        <v>800</v>
      </c>
      <c r="CO160" s="113"/>
      <c r="CP160" s="102">
        <f t="shared" si="366"/>
        <v>49200</v>
      </c>
      <c r="CQ160" s="99">
        <v>800</v>
      </c>
      <c r="CR160" s="113"/>
      <c r="CS160" s="102">
        <f t="shared" si="367"/>
        <v>50000</v>
      </c>
      <c r="CT160" s="99">
        <v>800</v>
      </c>
      <c r="CU160" s="113"/>
      <c r="CV160" s="102">
        <f t="shared" si="368"/>
        <v>50800</v>
      </c>
      <c r="CW160" s="99">
        <v>800</v>
      </c>
      <c r="CX160" s="113"/>
      <c r="CY160" s="102">
        <f t="shared" si="369"/>
        <v>51600</v>
      </c>
    </row>
    <row r="161" spans="1:103" s="80" customFormat="1">
      <c r="A161" s="103" t="e">
        <f>VLOOKUP(B161,справочник!$B$2:$E$322,4,FALSE)</f>
        <v>#N/A</v>
      </c>
      <c r="B161" s="80" t="str">
        <f t="shared" si="258"/>
        <v>149Левина Елена Александровна</v>
      </c>
      <c r="C161" s="5">
        <v>149</v>
      </c>
      <c r="D161" s="7" t="s">
        <v>785</v>
      </c>
      <c r="E161" s="5" t="s">
        <v>467</v>
      </c>
      <c r="F161" s="19">
        <v>40715</v>
      </c>
      <c r="G161" s="19">
        <v>40725</v>
      </c>
      <c r="H161" s="20">
        <f t="shared" si="345"/>
        <v>54</v>
      </c>
      <c r="I161" s="5">
        <f t="shared" si="305"/>
        <v>54000</v>
      </c>
      <c r="J161" s="20">
        <v>54000</v>
      </c>
      <c r="K161" s="20"/>
      <c r="L161" s="21">
        <f t="shared" si="260"/>
        <v>0</v>
      </c>
      <c r="M161" s="109"/>
      <c r="N161" s="109"/>
      <c r="O161" s="109"/>
      <c r="P161" s="109"/>
      <c r="Q161" s="109">
        <v>4800</v>
      </c>
      <c r="R161" s="109"/>
      <c r="S161" s="109"/>
      <c r="T161" s="80">
        <v>4800</v>
      </c>
      <c r="U161" s="109"/>
      <c r="V161" s="109"/>
      <c r="W161" s="109"/>
      <c r="X161" s="109"/>
      <c r="Y161" s="21">
        <f>SUM(M161:X161)</f>
        <v>9600</v>
      </c>
      <c r="Z161" s="104">
        <v>12</v>
      </c>
      <c r="AA161" s="104">
        <f t="shared" si="262"/>
        <v>9600</v>
      </c>
      <c r="AB161" s="104">
        <f t="shared" si="263"/>
        <v>0</v>
      </c>
      <c r="AC161" s="104">
        <v>0</v>
      </c>
      <c r="AD161" s="105"/>
      <c r="AE161" s="227">
        <f>AB163+AC163-AD163+AB162</f>
        <v>31000</v>
      </c>
      <c r="AF161" s="104">
        <v>0</v>
      </c>
      <c r="AG161" s="105"/>
      <c r="AH161" s="227">
        <f>AE161+AF163-AG163</f>
        <v>27000</v>
      </c>
      <c r="AI161" s="104">
        <v>0</v>
      </c>
      <c r="AJ161" s="105"/>
      <c r="AK161" s="227">
        <f>AH161+AI163-AJ163</f>
        <v>23000</v>
      </c>
      <c r="AL161" s="104">
        <v>0</v>
      </c>
      <c r="AM161" s="105"/>
      <c r="AN161" s="227">
        <f>AK161+AL163-AM163</f>
        <v>10800</v>
      </c>
      <c r="AO161" s="104">
        <v>0</v>
      </c>
      <c r="AP161" s="105"/>
      <c r="AQ161" s="227">
        <f>AN161+AO163-AP163</f>
        <v>11600</v>
      </c>
      <c r="AR161" s="104">
        <v>0</v>
      </c>
      <c r="AS161" s="105"/>
      <c r="AT161" s="227">
        <f>AQ161+AR163-AS163</f>
        <v>12400</v>
      </c>
      <c r="AU161" s="104">
        <v>0</v>
      </c>
      <c r="AV161" s="105"/>
      <c r="AW161" s="212">
        <f>AT161+AU163-AV163</f>
        <v>13200</v>
      </c>
      <c r="AX161" s="104">
        <v>0</v>
      </c>
      <c r="AY161" s="105"/>
      <c r="AZ161" s="212">
        <f>AW161+AX163-AY163</f>
        <v>14000</v>
      </c>
      <c r="BA161" s="104">
        <v>0</v>
      </c>
      <c r="BB161" s="105"/>
      <c r="BC161" s="212">
        <f>AZ161+BA163-BB163</f>
        <v>14800</v>
      </c>
      <c r="BD161" s="104">
        <v>0</v>
      </c>
      <c r="BE161" s="105"/>
      <c r="BF161" s="212">
        <f>BC161+BD163-BE163</f>
        <v>15600</v>
      </c>
      <c r="BG161" s="104">
        <v>0</v>
      </c>
      <c r="BH161" s="105"/>
      <c r="BI161" s="212">
        <f>BF161+BG163-BH163</f>
        <v>6800</v>
      </c>
      <c r="BJ161" s="104">
        <v>0</v>
      </c>
      <c r="BK161" s="105"/>
      <c r="BL161" s="212">
        <f>BI161+SUM(BJ161:BJ163)-SUM(BK161:BK163)</f>
        <v>7600</v>
      </c>
      <c r="BM161" s="104">
        <v>0</v>
      </c>
      <c r="BN161" s="105"/>
      <c r="BO161" s="212">
        <f>BL161+BM163-BN163</f>
        <v>8400</v>
      </c>
      <c r="BP161" s="104">
        <v>0</v>
      </c>
      <c r="BQ161" s="105"/>
      <c r="BR161" s="212">
        <f>BO161+BP163-BQ163</f>
        <v>9200</v>
      </c>
      <c r="BS161" s="104">
        <v>0</v>
      </c>
      <c r="BT161" s="105"/>
      <c r="BU161" s="212">
        <f>BR161+BS163-BT163</f>
        <v>10000</v>
      </c>
      <c r="BV161" s="104">
        <v>0</v>
      </c>
      <c r="BW161" s="105"/>
      <c r="BX161" s="212">
        <f>BU161+BV163-BW163</f>
        <v>10800</v>
      </c>
      <c r="BY161" s="104">
        <v>0</v>
      </c>
      <c r="BZ161" s="105"/>
      <c r="CA161" s="212">
        <f>BX161+BY163-BZ163</f>
        <v>11600</v>
      </c>
      <c r="CB161" s="104">
        <v>0</v>
      </c>
      <c r="CC161" s="105"/>
      <c r="CD161" s="212">
        <f>CA161+CB163-CC163</f>
        <v>12400</v>
      </c>
      <c r="CE161" s="104">
        <v>0</v>
      </c>
      <c r="CF161" s="105"/>
      <c r="CG161" s="212">
        <f>CD161+CE163-CF163</f>
        <v>13200</v>
      </c>
      <c r="CH161" s="104">
        <v>0</v>
      </c>
      <c r="CI161" s="105"/>
      <c r="CJ161" s="212">
        <f>CG161+CH163-CI163</f>
        <v>14000</v>
      </c>
      <c r="CK161" s="104">
        <v>0</v>
      </c>
      <c r="CL161" s="105"/>
      <c r="CM161" s="212">
        <f>CJ161+CK163-CL163</f>
        <v>14800</v>
      </c>
      <c r="CN161" s="104">
        <v>0</v>
      </c>
      <c r="CO161" s="105"/>
      <c r="CP161" s="212">
        <f>CM161+CN163-CO163</f>
        <v>15600</v>
      </c>
      <c r="CQ161" s="104">
        <v>0</v>
      </c>
      <c r="CR161" s="105"/>
      <c r="CS161" s="212">
        <f>CP161+CQ163-CR163</f>
        <v>16400</v>
      </c>
      <c r="CT161" s="104">
        <v>0</v>
      </c>
      <c r="CU161" s="105"/>
      <c r="CV161" s="212">
        <f>CS161+CT163-CU163</f>
        <v>17200</v>
      </c>
      <c r="CW161" s="104">
        <v>0</v>
      </c>
      <c r="CX161" s="105"/>
      <c r="CY161" s="212">
        <f>CV161+CW163-CX163</f>
        <v>18000</v>
      </c>
    </row>
    <row r="162" spans="1:103" s="80" customFormat="1">
      <c r="A162" s="103" t="e">
        <f>VLOOKUP(B162,справочник!$B$2:$E$322,4,FALSE)</f>
        <v>#N/A</v>
      </c>
      <c r="B162" s="80" t="str">
        <f t="shared" si="258"/>
        <v>147Левина Елена Александровна</v>
      </c>
      <c r="C162" s="5">
        <v>147</v>
      </c>
      <c r="D162" s="7" t="s">
        <v>785</v>
      </c>
      <c r="E162" s="5" t="s">
        <v>468</v>
      </c>
      <c r="F162" s="19">
        <v>40715</v>
      </c>
      <c r="G162" s="19">
        <v>40725</v>
      </c>
      <c r="H162" s="20">
        <v>52</v>
      </c>
      <c r="I162" s="5">
        <f t="shared" si="305"/>
        <v>52000</v>
      </c>
      <c r="J162" s="20">
        <v>54000</v>
      </c>
      <c r="K162" s="20"/>
      <c r="L162" s="21">
        <f t="shared" si="260"/>
        <v>-2000</v>
      </c>
      <c r="M162" s="109"/>
      <c r="N162" s="109"/>
      <c r="O162" s="109"/>
      <c r="P162" s="109"/>
      <c r="Q162" s="109"/>
      <c r="R162" s="109">
        <v>4800</v>
      </c>
      <c r="S162" s="109"/>
      <c r="T162" s="109"/>
      <c r="U162" s="109"/>
      <c r="V162" s="109"/>
      <c r="W162" s="109"/>
      <c r="X162" s="109"/>
      <c r="Y162" s="21">
        <f t="shared" si="261"/>
        <v>4800</v>
      </c>
      <c r="Z162" s="104">
        <v>0</v>
      </c>
      <c r="AA162" s="104">
        <f t="shared" si="262"/>
        <v>0</v>
      </c>
      <c r="AB162" s="104">
        <f t="shared" si="263"/>
        <v>-6800</v>
      </c>
      <c r="AC162" s="104">
        <v>0</v>
      </c>
      <c r="AD162" s="105"/>
      <c r="AE162" s="229"/>
      <c r="AF162" s="104">
        <v>0</v>
      </c>
      <c r="AG162" s="105"/>
      <c r="AH162" s="229"/>
      <c r="AI162" s="104">
        <v>0</v>
      </c>
      <c r="AJ162" s="105"/>
      <c r="AK162" s="229"/>
      <c r="AL162" s="104">
        <v>0</v>
      </c>
      <c r="AM162" s="105"/>
      <c r="AN162" s="229"/>
      <c r="AO162" s="104">
        <v>0</v>
      </c>
      <c r="AP162" s="105"/>
      <c r="AQ162" s="229"/>
      <c r="AR162" s="104">
        <v>0</v>
      </c>
      <c r="AS162" s="105"/>
      <c r="AT162" s="229"/>
      <c r="AU162" s="104">
        <v>0</v>
      </c>
      <c r="AV162" s="105"/>
      <c r="AW162" s="213"/>
      <c r="AX162" s="104">
        <v>0</v>
      </c>
      <c r="AY162" s="105"/>
      <c r="AZ162" s="213"/>
      <c r="BA162" s="104">
        <v>0</v>
      </c>
      <c r="BB162" s="105"/>
      <c r="BC162" s="213"/>
      <c r="BD162" s="104">
        <v>0</v>
      </c>
      <c r="BE162" s="105"/>
      <c r="BF162" s="213"/>
      <c r="BG162" s="104">
        <v>0</v>
      </c>
      <c r="BH162" s="105"/>
      <c r="BI162" s="213"/>
      <c r="BJ162" s="104">
        <v>0</v>
      </c>
      <c r="BK162" s="105"/>
      <c r="BL162" s="213"/>
      <c r="BM162" s="104">
        <v>0</v>
      </c>
      <c r="BN162" s="105"/>
      <c r="BO162" s="213"/>
      <c r="BP162" s="104">
        <v>0</v>
      </c>
      <c r="BQ162" s="105"/>
      <c r="BR162" s="213"/>
      <c r="BS162" s="104">
        <v>0</v>
      </c>
      <c r="BT162" s="105"/>
      <c r="BU162" s="213"/>
      <c r="BV162" s="104">
        <v>0</v>
      </c>
      <c r="BW162" s="105"/>
      <c r="BX162" s="213"/>
      <c r="BY162" s="104">
        <v>0</v>
      </c>
      <c r="BZ162" s="105"/>
      <c r="CA162" s="213"/>
      <c r="CB162" s="104">
        <v>0</v>
      </c>
      <c r="CC162" s="105"/>
      <c r="CD162" s="213"/>
      <c r="CE162" s="104">
        <v>0</v>
      </c>
      <c r="CF162" s="105"/>
      <c r="CG162" s="213"/>
      <c r="CH162" s="104">
        <v>0</v>
      </c>
      <c r="CI162" s="105"/>
      <c r="CJ162" s="213"/>
      <c r="CK162" s="104">
        <v>0</v>
      </c>
      <c r="CL162" s="105"/>
      <c r="CM162" s="213"/>
      <c r="CN162" s="104">
        <v>0</v>
      </c>
      <c r="CO162" s="105"/>
      <c r="CP162" s="213"/>
      <c r="CQ162" s="104">
        <v>0</v>
      </c>
      <c r="CR162" s="105"/>
      <c r="CS162" s="213"/>
      <c r="CT162" s="104">
        <v>0</v>
      </c>
      <c r="CU162" s="105"/>
      <c r="CV162" s="213"/>
      <c r="CW162" s="104">
        <v>0</v>
      </c>
      <c r="CX162" s="105"/>
      <c r="CY162" s="213"/>
    </row>
    <row r="163" spans="1:103" s="80" customFormat="1">
      <c r="A163" s="103" t="e">
        <f>VLOOKUP(B163,справочник!$B$2:$E$322,4,FALSE)</f>
        <v>#N/A</v>
      </c>
      <c r="B163" s="80" t="str">
        <f t="shared" si="258"/>
        <v>148Левина Елена Александровна</v>
      </c>
      <c r="C163" s="5">
        <v>148</v>
      </c>
      <c r="D163" s="7" t="s">
        <v>785</v>
      </c>
      <c r="E163" s="5" t="s">
        <v>469</v>
      </c>
      <c r="F163" s="19">
        <v>40715</v>
      </c>
      <c r="G163" s="19">
        <v>40725</v>
      </c>
      <c r="H163" s="20">
        <v>52</v>
      </c>
      <c r="I163" s="5">
        <f t="shared" si="305"/>
        <v>52000</v>
      </c>
      <c r="J163" s="20">
        <f>11000+4000</f>
        <v>15000</v>
      </c>
      <c r="K163" s="20"/>
      <c r="L163" s="21">
        <f t="shared" si="260"/>
        <v>37000</v>
      </c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21">
        <f t="shared" si="261"/>
        <v>0</v>
      </c>
      <c r="Z163" s="104">
        <v>0</v>
      </c>
      <c r="AA163" s="104">
        <f t="shared" si="262"/>
        <v>0</v>
      </c>
      <c r="AB163" s="104">
        <f>L163+AA163-Y163</f>
        <v>37000</v>
      </c>
      <c r="AC163" s="104">
        <v>800</v>
      </c>
      <c r="AD163" s="105"/>
      <c r="AE163" s="228"/>
      <c r="AF163" s="104">
        <v>800</v>
      </c>
      <c r="AG163" s="105">
        <v>4800</v>
      </c>
      <c r="AH163" s="228"/>
      <c r="AI163" s="104">
        <v>800</v>
      </c>
      <c r="AJ163" s="105">
        <v>4800</v>
      </c>
      <c r="AK163" s="228"/>
      <c r="AL163" s="104">
        <v>800</v>
      </c>
      <c r="AM163" s="105">
        <v>13000</v>
      </c>
      <c r="AN163" s="228"/>
      <c r="AO163" s="104">
        <v>800</v>
      </c>
      <c r="AP163" s="105"/>
      <c r="AQ163" s="228"/>
      <c r="AR163" s="104">
        <v>800</v>
      </c>
      <c r="AS163" s="105"/>
      <c r="AT163" s="228"/>
      <c r="AU163" s="104">
        <v>800</v>
      </c>
      <c r="AV163" s="105"/>
      <c r="AW163" s="214"/>
      <c r="AX163" s="104">
        <v>800</v>
      </c>
      <c r="AY163" s="105"/>
      <c r="AZ163" s="214"/>
      <c r="BA163" s="104">
        <v>800</v>
      </c>
      <c r="BB163" s="105"/>
      <c r="BC163" s="214"/>
      <c r="BD163" s="104">
        <v>800</v>
      </c>
      <c r="BE163" s="105"/>
      <c r="BF163" s="214"/>
      <c r="BG163" s="104">
        <v>800</v>
      </c>
      <c r="BH163" s="105">
        <f>4800+4800</f>
        <v>9600</v>
      </c>
      <c r="BI163" s="214"/>
      <c r="BJ163" s="104">
        <v>800</v>
      </c>
      <c r="BK163" s="105"/>
      <c r="BL163" s="214"/>
      <c r="BM163" s="104">
        <v>800</v>
      </c>
      <c r="BN163" s="105"/>
      <c r="BO163" s="214"/>
      <c r="BP163" s="104">
        <v>800</v>
      </c>
      <c r="BQ163" s="105"/>
      <c r="BR163" s="214"/>
      <c r="BS163" s="104">
        <v>800</v>
      </c>
      <c r="BT163" s="105"/>
      <c r="BU163" s="214"/>
      <c r="BV163" s="104">
        <v>800</v>
      </c>
      <c r="BW163" s="105"/>
      <c r="BX163" s="214"/>
      <c r="BY163" s="104">
        <v>800</v>
      </c>
      <c r="BZ163" s="105"/>
      <c r="CA163" s="214"/>
      <c r="CB163" s="104">
        <v>800</v>
      </c>
      <c r="CC163" s="105"/>
      <c r="CD163" s="214"/>
      <c r="CE163" s="104">
        <v>800</v>
      </c>
      <c r="CF163" s="105"/>
      <c r="CG163" s="214"/>
      <c r="CH163" s="104">
        <v>800</v>
      </c>
      <c r="CI163" s="105"/>
      <c r="CJ163" s="214"/>
      <c r="CK163" s="104">
        <v>800</v>
      </c>
      <c r="CL163" s="105"/>
      <c r="CM163" s="214"/>
      <c r="CN163" s="104">
        <v>800</v>
      </c>
      <c r="CO163" s="105"/>
      <c r="CP163" s="214"/>
      <c r="CQ163" s="104">
        <v>800</v>
      </c>
      <c r="CR163" s="105"/>
      <c r="CS163" s="214"/>
      <c r="CT163" s="104">
        <v>800</v>
      </c>
      <c r="CU163" s="105"/>
      <c r="CV163" s="214"/>
      <c r="CW163" s="104">
        <v>800</v>
      </c>
      <c r="CX163" s="105"/>
      <c r="CY163" s="214"/>
    </row>
    <row r="164" spans="1:103" s="80" customFormat="1">
      <c r="A164" s="103">
        <f>VLOOKUP(B164,справочник!$B$2:$E$322,4,FALSE)</f>
        <v>261</v>
      </c>
      <c r="B164" s="80" t="str">
        <f t="shared" si="258"/>
        <v>274Леськов Олег Петрович</v>
      </c>
      <c r="C164" s="5">
        <v>274</v>
      </c>
      <c r="D164" s="7" t="s">
        <v>151</v>
      </c>
      <c r="E164" s="5" t="s">
        <v>470</v>
      </c>
      <c r="F164" s="19">
        <v>41373</v>
      </c>
      <c r="G164" s="19">
        <v>41395</v>
      </c>
      <c r="H164" s="20">
        <v>4</v>
      </c>
      <c r="I164" s="5">
        <f t="shared" si="305"/>
        <v>4000</v>
      </c>
      <c r="J164" s="20">
        <v>19000</v>
      </c>
      <c r="K164" s="20"/>
      <c r="L164" s="220">
        <f>SUM(I164:I165)-SUM(J164:J165)</f>
        <v>0</v>
      </c>
      <c r="M164" s="109">
        <v>2400</v>
      </c>
      <c r="N164" s="109"/>
      <c r="O164" s="109"/>
      <c r="P164" s="109">
        <v>2400</v>
      </c>
      <c r="Q164" s="109"/>
      <c r="R164" s="109"/>
      <c r="S164" s="109">
        <v>3200</v>
      </c>
      <c r="T164" s="109"/>
      <c r="U164" s="109"/>
      <c r="V164" s="109"/>
      <c r="W164" s="109"/>
      <c r="X164" s="109">
        <v>4000</v>
      </c>
      <c r="Y164" s="21">
        <f>SUM(M164:X164)</f>
        <v>12000</v>
      </c>
      <c r="Z164" s="104">
        <v>12</v>
      </c>
      <c r="AA164" s="104">
        <f t="shared" si="262"/>
        <v>9600</v>
      </c>
      <c r="AB164" s="104">
        <f t="shared" si="263"/>
        <v>-2400</v>
      </c>
      <c r="AC164" s="104">
        <v>800</v>
      </c>
      <c r="AD164" s="105"/>
      <c r="AE164" s="227">
        <f>SUM(AB164:AB165)+SUM(AC164:AC165)</f>
        <v>-1600</v>
      </c>
      <c r="AF164" s="104">
        <v>800</v>
      </c>
      <c r="AG164" s="105"/>
      <c r="AH164" s="227">
        <f>SUM(AE164:AE165)+SUM(AF164:AF165)</f>
        <v>-800</v>
      </c>
      <c r="AI164" s="104">
        <v>800</v>
      </c>
      <c r="AJ164" s="105"/>
      <c r="AK164" s="227">
        <f>SUM(AH164:AH165)+SUM(AI164:AI165)</f>
        <v>0</v>
      </c>
      <c r="AL164" s="104">
        <v>800</v>
      </c>
      <c r="AM164" s="105"/>
      <c r="AN164" s="227">
        <f>SUM(AK164:AK165)+SUM(AL164:AL165)</f>
        <v>800</v>
      </c>
      <c r="AO164" s="104">
        <v>800</v>
      </c>
      <c r="AP164" s="105"/>
      <c r="AQ164" s="227">
        <f>SUM(AN164:AN165)+SUM(AO164:AO165)</f>
        <v>1600</v>
      </c>
      <c r="AR164" s="104">
        <v>800</v>
      </c>
      <c r="AS164" s="105"/>
      <c r="AT164" s="227">
        <f>SUM(AQ164:AQ165)+SUM(AR164:AR165)</f>
        <v>2400</v>
      </c>
      <c r="AU164" s="104">
        <v>800</v>
      </c>
      <c r="AV164" s="218">
        <v>4800</v>
      </c>
      <c r="AW164" s="212">
        <f>SUM(AT164:AT165)+SUM(AU164:AU165)-AV164</f>
        <v>-1600</v>
      </c>
      <c r="AX164" s="104">
        <v>800</v>
      </c>
      <c r="AY164" s="105"/>
      <c r="AZ164" s="212">
        <f>SUM(AW164:AW165)+SUM(AX164:AX165)</f>
        <v>-800</v>
      </c>
      <c r="BA164" s="104">
        <v>800</v>
      </c>
      <c r="BB164" s="105"/>
      <c r="BC164" s="212">
        <f>SUM(AZ164:AZ165)+SUM(BA164:BA165)</f>
        <v>0</v>
      </c>
      <c r="BD164" s="104">
        <v>800</v>
      </c>
      <c r="BE164" s="105"/>
      <c r="BF164" s="212">
        <f>SUM(BC164:BC165)+SUM(BD164:BD165)</f>
        <v>800</v>
      </c>
      <c r="BG164" s="104">
        <v>800</v>
      </c>
      <c r="BH164" s="105"/>
      <c r="BI164" s="212">
        <f>SUM(BF164:BF165)+SUM(BG164:BG165)</f>
        <v>1600</v>
      </c>
      <c r="BJ164" s="104">
        <v>800</v>
      </c>
      <c r="BK164" s="105"/>
      <c r="BL164" s="212">
        <f>SUM(BI164:BI165)+SUM(BJ164:BJ165)-SUM(BK164:BK165)</f>
        <v>2400</v>
      </c>
      <c r="BM164" s="104">
        <v>800</v>
      </c>
      <c r="BN164" s="105"/>
      <c r="BO164" s="212">
        <f>SUM(BL164:BL165)+SUM(BM164:BM165)+SUM(BN164:BN165)</f>
        <v>3200</v>
      </c>
      <c r="BP164" s="104">
        <v>800</v>
      </c>
      <c r="BQ164" s="105"/>
      <c r="BR164" s="212">
        <f>SUM(BO164:BO165)+SUM(BP164:BP165)+SUM(BQ164:BQ165)</f>
        <v>4000</v>
      </c>
      <c r="BS164" s="104">
        <v>800</v>
      </c>
      <c r="BT164" s="105"/>
      <c r="BU164" s="212">
        <f>SUM(BR164:BR165)+SUM(BS164:BS165)-SUM(BT164:BT165)</f>
        <v>4800</v>
      </c>
      <c r="BV164" s="104">
        <v>800</v>
      </c>
      <c r="BW164" s="105">
        <v>4000</v>
      </c>
      <c r="BX164" s="212">
        <f>SUM(BU164:BU165)+SUM(BV164:BV165)-SUM(BW164:BW165)</f>
        <v>1600</v>
      </c>
      <c r="BY164" s="104">
        <v>800</v>
      </c>
      <c r="BZ164" s="105"/>
      <c r="CA164" s="212">
        <f>SUM(BX164:BX165)+SUM(BY164:BY165)-SUM(BZ164:BZ165)</f>
        <v>2400</v>
      </c>
      <c r="CB164" s="104">
        <v>800</v>
      </c>
      <c r="CC164" s="105"/>
      <c r="CD164" s="212">
        <f>SUM(CA164:CA165)+SUM(CB164:CB165)-SUM(CC164:CC165)</f>
        <v>3200</v>
      </c>
      <c r="CE164" s="104">
        <v>800</v>
      </c>
      <c r="CF164" s="105"/>
      <c r="CG164" s="212">
        <f>SUM(CD164:CD165)+SUM(CE164:CE165)-SUM(CF164:CF165)</f>
        <v>4000</v>
      </c>
      <c r="CH164" s="104">
        <v>800</v>
      </c>
      <c r="CI164" s="105"/>
      <c r="CJ164" s="212">
        <f>SUM(CG164:CG165)+SUM(CH164:CH165)-SUM(CI164:CI165)</f>
        <v>4800</v>
      </c>
      <c r="CK164" s="104">
        <v>800</v>
      </c>
      <c r="CL164" s="105"/>
      <c r="CM164" s="212">
        <f>SUM(CJ164:CJ165)+SUM(CK164:CK165)-SUM(CL164:CL165)</f>
        <v>5600</v>
      </c>
      <c r="CN164" s="104">
        <v>800</v>
      </c>
      <c r="CO164" s="105"/>
      <c r="CP164" s="212">
        <f>SUM(CM164:CM165)+SUM(CN164:CN165)-SUM(CO164:CO165)</f>
        <v>6400</v>
      </c>
      <c r="CQ164" s="104">
        <v>800</v>
      </c>
      <c r="CR164" s="105">
        <v>4000</v>
      </c>
      <c r="CS164" s="212">
        <f>CP164+CQ164-CR164</f>
        <v>3200</v>
      </c>
      <c r="CT164" s="104">
        <v>800</v>
      </c>
      <c r="CU164" s="105"/>
      <c r="CV164" s="212">
        <f>CS164+CT164-CU164</f>
        <v>4000</v>
      </c>
      <c r="CW164" s="104">
        <v>800</v>
      </c>
      <c r="CX164" s="105"/>
      <c r="CY164" s="212">
        <f>CV164+CW164-CX164</f>
        <v>4800</v>
      </c>
    </row>
    <row r="165" spans="1:103" s="80" customFormat="1">
      <c r="A165" s="103">
        <f>VLOOKUP(B165,справочник!$B$2:$E$322,4,FALSE)</f>
        <v>261</v>
      </c>
      <c r="B165" s="80" t="str">
        <f t="shared" si="258"/>
        <v>275Леськов Олег Петрович</v>
      </c>
      <c r="C165" s="5">
        <v>275</v>
      </c>
      <c r="D165" s="7" t="s">
        <v>151</v>
      </c>
      <c r="E165" s="5"/>
      <c r="F165" s="19">
        <v>41016</v>
      </c>
      <c r="G165" s="19">
        <v>41000</v>
      </c>
      <c r="H165" s="20">
        <v>43</v>
      </c>
      <c r="I165" s="5">
        <f t="shared" si="305"/>
        <v>43000</v>
      </c>
      <c r="J165" s="20">
        <f>9000+19000</f>
        <v>28000</v>
      </c>
      <c r="K165" s="20"/>
      <c r="L165" s="221"/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21">
        <f t="shared" si="261"/>
        <v>0</v>
      </c>
      <c r="Z165" s="104">
        <v>0</v>
      </c>
      <c r="AA165" s="104">
        <f t="shared" si="262"/>
        <v>0</v>
      </c>
      <c r="AB165" s="104">
        <f t="shared" si="263"/>
        <v>0</v>
      </c>
      <c r="AC165" s="104">
        <v>0</v>
      </c>
      <c r="AD165" s="105"/>
      <c r="AE165" s="228"/>
      <c r="AF165" s="104">
        <v>0</v>
      </c>
      <c r="AG165" s="105"/>
      <c r="AH165" s="228"/>
      <c r="AI165" s="104">
        <v>0</v>
      </c>
      <c r="AJ165" s="105"/>
      <c r="AK165" s="228"/>
      <c r="AL165" s="104">
        <v>0</v>
      </c>
      <c r="AM165" s="105"/>
      <c r="AN165" s="228"/>
      <c r="AO165" s="104">
        <v>0</v>
      </c>
      <c r="AP165" s="105"/>
      <c r="AQ165" s="228"/>
      <c r="AR165" s="104">
        <v>0</v>
      </c>
      <c r="AS165" s="105"/>
      <c r="AT165" s="228"/>
      <c r="AU165" s="104">
        <v>0</v>
      </c>
      <c r="AV165" s="219"/>
      <c r="AW165" s="214"/>
      <c r="AX165" s="104">
        <v>0</v>
      </c>
      <c r="AY165" s="105"/>
      <c r="AZ165" s="214"/>
      <c r="BA165" s="104">
        <v>0</v>
      </c>
      <c r="BB165" s="105"/>
      <c r="BC165" s="214"/>
      <c r="BD165" s="104">
        <v>0</v>
      </c>
      <c r="BE165" s="105"/>
      <c r="BF165" s="214"/>
      <c r="BG165" s="104">
        <v>0</v>
      </c>
      <c r="BH165" s="105"/>
      <c r="BI165" s="214"/>
      <c r="BJ165" s="104">
        <v>0</v>
      </c>
      <c r="BK165" s="105"/>
      <c r="BL165" s="214"/>
      <c r="BM165" s="104">
        <v>0</v>
      </c>
      <c r="BN165" s="105"/>
      <c r="BO165" s="214"/>
      <c r="BP165" s="104">
        <v>0</v>
      </c>
      <c r="BQ165" s="105"/>
      <c r="BR165" s="214"/>
      <c r="BS165" s="104">
        <v>0</v>
      </c>
      <c r="BT165" s="105"/>
      <c r="BU165" s="214"/>
      <c r="BV165" s="104">
        <v>0</v>
      </c>
      <c r="BW165" s="105"/>
      <c r="BX165" s="214"/>
      <c r="BY165" s="104">
        <v>0</v>
      </c>
      <c r="BZ165" s="105"/>
      <c r="CA165" s="214"/>
      <c r="CB165" s="104">
        <v>0</v>
      </c>
      <c r="CC165" s="105"/>
      <c r="CD165" s="214"/>
      <c r="CE165" s="104">
        <v>0</v>
      </c>
      <c r="CF165" s="105"/>
      <c r="CG165" s="214"/>
      <c r="CH165" s="104">
        <v>0</v>
      </c>
      <c r="CI165" s="105"/>
      <c r="CJ165" s="214"/>
      <c r="CK165" s="104">
        <v>0</v>
      </c>
      <c r="CL165" s="105"/>
      <c r="CM165" s="214"/>
      <c r="CN165" s="104">
        <v>0</v>
      </c>
      <c r="CO165" s="105"/>
      <c r="CP165" s="214"/>
      <c r="CQ165" s="104">
        <v>0</v>
      </c>
      <c r="CR165" s="105"/>
      <c r="CS165" s="214"/>
      <c r="CT165" s="104">
        <v>0</v>
      </c>
      <c r="CU165" s="105"/>
      <c r="CV165" s="214"/>
      <c r="CW165" s="104">
        <v>0</v>
      </c>
      <c r="CX165" s="105"/>
      <c r="CY165" s="214"/>
    </row>
    <row r="166" spans="1:103">
      <c r="A166" s="41">
        <f>VLOOKUP(B166,справочник!$B$2:$E$322,4,FALSE)</f>
        <v>288</v>
      </c>
      <c r="B166" t="str">
        <f t="shared" si="258"/>
        <v>300Ли Наталья Сергеевна</v>
      </c>
      <c r="C166" s="1">
        <v>300</v>
      </c>
      <c r="D166" s="2" t="s">
        <v>152</v>
      </c>
      <c r="E166" s="1" t="s">
        <v>471</v>
      </c>
      <c r="F166" s="16">
        <v>41513</v>
      </c>
      <c r="G166" s="16">
        <v>41518</v>
      </c>
      <c r="H166" s="17">
        <f>INT(($H$326-G166)/30)</f>
        <v>28</v>
      </c>
      <c r="I166" s="1">
        <f t="shared" si="305"/>
        <v>28000</v>
      </c>
      <c r="J166" s="17"/>
      <c r="K166" s="17"/>
      <c r="L166" s="18">
        <f t="shared" si="260"/>
        <v>28000</v>
      </c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18">
        <f t="shared" si="261"/>
        <v>0</v>
      </c>
      <c r="Z166" s="96">
        <v>12</v>
      </c>
      <c r="AA166" s="96">
        <f t="shared" si="262"/>
        <v>9600</v>
      </c>
      <c r="AB166" s="96">
        <f t="shared" si="263"/>
        <v>37600</v>
      </c>
      <c r="AC166" s="99">
        <v>800</v>
      </c>
      <c r="AD166" s="98"/>
      <c r="AE166" s="102">
        <f t="shared" si="264"/>
        <v>38400</v>
      </c>
      <c r="AF166" s="99">
        <v>800</v>
      </c>
      <c r="AG166" s="98"/>
      <c r="AH166" s="102">
        <f t="shared" ref="AH166:AH168" si="370">AE166+AF166-AG166</f>
        <v>39200</v>
      </c>
      <c r="AI166" s="99">
        <v>800</v>
      </c>
      <c r="AJ166" s="98"/>
      <c r="AK166" s="102">
        <f t="shared" ref="AK166:AK168" si="371">AH166+AI166-AJ166</f>
        <v>40000</v>
      </c>
      <c r="AL166" s="99">
        <v>800</v>
      </c>
      <c r="AM166" s="98"/>
      <c r="AN166" s="102">
        <f t="shared" ref="AN166:AN168" si="372">AK166+AL166-AM166</f>
        <v>40800</v>
      </c>
      <c r="AO166" s="99">
        <v>800</v>
      </c>
      <c r="AP166" s="113"/>
      <c r="AQ166" s="102">
        <f t="shared" ref="AQ166:AQ168" si="373">AN166+AO166-AP166</f>
        <v>41600</v>
      </c>
      <c r="AR166" s="99">
        <v>800</v>
      </c>
      <c r="AS166" s="113"/>
      <c r="AT166" s="102">
        <f t="shared" ref="AT166:AT168" si="374">AQ166+AR166-AS166</f>
        <v>42400</v>
      </c>
      <c r="AU166" s="99">
        <v>800</v>
      </c>
      <c r="AV166" s="113"/>
      <c r="AW166" s="102">
        <f t="shared" ref="AW166:AW168" si="375">AT166+AU166-AV166</f>
        <v>43200</v>
      </c>
      <c r="AX166" s="99">
        <v>800</v>
      </c>
      <c r="AY166" s="113"/>
      <c r="AZ166" s="102">
        <f t="shared" ref="AZ166:AZ168" si="376">AW166+AX166-AY166</f>
        <v>44000</v>
      </c>
      <c r="BA166" s="99">
        <v>800</v>
      </c>
      <c r="BB166" s="113"/>
      <c r="BC166" s="102">
        <f t="shared" ref="BC166:BC168" si="377">AZ166+BA166-BB166</f>
        <v>44800</v>
      </c>
      <c r="BD166" s="99">
        <v>800</v>
      </c>
      <c r="BE166" s="113"/>
      <c r="BF166" s="102">
        <f t="shared" ref="BF166:BF168" si="378">BC166+BD166-BE166</f>
        <v>45600</v>
      </c>
      <c r="BG166" s="99">
        <v>800</v>
      </c>
      <c r="BH166" s="113"/>
      <c r="BI166" s="102">
        <f t="shared" ref="BI166:BI168" si="379">BF166+BG166-BH166</f>
        <v>46400</v>
      </c>
      <c r="BJ166" s="99">
        <v>800</v>
      </c>
      <c r="BK166" s="113"/>
      <c r="BL166" s="102">
        <f t="shared" ref="BL166:BL168" si="380">BI166+BJ166-BK166</f>
        <v>47200</v>
      </c>
      <c r="BM166" s="99">
        <v>800</v>
      </c>
      <c r="BN166" s="113"/>
      <c r="BO166" s="102">
        <f t="shared" ref="BO166:BO168" si="381">BL166+BM166-BN166</f>
        <v>48000</v>
      </c>
      <c r="BP166" s="99">
        <v>800</v>
      </c>
      <c r="BQ166" s="113">
        <v>3000</v>
      </c>
      <c r="BR166" s="102">
        <f t="shared" ref="BR166:BR168" si="382">BO166+BP166-BQ166</f>
        <v>45800</v>
      </c>
      <c r="BS166" s="99">
        <v>800</v>
      </c>
      <c r="BT166" s="113"/>
      <c r="BU166" s="102">
        <f t="shared" ref="BU166:BU168" si="383">BR166+BS166-BT166</f>
        <v>46600</v>
      </c>
      <c r="BV166" s="99">
        <v>800</v>
      </c>
      <c r="BW166" s="113">
        <v>5000</v>
      </c>
      <c r="BX166" s="102">
        <f t="shared" ref="BX166:BX168" si="384">BU166+BV166-BW166</f>
        <v>42400</v>
      </c>
      <c r="BY166" s="99">
        <v>800</v>
      </c>
      <c r="BZ166" s="113"/>
      <c r="CA166" s="102">
        <f t="shared" ref="CA166:CA168" si="385">BX166+BY166-BZ166</f>
        <v>43200</v>
      </c>
      <c r="CB166" s="99">
        <v>800</v>
      </c>
      <c r="CC166" s="113"/>
      <c r="CD166" s="102">
        <f t="shared" ref="CD166:CD168" si="386">CA166+CB166-CC166</f>
        <v>44000</v>
      </c>
      <c r="CE166" s="99">
        <v>800</v>
      </c>
      <c r="CF166" s="113"/>
      <c r="CG166" s="102">
        <f t="shared" ref="CG166:CG168" si="387">CD166+CE166-CF166</f>
        <v>44800</v>
      </c>
      <c r="CH166" s="99">
        <v>800</v>
      </c>
      <c r="CI166" s="113"/>
      <c r="CJ166" s="102">
        <f t="shared" ref="CJ166:CJ168" si="388">CG166+CH166-CI166</f>
        <v>45600</v>
      </c>
      <c r="CK166" s="99">
        <v>800</v>
      </c>
      <c r="CL166" s="113"/>
      <c r="CM166" s="102">
        <f t="shared" ref="CM166:CM168" si="389">CJ166+CK166-CL166</f>
        <v>46400</v>
      </c>
      <c r="CN166" s="99">
        <v>800</v>
      </c>
      <c r="CO166" s="113"/>
      <c r="CP166" s="102">
        <f t="shared" ref="CP166:CP168" si="390">CM166+CN166-CO166</f>
        <v>47200</v>
      </c>
      <c r="CQ166" s="99">
        <v>800</v>
      </c>
      <c r="CR166" s="113"/>
      <c r="CS166" s="102">
        <f>CP166+CQ166-CR166</f>
        <v>48000</v>
      </c>
      <c r="CT166" s="99">
        <v>800</v>
      </c>
      <c r="CU166" s="113">
        <v>6000</v>
      </c>
      <c r="CV166" s="102">
        <f>CS166+CT166-CU166</f>
        <v>42800</v>
      </c>
      <c r="CW166" s="99">
        <v>800</v>
      </c>
      <c r="CX166" s="113"/>
      <c r="CY166" s="102">
        <f>CV166+CW166-CX166</f>
        <v>43600</v>
      </c>
    </row>
    <row r="167" spans="1:103">
      <c r="A167" s="41">
        <f>VLOOKUP(B167,справочник!$B$2:$E$322,4,FALSE)</f>
        <v>166</v>
      </c>
      <c r="B167" t="str">
        <f t="shared" si="258"/>
        <v>174Ловыгина Татьяна Александровна</v>
      </c>
      <c r="C167" s="1">
        <v>174</v>
      </c>
      <c r="D167" s="2" t="s">
        <v>153</v>
      </c>
      <c r="E167" s="1" t="s">
        <v>472</v>
      </c>
      <c r="F167" s="16">
        <v>41829</v>
      </c>
      <c r="G167" s="16">
        <v>41852</v>
      </c>
      <c r="H167" s="17">
        <f>INT(($H$326-G167)/30)</f>
        <v>17</v>
      </c>
      <c r="I167" s="1">
        <f t="shared" si="305"/>
        <v>17000</v>
      </c>
      <c r="J167" s="17">
        <v>5000</v>
      </c>
      <c r="K167" s="17"/>
      <c r="L167" s="18">
        <f t="shared" si="260"/>
        <v>12000</v>
      </c>
      <c r="M167" s="29"/>
      <c r="N167" s="29"/>
      <c r="O167" s="29"/>
      <c r="P167" s="29"/>
      <c r="Q167" s="29"/>
      <c r="R167" s="29"/>
      <c r="S167" s="29">
        <v>6800</v>
      </c>
      <c r="T167">
        <v>5000</v>
      </c>
      <c r="U167" s="29">
        <v>2400</v>
      </c>
      <c r="V167" s="29"/>
      <c r="W167" s="29"/>
      <c r="X167" s="29"/>
      <c r="Y167" s="18">
        <f t="shared" si="261"/>
        <v>14200</v>
      </c>
      <c r="Z167" s="96">
        <v>12</v>
      </c>
      <c r="AA167" s="96">
        <f t="shared" si="262"/>
        <v>9600</v>
      </c>
      <c r="AB167" s="96">
        <f t="shared" si="263"/>
        <v>7400</v>
      </c>
      <c r="AC167" s="99">
        <v>800</v>
      </c>
      <c r="AD167" s="98"/>
      <c r="AE167" s="102">
        <f t="shared" si="264"/>
        <v>8200</v>
      </c>
      <c r="AF167" s="99">
        <v>800</v>
      </c>
      <c r="AG167" s="98">
        <v>4000</v>
      </c>
      <c r="AH167" s="102">
        <f t="shared" si="370"/>
        <v>5000</v>
      </c>
      <c r="AI167" s="99">
        <v>800</v>
      </c>
      <c r="AJ167" s="98"/>
      <c r="AK167" s="102">
        <f t="shared" si="371"/>
        <v>5800</v>
      </c>
      <c r="AL167" s="99">
        <v>800</v>
      </c>
      <c r="AM167" s="98"/>
      <c r="AN167" s="102">
        <f t="shared" si="372"/>
        <v>6600</v>
      </c>
      <c r="AO167" s="99">
        <v>800</v>
      </c>
      <c r="AP167" s="113"/>
      <c r="AQ167" s="102">
        <f t="shared" si="373"/>
        <v>7400</v>
      </c>
      <c r="AR167" s="99">
        <v>800</v>
      </c>
      <c r="AS167" s="113"/>
      <c r="AT167" s="102">
        <f t="shared" si="374"/>
        <v>8200</v>
      </c>
      <c r="AU167" s="99">
        <v>800</v>
      </c>
      <c r="AV167" s="113"/>
      <c r="AW167" s="102">
        <f t="shared" si="375"/>
        <v>9000</v>
      </c>
      <c r="AX167" s="99">
        <v>800</v>
      </c>
      <c r="AY167" s="113">
        <v>4000</v>
      </c>
      <c r="AZ167" s="102">
        <f t="shared" si="376"/>
        <v>5800</v>
      </c>
      <c r="BA167" s="99">
        <v>800</v>
      </c>
      <c r="BB167" s="113"/>
      <c r="BC167" s="102">
        <f t="shared" si="377"/>
        <v>6600</v>
      </c>
      <c r="BD167" s="99">
        <v>800</v>
      </c>
      <c r="BE167" s="113"/>
      <c r="BF167" s="102">
        <f t="shared" si="378"/>
        <v>7400</v>
      </c>
      <c r="BG167" s="99">
        <v>800</v>
      </c>
      <c r="BH167" s="113"/>
      <c r="BI167" s="102">
        <f t="shared" si="379"/>
        <v>8200</v>
      </c>
      <c r="BJ167" s="99">
        <v>800</v>
      </c>
      <c r="BK167" s="113"/>
      <c r="BL167" s="102">
        <f t="shared" si="380"/>
        <v>9000</v>
      </c>
      <c r="BM167" s="99">
        <v>800</v>
      </c>
      <c r="BN167" s="113"/>
      <c r="BO167" s="102">
        <f t="shared" si="381"/>
        <v>9800</v>
      </c>
      <c r="BP167" s="99">
        <v>800</v>
      </c>
      <c r="BQ167" s="113"/>
      <c r="BR167" s="102">
        <f t="shared" si="382"/>
        <v>10600</v>
      </c>
      <c r="BS167" s="99">
        <v>800</v>
      </c>
      <c r="BT167" s="113"/>
      <c r="BU167" s="102">
        <f t="shared" si="383"/>
        <v>11400</v>
      </c>
      <c r="BV167" s="99">
        <v>800</v>
      </c>
      <c r="BW167" s="113">
        <v>5000</v>
      </c>
      <c r="BX167" s="102">
        <f t="shared" si="384"/>
        <v>7200</v>
      </c>
      <c r="BY167" s="99">
        <v>800</v>
      </c>
      <c r="BZ167" s="113"/>
      <c r="CA167" s="102">
        <f t="shared" si="385"/>
        <v>8000</v>
      </c>
      <c r="CB167" s="99">
        <v>800</v>
      </c>
      <c r="CC167" s="113"/>
      <c r="CD167" s="102">
        <f t="shared" si="386"/>
        <v>8800</v>
      </c>
      <c r="CE167" s="99">
        <v>800</v>
      </c>
      <c r="CF167" s="113"/>
      <c r="CG167" s="102">
        <f t="shared" si="387"/>
        <v>9600</v>
      </c>
      <c r="CH167" s="99">
        <v>800</v>
      </c>
      <c r="CI167" s="113"/>
      <c r="CJ167" s="102">
        <f t="shared" si="388"/>
        <v>10400</v>
      </c>
      <c r="CK167" s="99">
        <v>800</v>
      </c>
      <c r="CL167" s="113"/>
      <c r="CM167" s="102">
        <f t="shared" si="389"/>
        <v>11200</v>
      </c>
      <c r="CN167" s="99">
        <v>800</v>
      </c>
      <c r="CO167" s="113"/>
      <c r="CP167" s="102">
        <f t="shared" si="390"/>
        <v>12000</v>
      </c>
      <c r="CQ167" s="99">
        <v>800</v>
      </c>
      <c r="CR167" s="113"/>
      <c r="CS167" s="102">
        <f t="shared" ref="CS167:CS168" si="391">CP167+CQ167-CR167</f>
        <v>12800</v>
      </c>
      <c r="CT167" s="99">
        <v>800</v>
      </c>
      <c r="CU167" s="113"/>
      <c r="CV167" s="102">
        <f t="shared" ref="CV167:CV168" si="392">CS167+CT167-CU167</f>
        <v>13600</v>
      </c>
      <c r="CW167" s="99">
        <v>800</v>
      </c>
      <c r="CX167" s="113"/>
      <c r="CY167" s="102">
        <f t="shared" ref="CY167:CY168" si="393">CV167+CW167-CX167</f>
        <v>14400</v>
      </c>
    </row>
    <row r="168" spans="1:103">
      <c r="A168" s="41">
        <f>VLOOKUP(B168,справочник!$B$2:$E$322,4,FALSE)</f>
        <v>118</v>
      </c>
      <c r="B168" t="str">
        <f t="shared" si="258"/>
        <v>123Лопухинова Надежда Михайловна</v>
      </c>
      <c r="C168" s="1">
        <v>123</v>
      </c>
      <c r="D168" s="2" t="s">
        <v>154</v>
      </c>
      <c r="E168" s="1" t="s">
        <v>473</v>
      </c>
      <c r="F168" s="16">
        <v>41435</v>
      </c>
      <c r="G168" s="16">
        <v>41456</v>
      </c>
      <c r="H168" s="17">
        <f>INT(($H$326-G168)/30)</f>
        <v>30</v>
      </c>
      <c r="I168" s="1">
        <f t="shared" si="305"/>
        <v>30000</v>
      </c>
      <c r="J168" s="17">
        <v>23000</v>
      </c>
      <c r="K168" s="17"/>
      <c r="L168" s="18">
        <f t="shared" si="260"/>
        <v>7000</v>
      </c>
      <c r="M168" s="29"/>
      <c r="N168" s="29"/>
      <c r="O168" s="29"/>
      <c r="P168" s="29"/>
      <c r="Q168" s="29"/>
      <c r="R168" s="29"/>
      <c r="S168" s="29">
        <v>12000</v>
      </c>
      <c r="T168" s="29"/>
      <c r="U168" s="29"/>
      <c r="V168" s="29"/>
      <c r="W168" s="29"/>
      <c r="X168" s="29"/>
      <c r="Y168" s="18">
        <f t="shared" si="261"/>
        <v>12000</v>
      </c>
      <c r="Z168" s="96">
        <v>12</v>
      </c>
      <c r="AA168" s="96">
        <f t="shared" si="262"/>
        <v>9600</v>
      </c>
      <c r="AB168" s="96">
        <f t="shared" si="263"/>
        <v>4600</v>
      </c>
      <c r="AC168" s="99">
        <v>800</v>
      </c>
      <c r="AD168" s="98"/>
      <c r="AE168" s="102">
        <f t="shared" si="264"/>
        <v>5400</v>
      </c>
      <c r="AF168" s="99">
        <v>800</v>
      </c>
      <c r="AG168" s="98"/>
      <c r="AH168" s="102">
        <f t="shared" si="370"/>
        <v>6200</v>
      </c>
      <c r="AI168" s="99">
        <v>800</v>
      </c>
      <c r="AJ168" s="98"/>
      <c r="AK168" s="102">
        <f t="shared" si="371"/>
        <v>7000</v>
      </c>
      <c r="AL168" s="99">
        <v>800</v>
      </c>
      <c r="AM168" s="98"/>
      <c r="AN168" s="102">
        <f t="shared" si="372"/>
        <v>7800</v>
      </c>
      <c r="AO168" s="99">
        <v>800</v>
      </c>
      <c r="AP168" s="113"/>
      <c r="AQ168" s="102">
        <f t="shared" si="373"/>
        <v>8600</v>
      </c>
      <c r="AR168" s="99">
        <v>800</v>
      </c>
      <c r="AS168" s="113"/>
      <c r="AT168" s="102">
        <f t="shared" si="374"/>
        <v>9400</v>
      </c>
      <c r="AU168" s="99">
        <v>800</v>
      </c>
      <c r="AV168" s="113"/>
      <c r="AW168" s="102">
        <f t="shared" si="375"/>
        <v>10200</v>
      </c>
      <c r="AX168" s="99">
        <v>800</v>
      </c>
      <c r="AY168" s="113"/>
      <c r="AZ168" s="102">
        <f t="shared" si="376"/>
        <v>11000</v>
      </c>
      <c r="BA168" s="99">
        <v>800</v>
      </c>
      <c r="BB168" s="113"/>
      <c r="BC168" s="102">
        <f t="shared" si="377"/>
        <v>11800</v>
      </c>
      <c r="BD168" s="99">
        <v>800</v>
      </c>
      <c r="BE168" s="113"/>
      <c r="BF168" s="102">
        <f t="shared" si="378"/>
        <v>12600</v>
      </c>
      <c r="BG168" s="99">
        <v>800</v>
      </c>
      <c r="BH168" s="113"/>
      <c r="BI168" s="102">
        <f t="shared" si="379"/>
        <v>13400</v>
      </c>
      <c r="BJ168" s="99">
        <v>800</v>
      </c>
      <c r="BK168" s="113"/>
      <c r="BL168" s="102">
        <f t="shared" si="380"/>
        <v>14200</v>
      </c>
      <c r="BM168" s="99">
        <v>800</v>
      </c>
      <c r="BN168" s="113"/>
      <c r="BO168" s="102">
        <f t="shared" si="381"/>
        <v>15000</v>
      </c>
      <c r="BP168" s="99">
        <v>800</v>
      </c>
      <c r="BQ168" s="113"/>
      <c r="BR168" s="102">
        <f t="shared" si="382"/>
        <v>15800</v>
      </c>
      <c r="BS168" s="99">
        <v>800</v>
      </c>
      <c r="BT168" s="113">
        <v>16600</v>
      </c>
      <c r="BU168" s="102">
        <f t="shared" si="383"/>
        <v>0</v>
      </c>
      <c r="BV168" s="99">
        <v>800</v>
      </c>
      <c r="BW168" s="113"/>
      <c r="BX168" s="102">
        <f t="shared" si="384"/>
        <v>800</v>
      </c>
      <c r="BY168" s="99">
        <v>800</v>
      </c>
      <c r="BZ168" s="113"/>
      <c r="CA168" s="102">
        <f t="shared" si="385"/>
        <v>1600</v>
      </c>
      <c r="CB168" s="99">
        <v>800</v>
      </c>
      <c r="CC168" s="113"/>
      <c r="CD168" s="102">
        <f t="shared" si="386"/>
        <v>2400</v>
      </c>
      <c r="CE168" s="99">
        <v>800</v>
      </c>
      <c r="CF168" s="113"/>
      <c r="CG168" s="102">
        <f t="shared" si="387"/>
        <v>3200</v>
      </c>
      <c r="CH168" s="99">
        <v>800</v>
      </c>
      <c r="CI168" s="113"/>
      <c r="CJ168" s="102">
        <f t="shared" si="388"/>
        <v>4000</v>
      </c>
      <c r="CK168" s="99">
        <v>800</v>
      </c>
      <c r="CL168" s="113"/>
      <c r="CM168" s="102">
        <f t="shared" si="389"/>
        <v>4800</v>
      </c>
      <c r="CN168" s="99">
        <v>800</v>
      </c>
      <c r="CO168" s="113"/>
      <c r="CP168" s="102">
        <f t="shared" si="390"/>
        <v>5600</v>
      </c>
      <c r="CQ168" s="99">
        <v>800</v>
      </c>
      <c r="CR168" s="113"/>
      <c r="CS168" s="102">
        <f t="shared" si="391"/>
        <v>6400</v>
      </c>
      <c r="CT168" s="99">
        <v>800</v>
      </c>
      <c r="CU168" s="113"/>
      <c r="CV168" s="102">
        <f t="shared" si="392"/>
        <v>7200</v>
      </c>
      <c r="CW168" s="99">
        <v>800</v>
      </c>
      <c r="CX168" s="113"/>
      <c r="CY168" s="102">
        <f t="shared" si="393"/>
        <v>8000</v>
      </c>
    </row>
    <row r="169" spans="1:103">
      <c r="A169" s="41"/>
      <c r="C169" s="189">
        <v>207</v>
      </c>
      <c r="D169" s="190" t="s">
        <v>873</v>
      </c>
      <c r="E169" s="5" t="s">
        <v>474</v>
      </c>
      <c r="F169" s="191">
        <v>42736</v>
      </c>
      <c r="G169" s="191">
        <v>43101</v>
      </c>
      <c r="H169" s="192"/>
      <c r="I169" s="189"/>
      <c r="J169" s="192"/>
      <c r="K169" s="192"/>
      <c r="L169" s="96"/>
      <c r="M169" s="193"/>
      <c r="N169" s="193"/>
      <c r="O169" s="193"/>
      <c r="P169" s="193"/>
      <c r="Q169" s="193"/>
      <c r="R169" s="193"/>
      <c r="S169" s="193"/>
      <c r="T169" s="193"/>
      <c r="U169" s="193"/>
      <c r="V169" s="193"/>
      <c r="W169" s="193"/>
      <c r="X169" s="193"/>
      <c r="Y169" s="96"/>
      <c r="Z169" s="96"/>
      <c r="AA169" s="96"/>
      <c r="AB169" s="96"/>
      <c r="AC169" s="99">
        <v>800</v>
      </c>
      <c r="AD169" s="98"/>
      <c r="AE169" s="102">
        <f>AC169-AD169</f>
        <v>800</v>
      </c>
      <c r="AF169" s="99">
        <v>800</v>
      </c>
      <c r="AG169" s="98"/>
      <c r="AH169" s="102">
        <f>AE169+AF169-AG169</f>
        <v>1600</v>
      </c>
      <c r="AI169" s="99">
        <v>800</v>
      </c>
      <c r="AJ169" s="98"/>
      <c r="AK169" s="102">
        <f>AH169+AI169-AJ169</f>
        <v>2400</v>
      </c>
      <c r="AL169" s="99">
        <v>800</v>
      </c>
      <c r="AM169" s="98"/>
      <c r="AN169" s="102">
        <f>AK169+AL169-AM169</f>
        <v>3200</v>
      </c>
      <c r="AO169" s="99">
        <v>800</v>
      </c>
      <c r="AP169" s="113"/>
      <c r="AQ169" s="102">
        <f>AN169+AO169-AP169</f>
        <v>4000</v>
      </c>
      <c r="AR169" s="99">
        <v>800</v>
      </c>
      <c r="AS169" s="113"/>
      <c r="AT169" s="102">
        <f>AQ169+AR169-AS169</f>
        <v>4800</v>
      </c>
      <c r="AU169" s="99">
        <v>800</v>
      </c>
      <c r="AV169" s="113"/>
      <c r="AW169" s="102">
        <f>AT169+AU169-AV169</f>
        <v>5600</v>
      </c>
      <c r="AX169" s="99">
        <v>800</v>
      </c>
      <c r="AY169" s="113"/>
      <c r="AZ169" s="102">
        <f>AW169+AX169-AY169</f>
        <v>6400</v>
      </c>
      <c r="BA169" s="99">
        <v>800</v>
      </c>
      <c r="BB169" s="113"/>
      <c r="BC169" s="102">
        <f>AZ169+BA169-BB169</f>
        <v>7200</v>
      </c>
      <c r="BD169" s="99">
        <v>800</v>
      </c>
      <c r="BE169" s="113"/>
      <c r="BF169" s="102">
        <f>BC169+BD169-BE169</f>
        <v>8000</v>
      </c>
      <c r="BG169" s="99">
        <v>800</v>
      </c>
      <c r="BH169" s="113"/>
      <c r="BI169" s="102">
        <f>BF169+BG169-BH169</f>
        <v>8800</v>
      </c>
      <c r="BJ169" s="99">
        <v>800</v>
      </c>
      <c r="BK169" s="113"/>
      <c r="BL169" s="102">
        <f>BI169+BJ169-BK169</f>
        <v>9600</v>
      </c>
      <c r="BM169" s="99">
        <v>800</v>
      </c>
      <c r="BN169" s="113"/>
      <c r="BO169" s="102">
        <f>BL169+BM169-BN169</f>
        <v>10400</v>
      </c>
      <c r="BP169" s="99">
        <v>800</v>
      </c>
      <c r="BQ169" s="113"/>
      <c r="BR169" s="102">
        <f>BO169+BP169-BQ169</f>
        <v>11200</v>
      </c>
      <c r="BS169" s="99">
        <v>800</v>
      </c>
      <c r="BT169" s="113"/>
      <c r="BU169" s="102">
        <f>BR169+BS169-BT169</f>
        <v>12000</v>
      </c>
      <c r="BV169" s="99">
        <v>800</v>
      </c>
      <c r="BW169" s="113"/>
      <c r="BX169" s="102">
        <f>BU169+BV169-BW169</f>
        <v>12800</v>
      </c>
      <c r="BY169" s="99">
        <v>800</v>
      </c>
      <c r="BZ169" s="113"/>
      <c r="CA169" s="102">
        <f>BX169+BY169-BZ169</f>
        <v>13600</v>
      </c>
      <c r="CB169" s="99">
        <v>800</v>
      </c>
      <c r="CC169" s="113"/>
      <c r="CD169" s="102">
        <f>CA169+CB169-CC169</f>
        <v>14400</v>
      </c>
      <c r="CE169" s="99">
        <v>800</v>
      </c>
      <c r="CF169" s="113"/>
      <c r="CG169" s="102">
        <f>CD169+CE169-CF169</f>
        <v>15200</v>
      </c>
      <c r="CH169" s="99">
        <v>800</v>
      </c>
      <c r="CI169" s="113"/>
      <c r="CJ169" s="102">
        <f>CG169+CH169-CI169</f>
        <v>16000</v>
      </c>
      <c r="CK169" s="99">
        <v>800</v>
      </c>
      <c r="CL169" s="113"/>
      <c r="CM169" s="102">
        <f>CJ169+CK169-CL169</f>
        <v>16800</v>
      </c>
      <c r="CN169" s="99">
        <v>800</v>
      </c>
      <c r="CO169" s="113"/>
      <c r="CP169" s="102">
        <f>CM169+CN169-CO4:CO169</f>
        <v>17600</v>
      </c>
      <c r="CQ169" s="99">
        <v>800</v>
      </c>
      <c r="CR169" s="113"/>
      <c r="CS169" s="102">
        <f>CP169+CQ169-CR169</f>
        <v>18400</v>
      </c>
      <c r="CT169" s="99">
        <v>800</v>
      </c>
      <c r="CU169" s="113"/>
      <c r="CV169" s="102">
        <f>CS169+CT169-CU169</f>
        <v>19200</v>
      </c>
      <c r="CW169" s="99">
        <v>800</v>
      </c>
      <c r="CX169" s="113"/>
      <c r="CY169" s="102">
        <f>CV169+CW169-CX169</f>
        <v>20000</v>
      </c>
    </row>
    <row r="170" spans="1:103" s="195" customFormat="1" ht="24">
      <c r="A170" s="194" t="e">
        <f>VLOOKUP(B170,справочник!$B$2:$E$322,4,FALSE)</f>
        <v>#N/A</v>
      </c>
      <c r="B170" s="195" t="str">
        <f t="shared" si="258"/>
        <v>207Лошкарев Виктор Ильич (новый собственник Лебедева Жанна Олеговна)</v>
      </c>
      <c r="C170" s="196">
        <v>207</v>
      </c>
      <c r="D170" s="6" t="s">
        <v>832</v>
      </c>
      <c r="E170" s="196"/>
      <c r="F170" s="24">
        <v>41036</v>
      </c>
      <c r="G170" s="24">
        <v>41030</v>
      </c>
      <c r="H170" s="197">
        <f>INT(($H$326-G170)/30)</f>
        <v>44</v>
      </c>
      <c r="I170" s="196">
        <f t="shared" si="305"/>
        <v>44000</v>
      </c>
      <c r="J170" s="197">
        <v>1000</v>
      </c>
      <c r="K170" s="197"/>
      <c r="L170" s="198">
        <f t="shared" si="260"/>
        <v>43000</v>
      </c>
      <c r="M170" s="199"/>
      <c r="N170" s="199"/>
      <c r="O170" s="199"/>
      <c r="P170" s="199"/>
      <c r="Q170" s="199"/>
      <c r="R170" s="199"/>
      <c r="S170" s="199"/>
      <c r="T170" s="199"/>
      <c r="U170" s="199"/>
      <c r="V170" s="199"/>
      <c r="W170" s="199"/>
      <c r="X170" s="199"/>
      <c r="Y170" s="198">
        <f t="shared" si="261"/>
        <v>0</v>
      </c>
      <c r="Z170" s="200">
        <v>12</v>
      </c>
      <c r="AA170" s="200">
        <f t="shared" si="262"/>
        <v>9600</v>
      </c>
      <c r="AB170" s="200">
        <f>L170+AA170-Y170</f>
        <v>52600</v>
      </c>
      <c r="AC170" s="200"/>
      <c r="AD170" s="201"/>
      <c r="AE170" s="202">
        <f>AB170</f>
        <v>52600</v>
      </c>
      <c r="AF170" s="200"/>
      <c r="AG170" s="201"/>
      <c r="AH170" s="202">
        <f>AE170</f>
        <v>52600</v>
      </c>
      <c r="AI170" s="200"/>
      <c r="AJ170" s="201"/>
      <c r="AK170" s="202">
        <f>AH170</f>
        <v>52600</v>
      </c>
      <c r="AL170" s="200"/>
      <c r="AM170" s="201"/>
      <c r="AN170" s="183">
        <f t="shared" ref="AN170:AN171" si="394">AK170+AL170-AM170</f>
        <v>52600</v>
      </c>
      <c r="AO170" s="200"/>
      <c r="AP170" s="201"/>
      <c r="AQ170" s="183">
        <f t="shared" ref="AQ170:AQ171" si="395">AN170+AO170-AP170</f>
        <v>52600</v>
      </c>
      <c r="AR170" s="200"/>
      <c r="AS170" s="201"/>
      <c r="AT170" s="183">
        <f t="shared" ref="AT170:AT171" si="396">AQ170+AR170-AS170</f>
        <v>52600</v>
      </c>
      <c r="AU170" s="200"/>
      <c r="AV170" s="201"/>
      <c r="AW170" s="183">
        <f t="shared" ref="AW170:AW171" si="397">AT170+AU170-AV170</f>
        <v>52600</v>
      </c>
      <c r="AX170" s="200"/>
      <c r="AY170" s="201"/>
      <c r="AZ170" s="183">
        <f t="shared" ref="AZ170:AZ171" si="398">AW170+AX170-AY170</f>
        <v>52600</v>
      </c>
      <c r="BA170" s="200"/>
      <c r="BB170" s="201"/>
      <c r="BC170" s="183">
        <f t="shared" ref="BC170:BC171" si="399">AZ170+BA170-BB170</f>
        <v>52600</v>
      </c>
      <c r="BD170" s="200"/>
      <c r="BE170" s="201"/>
      <c r="BF170" s="183">
        <f t="shared" ref="BF170:BF171" si="400">BC170+BD170-BE170</f>
        <v>52600</v>
      </c>
      <c r="BG170" s="200"/>
      <c r="BH170" s="201"/>
      <c r="BI170" s="183">
        <f t="shared" ref="BI170:BI171" si="401">BF170+BG170-BH170</f>
        <v>52600</v>
      </c>
      <c r="BJ170" s="200"/>
      <c r="BK170" s="201"/>
      <c r="BL170" s="183">
        <f t="shared" ref="BL170:BL171" si="402">BI170+BJ170-BK170</f>
        <v>52600</v>
      </c>
      <c r="BM170" s="200"/>
      <c r="BN170" s="201"/>
      <c r="BO170" s="183">
        <f t="shared" ref="BO170:BO171" si="403">BL170+BM170-BN170</f>
        <v>52600</v>
      </c>
      <c r="BP170" s="200">
        <v>0</v>
      </c>
      <c r="BQ170" s="201"/>
      <c r="BR170" s="183">
        <f t="shared" ref="BR170:BR171" si="404">BO170+BP170-BQ170</f>
        <v>52600</v>
      </c>
      <c r="BS170" s="200">
        <v>0</v>
      </c>
      <c r="BT170" s="201"/>
      <c r="BU170" s="183">
        <f t="shared" ref="BU170:BU171" si="405">BR170+BS170-BT170</f>
        <v>52600</v>
      </c>
      <c r="BV170" s="200"/>
      <c r="BW170" s="201"/>
      <c r="BX170" s="183">
        <f t="shared" ref="BX170:BX171" si="406">BU170+BV170-BW170</f>
        <v>52600</v>
      </c>
      <c r="BY170" s="200">
        <v>0</v>
      </c>
      <c r="BZ170" s="201"/>
      <c r="CA170" s="183">
        <f t="shared" ref="CA170:CA171" si="407">BX170+BY170-BZ170</f>
        <v>52600</v>
      </c>
      <c r="CB170" s="200"/>
      <c r="CC170" s="201"/>
      <c r="CD170" s="183">
        <f t="shared" ref="CD170:CD171" si="408">CA170+CB170-CC170</f>
        <v>52600</v>
      </c>
      <c r="CE170" s="200">
        <v>0</v>
      </c>
      <c r="CF170" s="201"/>
      <c r="CG170" s="183">
        <f t="shared" ref="CG170:CG171" si="409">CD170+CE170-CF170</f>
        <v>52600</v>
      </c>
      <c r="CH170" s="200">
        <v>0</v>
      </c>
      <c r="CI170" s="201"/>
      <c r="CJ170" s="183">
        <f t="shared" ref="CJ170:CJ171" si="410">CG170+CH170-CI170</f>
        <v>52600</v>
      </c>
      <c r="CK170" s="200">
        <v>0</v>
      </c>
      <c r="CL170" s="201"/>
      <c r="CM170" s="183">
        <f t="shared" ref="CM170:CM171" si="411">CJ170+CK170-CL170</f>
        <v>52600</v>
      </c>
      <c r="CN170" s="200"/>
      <c r="CO170" s="201"/>
      <c r="CP170" s="183">
        <f t="shared" ref="CP170:CP171" si="412">CM170+CN170-CO5:CO170</f>
        <v>52600</v>
      </c>
      <c r="CQ170" s="200">
        <v>0</v>
      </c>
      <c r="CR170" s="201"/>
      <c r="CS170" s="183">
        <f t="shared" ref="CS170:CS171" si="413">CP170+CQ170-CR170</f>
        <v>52600</v>
      </c>
      <c r="CT170" s="200">
        <v>0</v>
      </c>
      <c r="CU170" s="201"/>
      <c r="CV170" s="183">
        <f>CS170+CT170-CU170</f>
        <v>52600</v>
      </c>
      <c r="CW170" s="200">
        <v>0</v>
      </c>
      <c r="CX170" s="201"/>
      <c r="CY170" s="183">
        <f>CV170+CW170-CX170</f>
        <v>52600</v>
      </c>
    </row>
    <row r="171" spans="1:103" s="195" customFormat="1">
      <c r="A171" s="194" t="e">
        <f>VLOOKUP(B171,справочник!$B$2:$E$322,4,FALSE)</f>
        <v>#N/A</v>
      </c>
      <c r="B171" s="195" t="str">
        <f t="shared" si="258"/>
        <v xml:space="preserve">208Лошкарев Виктор Ильич </v>
      </c>
      <c r="C171" s="196">
        <v>208</v>
      </c>
      <c r="D171" s="6" t="s">
        <v>841</v>
      </c>
      <c r="E171" s="196" t="s">
        <v>448</v>
      </c>
      <c r="F171" s="24">
        <v>41036</v>
      </c>
      <c r="G171" s="24">
        <v>41030</v>
      </c>
      <c r="H171" s="197">
        <v>42</v>
      </c>
      <c r="I171" s="196">
        <f t="shared" si="305"/>
        <v>42000</v>
      </c>
      <c r="J171" s="197">
        <v>1000</v>
      </c>
      <c r="K171" s="197"/>
      <c r="L171" s="198">
        <f t="shared" si="260"/>
        <v>41000</v>
      </c>
      <c r="M171" s="199"/>
      <c r="N171" s="199"/>
      <c r="O171" s="199"/>
      <c r="P171" s="199"/>
      <c r="Q171" s="199"/>
      <c r="R171" s="199"/>
      <c r="S171" s="199"/>
      <c r="T171" s="199"/>
      <c r="U171" s="199"/>
      <c r="V171" s="199"/>
      <c r="W171" s="199"/>
      <c r="X171" s="199"/>
      <c r="Y171" s="198">
        <f t="shared" si="261"/>
        <v>0</v>
      </c>
      <c r="Z171" s="200">
        <v>0</v>
      </c>
      <c r="AA171" s="200">
        <f t="shared" si="262"/>
        <v>0</v>
      </c>
      <c r="AB171" s="200">
        <f t="shared" si="263"/>
        <v>41000</v>
      </c>
      <c r="AC171" s="200">
        <v>800</v>
      </c>
      <c r="AD171" s="201"/>
      <c r="AE171" s="203">
        <f>AB171+AC171</f>
        <v>41800</v>
      </c>
      <c r="AF171" s="200">
        <v>800</v>
      </c>
      <c r="AG171" s="201"/>
      <c r="AH171" s="203">
        <f>AE171+AF171</f>
        <v>42600</v>
      </c>
      <c r="AI171" s="200">
        <v>800</v>
      </c>
      <c r="AJ171" s="201"/>
      <c r="AK171" s="203">
        <f>AH171+AI171</f>
        <v>43400</v>
      </c>
      <c r="AL171" s="200">
        <v>800</v>
      </c>
      <c r="AM171" s="201"/>
      <c r="AN171" s="183">
        <f t="shared" si="394"/>
        <v>44200</v>
      </c>
      <c r="AO171" s="200">
        <v>800</v>
      </c>
      <c r="AP171" s="201"/>
      <c r="AQ171" s="183">
        <f t="shared" si="395"/>
        <v>45000</v>
      </c>
      <c r="AR171" s="200">
        <v>800</v>
      </c>
      <c r="AS171" s="201"/>
      <c r="AT171" s="183">
        <f t="shared" si="396"/>
        <v>45800</v>
      </c>
      <c r="AU171" s="200">
        <v>800</v>
      </c>
      <c r="AV171" s="201"/>
      <c r="AW171" s="183">
        <f t="shared" si="397"/>
        <v>46600</v>
      </c>
      <c r="AX171" s="200">
        <v>800</v>
      </c>
      <c r="AY171" s="201"/>
      <c r="AZ171" s="183">
        <f t="shared" si="398"/>
        <v>47400</v>
      </c>
      <c r="BA171" s="200">
        <v>800</v>
      </c>
      <c r="BB171" s="201"/>
      <c r="BC171" s="183">
        <f t="shared" si="399"/>
        <v>48200</v>
      </c>
      <c r="BD171" s="200">
        <v>800</v>
      </c>
      <c r="BE171" s="201"/>
      <c r="BF171" s="183">
        <f t="shared" si="400"/>
        <v>49000</v>
      </c>
      <c r="BG171" s="200">
        <v>800</v>
      </c>
      <c r="BH171" s="201"/>
      <c r="BI171" s="183">
        <f t="shared" si="401"/>
        <v>49800</v>
      </c>
      <c r="BJ171" s="200">
        <v>800</v>
      </c>
      <c r="BK171" s="201"/>
      <c r="BL171" s="183">
        <f t="shared" si="402"/>
        <v>50600</v>
      </c>
      <c r="BM171" s="200">
        <v>800</v>
      </c>
      <c r="BN171" s="201"/>
      <c r="BO171" s="183">
        <f t="shared" si="403"/>
        <v>51400</v>
      </c>
      <c r="BP171" s="200">
        <v>800</v>
      </c>
      <c r="BQ171" s="201"/>
      <c r="BR171" s="183">
        <f t="shared" si="404"/>
        <v>52200</v>
      </c>
      <c r="BS171" s="200">
        <v>800</v>
      </c>
      <c r="BT171" s="201"/>
      <c r="BU171" s="183">
        <f t="shared" si="405"/>
        <v>53000</v>
      </c>
      <c r="BV171" s="200">
        <v>800</v>
      </c>
      <c r="BW171" s="201"/>
      <c r="BX171" s="183">
        <f t="shared" si="406"/>
        <v>53800</v>
      </c>
      <c r="BY171" s="200">
        <v>800</v>
      </c>
      <c r="BZ171" s="201"/>
      <c r="CA171" s="183">
        <f t="shared" si="407"/>
        <v>54600</v>
      </c>
      <c r="CB171" s="200">
        <v>800</v>
      </c>
      <c r="CC171" s="201"/>
      <c r="CD171" s="183">
        <f t="shared" si="408"/>
        <v>55400</v>
      </c>
      <c r="CE171" s="200">
        <v>800</v>
      </c>
      <c r="CF171" s="201"/>
      <c r="CG171" s="183">
        <f t="shared" si="409"/>
        <v>56200</v>
      </c>
      <c r="CH171" s="200">
        <v>800</v>
      </c>
      <c r="CI171" s="201"/>
      <c r="CJ171" s="183">
        <f t="shared" si="410"/>
        <v>57000</v>
      </c>
      <c r="CK171" s="200">
        <v>800</v>
      </c>
      <c r="CL171" s="201"/>
      <c r="CM171" s="183">
        <f t="shared" si="411"/>
        <v>57800</v>
      </c>
      <c r="CN171" s="200">
        <v>800</v>
      </c>
      <c r="CO171" s="201"/>
      <c r="CP171" s="183">
        <f t="shared" si="412"/>
        <v>58600</v>
      </c>
      <c r="CQ171" s="200">
        <v>800</v>
      </c>
      <c r="CR171" s="201"/>
      <c r="CS171" s="183">
        <f t="shared" si="413"/>
        <v>59400</v>
      </c>
      <c r="CT171" s="200">
        <v>800</v>
      </c>
      <c r="CU171" s="201"/>
      <c r="CV171" s="183">
        <f>CS171+CT171-CU171</f>
        <v>60200</v>
      </c>
      <c r="CW171" s="200">
        <v>800</v>
      </c>
      <c r="CX171" s="201"/>
      <c r="CY171" s="183">
        <f>CV171+CW171-CX171</f>
        <v>61000</v>
      </c>
    </row>
    <row r="172" spans="1:103">
      <c r="A172" s="41">
        <f>VLOOKUP(B172,справочник!$B$2:$E$322,4,FALSE)</f>
        <v>164</v>
      </c>
      <c r="B172" t="str">
        <f t="shared" si="258"/>
        <v>172Лунёв Денис Александрович</v>
      </c>
      <c r="C172" s="1">
        <v>172</v>
      </c>
      <c r="D172" s="2" t="s">
        <v>156</v>
      </c>
      <c r="E172" s="1" t="s">
        <v>475</v>
      </c>
      <c r="F172" s="16">
        <v>41576</v>
      </c>
      <c r="G172" s="16">
        <v>41579</v>
      </c>
      <c r="H172" s="17">
        <f t="shared" ref="H172:H181" si="414">INT(($H$326-G172)/30)</f>
        <v>26</v>
      </c>
      <c r="I172" s="1">
        <f t="shared" si="305"/>
        <v>26000</v>
      </c>
      <c r="J172" s="17">
        <v>1000</v>
      </c>
      <c r="K172" s="17"/>
      <c r="L172" s="18">
        <f t="shared" si="260"/>
        <v>25000</v>
      </c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>
        <v>10600</v>
      </c>
      <c r="X172" s="29"/>
      <c r="Y172" s="18">
        <f t="shared" si="261"/>
        <v>10600</v>
      </c>
      <c r="Z172" s="96">
        <v>12</v>
      </c>
      <c r="AA172" s="96">
        <f t="shared" si="262"/>
        <v>9600</v>
      </c>
      <c r="AB172" s="96">
        <f t="shared" si="263"/>
        <v>24000</v>
      </c>
      <c r="AC172" s="99">
        <v>800</v>
      </c>
      <c r="AD172" s="98"/>
      <c r="AE172" s="102">
        <f t="shared" si="264"/>
        <v>24800</v>
      </c>
      <c r="AF172" s="99">
        <v>800</v>
      </c>
      <c r="AG172" s="98"/>
      <c r="AH172" s="102">
        <f t="shared" ref="AH172:AH181" si="415">AE172+AF172-AG172</f>
        <v>25600</v>
      </c>
      <c r="AI172" s="99">
        <v>800</v>
      </c>
      <c r="AJ172" s="98"/>
      <c r="AK172" s="102">
        <f t="shared" ref="AK172:AK181" si="416">AH172+AI172-AJ172</f>
        <v>26400</v>
      </c>
      <c r="AL172" s="99">
        <v>800</v>
      </c>
      <c r="AM172" s="98"/>
      <c r="AN172" s="102">
        <f t="shared" ref="AN172:AN181" si="417">AK172+AL172-AM172</f>
        <v>27200</v>
      </c>
      <c r="AO172" s="99">
        <v>800</v>
      </c>
      <c r="AP172" s="113"/>
      <c r="AQ172" s="102">
        <f t="shared" ref="AQ172:AQ181" si="418">AN172+AO172-AP172</f>
        <v>28000</v>
      </c>
      <c r="AR172" s="99">
        <v>800</v>
      </c>
      <c r="AS172" s="113"/>
      <c r="AT172" s="102">
        <f t="shared" ref="AT172:AT181" si="419">AQ172+AR172-AS172</f>
        <v>28800</v>
      </c>
      <c r="AU172" s="99">
        <v>800</v>
      </c>
      <c r="AV172" s="113"/>
      <c r="AW172" s="102">
        <f t="shared" ref="AW172:AW181" si="420">AT172+AU172-AV172</f>
        <v>29600</v>
      </c>
      <c r="AX172" s="99">
        <v>800</v>
      </c>
      <c r="AY172" s="113"/>
      <c r="AZ172" s="102">
        <f t="shared" ref="AZ172:AZ181" si="421">AW172+AX172-AY172</f>
        <v>30400</v>
      </c>
      <c r="BA172" s="99">
        <v>800</v>
      </c>
      <c r="BB172" s="113">
        <v>9600</v>
      </c>
      <c r="BC172" s="102">
        <f t="shared" ref="BC172:BC181" si="422">AZ172+BA172-BB172</f>
        <v>21600</v>
      </c>
      <c r="BD172" s="99">
        <v>800</v>
      </c>
      <c r="BE172" s="113"/>
      <c r="BF172" s="102">
        <f t="shared" ref="BF172:BF181" si="423">BC172+BD172-BE172</f>
        <v>22400</v>
      </c>
      <c r="BG172" s="99">
        <v>800</v>
      </c>
      <c r="BH172" s="113"/>
      <c r="BI172" s="102">
        <f t="shared" ref="BI172:BI181" si="424">BF172+BG172-BH172</f>
        <v>23200</v>
      </c>
      <c r="BJ172" s="99">
        <v>800</v>
      </c>
      <c r="BK172" s="113">
        <v>24000</v>
      </c>
      <c r="BL172" s="102">
        <f t="shared" ref="BL172:BL181" si="425">BI172+BJ172-BK172</f>
        <v>0</v>
      </c>
      <c r="BM172" s="99">
        <v>800</v>
      </c>
      <c r="BN172" s="113"/>
      <c r="BO172" s="102">
        <f t="shared" ref="BO172:BO181" si="426">BL172+BM172-BN172</f>
        <v>800</v>
      </c>
      <c r="BP172" s="99">
        <v>800</v>
      </c>
      <c r="BQ172" s="113"/>
      <c r="BR172" s="102">
        <f t="shared" ref="BR172:BR181" si="427">BO172+BP172-BQ172</f>
        <v>1600</v>
      </c>
      <c r="BS172" s="99">
        <v>800</v>
      </c>
      <c r="BT172" s="113"/>
      <c r="BU172" s="102">
        <f t="shared" ref="BU172:BU181" si="428">BR172+BS172-BT172</f>
        <v>2400</v>
      </c>
      <c r="BV172" s="99">
        <v>800</v>
      </c>
      <c r="BW172" s="113"/>
      <c r="BX172" s="102">
        <f t="shared" ref="BX172:BX181" si="429">BU172+BV172-BW172</f>
        <v>3200</v>
      </c>
      <c r="BY172" s="99">
        <v>800</v>
      </c>
      <c r="BZ172" s="113"/>
      <c r="CA172" s="102">
        <f t="shared" ref="CA172:CA181" si="430">BX172+BY172-BZ172</f>
        <v>4000</v>
      </c>
      <c r="CB172" s="99">
        <v>800</v>
      </c>
      <c r="CC172" s="113"/>
      <c r="CD172" s="102">
        <f t="shared" ref="CD172:CD181" si="431">CA172+CB172-CC172</f>
        <v>4800</v>
      </c>
      <c r="CE172" s="99">
        <v>800</v>
      </c>
      <c r="CF172" s="113">
        <v>4800</v>
      </c>
      <c r="CG172" s="102">
        <f t="shared" ref="CG172:CG181" si="432">CD172+CE172-CF172</f>
        <v>800</v>
      </c>
      <c r="CH172" s="99">
        <v>800</v>
      </c>
      <c r="CI172" s="113"/>
      <c r="CJ172" s="102">
        <f t="shared" ref="CJ172:CJ181" si="433">CG172+CH172-CI172</f>
        <v>1600</v>
      </c>
      <c r="CK172" s="99">
        <v>800</v>
      </c>
      <c r="CL172" s="113">
        <v>4800</v>
      </c>
      <c r="CM172" s="102">
        <f t="shared" ref="CM172:CM181" si="434">CJ172+CK172-CL172</f>
        <v>-2400</v>
      </c>
      <c r="CN172" s="99">
        <v>800</v>
      </c>
      <c r="CO172" s="113"/>
      <c r="CP172" s="102">
        <f t="shared" ref="CP172:CP181" si="435">CM172+CN172-CO172</f>
        <v>-1600</v>
      </c>
      <c r="CQ172" s="99">
        <v>800</v>
      </c>
      <c r="CR172" s="113"/>
      <c r="CS172" s="102">
        <f>CP172+CQ172-CR172</f>
        <v>-800</v>
      </c>
      <c r="CT172" s="99">
        <v>800</v>
      </c>
      <c r="CU172" s="113"/>
      <c r="CV172" s="102">
        <f>CS172+CT172-CU172</f>
        <v>0</v>
      </c>
      <c r="CW172" s="99">
        <v>800</v>
      </c>
      <c r="CX172" s="113"/>
      <c r="CY172" s="102">
        <f>CV172+CW172-CX172</f>
        <v>800</v>
      </c>
    </row>
    <row r="173" spans="1:103">
      <c r="A173" s="41">
        <f>VLOOKUP(B173,справочник!$B$2:$E$322,4,FALSE)</f>
        <v>34</v>
      </c>
      <c r="B173" t="str">
        <f t="shared" si="258"/>
        <v>34Лунева Ольга Петровна</v>
      </c>
      <c r="C173" s="1">
        <v>34</v>
      </c>
      <c r="D173" s="2" t="s">
        <v>157</v>
      </c>
      <c r="E173" s="1" t="s">
        <v>476</v>
      </c>
      <c r="F173" s="16">
        <v>40781</v>
      </c>
      <c r="G173" s="16">
        <v>40787</v>
      </c>
      <c r="H173" s="17">
        <f t="shared" si="414"/>
        <v>52</v>
      </c>
      <c r="I173" s="1">
        <f t="shared" si="305"/>
        <v>52000</v>
      </c>
      <c r="J173" s="17">
        <v>55000</v>
      </c>
      <c r="K173" s="17"/>
      <c r="L173" s="18">
        <f t="shared" si="260"/>
        <v>-3000</v>
      </c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18">
        <f t="shared" si="261"/>
        <v>0</v>
      </c>
      <c r="Z173" s="96">
        <v>12</v>
      </c>
      <c r="AA173" s="96">
        <f t="shared" si="262"/>
        <v>9600</v>
      </c>
      <c r="AB173" s="96">
        <f t="shared" si="263"/>
        <v>6600</v>
      </c>
      <c r="AC173" s="99">
        <v>800</v>
      </c>
      <c r="AD173" s="98"/>
      <c r="AE173" s="102">
        <f t="shared" si="264"/>
        <v>7400</v>
      </c>
      <c r="AF173" s="99">
        <v>800</v>
      </c>
      <c r="AG173" s="98"/>
      <c r="AH173" s="102">
        <f t="shared" si="415"/>
        <v>8200</v>
      </c>
      <c r="AI173" s="99">
        <v>800</v>
      </c>
      <c r="AJ173" s="98"/>
      <c r="AK173" s="102">
        <f t="shared" si="416"/>
        <v>9000</v>
      </c>
      <c r="AL173" s="99">
        <v>800</v>
      </c>
      <c r="AM173" s="98"/>
      <c r="AN173" s="102">
        <f t="shared" si="417"/>
        <v>9800</v>
      </c>
      <c r="AO173" s="99">
        <v>800</v>
      </c>
      <c r="AP173" s="113"/>
      <c r="AQ173" s="102">
        <f t="shared" si="418"/>
        <v>10600</v>
      </c>
      <c r="AR173" s="99">
        <v>800</v>
      </c>
      <c r="AS173" s="113"/>
      <c r="AT173" s="102">
        <f t="shared" si="419"/>
        <v>11400</v>
      </c>
      <c r="AU173" s="99">
        <v>800</v>
      </c>
      <c r="AV173" s="113"/>
      <c r="AW173" s="102">
        <f t="shared" si="420"/>
        <v>12200</v>
      </c>
      <c r="AX173" s="99">
        <v>800</v>
      </c>
      <c r="AY173" s="113"/>
      <c r="AZ173" s="102">
        <f t="shared" si="421"/>
        <v>13000</v>
      </c>
      <c r="BA173" s="99">
        <v>800</v>
      </c>
      <c r="BB173" s="113"/>
      <c r="BC173" s="102">
        <f t="shared" si="422"/>
        <v>13800</v>
      </c>
      <c r="BD173" s="99">
        <v>800</v>
      </c>
      <c r="BE173" s="113"/>
      <c r="BF173" s="102">
        <f t="shared" si="423"/>
        <v>14600</v>
      </c>
      <c r="BG173" s="99">
        <v>800</v>
      </c>
      <c r="BH173" s="113"/>
      <c r="BI173" s="102">
        <f t="shared" si="424"/>
        <v>15400</v>
      </c>
      <c r="BJ173" s="99">
        <v>800</v>
      </c>
      <c r="BK173" s="113"/>
      <c r="BL173" s="102">
        <f t="shared" si="425"/>
        <v>16200</v>
      </c>
      <c r="BM173" s="99">
        <v>800</v>
      </c>
      <c r="BN173" s="113"/>
      <c r="BO173" s="102">
        <f t="shared" si="426"/>
        <v>17000</v>
      </c>
      <c r="BP173" s="99">
        <v>800</v>
      </c>
      <c r="BQ173" s="113"/>
      <c r="BR173" s="102">
        <f t="shared" si="427"/>
        <v>17800</v>
      </c>
      <c r="BS173" s="99">
        <v>800</v>
      </c>
      <c r="BT173" s="113"/>
      <c r="BU173" s="102">
        <f t="shared" si="428"/>
        <v>18600</v>
      </c>
      <c r="BV173" s="99">
        <v>800</v>
      </c>
      <c r="BW173" s="113"/>
      <c r="BX173" s="102">
        <f t="shared" si="429"/>
        <v>19400</v>
      </c>
      <c r="BY173" s="99">
        <v>800</v>
      </c>
      <c r="BZ173" s="113"/>
      <c r="CA173" s="102">
        <f t="shared" si="430"/>
        <v>20200</v>
      </c>
      <c r="CB173" s="99">
        <v>800</v>
      </c>
      <c r="CC173" s="113"/>
      <c r="CD173" s="102">
        <f t="shared" si="431"/>
        <v>21000</v>
      </c>
      <c r="CE173" s="99">
        <v>800</v>
      </c>
      <c r="CF173" s="113"/>
      <c r="CG173" s="102">
        <f t="shared" si="432"/>
        <v>21800</v>
      </c>
      <c r="CH173" s="99">
        <v>800</v>
      </c>
      <c r="CI173" s="113"/>
      <c r="CJ173" s="102">
        <f t="shared" si="433"/>
        <v>22600</v>
      </c>
      <c r="CK173" s="99">
        <v>800</v>
      </c>
      <c r="CL173" s="113"/>
      <c r="CM173" s="102">
        <f t="shared" si="434"/>
        <v>23400</v>
      </c>
      <c r="CN173" s="99">
        <v>800</v>
      </c>
      <c r="CO173" s="113"/>
      <c r="CP173" s="102">
        <f t="shared" si="435"/>
        <v>24200</v>
      </c>
      <c r="CQ173" s="99">
        <v>800</v>
      </c>
      <c r="CR173" s="113"/>
      <c r="CS173" s="102">
        <f t="shared" ref="CS173:CS181" si="436">CP173+CQ173-CR173</f>
        <v>25000</v>
      </c>
      <c r="CT173" s="99">
        <v>800</v>
      </c>
      <c r="CU173" s="113"/>
      <c r="CV173" s="102">
        <f t="shared" ref="CV173:CV181" si="437">CS173+CT173-CU173</f>
        <v>25800</v>
      </c>
      <c r="CW173" s="99">
        <v>800</v>
      </c>
      <c r="CX173" s="113"/>
      <c r="CY173" s="102">
        <f t="shared" ref="CY173:CY181" si="438">CV173+CW173-CX173</f>
        <v>26600</v>
      </c>
    </row>
    <row r="174" spans="1:103">
      <c r="A174" s="41">
        <f>VLOOKUP(B174,справочник!$B$2:$E$322,4,FALSE)</f>
        <v>13</v>
      </c>
      <c r="B174" t="str">
        <f t="shared" si="258"/>
        <v>13Малов Алексей Викторович</v>
      </c>
      <c r="C174" s="1">
        <v>13</v>
      </c>
      <c r="D174" s="2" t="s">
        <v>158</v>
      </c>
      <c r="E174" s="1" t="s">
        <v>477</v>
      </c>
      <c r="F174" s="16">
        <v>41464</v>
      </c>
      <c r="G174" s="16">
        <v>41487</v>
      </c>
      <c r="H174" s="17">
        <f t="shared" si="414"/>
        <v>29</v>
      </c>
      <c r="I174" s="1">
        <f t="shared" si="305"/>
        <v>29000</v>
      </c>
      <c r="J174" s="17">
        <v>13000</v>
      </c>
      <c r="K174" s="17"/>
      <c r="L174" s="18">
        <f t="shared" si="260"/>
        <v>16000</v>
      </c>
      <c r="M174" s="29"/>
      <c r="N174" s="29"/>
      <c r="O174" s="29"/>
      <c r="P174" s="29"/>
      <c r="Q174" s="29"/>
      <c r="R174" s="29"/>
      <c r="S174" s="29">
        <v>20000</v>
      </c>
      <c r="T174" s="29"/>
      <c r="U174" s="29"/>
      <c r="V174" s="29"/>
      <c r="W174" s="29"/>
      <c r="X174" s="29"/>
      <c r="Y174" s="18">
        <f t="shared" si="261"/>
        <v>20000</v>
      </c>
      <c r="Z174" s="96">
        <v>12</v>
      </c>
      <c r="AA174" s="96">
        <f t="shared" si="262"/>
        <v>9600</v>
      </c>
      <c r="AB174" s="96">
        <f t="shared" si="263"/>
        <v>5600</v>
      </c>
      <c r="AC174" s="99">
        <v>800</v>
      </c>
      <c r="AD174" s="98"/>
      <c r="AE174" s="102">
        <f t="shared" si="264"/>
        <v>6400</v>
      </c>
      <c r="AF174" s="99">
        <v>800</v>
      </c>
      <c r="AG174" s="98"/>
      <c r="AH174" s="102">
        <f t="shared" si="415"/>
        <v>7200</v>
      </c>
      <c r="AI174" s="99">
        <v>800</v>
      </c>
      <c r="AJ174" s="98"/>
      <c r="AK174" s="102">
        <f t="shared" si="416"/>
        <v>8000</v>
      </c>
      <c r="AL174" s="99">
        <v>800</v>
      </c>
      <c r="AM174" s="98"/>
      <c r="AN174" s="102">
        <f t="shared" si="417"/>
        <v>8800</v>
      </c>
      <c r="AO174" s="99">
        <v>800</v>
      </c>
      <c r="AP174" s="113">
        <v>8800</v>
      </c>
      <c r="AQ174" s="102">
        <f t="shared" si="418"/>
        <v>800</v>
      </c>
      <c r="AR174" s="99">
        <v>800</v>
      </c>
      <c r="AS174" s="113"/>
      <c r="AT174" s="102">
        <f t="shared" si="419"/>
        <v>1600</v>
      </c>
      <c r="AU174" s="99">
        <v>800</v>
      </c>
      <c r="AV174" s="113"/>
      <c r="AW174" s="102">
        <f t="shared" si="420"/>
        <v>2400</v>
      </c>
      <c r="AX174" s="99">
        <v>800</v>
      </c>
      <c r="AY174" s="113"/>
      <c r="AZ174" s="102">
        <f t="shared" si="421"/>
        <v>3200</v>
      </c>
      <c r="BA174" s="99">
        <v>800</v>
      </c>
      <c r="BB174" s="113"/>
      <c r="BC174" s="102">
        <f t="shared" si="422"/>
        <v>4000</v>
      </c>
      <c r="BD174" s="99">
        <v>800</v>
      </c>
      <c r="BE174" s="113"/>
      <c r="BF174" s="102">
        <f t="shared" si="423"/>
        <v>4800</v>
      </c>
      <c r="BG174" s="99">
        <v>800</v>
      </c>
      <c r="BH174" s="113"/>
      <c r="BI174" s="102">
        <f t="shared" si="424"/>
        <v>5600</v>
      </c>
      <c r="BJ174" s="99">
        <v>800</v>
      </c>
      <c r="BK174" s="113"/>
      <c r="BL174" s="102">
        <f t="shared" si="425"/>
        <v>6400</v>
      </c>
      <c r="BM174" s="99">
        <v>800</v>
      </c>
      <c r="BN174" s="113"/>
      <c r="BO174" s="102">
        <f t="shared" si="426"/>
        <v>7200</v>
      </c>
      <c r="BP174" s="99">
        <v>800</v>
      </c>
      <c r="BQ174" s="113"/>
      <c r="BR174" s="102">
        <f t="shared" si="427"/>
        <v>8000</v>
      </c>
      <c r="BS174" s="99">
        <v>800</v>
      </c>
      <c r="BT174" s="113"/>
      <c r="BU174" s="102">
        <f t="shared" si="428"/>
        <v>8800</v>
      </c>
      <c r="BV174" s="99">
        <v>800</v>
      </c>
      <c r="BW174" s="113"/>
      <c r="BX174" s="102">
        <f t="shared" si="429"/>
        <v>9600</v>
      </c>
      <c r="BY174" s="99">
        <v>800</v>
      </c>
      <c r="BZ174" s="113"/>
      <c r="CA174" s="102">
        <f t="shared" si="430"/>
        <v>10400</v>
      </c>
      <c r="CB174" s="99">
        <v>800</v>
      </c>
      <c r="CC174" s="113"/>
      <c r="CD174" s="102">
        <f t="shared" si="431"/>
        <v>11200</v>
      </c>
      <c r="CE174" s="99">
        <v>800</v>
      </c>
      <c r="CF174" s="113"/>
      <c r="CG174" s="102">
        <f t="shared" si="432"/>
        <v>12000</v>
      </c>
      <c r="CH174" s="99">
        <v>800</v>
      </c>
      <c r="CI174" s="113">
        <v>12800</v>
      </c>
      <c r="CJ174" s="102">
        <f t="shared" si="433"/>
        <v>0</v>
      </c>
      <c r="CK174" s="99">
        <v>800</v>
      </c>
      <c r="CL174" s="113"/>
      <c r="CM174" s="102">
        <f t="shared" si="434"/>
        <v>800</v>
      </c>
      <c r="CN174" s="99">
        <v>800</v>
      </c>
      <c r="CO174" s="113"/>
      <c r="CP174" s="102">
        <f t="shared" si="435"/>
        <v>1600</v>
      </c>
      <c r="CQ174" s="99">
        <v>800</v>
      </c>
      <c r="CR174" s="113"/>
      <c r="CS174" s="102">
        <f t="shared" si="436"/>
        <v>2400</v>
      </c>
      <c r="CT174" s="99">
        <v>800</v>
      </c>
      <c r="CU174" s="113"/>
      <c r="CV174" s="102">
        <f t="shared" si="437"/>
        <v>3200</v>
      </c>
      <c r="CW174" s="99">
        <v>800</v>
      </c>
      <c r="CX174" s="113"/>
      <c r="CY174" s="102">
        <f t="shared" si="438"/>
        <v>4000</v>
      </c>
    </row>
    <row r="175" spans="1:103">
      <c r="A175" s="41">
        <f>VLOOKUP(B175,справочник!$B$2:$E$322,4,FALSE)</f>
        <v>273</v>
      </c>
      <c r="B175" t="str">
        <f t="shared" si="258"/>
        <v>286Маргиева Марина Евгеньевна</v>
      </c>
      <c r="C175" s="1">
        <v>286</v>
      </c>
      <c r="D175" s="11" t="s">
        <v>159</v>
      </c>
      <c r="E175" s="1" t="s">
        <v>478</v>
      </c>
      <c r="F175" s="16">
        <v>41992</v>
      </c>
      <c r="G175" s="16">
        <v>42005</v>
      </c>
      <c r="H175" s="17">
        <f t="shared" si="414"/>
        <v>12</v>
      </c>
      <c r="I175" s="1">
        <f t="shared" si="305"/>
        <v>12000</v>
      </c>
      <c r="J175" s="17">
        <v>8000</v>
      </c>
      <c r="K175" s="17"/>
      <c r="L175" s="18">
        <f t="shared" si="260"/>
        <v>4000</v>
      </c>
      <c r="M175" s="29"/>
      <c r="N175" s="29"/>
      <c r="O175" s="29"/>
      <c r="P175" s="29"/>
      <c r="Q175" s="29"/>
      <c r="R175" s="29">
        <v>8000</v>
      </c>
      <c r="S175" s="29"/>
      <c r="T175" s="29"/>
      <c r="U175" s="29">
        <v>1600</v>
      </c>
      <c r="V175" s="29"/>
      <c r="W175" s="29"/>
      <c r="X175" s="29">
        <f>800+800+1600</f>
        <v>3200</v>
      </c>
      <c r="Y175" s="18">
        <f t="shared" si="261"/>
        <v>12800</v>
      </c>
      <c r="Z175" s="96">
        <v>12</v>
      </c>
      <c r="AA175" s="96">
        <f t="shared" si="262"/>
        <v>9600</v>
      </c>
      <c r="AB175" s="96">
        <f t="shared" si="263"/>
        <v>800</v>
      </c>
      <c r="AC175" s="99">
        <v>800</v>
      </c>
      <c r="AD175" s="110"/>
      <c r="AE175" s="102">
        <f t="shared" si="264"/>
        <v>1600</v>
      </c>
      <c r="AF175" s="99">
        <v>800</v>
      </c>
      <c r="AG175" s="110"/>
      <c r="AH175" s="102">
        <f t="shared" si="415"/>
        <v>2400</v>
      </c>
      <c r="AI175" s="99">
        <v>800</v>
      </c>
      <c r="AJ175" s="110">
        <f>1600+800</f>
        <v>2400</v>
      </c>
      <c r="AK175" s="102">
        <f t="shared" si="416"/>
        <v>800</v>
      </c>
      <c r="AL175" s="99">
        <v>800</v>
      </c>
      <c r="AM175" s="110"/>
      <c r="AN175" s="102">
        <f t="shared" si="417"/>
        <v>1600</v>
      </c>
      <c r="AO175" s="99">
        <v>800</v>
      </c>
      <c r="AP175" s="115">
        <f>800+800</f>
        <v>1600</v>
      </c>
      <c r="AQ175" s="102">
        <f t="shared" si="418"/>
        <v>800</v>
      </c>
      <c r="AR175" s="99">
        <v>800</v>
      </c>
      <c r="AS175" s="115">
        <v>3600</v>
      </c>
      <c r="AT175" s="102">
        <f t="shared" si="419"/>
        <v>-2000</v>
      </c>
      <c r="AU175" s="99">
        <v>800</v>
      </c>
      <c r="AV175" s="115"/>
      <c r="AW175" s="102">
        <f t="shared" si="420"/>
        <v>-1200</v>
      </c>
      <c r="AX175" s="99">
        <v>800</v>
      </c>
      <c r="AY175" s="115"/>
      <c r="AZ175" s="102">
        <f t="shared" si="421"/>
        <v>-400</v>
      </c>
      <c r="BA175" s="99">
        <v>800</v>
      </c>
      <c r="BB175" s="115">
        <f>2400+2400</f>
        <v>4800</v>
      </c>
      <c r="BC175" s="102">
        <f t="shared" si="422"/>
        <v>-4400</v>
      </c>
      <c r="BD175" s="99">
        <v>800</v>
      </c>
      <c r="BE175" s="115"/>
      <c r="BF175" s="102">
        <f t="shared" si="423"/>
        <v>-3600</v>
      </c>
      <c r="BG175" s="99">
        <v>800</v>
      </c>
      <c r="BH175" s="115">
        <v>1600</v>
      </c>
      <c r="BI175" s="102">
        <f t="shared" si="424"/>
        <v>-4400</v>
      </c>
      <c r="BJ175" s="99">
        <v>800</v>
      </c>
      <c r="BK175" s="115"/>
      <c r="BL175" s="102">
        <f t="shared" si="425"/>
        <v>-3600</v>
      </c>
      <c r="BM175" s="99">
        <v>800</v>
      </c>
      <c r="BN175" s="115">
        <f>3600+3600</f>
        <v>7200</v>
      </c>
      <c r="BO175" s="102">
        <f t="shared" si="426"/>
        <v>-10000</v>
      </c>
      <c r="BP175" s="99">
        <v>800</v>
      </c>
      <c r="BQ175" s="115"/>
      <c r="BR175" s="102">
        <f t="shared" si="427"/>
        <v>-9200</v>
      </c>
      <c r="BS175" s="99">
        <v>800</v>
      </c>
      <c r="BT175" s="115"/>
      <c r="BU175" s="102">
        <f t="shared" si="428"/>
        <v>-8400</v>
      </c>
      <c r="BV175" s="99">
        <v>800</v>
      </c>
      <c r="BW175" s="115">
        <v>2400</v>
      </c>
      <c r="BX175" s="102">
        <f t="shared" si="429"/>
        <v>-10000</v>
      </c>
      <c r="BY175" s="99">
        <v>800</v>
      </c>
      <c r="BZ175" s="115">
        <v>800</v>
      </c>
      <c r="CA175" s="102">
        <f t="shared" si="430"/>
        <v>-10000</v>
      </c>
      <c r="CB175" s="99">
        <v>800</v>
      </c>
      <c r="CC175" s="115"/>
      <c r="CD175" s="102">
        <f t="shared" si="431"/>
        <v>-9200</v>
      </c>
      <c r="CE175" s="99">
        <v>800</v>
      </c>
      <c r="CF175" s="115"/>
      <c r="CG175" s="102">
        <f t="shared" si="432"/>
        <v>-8400</v>
      </c>
      <c r="CH175" s="99">
        <v>800</v>
      </c>
      <c r="CI175" s="115">
        <v>2400</v>
      </c>
      <c r="CJ175" s="102">
        <f t="shared" si="433"/>
        <v>-10000</v>
      </c>
      <c r="CK175" s="99">
        <v>800</v>
      </c>
      <c r="CL175" s="115"/>
      <c r="CM175" s="102">
        <f t="shared" si="434"/>
        <v>-9200</v>
      </c>
      <c r="CN175" s="99">
        <v>800</v>
      </c>
      <c r="CO175" s="115">
        <f>800+800</f>
        <v>1600</v>
      </c>
      <c r="CP175" s="102">
        <f t="shared" si="435"/>
        <v>-10000</v>
      </c>
      <c r="CQ175" s="99">
        <v>800</v>
      </c>
      <c r="CR175" s="115">
        <v>800</v>
      </c>
      <c r="CS175" s="102">
        <f t="shared" si="436"/>
        <v>-10000</v>
      </c>
      <c r="CT175" s="99">
        <v>800</v>
      </c>
      <c r="CU175" s="115"/>
      <c r="CV175" s="102">
        <f t="shared" si="437"/>
        <v>-9200</v>
      </c>
      <c r="CW175" s="99">
        <v>800</v>
      </c>
      <c r="CX175" s="115">
        <v>1600</v>
      </c>
      <c r="CY175" s="102">
        <f t="shared" si="438"/>
        <v>-10000</v>
      </c>
    </row>
    <row r="176" spans="1:103">
      <c r="A176" s="41" t="e">
        <f>VLOOKUP(B176,справочник!$B$2:$E$322,4,FALSE)</f>
        <v>#N/A</v>
      </c>
      <c r="B176" t="str">
        <f t="shared" si="258"/>
        <v>92Маркина Людмила Николаевна</v>
      </c>
      <c r="C176" s="1">
        <v>92</v>
      </c>
      <c r="D176" s="2" t="s">
        <v>757</v>
      </c>
      <c r="E176" s="1" t="s">
        <v>479</v>
      </c>
      <c r="F176" s="16">
        <v>41144</v>
      </c>
      <c r="G176" s="16">
        <v>41153</v>
      </c>
      <c r="H176" s="17">
        <f t="shared" si="414"/>
        <v>40</v>
      </c>
      <c r="I176" s="1">
        <f t="shared" si="305"/>
        <v>40000</v>
      </c>
      <c r="J176" s="17">
        <v>37000</v>
      </c>
      <c r="K176" s="17"/>
      <c r="L176" s="18">
        <f t="shared" si="260"/>
        <v>3000</v>
      </c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18">
        <f t="shared" si="261"/>
        <v>0</v>
      </c>
      <c r="Z176" s="96">
        <v>12</v>
      </c>
      <c r="AA176" s="96">
        <f t="shared" si="262"/>
        <v>9600</v>
      </c>
      <c r="AB176" s="96">
        <f t="shared" si="263"/>
        <v>12600</v>
      </c>
      <c r="AC176" s="99">
        <v>800</v>
      </c>
      <c r="AD176" s="110">
        <v>1600</v>
      </c>
      <c r="AE176" s="102">
        <f t="shared" si="264"/>
        <v>11800</v>
      </c>
      <c r="AF176" s="99">
        <v>800</v>
      </c>
      <c r="AG176" s="110"/>
      <c r="AH176" s="102">
        <f t="shared" si="415"/>
        <v>12600</v>
      </c>
      <c r="AI176" s="99">
        <v>800</v>
      </c>
      <c r="AJ176" s="110"/>
      <c r="AK176" s="102">
        <f t="shared" si="416"/>
        <v>13400</v>
      </c>
      <c r="AL176" s="99">
        <v>800</v>
      </c>
      <c r="AM176" s="110"/>
      <c r="AN176" s="102">
        <f t="shared" si="417"/>
        <v>14200</v>
      </c>
      <c r="AO176" s="99">
        <v>800</v>
      </c>
      <c r="AP176" s="115">
        <v>2400</v>
      </c>
      <c r="AQ176" s="102">
        <f t="shared" si="418"/>
        <v>12600</v>
      </c>
      <c r="AR176" s="99">
        <v>800</v>
      </c>
      <c r="AS176" s="115"/>
      <c r="AT176" s="102">
        <f t="shared" si="419"/>
        <v>13400</v>
      </c>
      <c r="AU176" s="99">
        <v>800</v>
      </c>
      <c r="AV176" s="115"/>
      <c r="AW176" s="102">
        <f t="shared" si="420"/>
        <v>14200</v>
      </c>
      <c r="AX176" s="99">
        <v>800</v>
      </c>
      <c r="AY176" s="115"/>
      <c r="AZ176" s="102">
        <f t="shared" si="421"/>
        <v>15000</v>
      </c>
      <c r="BA176" s="99">
        <v>800</v>
      </c>
      <c r="BB176" s="115">
        <v>3200</v>
      </c>
      <c r="BC176" s="102">
        <f t="shared" si="422"/>
        <v>12600</v>
      </c>
      <c r="BD176" s="99">
        <v>800</v>
      </c>
      <c r="BE176" s="115"/>
      <c r="BF176" s="102">
        <f t="shared" si="423"/>
        <v>13400</v>
      </c>
      <c r="BG176" s="99">
        <v>800</v>
      </c>
      <c r="BH176" s="115"/>
      <c r="BI176" s="102">
        <f t="shared" si="424"/>
        <v>14200</v>
      </c>
      <c r="BJ176" s="99">
        <v>800</v>
      </c>
      <c r="BK176" s="115">
        <v>3200</v>
      </c>
      <c r="BL176" s="102">
        <f t="shared" si="425"/>
        <v>11800</v>
      </c>
      <c r="BM176" s="99">
        <v>800</v>
      </c>
      <c r="BN176" s="115"/>
      <c r="BO176" s="102">
        <f t="shared" si="426"/>
        <v>12600</v>
      </c>
      <c r="BP176" s="99">
        <v>800</v>
      </c>
      <c r="BQ176" s="115"/>
      <c r="BR176" s="102">
        <f t="shared" si="427"/>
        <v>13400</v>
      </c>
      <c r="BS176" s="99">
        <v>800</v>
      </c>
      <c r="BT176" s="115"/>
      <c r="BU176" s="102">
        <f t="shared" si="428"/>
        <v>14200</v>
      </c>
      <c r="BV176" s="99">
        <v>800</v>
      </c>
      <c r="BW176" s="115">
        <v>5600</v>
      </c>
      <c r="BX176" s="102">
        <f t="shared" si="429"/>
        <v>9400</v>
      </c>
      <c r="BY176" s="99">
        <v>800</v>
      </c>
      <c r="BZ176" s="115"/>
      <c r="CA176" s="102">
        <f t="shared" si="430"/>
        <v>10200</v>
      </c>
      <c r="CB176" s="99">
        <v>800</v>
      </c>
      <c r="CC176" s="115">
        <v>4800</v>
      </c>
      <c r="CD176" s="102">
        <f t="shared" si="431"/>
        <v>6200</v>
      </c>
      <c r="CE176" s="99">
        <v>800</v>
      </c>
      <c r="CF176" s="115"/>
      <c r="CG176" s="102">
        <f t="shared" si="432"/>
        <v>7000</v>
      </c>
      <c r="CH176" s="99">
        <v>800</v>
      </c>
      <c r="CI176" s="115"/>
      <c r="CJ176" s="102">
        <f t="shared" si="433"/>
        <v>7800</v>
      </c>
      <c r="CK176" s="99">
        <v>800</v>
      </c>
      <c r="CL176" s="115">
        <v>4000</v>
      </c>
      <c r="CM176" s="102">
        <f t="shared" si="434"/>
        <v>4600</v>
      </c>
      <c r="CN176" s="99">
        <v>800</v>
      </c>
      <c r="CO176" s="115"/>
      <c r="CP176" s="102">
        <f t="shared" si="435"/>
        <v>5400</v>
      </c>
      <c r="CQ176" s="99">
        <v>800</v>
      </c>
      <c r="CR176" s="115"/>
      <c r="CS176" s="102">
        <f t="shared" si="436"/>
        <v>6200</v>
      </c>
      <c r="CT176" s="99">
        <v>800</v>
      </c>
      <c r="CU176" s="115">
        <v>5600</v>
      </c>
      <c r="CV176" s="102">
        <f t="shared" si="437"/>
        <v>1400</v>
      </c>
      <c r="CW176" s="99">
        <v>800</v>
      </c>
      <c r="CX176" s="115"/>
      <c r="CY176" s="102">
        <f t="shared" si="438"/>
        <v>2200</v>
      </c>
    </row>
    <row r="177" spans="1:103">
      <c r="A177" s="41">
        <f>VLOOKUP(B177,справочник!$B$2:$E$322,4,FALSE)</f>
        <v>154</v>
      </c>
      <c r="B177" t="str">
        <f t="shared" si="258"/>
        <v>162Марков Максим Юрьевич</v>
      </c>
      <c r="C177" s="1">
        <v>162</v>
      </c>
      <c r="D177" s="2" t="s">
        <v>161</v>
      </c>
      <c r="E177" s="1" t="s">
        <v>462</v>
      </c>
      <c r="F177" s="16">
        <v>40720</v>
      </c>
      <c r="G177" s="16">
        <v>40725</v>
      </c>
      <c r="H177" s="17">
        <f t="shared" si="414"/>
        <v>54</v>
      </c>
      <c r="I177" s="1">
        <f t="shared" si="305"/>
        <v>54000</v>
      </c>
      <c r="J177" s="17">
        <v>50000</v>
      </c>
      <c r="K177" s="17"/>
      <c r="L177" s="18">
        <f t="shared" si="260"/>
        <v>4000</v>
      </c>
      <c r="M177" s="29"/>
      <c r="N177" s="29"/>
      <c r="O177" s="29"/>
      <c r="P177" s="29">
        <v>2400</v>
      </c>
      <c r="Q177" s="29">
        <v>800</v>
      </c>
      <c r="R177" s="29">
        <v>1600</v>
      </c>
      <c r="S177" s="29">
        <v>800</v>
      </c>
      <c r="T177">
        <v>800</v>
      </c>
      <c r="U177" s="29">
        <v>800</v>
      </c>
      <c r="V177" s="29">
        <v>800</v>
      </c>
      <c r="W177" s="84">
        <v>800</v>
      </c>
      <c r="X177" s="29">
        <v>800</v>
      </c>
      <c r="Y177" s="18">
        <f t="shared" si="261"/>
        <v>9600</v>
      </c>
      <c r="Z177" s="96">
        <v>12</v>
      </c>
      <c r="AA177" s="96">
        <f t="shared" si="262"/>
        <v>9600</v>
      </c>
      <c r="AB177" s="96">
        <f t="shared" si="263"/>
        <v>4000</v>
      </c>
      <c r="AC177" s="99">
        <v>800</v>
      </c>
      <c r="AD177" s="111">
        <v>800</v>
      </c>
      <c r="AE177" s="102">
        <f t="shared" si="264"/>
        <v>4000</v>
      </c>
      <c r="AF177" s="99">
        <v>800</v>
      </c>
      <c r="AG177" s="111"/>
      <c r="AH177" s="102">
        <f t="shared" si="415"/>
        <v>4800</v>
      </c>
      <c r="AI177" s="99">
        <v>800</v>
      </c>
      <c r="AJ177" s="111"/>
      <c r="AK177" s="102">
        <f t="shared" si="416"/>
        <v>5600</v>
      </c>
      <c r="AL177" s="99">
        <v>800</v>
      </c>
      <c r="AM177" s="111">
        <v>800</v>
      </c>
      <c r="AN177" s="102">
        <f t="shared" si="417"/>
        <v>5600</v>
      </c>
      <c r="AO177" s="99">
        <v>800</v>
      </c>
      <c r="AP177" s="111"/>
      <c r="AQ177" s="102">
        <f t="shared" si="418"/>
        <v>6400</v>
      </c>
      <c r="AR177" s="99">
        <v>800</v>
      </c>
      <c r="AS177" s="111">
        <v>800</v>
      </c>
      <c r="AT177" s="102">
        <f t="shared" si="419"/>
        <v>6400</v>
      </c>
      <c r="AU177" s="99">
        <v>800</v>
      </c>
      <c r="AV177" s="111"/>
      <c r="AW177" s="102">
        <f t="shared" si="420"/>
        <v>7200</v>
      </c>
      <c r="AX177" s="99">
        <v>800</v>
      </c>
      <c r="AY177" s="111"/>
      <c r="AZ177" s="102">
        <f t="shared" si="421"/>
        <v>8000</v>
      </c>
      <c r="BA177" s="99">
        <v>800</v>
      </c>
      <c r="BB177" s="111">
        <v>1600</v>
      </c>
      <c r="BC177" s="102">
        <f t="shared" si="422"/>
        <v>7200</v>
      </c>
      <c r="BD177" s="99">
        <v>800</v>
      </c>
      <c r="BE177" s="111"/>
      <c r="BF177" s="102">
        <f t="shared" si="423"/>
        <v>8000</v>
      </c>
      <c r="BG177" s="99">
        <v>800</v>
      </c>
      <c r="BH177" s="111">
        <v>1600</v>
      </c>
      <c r="BI177" s="102">
        <f t="shared" si="424"/>
        <v>7200</v>
      </c>
      <c r="BJ177" s="99">
        <v>800</v>
      </c>
      <c r="BK177" s="111"/>
      <c r="BL177" s="102">
        <f t="shared" si="425"/>
        <v>8000</v>
      </c>
      <c r="BM177" s="99">
        <v>800</v>
      </c>
      <c r="BN177" s="111"/>
      <c r="BO177" s="102">
        <f t="shared" si="426"/>
        <v>8800</v>
      </c>
      <c r="BP177" s="99">
        <v>800</v>
      </c>
      <c r="BQ177" s="111"/>
      <c r="BR177" s="102">
        <f t="shared" si="427"/>
        <v>9600</v>
      </c>
      <c r="BS177" s="99">
        <v>800</v>
      </c>
      <c r="BT177" s="111">
        <v>1600</v>
      </c>
      <c r="BU177" s="102">
        <f t="shared" si="428"/>
        <v>8800</v>
      </c>
      <c r="BV177" s="99">
        <v>800</v>
      </c>
      <c r="BW177" s="111">
        <v>1600</v>
      </c>
      <c r="BX177" s="102">
        <f t="shared" si="429"/>
        <v>8000</v>
      </c>
      <c r="BY177" s="99">
        <v>800</v>
      </c>
      <c r="BZ177" s="111">
        <v>800</v>
      </c>
      <c r="CA177" s="102">
        <f t="shared" si="430"/>
        <v>8000</v>
      </c>
      <c r="CB177" s="99">
        <v>800</v>
      </c>
      <c r="CC177" s="111"/>
      <c r="CD177" s="102">
        <f t="shared" si="431"/>
        <v>8800</v>
      </c>
      <c r="CE177" s="99">
        <v>800</v>
      </c>
      <c r="CF177" s="111"/>
      <c r="CG177" s="102">
        <f t="shared" si="432"/>
        <v>9600</v>
      </c>
      <c r="CH177" s="99">
        <v>800</v>
      </c>
      <c r="CI177" s="111"/>
      <c r="CJ177" s="102">
        <f t="shared" si="433"/>
        <v>10400</v>
      </c>
      <c r="CK177" s="99">
        <v>800</v>
      </c>
      <c r="CL177" s="111"/>
      <c r="CM177" s="102">
        <f t="shared" si="434"/>
        <v>11200</v>
      </c>
      <c r="CN177" s="99">
        <v>800</v>
      </c>
      <c r="CO177" s="111"/>
      <c r="CP177" s="102">
        <f t="shared" si="435"/>
        <v>12000</v>
      </c>
      <c r="CQ177" s="99">
        <v>800</v>
      </c>
      <c r="CR177" s="111"/>
      <c r="CS177" s="102">
        <f t="shared" si="436"/>
        <v>12800</v>
      </c>
      <c r="CT177" s="99">
        <v>800</v>
      </c>
      <c r="CU177" s="111"/>
      <c r="CV177" s="102">
        <f t="shared" si="437"/>
        <v>13600</v>
      </c>
      <c r="CW177" s="99">
        <v>800</v>
      </c>
      <c r="CX177" s="111"/>
      <c r="CY177" s="102">
        <f t="shared" si="438"/>
        <v>14400</v>
      </c>
    </row>
    <row r="178" spans="1:103">
      <c r="A178" s="41">
        <f>VLOOKUP(B178,справочник!$B$2:$E$322,4,FALSE)</f>
        <v>270</v>
      </c>
      <c r="B178" t="str">
        <f t="shared" si="258"/>
        <v>283Маркова Тамара Ивановна</v>
      </c>
      <c r="C178" s="1">
        <v>283</v>
      </c>
      <c r="D178" s="2" t="s">
        <v>162</v>
      </c>
      <c r="E178" s="1" t="s">
        <v>480</v>
      </c>
      <c r="F178" s="16">
        <v>41422</v>
      </c>
      <c r="G178" s="16">
        <v>41456</v>
      </c>
      <c r="H178" s="17">
        <f t="shared" si="414"/>
        <v>30</v>
      </c>
      <c r="I178" s="1">
        <f t="shared" si="305"/>
        <v>30000</v>
      </c>
      <c r="J178" s="17">
        <v>20000</v>
      </c>
      <c r="K178" s="17"/>
      <c r="L178" s="18">
        <f t="shared" si="260"/>
        <v>10000</v>
      </c>
      <c r="M178" s="29"/>
      <c r="N178" s="29"/>
      <c r="O178" s="29"/>
      <c r="P178" s="29"/>
      <c r="Q178" s="29"/>
      <c r="R178" s="29"/>
      <c r="S178" s="29"/>
      <c r="T178">
        <v>14800</v>
      </c>
      <c r="U178" s="29"/>
      <c r="V178" s="29"/>
      <c r="W178" s="29"/>
      <c r="X178" s="29"/>
      <c r="Y178" s="18">
        <f t="shared" si="261"/>
        <v>14800</v>
      </c>
      <c r="Z178" s="96">
        <v>12</v>
      </c>
      <c r="AA178" s="96">
        <f t="shared" si="262"/>
        <v>9600</v>
      </c>
      <c r="AB178" s="96">
        <f t="shared" si="263"/>
        <v>4800</v>
      </c>
      <c r="AC178" s="99">
        <v>800</v>
      </c>
      <c r="AD178" s="110"/>
      <c r="AE178" s="102">
        <f t="shared" si="264"/>
        <v>5600</v>
      </c>
      <c r="AF178" s="99">
        <v>800</v>
      </c>
      <c r="AG178" s="110"/>
      <c r="AH178" s="102">
        <f t="shared" si="415"/>
        <v>6400</v>
      </c>
      <c r="AI178" s="99">
        <v>800</v>
      </c>
      <c r="AJ178" s="110"/>
      <c r="AK178" s="102">
        <f t="shared" si="416"/>
        <v>7200</v>
      </c>
      <c r="AL178" s="99">
        <v>800</v>
      </c>
      <c r="AM178" s="110"/>
      <c r="AN178" s="102">
        <f t="shared" si="417"/>
        <v>8000</v>
      </c>
      <c r="AO178" s="99">
        <v>800</v>
      </c>
      <c r="AP178" s="115"/>
      <c r="AQ178" s="102">
        <f t="shared" si="418"/>
        <v>8800</v>
      </c>
      <c r="AR178" s="99">
        <v>800</v>
      </c>
      <c r="AS178" s="115">
        <v>8800</v>
      </c>
      <c r="AT178" s="102">
        <f t="shared" si="419"/>
        <v>800</v>
      </c>
      <c r="AU178" s="99">
        <v>800</v>
      </c>
      <c r="AV178" s="115"/>
      <c r="AW178" s="102">
        <f t="shared" si="420"/>
        <v>1600</v>
      </c>
      <c r="AX178" s="99">
        <v>800</v>
      </c>
      <c r="AY178" s="115"/>
      <c r="AZ178" s="102">
        <f t="shared" si="421"/>
        <v>2400</v>
      </c>
      <c r="BA178" s="99">
        <v>800</v>
      </c>
      <c r="BB178" s="115">
        <v>2400</v>
      </c>
      <c r="BC178" s="102">
        <f t="shared" si="422"/>
        <v>800</v>
      </c>
      <c r="BD178" s="99">
        <v>800</v>
      </c>
      <c r="BE178" s="115"/>
      <c r="BF178" s="102">
        <f t="shared" si="423"/>
        <v>1600</v>
      </c>
      <c r="BG178" s="99">
        <v>800</v>
      </c>
      <c r="BH178" s="115">
        <v>3200</v>
      </c>
      <c r="BI178" s="102">
        <f t="shared" si="424"/>
        <v>-800</v>
      </c>
      <c r="BJ178" s="99">
        <v>800</v>
      </c>
      <c r="BK178" s="115"/>
      <c r="BL178" s="102">
        <f t="shared" si="425"/>
        <v>0</v>
      </c>
      <c r="BM178" s="99">
        <v>800</v>
      </c>
      <c r="BN178" s="115">
        <v>1600</v>
      </c>
      <c r="BO178" s="102">
        <f t="shared" si="426"/>
        <v>-800</v>
      </c>
      <c r="BP178" s="99">
        <v>800</v>
      </c>
      <c r="BQ178" s="115"/>
      <c r="BR178" s="102">
        <f t="shared" si="427"/>
        <v>0</v>
      </c>
      <c r="BS178" s="99">
        <v>800</v>
      </c>
      <c r="BT178" s="115"/>
      <c r="BU178" s="102">
        <f t="shared" si="428"/>
        <v>800</v>
      </c>
      <c r="BV178" s="99">
        <v>800</v>
      </c>
      <c r="BW178" s="115">
        <v>2400</v>
      </c>
      <c r="BX178" s="102">
        <f t="shared" si="429"/>
        <v>-800</v>
      </c>
      <c r="BY178" s="99">
        <v>800</v>
      </c>
      <c r="BZ178" s="115"/>
      <c r="CA178" s="102">
        <f t="shared" si="430"/>
        <v>0</v>
      </c>
      <c r="CB178" s="99">
        <v>800</v>
      </c>
      <c r="CC178" s="115"/>
      <c r="CD178" s="102">
        <f t="shared" si="431"/>
        <v>800</v>
      </c>
      <c r="CE178" s="99">
        <v>800</v>
      </c>
      <c r="CF178" s="115"/>
      <c r="CG178" s="102">
        <f t="shared" si="432"/>
        <v>1600</v>
      </c>
      <c r="CH178" s="99">
        <v>800</v>
      </c>
      <c r="CI178" s="115">
        <v>3200</v>
      </c>
      <c r="CJ178" s="102">
        <f t="shared" si="433"/>
        <v>-800</v>
      </c>
      <c r="CK178" s="99">
        <v>800</v>
      </c>
      <c r="CL178" s="115"/>
      <c r="CM178" s="102">
        <f t="shared" si="434"/>
        <v>0</v>
      </c>
      <c r="CN178" s="99">
        <v>800</v>
      </c>
      <c r="CO178" s="115"/>
      <c r="CP178" s="102">
        <f t="shared" si="435"/>
        <v>800</v>
      </c>
      <c r="CQ178" s="99">
        <v>800</v>
      </c>
      <c r="CR178" s="115"/>
      <c r="CS178" s="102">
        <f t="shared" si="436"/>
        <v>1600</v>
      </c>
      <c r="CT178" s="99">
        <v>800</v>
      </c>
      <c r="CU178" s="115"/>
      <c r="CV178" s="102">
        <f t="shared" si="437"/>
        <v>2400</v>
      </c>
      <c r="CW178" s="99">
        <v>800</v>
      </c>
      <c r="CX178" s="115"/>
      <c r="CY178" s="102">
        <f t="shared" si="438"/>
        <v>3200</v>
      </c>
    </row>
    <row r="179" spans="1:103">
      <c r="A179" s="41">
        <f>VLOOKUP(B179,справочник!$B$2:$E$322,4,FALSE)</f>
        <v>9</v>
      </c>
      <c r="B179" t="str">
        <f t="shared" si="258"/>
        <v>9Марковнина Светлана Викторовна</v>
      </c>
      <c r="C179" s="1">
        <v>9</v>
      </c>
      <c r="D179" s="2" t="s">
        <v>163</v>
      </c>
      <c r="E179" s="1" t="s">
        <v>481</v>
      </c>
      <c r="F179" s="16">
        <v>41114</v>
      </c>
      <c r="G179" s="16">
        <v>41122</v>
      </c>
      <c r="H179" s="17">
        <f t="shared" si="414"/>
        <v>41</v>
      </c>
      <c r="I179" s="1">
        <f t="shared" si="305"/>
        <v>41000</v>
      </c>
      <c r="J179" s="17">
        <v>18000</v>
      </c>
      <c r="K179" s="17"/>
      <c r="L179" s="18">
        <f t="shared" si="260"/>
        <v>23000</v>
      </c>
      <c r="M179" s="29"/>
      <c r="N179" s="29"/>
      <c r="O179" s="29"/>
      <c r="P179" s="29"/>
      <c r="Q179" s="29">
        <v>9000</v>
      </c>
      <c r="R179" s="29">
        <v>1600</v>
      </c>
      <c r="S179" s="29">
        <v>1000</v>
      </c>
      <c r="T179" s="29">
        <v>11000</v>
      </c>
      <c r="U179" s="29"/>
      <c r="V179" s="29">
        <v>7000</v>
      </c>
      <c r="W179" s="29"/>
      <c r="X179" s="29">
        <v>3000</v>
      </c>
      <c r="Y179" s="18">
        <f t="shared" si="261"/>
        <v>32600</v>
      </c>
      <c r="Z179" s="96">
        <v>12</v>
      </c>
      <c r="AA179" s="96">
        <f t="shared" si="262"/>
        <v>9600</v>
      </c>
      <c r="AB179" s="96">
        <f t="shared" si="263"/>
        <v>0</v>
      </c>
      <c r="AC179" s="99">
        <v>800</v>
      </c>
      <c r="AD179" s="110">
        <v>4800</v>
      </c>
      <c r="AE179" s="102">
        <f t="shared" si="264"/>
        <v>-4000</v>
      </c>
      <c r="AF179" s="99">
        <v>800</v>
      </c>
      <c r="AG179" s="110"/>
      <c r="AH179" s="102">
        <f t="shared" si="415"/>
        <v>-3200</v>
      </c>
      <c r="AI179" s="99">
        <v>800</v>
      </c>
      <c r="AJ179" s="110"/>
      <c r="AK179" s="102">
        <f t="shared" si="416"/>
        <v>-2400</v>
      </c>
      <c r="AL179" s="99">
        <v>800</v>
      </c>
      <c r="AM179" s="110"/>
      <c r="AN179" s="102">
        <f t="shared" si="417"/>
        <v>-1600</v>
      </c>
      <c r="AO179" s="99">
        <v>800</v>
      </c>
      <c r="AP179" s="115"/>
      <c r="AQ179" s="102">
        <f t="shared" si="418"/>
        <v>-800</v>
      </c>
      <c r="AR179" s="99">
        <v>800</v>
      </c>
      <c r="AS179" s="115">
        <v>4800</v>
      </c>
      <c r="AT179" s="102">
        <f t="shared" si="419"/>
        <v>-4800</v>
      </c>
      <c r="AU179" s="99">
        <v>800</v>
      </c>
      <c r="AV179" s="115"/>
      <c r="AW179" s="102">
        <f t="shared" si="420"/>
        <v>-4000</v>
      </c>
      <c r="AX179" s="99">
        <v>800</v>
      </c>
      <c r="AY179" s="115"/>
      <c r="AZ179" s="102">
        <f t="shared" si="421"/>
        <v>-3200</v>
      </c>
      <c r="BA179" s="99">
        <v>800</v>
      </c>
      <c r="BB179" s="115"/>
      <c r="BC179" s="102">
        <f t="shared" si="422"/>
        <v>-2400</v>
      </c>
      <c r="BD179" s="99">
        <v>800</v>
      </c>
      <c r="BE179" s="115">
        <v>1600</v>
      </c>
      <c r="BF179" s="102">
        <f t="shared" si="423"/>
        <v>-3200</v>
      </c>
      <c r="BG179" s="99">
        <v>800</v>
      </c>
      <c r="BH179" s="115"/>
      <c r="BI179" s="102">
        <f t="shared" si="424"/>
        <v>-2400</v>
      </c>
      <c r="BJ179" s="99">
        <v>800</v>
      </c>
      <c r="BK179" s="115">
        <v>1600</v>
      </c>
      <c r="BL179" s="102">
        <f t="shared" si="425"/>
        <v>-3200</v>
      </c>
      <c r="BM179" s="99">
        <v>800</v>
      </c>
      <c r="BN179" s="115">
        <v>1600</v>
      </c>
      <c r="BO179" s="102">
        <f t="shared" si="426"/>
        <v>-4000</v>
      </c>
      <c r="BP179" s="99">
        <v>800</v>
      </c>
      <c r="BQ179" s="115">
        <v>1600</v>
      </c>
      <c r="BR179" s="102">
        <f t="shared" si="427"/>
        <v>-4800</v>
      </c>
      <c r="BS179" s="99">
        <v>800</v>
      </c>
      <c r="BT179" s="115">
        <v>1600</v>
      </c>
      <c r="BU179" s="102">
        <f t="shared" si="428"/>
        <v>-5600</v>
      </c>
      <c r="BV179" s="99">
        <v>800</v>
      </c>
      <c r="BW179" s="115">
        <v>1600</v>
      </c>
      <c r="BX179" s="102">
        <f t="shared" si="429"/>
        <v>-6400</v>
      </c>
      <c r="BY179" s="99">
        <v>800</v>
      </c>
      <c r="BZ179" s="115"/>
      <c r="CA179" s="102">
        <f t="shared" si="430"/>
        <v>-5600</v>
      </c>
      <c r="CB179" s="99">
        <v>800</v>
      </c>
      <c r="CC179" s="115"/>
      <c r="CD179" s="102">
        <f t="shared" si="431"/>
        <v>-4800</v>
      </c>
      <c r="CE179" s="99">
        <v>800</v>
      </c>
      <c r="CF179" s="115"/>
      <c r="CG179" s="102">
        <f t="shared" si="432"/>
        <v>-4000</v>
      </c>
      <c r="CH179" s="99">
        <v>800</v>
      </c>
      <c r="CI179" s="115"/>
      <c r="CJ179" s="102">
        <f t="shared" si="433"/>
        <v>-3200</v>
      </c>
      <c r="CK179" s="99">
        <v>800</v>
      </c>
      <c r="CL179" s="115"/>
      <c r="CM179" s="102">
        <f t="shared" si="434"/>
        <v>-2400</v>
      </c>
      <c r="CN179" s="99">
        <v>800</v>
      </c>
      <c r="CO179" s="115"/>
      <c r="CP179" s="102">
        <f t="shared" si="435"/>
        <v>-1600</v>
      </c>
      <c r="CQ179" s="99">
        <v>800</v>
      </c>
      <c r="CR179" s="115">
        <v>1600</v>
      </c>
      <c r="CS179" s="102">
        <f t="shared" si="436"/>
        <v>-2400</v>
      </c>
      <c r="CT179" s="99">
        <v>800</v>
      </c>
      <c r="CU179" s="115">
        <v>1600</v>
      </c>
      <c r="CV179" s="102">
        <f t="shared" si="437"/>
        <v>-3200</v>
      </c>
      <c r="CW179" s="99">
        <v>800</v>
      </c>
      <c r="CX179" s="115">
        <v>1600</v>
      </c>
      <c r="CY179" s="102">
        <f t="shared" si="438"/>
        <v>-4000</v>
      </c>
    </row>
    <row r="180" spans="1:103">
      <c r="A180" s="41">
        <f>VLOOKUP(B180,справочник!$B$2:$E$322,4,FALSE)</f>
        <v>129</v>
      </c>
      <c r="B180" t="str">
        <f t="shared" si="258"/>
        <v>136Маслов Александр Александрович</v>
      </c>
      <c r="C180" s="1">
        <v>136</v>
      </c>
      <c r="D180" s="2" t="s">
        <v>164</v>
      </c>
      <c r="E180" s="1" t="s">
        <v>482</v>
      </c>
      <c r="F180" s="16">
        <v>41352</v>
      </c>
      <c r="G180" s="16">
        <v>41365</v>
      </c>
      <c r="H180" s="17">
        <f t="shared" si="414"/>
        <v>33</v>
      </c>
      <c r="I180" s="1">
        <f t="shared" si="305"/>
        <v>33000</v>
      </c>
      <c r="J180" s="17">
        <v>31000</v>
      </c>
      <c r="K180" s="17"/>
      <c r="L180" s="18">
        <f t="shared" si="260"/>
        <v>2000</v>
      </c>
      <c r="M180" s="29"/>
      <c r="N180" s="29">
        <v>3000</v>
      </c>
      <c r="O180" s="29"/>
      <c r="P180" s="29">
        <v>3000</v>
      </c>
      <c r="Q180" s="29"/>
      <c r="R180" s="29"/>
      <c r="S180" s="29">
        <v>3000</v>
      </c>
      <c r="T180" s="29"/>
      <c r="U180" s="29"/>
      <c r="V180" s="29"/>
      <c r="W180" s="29"/>
      <c r="X180" s="29"/>
      <c r="Y180" s="18">
        <f t="shared" si="261"/>
        <v>9000</v>
      </c>
      <c r="Z180" s="96">
        <v>12</v>
      </c>
      <c r="AA180" s="96">
        <f t="shared" si="262"/>
        <v>9600</v>
      </c>
      <c r="AB180" s="96">
        <f t="shared" si="263"/>
        <v>2600</v>
      </c>
      <c r="AC180" s="99">
        <v>800</v>
      </c>
      <c r="AD180" s="98"/>
      <c r="AE180" s="102">
        <f t="shared" si="264"/>
        <v>3400</v>
      </c>
      <c r="AF180" s="99">
        <v>800</v>
      </c>
      <c r="AG180" s="98">
        <v>3000</v>
      </c>
      <c r="AH180" s="102">
        <f t="shared" si="415"/>
        <v>1200</v>
      </c>
      <c r="AI180" s="99">
        <v>800</v>
      </c>
      <c r="AJ180" s="98"/>
      <c r="AK180" s="102">
        <f t="shared" si="416"/>
        <v>2000</v>
      </c>
      <c r="AL180" s="99">
        <v>800</v>
      </c>
      <c r="AM180" s="98"/>
      <c r="AN180" s="102">
        <f t="shared" si="417"/>
        <v>2800</v>
      </c>
      <c r="AO180" s="99">
        <v>800</v>
      </c>
      <c r="AP180" s="113">
        <v>5000</v>
      </c>
      <c r="AQ180" s="102">
        <f t="shared" si="418"/>
        <v>-1400</v>
      </c>
      <c r="AR180" s="99">
        <v>800</v>
      </c>
      <c r="AS180" s="113"/>
      <c r="AT180" s="102">
        <f t="shared" si="419"/>
        <v>-600</v>
      </c>
      <c r="AU180" s="99">
        <v>800</v>
      </c>
      <c r="AV180" s="113"/>
      <c r="AW180" s="102">
        <f t="shared" si="420"/>
        <v>200</v>
      </c>
      <c r="AX180" s="99">
        <v>800</v>
      </c>
      <c r="AY180" s="113"/>
      <c r="AZ180" s="102">
        <f t="shared" si="421"/>
        <v>1000</v>
      </c>
      <c r="BA180" s="99">
        <v>800</v>
      </c>
      <c r="BB180" s="113"/>
      <c r="BC180" s="102">
        <f t="shared" si="422"/>
        <v>1800</v>
      </c>
      <c r="BD180" s="99">
        <v>800</v>
      </c>
      <c r="BE180" s="113">
        <v>4200</v>
      </c>
      <c r="BF180" s="102">
        <f t="shared" si="423"/>
        <v>-1600</v>
      </c>
      <c r="BG180" s="99">
        <v>800</v>
      </c>
      <c r="BH180" s="113"/>
      <c r="BI180" s="102">
        <f t="shared" si="424"/>
        <v>-800</v>
      </c>
      <c r="BJ180" s="99">
        <v>800</v>
      </c>
      <c r="BK180" s="113"/>
      <c r="BL180" s="102">
        <f t="shared" si="425"/>
        <v>0</v>
      </c>
      <c r="BM180" s="99">
        <v>800</v>
      </c>
      <c r="BN180" s="113"/>
      <c r="BO180" s="102">
        <f t="shared" si="426"/>
        <v>800</v>
      </c>
      <c r="BP180" s="99">
        <v>800</v>
      </c>
      <c r="BQ180" s="113"/>
      <c r="BR180" s="102">
        <f t="shared" si="427"/>
        <v>1600</v>
      </c>
      <c r="BS180" s="99">
        <v>800</v>
      </c>
      <c r="BT180" s="113"/>
      <c r="BU180" s="102">
        <f t="shared" si="428"/>
        <v>2400</v>
      </c>
      <c r="BV180" s="99">
        <v>800</v>
      </c>
      <c r="BW180" s="113">
        <v>4000</v>
      </c>
      <c r="BX180" s="102">
        <f t="shared" si="429"/>
        <v>-800</v>
      </c>
      <c r="BY180" s="99">
        <v>800</v>
      </c>
      <c r="BZ180" s="113"/>
      <c r="CA180" s="102">
        <f t="shared" si="430"/>
        <v>0</v>
      </c>
      <c r="CB180" s="99">
        <v>800</v>
      </c>
      <c r="CC180" s="113"/>
      <c r="CD180" s="102">
        <f t="shared" si="431"/>
        <v>800</v>
      </c>
      <c r="CE180" s="99">
        <v>800</v>
      </c>
      <c r="CF180" s="113"/>
      <c r="CG180" s="102">
        <f t="shared" si="432"/>
        <v>1600</v>
      </c>
      <c r="CH180" s="99">
        <v>800</v>
      </c>
      <c r="CI180" s="113">
        <v>2400</v>
      </c>
      <c r="CJ180" s="102">
        <f t="shared" si="433"/>
        <v>0</v>
      </c>
      <c r="CK180" s="99">
        <v>800</v>
      </c>
      <c r="CL180" s="113"/>
      <c r="CM180" s="102">
        <f t="shared" si="434"/>
        <v>800</v>
      </c>
      <c r="CN180" s="99">
        <v>800</v>
      </c>
      <c r="CO180" s="113">
        <v>2350</v>
      </c>
      <c r="CP180" s="102">
        <f t="shared" si="435"/>
        <v>-750</v>
      </c>
      <c r="CQ180" s="99">
        <v>800</v>
      </c>
      <c r="CR180" s="113"/>
      <c r="CS180" s="102">
        <f t="shared" si="436"/>
        <v>50</v>
      </c>
      <c r="CT180" s="99">
        <v>800</v>
      </c>
      <c r="CU180" s="113"/>
      <c r="CV180" s="102">
        <f t="shared" si="437"/>
        <v>850</v>
      </c>
      <c r="CW180" s="99">
        <v>800</v>
      </c>
      <c r="CX180" s="113"/>
      <c r="CY180" s="102">
        <f t="shared" si="438"/>
        <v>1650</v>
      </c>
    </row>
    <row r="181" spans="1:103" ht="24">
      <c r="A181" s="41">
        <f>VLOOKUP(B181,справочник!$B$2:$E$322,4,FALSE)</f>
        <v>42</v>
      </c>
      <c r="B181" t="str">
        <f t="shared" si="258"/>
        <v>42Маслов Андрей Геннадьевич (1/2)                 Щербакова Надежда Михайловна (1/2)</v>
      </c>
      <c r="C181" s="1">
        <v>42</v>
      </c>
      <c r="D181" s="2" t="s">
        <v>165</v>
      </c>
      <c r="E181" s="1" t="s">
        <v>483</v>
      </c>
      <c r="F181" s="16">
        <v>40785</v>
      </c>
      <c r="G181" s="16">
        <v>40787</v>
      </c>
      <c r="H181" s="17">
        <f t="shared" si="414"/>
        <v>52</v>
      </c>
      <c r="I181" s="1">
        <f t="shared" si="305"/>
        <v>52000</v>
      </c>
      <c r="J181" s="17">
        <f>19500+500+4500+23500</f>
        <v>48000</v>
      </c>
      <c r="K181" s="17"/>
      <c r="L181" s="18">
        <f t="shared" si="260"/>
        <v>4000</v>
      </c>
      <c r="M181" s="29">
        <v>5000</v>
      </c>
      <c r="N181" s="29">
        <v>1400</v>
      </c>
      <c r="O181" s="29"/>
      <c r="P181" s="29">
        <v>1600</v>
      </c>
      <c r="Q181" s="29"/>
      <c r="R181" s="29">
        <v>1600</v>
      </c>
      <c r="S181" s="29"/>
      <c r="T181" s="29"/>
      <c r="U181" s="29"/>
      <c r="V181" s="29">
        <v>2400</v>
      </c>
      <c r="W181" s="29"/>
      <c r="X181" s="29">
        <v>1600</v>
      </c>
      <c r="Y181" s="18">
        <f t="shared" si="261"/>
        <v>13600</v>
      </c>
      <c r="Z181" s="96">
        <v>12</v>
      </c>
      <c r="AA181" s="96">
        <f t="shared" si="262"/>
        <v>9600</v>
      </c>
      <c r="AB181" s="96">
        <f t="shared" si="263"/>
        <v>0</v>
      </c>
      <c r="AC181" s="99">
        <v>800</v>
      </c>
      <c r="AD181" s="98"/>
      <c r="AE181" s="102">
        <f t="shared" si="264"/>
        <v>800</v>
      </c>
      <c r="AF181" s="99">
        <v>800</v>
      </c>
      <c r="AG181" s="98">
        <v>800</v>
      </c>
      <c r="AH181" s="102">
        <f t="shared" si="415"/>
        <v>800</v>
      </c>
      <c r="AI181" s="99">
        <v>800</v>
      </c>
      <c r="AJ181" s="98">
        <v>800</v>
      </c>
      <c r="AK181" s="102">
        <f t="shared" si="416"/>
        <v>800</v>
      </c>
      <c r="AL181" s="99">
        <v>800</v>
      </c>
      <c r="AM181" s="98"/>
      <c r="AN181" s="102">
        <f t="shared" si="417"/>
        <v>1600</v>
      </c>
      <c r="AO181" s="99">
        <v>800</v>
      </c>
      <c r="AP181" s="113">
        <v>2400</v>
      </c>
      <c r="AQ181" s="102">
        <f t="shared" si="418"/>
        <v>0</v>
      </c>
      <c r="AR181" s="99">
        <v>800</v>
      </c>
      <c r="AS181" s="113">
        <v>800</v>
      </c>
      <c r="AT181" s="102">
        <f t="shared" si="419"/>
        <v>0</v>
      </c>
      <c r="AU181" s="99">
        <v>800</v>
      </c>
      <c r="AV181" s="113">
        <v>800</v>
      </c>
      <c r="AW181" s="102">
        <f t="shared" si="420"/>
        <v>0</v>
      </c>
      <c r="AX181" s="99">
        <v>800</v>
      </c>
      <c r="AY181" s="113">
        <v>800</v>
      </c>
      <c r="AZ181" s="102">
        <f t="shared" si="421"/>
        <v>0</v>
      </c>
      <c r="BA181" s="99">
        <v>800</v>
      </c>
      <c r="BB181" s="113"/>
      <c r="BC181" s="102">
        <f t="shared" si="422"/>
        <v>800</v>
      </c>
      <c r="BD181" s="99">
        <v>800</v>
      </c>
      <c r="BE181" s="113">
        <v>1600</v>
      </c>
      <c r="BF181" s="102">
        <f t="shared" si="423"/>
        <v>0</v>
      </c>
      <c r="BG181" s="99">
        <v>800</v>
      </c>
      <c r="BH181" s="113">
        <v>800</v>
      </c>
      <c r="BI181" s="102">
        <f t="shared" si="424"/>
        <v>0</v>
      </c>
      <c r="BJ181" s="99">
        <v>800</v>
      </c>
      <c r="BK181" s="113">
        <v>800</v>
      </c>
      <c r="BL181" s="102">
        <f t="shared" si="425"/>
        <v>0</v>
      </c>
      <c r="BM181" s="99">
        <v>800</v>
      </c>
      <c r="BN181" s="113">
        <v>800</v>
      </c>
      <c r="BO181" s="102">
        <f t="shared" si="426"/>
        <v>0</v>
      </c>
      <c r="BP181" s="99">
        <v>800</v>
      </c>
      <c r="BQ181" s="113">
        <v>800</v>
      </c>
      <c r="BR181" s="102">
        <f t="shared" si="427"/>
        <v>0</v>
      </c>
      <c r="BS181" s="99">
        <v>800</v>
      </c>
      <c r="BT181" s="113">
        <v>800</v>
      </c>
      <c r="BU181" s="102">
        <f t="shared" si="428"/>
        <v>0</v>
      </c>
      <c r="BV181" s="99">
        <v>800</v>
      </c>
      <c r="BW181" s="113">
        <v>1600</v>
      </c>
      <c r="BX181" s="102">
        <f t="shared" si="429"/>
        <v>-800</v>
      </c>
      <c r="BY181" s="99">
        <v>800</v>
      </c>
      <c r="BZ181" s="113"/>
      <c r="CA181" s="102">
        <f t="shared" si="430"/>
        <v>0</v>
      </c>
      <c r="CB181" s="99">
        <v>800</v>
      </c>
      <c r="CC181" s="113"/>
      <c r="CD181" s="102">
        <f t="shared" si="431"/>
        <v>800</v>
      </c>
      <c r="CE181" s="99">
        <v>800</v>
      </c>
      <c r="CF181" s="113">
        <v>1600</v>
      </c>
      <c r="CG181" s="102">
        <f t="shared" si="432"/>
        <v>0</v>
      </c>
      <c r="CH181" s="99">
        <v>800</v>
      </c>
      <c r="CI181" s="113"/>
      <c r="CJ181" s="102">
        <f t="shared" si="433"/>
        <v>800</v>
      </c>
      <c r="CK181" s="99">
        <v>800</v>
      </c>
      <c r="CL181" s="113">
        <v>1600</v>
      </c>
      <c r="CM181" s="102">
        <f t="shared" si="434"/>
        <v>0</v>
      </c>
      <c r="CN181" s="99">
        <v>800</v>
      </c>
      <c r="CO181" s="113"/>
      <c r="CP181" s="102">
        <f t="shared" si="435"/>
        <v>800</v>
      </c>
      <c r="CQ181" s="99">
        <v>800</v>
      </c>
      <c r="CR181" s="113">
        <v>800</v>
      </c>
      <c r="CS181" s="102">
        <f t="shared" si="436"/>
        <v>800</v>
      </c>
      <c r="CT181" s="99">
        <v>800</v>
      </c>
      <c r="CU181" s="113">
        <v>1600</v>
      </c>
      <c r="CV181" s="102">
        <f t="shared" si="437"/>
        <v>0</v>
      </c>
      <c r="CW181" s="99">
        <v>800</v>
      </c>
      <c r="CX181" s="113"/>
      <c r="CY181" s="102">
        <f t="shared" si="438"/>
        <v>800</v>
      </c>
    </row>
    <row r="182" spans="1:103" s="80" customFormat="1">
      <c r="A182" s="103">
        <f>VLOOKUP(B182,справочник!$B$2:$E$322,4,FALSE)</f>
        <v>96</v>
      </c>
      <c r="B182" s="80" t="str">
        <f t="shared" si="258"/>
        <v>101Маслова Валентина Петровна</v>
      </c>
      <c r="C182" s="5">
        <v>101</v>
      </c>
      <c r="D182" s="7" t="s">
        <v>166</v>
      </c>
      <c r="E182" s="5" t="s">
        <v>484</v>
      </c>
      <c r="F182" s="19">
        <v>40708</v>
      </c>
      <c r="G182" s="19">
        <v>40725</v>
      </c>
      <c r="H182" s="20">
        <v>32</v>
      </c>
      <c r="I182" s="5">
        <f>H182*1000</f>
        <v>32000</v>
      </c>
      <c r="J182" s="20">
        <v>41012</v>
      </c>
      <c r="K182" s="20"/>
      <c r="L182" s="21">
        <f t="shared" si="260"/>
        <v>-9012</v>
      </c>
      <c r="M182" s="109">
        <v>9000</v>
      </c>
      <c r="N182" s="109"/>
      <c r="O182" s="109"/>
      <c r="P182" s="109">
        <v>2000</v>
      </c>
      <c r="Q182" s="109"/>
      <c r="R182" s="109">
        <v>2000</v>
      </c>
      <c r="S182" s="109"/>
      <c r="T182" s="80">
        <v>2000</v>
      </c>
      <c r="U182" s="109"/>
      <c r="V182" s="109">
        <v>2000</v>
      </c>
      <c r="W182" s="109"/>
      <c r="X182" s="109">
        <v>2000</v>
      </c>
      <c r="Y182" s="21">
        <f t="shared" si="261"/>
        <v>19000</v>
      </c>
      <c r="Z182" s="104">
        <v>12</v>
      </c>
      <c r="AA182" s="104">
        <f t="shared" si="262"/>
        <v>9600</v>
      </c>
      <c r="AB182" s="104">
        <f t="shared" si="263"/>
        <v>-18412</v>
      </c>
      <c r="AC182" s="104">
        <v>800</v>
      </c>
      <c r="AD182" s="105"/>
      <c r="AE182" s="227">
        <f>SUM(AB182:AB183)+SUM(AC182:AC183)-SUM(AD182:AD183)</f>
        <v>-9612</v>
      </c>
      <c r="AF182" s="104">
        <v>800</v>
      </c>
      <c r="AG182" s="105">
        <v>2000</v>
      </c>
      <c r="AH182" s="227">
        <f>SUM(AE182:AE183)+SUM(AF182:AF183)-SUM(AG182:AG183)</f>
        <v>-10812</v>
      </c>
      <c r="AI182" s="104">
        <v>800</v>
      </c>
      <c r="AJ182" s="105"/>
      <c r="AK182" s="227">
        <f>SUM(AH182:AH183)+SUM(AI182:AI183)-SUM(AJ182:AJ183)</f>
        <v>-10012</v>
      </c>
      <c r="AL182" s="104">
        <v>800</v>
      </c>
      <c r="AM182" s="105"/>
      <c r="AN182" s="227">
        <f>SUM(AK182:AK183)+SUM(AL182:AL183)-SUM(AM182:AM183)</f>
        <v>-9212</v>
      </c>
      <c r="AO182" s="104">
        <v>800</v>
      </c>
      <c r="AP182" s="105">
        <v>3000</v>
      </c>
      <c r="AQ182" s="227">
        <f>SUM(AN182:AN183)+SUM(AO182:AO183)-SUM(AP182:AP183)</f>
        <v>-11412</v>
      </c>
      <c r="AR182" s="104">
        <v>800</v>
      </c>
      <c r="AS182" s="105"/>
      <c r="AT182" s="227">
        <f>SUM(AQ182:AQ183)+SUM(AR182:AR183)-SUM(AS182:AS183)</f>
        <v>-10612</v>
      </c>
      <c r="AU182" s="104">
        <v>800</v>
      </c>
      <c r="AV182" s="105"/>
      <c r="AW182" s="212">
        <f>SUM(AT182:AT183)+SUM(AU182:AU183)-SUM(AV182:AV183)</f>
        <v>-9812</v>
      </c>
      <c r="AX182" s="104">
        <v>800</v>
      </c>
      <c r="AY182" s="105">
        <v>2400</v>
      </c>
      <c r="AZ182" s="212">
        <f>SUM(AW182:AW183)+SUM(AX182:AX183)-SUM(AY182:AY183)</f>
        <v>-11412</v>
      </c>
      <c r="BA182" s="104">
        <v>800</v>
      </c>
      <c r="BB182" s="105"/>
      <c r="BC182" s="212">
        <f>SUM(AZ182:AZ183)+SUM(BA182:BA183)-SUM(BB182:BB183)</f>
        <v>-10612</v>
      </c>
      <c r="BD182" s="104">
        <v>800</v>
      </c>
      <c r="BE182" s="105"/>
      <c r="BF182" s="212">
        <f>SUM(BC182:BC183)+SUM(BD182:BD183)-SUM(BE182:BE183)</f>
        <v>-9812</v>
      </c>
      <c r="BG182" s="104">
        <v>800</v>
      </c>
      <c r="BH182" s="105"/>
      <c r="BI182" s="212">
        <f>SUM(BF182:BF183)+SUM(BG182:BG183)-SUM(BH182:BH183)</f>
        <v>-9012</v>
      </c>
      <c r="BJ182" s="104">
        <v>800</v>
      </c>
      <c r="BK182" s="105"/>
      <c r="BL182" s="212">
        <f>SUM(BI182:BI183)+SUM(BJ182:BJ183)-SUM(BK182:BK183)</f>
        <v>-8212</v>
      </c>
      <c r="BM182" s="104">
        <v>800</v>
      </c>
      <c r="BN182" s="105"/>
      <c r="BO182" s="212">
        <f>SUM(BL182:BL183)+SUM(BM182:BM183)-SUM(BN182:BN183)</f>
        <v>-7412</v>
      </c>
      <c r="BP182" s="104">
        <v>800</v>
      </c>
      <c r="BQ182" s="105"/>
      <c r="BR182" s="212">
        <f>SUM(BO182:BO183)+SUM(BP182:BP183)-SUM(BQ182:BQ183)</f>
        <v>-6612</v>
      </c>
      <c r="BS182" s="104">
        <v>800</v>
      </c>
      <c r="BT182" s="105"/>
      <c r="BU182" s="212">
        <f>SUM(BR182:BR183)+SUM(BS182:BS183)-SUM(BT182:BT183)</f>
        <v>-5812</v>
      </c>
      <c r="BV182" s="104">
        <v>800</v>
      </c>
      <c r="BW182" s="105"/>
      <c r="BX182" s="212">
        <f>SUM(BU182:BU183)+SUM(BV182:BV183)-SUM(BW182:BW183)</f>
        <v>-5012</v>
      </c>
      <c r="BY182" s="104">
        <v>800</v>
      </c>
      <c r="BZ182" s="105"/>
      <c r="CA182" s="212">
        <f>SUM(BX182:BX183)+SUM(BY182:BY183)-SUM(BZ182:BZ183)</f>
        <v>-4212</v>
      </c>
      <c r="CB182" s="104">
        <v>800</v>
      </c>
      <c r="CC182" s="105"/>
      <c r="CD182" s="212">
        <f>SUM(CA182:CA183)+SUM(CB182:CB183)-SUM(CC182:CC183)</f>
        <v>-3412</v>
      </c>
      <c r="CE182" s="104">
        <v>800</v>
      </c>
      <c r="CF182" s="105"/>
      <c r="CG182" s="212">
        <f>SUM(CD182:CD183)+SUM(CE182:CE183)-SUM(CF182:CF183)</f>
        <v>-2612</v>
      </c>
      <c r="CH182" s="104">
        <v>800</v>
      </c>
      <c r="CI182" s="105"/>
      <c r="CJ182" s="212">
        <f>SUM(CG182:CG183)+SUM(CH182:CH183)-SUM(CI182:CI183)</f>
        <v>-1812</v>
      </c>
      <c r="CK182" s="104">
        <v>800</v>
      </c>
      <c r="CL182" s="105"/>
      <c r="CM182" s="212">
        <f>SUM(CJ182:CJ183)+SUM(CK182:CK183)-SUM(CL182:CL183)</f>
        <v>-1012</v>
      </c>
      <c r="CN182" s="104">
        <v>800</v>
      </c>
      <c r="CO182" s="105"/>
      <c r="CP182" s="212">
        <f>SUM(CM182:CM183)+SUM(CN182:CN183)-SUM(CO182:CO183)</f>
        <v>-212</v>
      </c>
      <c r="CQ182" s="104">
        <v>800</v>
      </c>
      <c r="CR182" s="105"/>
      <c r="CS182" s="212">
        <f>CP182+CQ182-CR182</f>
        <v>588</v>
      </c>
      <c r="CT182" s="104">
        <v>800</v>
      </c>
      <c r="CU182" s="105"/>
      <c r="CV182" s="212">
        <f>CS182+CT182-CU182</f>
        <v>1388</v>
      </c>
      <c r="CW182" s="104">
        <v>800</v>
      </c>
      <c r="CX182" s="105"/>
      <c r="CY182" s="212">
        <f>CV182+CW182-CX182</f>
        <v>2188</v>
      </c>
    </row>
    <row r="183" spans="1:103" s="80" customFormat="1">
      <c r="A183" s="103">
        <f>VLOOKUP(B183,справочник!$B$2:$E$322,4,FALSE)</f>
        <v>96</v>
      </c>
      <c r="B183" s="80" t="str">
        <f t="shared" si="258"/>
        <v>102Маслова Валентина Петровна</v>
      </c>
      <c r="C183" s="5">
        <v>102</v>
      </c>
      <c r="D183" s="7" t="s">
        <v>166</v>
      </c>
      <c r="E183" s="5"/>
      <c r="F183" s="19">
        <v>40708</v>
      </c>
      <c r="G183" s="19">
        <v>40725</v>
      </c>
      <c r="H183" s="20">
        <v>49</v>
      </c>
      <c r="I183" s="5">
        <f t="shared" si="305"/>
        <v>49000</v>
      </c>
      <c r="J183" s="20">
        <v>41000</v>
      </c>
      <c r="K183" s="20"/>
      <c r="L183" s="21">
        <f t="shared" si="260"/>
        <v>8000</v>
      </c>
      <c r="M183" s="109"/>
      <c r="N183" s="109"/>
      <c r="O183" s="109"/>
      <c r="P183" s="109"/>
      <c r="Q183" s="109"/>
      <c r="R183" s="109"/>
      <c r="S183" s="109"/>
      <c r="T183" s="109"/>
      <c r="U183" s="109"/>
      <c r="V183" s="109"/>
      <c r="W183" s="109"/>
      <c r="X183" s="109"/>
      <c r="Y183" s="21">
        <f t="shared" si="261"/>
        <v>0</v>
      </c>
      <c r="Z183" s="104">
        <v>0</v>
      </c>
      <c r="AA183" s="104">
        <f t="shared" si="262"/>
        <v>0</v>
      </c>
      <c r="AB183" s="104">
        <f t="shared" si="263"/>
        <v>8000</v>
      </c>
      <c r="AC183" s="104">
        <v>0</v>
      </c>
      <c r="AD183" s="105"/>
      <c r="AE183" s="228"/>
      <c r="AF183" s="104">
        <v>0</v>
      </c>
      <c r="AG183" s="105"/>
      <c r="AH183" s="228"/>
      <c r="AI183" s="104">
        <v>0</v>
      </c>
      <c r="AJ183" s="105"/>
      <c r="AK183" s="228"/>
      <c r="AL183" s="104">
        <v>0</v>
      </c>
      <c r="AM183" s="105"/>
      <c r="AN183" s="228"/>
      <c r="AO183" s="104">
        <v>0</v>
      </c>
      <c r="AP183" s="105"/>
      <c r="AQ183" s="228"/>
      <c r="AR183" s="104">
        <v>0</v>
      </c>
      <c r="AS183" s="105"/>
      <c r="AT183" s="228"/>
      <c r="AU183" s="104">
        <v>0</v>
      </c>
      <c r="AV183" s="105"/>
      <c r="AW183" s="214"/>
      <c r="AX183" s="104">
        <v>0</v>
      </c>
      <c r="AY183" s="105"/>
      <c r="AZ183" s="214"/>
      <c r="BA183" s="104">
        <v>0</v>
      </c>
      <c r="BB183" s="105"/>
      <c r="BC183" s="214"/>
      <c r="BD183" s="104">
        <v>0</v>
      </c>
      <c r="BE183" s="105"/>
      <c r="BF183" s="214"/>
      <c r="BG183" s="104">
        <v>0</v>
      </c>
      <c r="BH183" s="105"/>
      <c r="BI183" s="214"/>
      <c r="BJ183" s="104">
        <v>0</v>
      </c>
      <c r="BK183" s="105"/>
      <c r="BL183" s="214"/>
      <c r="BM183" s="104">
        <v>0</v>
      </c>
      <c r="BN183" s="105"/>
      <c r="BO183" s="214"/>
      <c r="BP183" s="104">
        <v>0</v>
      </c>
      <c r="BQ183" s="105"/>
      <c r="BR183" s="214"/>
      <c r="BS183" s="104">
        <v>0</v>
      </c>
      <c r="BT183" s="105"/>
      <c r="BU183" s="214"/>
      <c r="BV183" s="104">
        <v>0</v>
      </c>
      <c r="BW183" s="105"/>
      <c r="BX183" s="214"/>
      <c r="BY183" s="104">
        <v>0</v>
      </c>
      <c r="BZ183" s="105"/>
      <c r="CA183" s="214"/>
      <c r="CB183" s="104">
        <v>0</v>
      </c>
      <c r="CC183" s="105"/>
      <c r="CD183" s="214"/>
      <c r="CE183" s="104">
        <v>0</v>
      </c>
      <c r="CF183" s="105"/>
      <c r="CG183" s="214"/>
      <c r="CH183" s="104">
        <v>0</v>
      </c>
      <c r="CI183" s="105"/>
      <c r="CJ183" s="214"/>
      <c r="CK183" s="104">
        <v>0</v>
      </c>
      <c r="CL183" s="105"/>
      <c r="CM183" s="214"/>
      <c r="CN183" s="104">
        <v>0</v>
      </c>
      <c r="CO183" s="105"/>
      <c r="CP183" s="214"/>
      <c r="CQ183" s="104">
        <v>0</v>
      </c>
      <c r="CR183" s="105"/>
      <c r="CS183" s="214"/>
      <c r="CT183" s="104">
        <v>0</v>
      </c>
      <c r="CU183" s="105"/>
      <c r="CV183" s="214"/>
      <c r="CW183" s="104">
        <v>0</v>
      </c>
      <c r="CX183" s="105"/>
      <c r="CY183" s="214"/>
    </row>
    <row r="184" spans="1:103">
      <c r="A184" s="41">
        <f>VLOOKUP(B184,справочник!$B$2:$E$322,4,FALSE)</f>
        <v>292</v>
      </c>
      <c r="B184" t="str">
        <f t="shared" si="258"/>
        <v>305Матвеев Денис Львович</v>
      </c>
      <c r="C184" s="1">
        <v>305</v>
      </c>
      <c r="D184" s="2" t="s">
        <v>167</v>
      </c>
      <c r="E184" s="1" t="s">
        <v>485</v>
      </c>
      <c r="F184" s="16">
        <v>42018</v>
      </c>
      <c r="G184" s="16">
        <v>42036</v>
      </c>
      <c r="H184" s="17">
        <f>INT(($H$326-G184)/30)</f>
        <v>11</v>
      </c>
      <c r="I184" s="1">
        <f t="shared" si="305"/>
        <v>11000</v>
      </c>
      <c r="J184" s="17"/>
      <c r="K184" s="17"/>
      <c r="L184" s="18">
        <f t="shared" si="260"/>
        <v>11000</v>
      </c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18">
        <f t="shared" si="261"/>
        <v>0</v>
      </c>
      <c r="Z184" s="96">
        <v>12</v>
      </c>
      <c r="AA184" s="96">
        <f t="shared" si="262"/>
        <v>9600</v>
      </c>
      <c r="AB184" s="96">
        <f t="shared" si="263"/>
        <v>20600</v>
      </c>
      <c r="AC184" s="99">
        <v>800</v>
      </c>
      <c r="AD184" s="98"/>
      <c r="AE184" s="102">
        <f t="shared" si="264"/>
        <v>21400</v>
      </c>
      <c r="AF184" s="99">
        <v>800</v>
      </c>
      <c r="AG184" s="98"/>
      <c r="AH184" s="102">
        <f t="shared" ref="AH184:AH195" si="439">AE184+AF184-AG184</f>
        <v>22200</v>
      </c>
      <c r="AI184" s="99">
        <v>800</v>
      </c>
      <c r="AJ184" s="98"/>
      <c r="AK184" s="102">
        <f t="shared" ref="AK184:AK195" si="440">AH184+AI184-AJ184</f>
        <v>23000</v>
      </c>
      <c r="AL184" s="99">
        <v>800</v>
      </c>
      <c r="AM184" s="98"/>
      <c r="AN184" s="102">
        <f t="shared" ref="AN184:AN195" si="441">AK184+AL184-AM184</f>
        <v>23800</v>
      </c>
      <c r="AO184" s="99">
        <v>800</v>
      </c>
      <c r="AP184" s="113"/>
      <c r="AQ184" s="102">
        <f t="shared" ref="AQ184:AQ195" si="442">AN184+AO184-AP184</f>
        <v>24600</v>
      </c>
      <c r="AR184" s="99">
        <v>800</v>
      </c>
      <c r="AS184" s="113"/>
      <c r="AT184" s="102">
        <f t="shared" ref="AT184:AT195" si="443">AQ184+AR184-AS184</f>
        <v>25400</v>
      </c>
      <c r="AU184" s="99">
        <v>800</v>
      </c>
      <c r="AV184" s="113"/>
      <c r="AW184" s="102">
        <f t="shared" ref="AW184:AW195" si="444">AT184+AU184-AV184</f>
        <v>26200</v>
      </c>
      <c r="AX184" s="99">
        <v>800</v>
      </c>
      <c r="AY184" s="113"/>
      <c r="AZ184" s="102">
        <f t="shared" ref="AZ184:AZ195" si="445">AW184+AX184-AY184</f>
        <v>27000</v>
      </c>
      <c r="BA184" s="99">
        <v>800</v>
      </c>
      <c r="BB184" s="113"/>
      <c r="BC184" s="102">
        <f t="shared" ref="BC184:BC195" si="446">AZ184+BA184-BB184</f>
        <v>27800</v>
      </c>
      <c r="BD184" s="99">
        <v>800</v>
      </c>
      <c r="BE184" s="113"/>
      <c r="BF184" s="102">
        <f t="shared" ref="BF184:BF195" si="447">BC184+BD184-BE184</f>
        <v>28600</v>
      </c>
      <c r="BG184" s="99">
        <v>800</v>
      </c>
      <c r="BH184" s="113"/>
      <c r="BI184" s="102">
        <f t="shared" ref="BI184:BI195" si="448">BF184+BG184-BH184</f>
        <v>29400</v>
      </c>
      <c r="BJ184" s="99">
        <v>800</v>
      </c>
      <c r="BK184" s="113"/>
      <c r="BL184" s="102">
        <f t="shared" ref="BL184:BL195" si="449">BI184+BJ184-BK184</f>
        <v>30200</v>
      </c>
      <c r="BM184" s="99">
        <v>800</v>
      </c>
      <c r="BN184" s="113"/>
      <c r="BO184" s="102">
        <f t="shared" ref="BO184:BO195" si="450">BL184+BM184-BN184</f>
        <v>31000</v>
      </c>
      <c r="BP184" s="99">
        <v>800</v>
      </c>
      <c r="BQ184" s="113"/>
      <c r="BR184" s="102">
        <f t="shared" ref="BR184:BR195" si="451">BO184+BP184-BQ184</f>
        <v>31800</v>
      </c>
      <c r="BS184" s="99">
        <v>800</v>
      </c>
      <c r="BT184" s="113"/>
      <c r="BU184" s="102">
        <f t="shared" ref="BU184:BU195" si="452">BR184+BS184-BT184</f>
        <v>32600</v>
      </c>
      <c r="BV184" s="99">
        <v>800</v>
      </c>
      <c r="BW184" s="113"/>
      <c r="BX184" s="102">
        <f t="shared" ref="BX184:BX195" si="453">BU184+BV184-BW184</f>
        <v>33400</v>
      </c>
      <c r="BY184" s="99">
        <v>800</v>
      </c>
      <c r="BZ184" s="113"/>
      <c r="CA184" s="102">
        <f t="shared" ref="CA184:CA195" si="454">BX184+BY184-BZ184</f>
        <v>34200</v>
      </c>
      <c r="CB184" s="99">
        <v>800</v>
      </c>
      <c r="CC184" s="113"/>
      <c r="CD184" s="102">
        <f t="shared" ref="CD184:CD195" si="455">CA184+CB184-CC184</f>
        <v>35000</v>
      </c>
      <c r="CE184" s="99">
        <v>800</v>
      </c>
      <c r="CF184" s="113"/>
      <c r="CG184" s="102">
        <f t="shared" ref="CG184:CG195" si="456">CD184+CE184-CF184</f>
        <v>35800</v>
      </c>
      <c r="CH184" s="99">
        <v>800</v>
      </c>
      <c r="CI184" s="113"/>
      <c r="CJ184" s="102">
        <f t="shared" ref="CJ184:CJ195" si="457">CG184+CH184-CI184</f>
        <v>36600</v>
      </c>
      <c r="CK184" s="99">
        <v>800</v>
      </c>
      <c r="CL184" s="113"/>
      <c r="CM184" s="102">
        <f t="shared" ref="CM184:CM195" si="458">CJ184+CK184-CL184</f>
        <v>37400</v>
      </c>
      <c r="CN184" s="99">
        <v>800</v>
      </c>
      <c r="CO184" s="113"/>
      <c r="CP184" s="102">
        <f t="shared" ref="CP184:CP195" si="459">CM184+CN184-CO184</f>
        <v>38200</v>
      </c>
      <c r="CQ184" s="99">
        <v>800</v>
      </c>
      <c r="CR184" s="113"/>
      <c r="CS184" s="102">
        <f>CP184+CQ184-CR184</f>
        <v>39000</v>
      </c>
      <c r="CT184" s="99">
        <v>800</v>
      </c>
      <c r="CU184" s="113"/>
      <c r="CV184" s="102">
        <f>CS184+CT184-CU184</f>
        <v>39800</v>
      </c>
      <c r="CW184" s="99">
        <v>800</v>
      </c>
      <c r="CX184" s="113"/>
      <c r="CY184" s="102">
        <f>CV184+CW184-CX184</f>
        <v>40600</v>
      </c>
    </row>
    <row r="185" spans="1:103" ht="24">
      <c r="A185" s="41" t="e">
        <f>VLOOKUP(B185,справочник!$B$2:$E$322,4,FALSE)</f>
        <v>#N/A</v>
      </c>
      <c r="B185" t="str">
        <f t="shared" si="258"/>
        <v>219Мельников Михаил Вячеславович (новый собственник Суслова Анастасия Сергеевна)</v>
      </c>
      <c r="C185" s="1">
        <v>219</v>
      </c>
      <c r="D185" s="2" t="s">
        <v>820</v>
      </c>
      <c r="E185" s="1"/>
      <c r="F185" s="16">
        <v>41248</v>
      </c>
      <c r="G185" s="16">
        <v>41334</v>
      </c>
      <c r="H185" s="17">
        <v>20</v>
      </c>
      <c r="I185" s="1">
        <f t="shared" si="305"/>
        <v>20000</v>
      </c>
      <c r="J185" s="17"/>
      <c r="K185" s="17"/>
      <c r="L185" s="18">
        <f t="shared" si="260"/>
        <v>20000</v>
      </c>
      <c r="M185" s="29"/>
      <c r="N185" s="29"/>
      <c r="O185" s="29"/>
      <c r="P185" s="29"/>
      <c r="Q185" s="29">
        <v>2000</v>
      </c>
      <c r="R185" s="29">
        <v>3000</v>
      </c>
      <c r="S185" s="29"/>
      <c r="T185">
        <v>3000</v>
      </c>
      <c r="U185" s="29"/>
      <c r="V185" s="29">
        <v>3000</v>
      </c>
      <c r="W185" s="29">
        <v>2000</v>
      </c>
      <c r="X185" s="29"/>
      <c r="Y185" s="18">
        <f t="shared" si="261"/>
        <v>13000</v>
      </c>
      <c r="Z185" s="96">
        <v>12</v>
      </c>
      <c r="AA185" s="96">
        <f t="shared" si="262"/>
        <v>9600</v>
      </c>
      <c r="AB185" s="96">
        <f t="shared" si="263"/>
        <v>16600</v>
      </c>
      <c r="AC185" s="99">
        <v>800</v>
      </c>
      <c r="AD185" s="98"/>
      <c r="AE185" s="102">
        <f t="shared" si="264"/>
        <v>17400</v>
      </c>
      <c r="AF185" s="99">
        <v>800</v>
      </c>
      <c r="AG185" s="98"/>
      <c r="AH185" s="102">
        <f t="shared" si="439"/>
        <v>18200</v>
      </c>
      <c r="AI185" s="99">
        <v>800</v>
      </c>
      <c r="AJ185" s="98"/>
      <c r="AK185" s="102">
        <f t="shared" si="440"/>
        <v>19000</v>
      </c>
      <c r="AL185" s="99">
        <v>800</v>
      </c>
      <c r="AM185" s="98"/>
      <c r="AN185" s="102">
        <f t="shared" si="441"/>
        <v>19800</v>
      </c>
      <c r="AO185" s="99">
        <v>800</v>
      </c>
      <c r="AP185" s="113"/>
      <c r="AQ185" s="102">
        <f t="shared" si="442"/>
        <v>20600</v>
      </c>
      <c r="AR185" s="99">
        <v>800</v>
      </c>
      <c r="AS185" s="113"/>
      <c r="AT185" s="102">
        <f t="shared" si="443"/>
        <v>21400</v>
      </c>
      <c r="AU185" s="99">
        <v>800</v>
      </c>
      <c r="AV185" s="113"/>
      <c r="AW185" s="102">
        <f t="shared" si="444"/>
        <v>22200</v>
      </c>
      <c r="AX185" s="99">
        <v>800</v>
      </c>
      <c r="AY185" s="113"/>
      <c r="AZ185" s="102">
        <f t="shared" si="445"/>
        <v>23000</v>
      </c>
      <c r="BA185" s="99">
        <v>800</v>
      </c>
      <c r="BB185" s="113"/>
      <c r="BC185" s="102">
        <f t="shared" si="446"/>
        <v>23800</v>
      </c>
      <c r="BD185" s="99">
        <v>800</v>
      </c>
      <c r="BE185" s="113"/>
      <c r="BF185" s="102">
        <f t="shared" si="447"/>
        <v>24600</v>
      </c>
      <c r="BG185" s="99">
        <v>800</v>
      </c>
      <c r="BH185" s="113"/>
      <c r="BI185" s="102">
        <f t="shared" si="448"/>
        <v>25400</v>
      </c>
      <c r="BJ185" s="99">
        <v>800</v>
      </c>
      <c r="BK185" s="113">
        <v>2400</v>
      </c>
      <c r="BL185" s="102">
        <f t="shared" si="449"/>
        <v>23800</v>
      </c>
      <c r="BM185" s="99">
        <v>800</v>
      </c>
      <c r="BN185" s="113"/>
      <c r="BO185" s="102">
        <f t="shared" si="450"/>
        <v>24600</v>
      </c>
      <c r="BP185" s="99">
        <v>800</v>
      </c>
      <c r="BQ185" s="113">
        <v>4000</v>
      </c>
      <c r="BR185" s="102">
        <f t="shared" si="451"/>
        <v>21400</v>
      </c>
      <c r="BS185" s="99">
        <v>800</v>
      </c>
      <c r="BT185" s="113"/>
      <c r="BU185" s="102">
        <f t="shared" si="452"/>
        <v>22200</v>
      </c>
      <c r="BV185" s="99">
        <v>800</v>
      </c>
      <c r="BW185" s="113"/>
      <c r="BX185" s="102">
        <f t="shared" si="453"/>
        <v>23000</v>
      </c>
      <c r="BY185" s="99">
        <v>800</v>
      </c>
      <c r="BZ185" s="113"/>
      <c r="CA185" s="102">
        <f t="shared" si="454"/>
        <v>23800</v>
      </c>
      <c r="CB185" s="99">
        <v>800</v>
      </c>
      <c r="CC185" s="113"/>
      <c r="CD185" s="102">
        <f t="shared" si="455"/>
        <v>24600</v>
      </c>
      <c r="CE185" s="99">
        <v>800</v>
      </c>
      <c r="CF185" s="113">
        <v>2400</v>
      </c>
      <c r="CG185" s="102">
        <f t="shared" si="456"/>
        <v>23000</v>
      </c>
      <c r="CH185" s="99">
        <v>800</v>
      </c>
      <c r="CI185" s="113"/>
      <c r="CJ185" s="102">
        <f t="shared" si="457"/>
        <v>23800</v>
      </c>
      <c r="CK185" s="99">
        <v>800</v>
      </c>
      <c r="CL185" s="113"/>
      <c r="CM185" s="102">
        <f t="shared" si="458"/>
        <v>24600</v>
      </c>
      <c r="CN185" s="99">
        <v>800</v>
      </c>
      <c r="CO185" s="113"/>
      <c r="CP185" s="102">
        <f t="shared" si="459"/>
        <v>25400</v>
      </c>
      <c r="CQ185" s="99">
        <v>800</v>
      </c>
      <c r="CR185" s="113"/>
      <c r="CS185" s="102">
        <f t="shared" ref="CS185:CS195" si="460">CP185+CQ185-CR185</f>
        <v>26200</v>
      </c>
      <c r="CT185" s="99">
        <v>800</v>
      </c>
      <c r="CU185" s="113"/>
      <c r="CV185" s="102">
        <f t="shared" ref="CV185:CV195" si="461">CS185+CT185-CU185</f>
        <v>27000</v>
      </c>
      <c r="CW185" s="99">
        <v>800</v>
      </c>
      <c r="CX185" s="113"/>
      <c r="CY185" s="102">
        <f t="shared" ref="CY185:CY195" si="462">CV185+CW185-CX185</f>
        <v>27800</v>
      </c>
    </row>
    <row r="186" spans="1:103">
      <c r="A186" s="41">
        <f>VLOOKUP(B186,справочник!$B$2:$E$322,4,FALSE)</f>
        <v>257</v>
      </c>
      <c r="B186" t="str">
        <f t="shared" si="258"/>
        <v>270Месхидзе Оксана Валерьевна</v>
      </c>
      <c r="C186" s="1">
        <v>270</v>
      </c>
      <c r="D186" s="2" t="s">
        <v>169</v>
      </c>
      <c r="E186" s="1" t="s">
        <v>486</v>
      </c>
      <c r="F186" s="16">
        <v>41526</v>
      </c>
      <c r="G186" s="16">
        <v>41548</v>
      </c>
      <c r="H186" s="17">
        <f>INT(($H$326-G186)/30)</f>
        <v>27</v>
      </c>
      <c r="I186" s="1">
        <f t="shared" si="305"/>
        <v>27000</v>
      </c>
      <c r="J186" s="17">
        <v>1000</v>
      </c>
      <c r="K186" s="17"/>
      <c r="L186" s="18">
        <f t="shared" si="260"/>
        <v>26000</v>
      </c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18">
        <f t="shared" si="261"/>
        <v>0</v>
      </c>
      <c r="Z186" s="96">
        <v>12</v>
      </c>
      <c r="AA186" s="96">
        <f t="shared" si="262"/>
        <v>9600</v>
      </c>
      <c r="AB186" s="96">
        <f t="shared" si="263"/>
        <v>35600</v>
      </c>
      <c r="AC186" s="99">
        <v>800</v>
      </c>
      <c r="AD186" s="98"/>
      <c r="AE186" s="102">
        <f t="shared" si="264"/>
        <v>36400</v>
      </c>
      <c r="AF186" s="99">
        <v>800</v>
      </c>
      <c r="AG186" s="98"/>
      <c r="AH186" s="102">
        <f t="shared" si="439"/>
        <v>37200</v>
      </c>
      <c r="AI186" s="99">
        <v>800</v>
      </c>
      <c r="AJ186" s="98"/>
      <c r="AK186" s="102">
        <f t="shared" si="440"/>
        <v>38000</v>
      </c>
      <c r="AL186" s="99">
        <v>800</v>
      </c>
      <c r="AM186" s="98"/>
      <c r="AN186" s="102">
        <f t="shared" si="441"/>
        <v>38800</v>
      </c>
      <c r="AO186" s="99">
        <v>800</v>
      </c>
      <c r="AP186" s="113"/>
      <c r="AQ186" s="102">
        <f t="shared" si="442"/>
        <v>39600</v>
      </c>
      <c r="AR186" s="99">
        <v>800</v>
      </c>
      <c r="AS186" s="113"/>
      <c r="AT186" s="102">
        <f t="shared" si="443"/>
        <v>40400</v>
      </c>
      <c r="AU186" s="99">
        <v>800</v>
      </c>
      <c r="AV186" s="113"/>
      <c r="AW186" s="102">
        <f t="shared" si="444"/>
        <v>41200</v>
      </c>
      <c r="AX186" s="99">
        <v>800</v>
      </c>
      <c r="AY186" s="113"/>
      <c r="AZ186" s="102">
        <f t="shared" si="445"/>
        <v>42000</v>
      </c>
      <c r="BA186" s="99">
        <v>800</v>
      </c>
      <c r="BB186" s="113"/>
      <c r="BC186" s="102">
        <f t="shared" si="446"/>
        <v>42800</v>
      </c>
      <c r="BD186" s="99">
        <v>800</v>
      </c>
      <c r="BE186" s="113"/>
      <c r="BF186" s="102">
        <f t="shared" si="447"/>
        <v>43600</v>
      </c>
      <c r="BG186" s="99">
        <v>800</v>
      </c>
      <c r="BH186" s="113"/>
      <c r="BI186" s="102">
        <f t="shared" si="448"/>
        <v>44400</v>
      </c>
      <c r="BJ186" s="99">
        <v>800</v>
      </c>
      <c r="BK186" s="113"/>
      <c r="BL186" s="102">
        <f t="shared" si="449"/>
        <v>45200</v>
      </c>
      <c r="BM186" s="99">
        <v>800</v>
      </c>
      <c r="BN186" s="113"/>
      <c r="BO186" s="102">
        <f t="shared" si="450"/>
        <v>46000</v>
      </c>
      <c r="BP186" s="99">
        <v>800</v>
      </c>
      <c r="BQ186" s="113"/>
      <c r="BR186" s="102">
        <f t="shared" si="451"/>
        <v>46800</v>
      </c>
      <c r="BS186" s="99">
        <v>800</v>
      </c>
      <c r="BT186" s="113">
        <v>6000</v>
      </c>
      <c r="BU186" s="102">
        <f t="shared" si="452"/>
        <v>41600</v>
      </c>
      <c r="BV186" s="99">
        <v>800</v>
      </c>
      <c r="BW186" s="113">
        <v>6000</v>
      </c>
      <c r="BX186" s="102">
        <f t="shared" si="453"/>
        <v>36400</v>
      </c>
      <c r="BY186" s="99">
        <v>800</v>
      </c>
      <c r="BZ186" s="113"/>
      <c r="CA186" s="102">
        <f t="shared" si="454"/>
        <v>37200</v>
      </c>
      <c r="CB186" s="99">
        <v>800</v>
      </c>
      <c r="CC186" s="113"/>
      <c r="CD186" s="102">
        <f t="shared" si="455"/>
        <v>38000</v>
      </c>
      <c r="CE186" s="99">
        <v>800</v>
      </c>
      <c r="CF186" s="113"/>
      <c r="CG186" s="102">
        <f t="shared" si="456"/>
        <v>38800</v>
      </c>
      <c r="CH186" s="99">
        <v>800</v>
      </c>
      <c r="CI186" s="113"/>
      <c r="CJ186" s="102">
        <f t="shared" si="457"/>
        <v>39600</v>
      </c>
      <c r="CK186" s="99">
        <v>800</v>
      </c>
      <c r="CL186" s="113"/>
      <c r="CM186" s="102">
        <f t="shared" si="458"/>
        <v>40400</v>
      </c>
      <c r="CN186" s="99">
        <v>800</v>
      </c>
      <c r="CO186" s="113"/>
      <c r="CP186" s="102">
        <f t="shared" si="459"/>
        <v>41200</v>
      </c>
      <c r="CQ186" s="99">
        <v>800</v>
      </c>
      <c r="CR186" s="113"/>
      <c r="CS186" s="102">
        <f t="shared" si="460"/>
        <v>42000</v>
      </c>
      <c r="CT186" s="99">
        <v>800</v>
      </c>
      <c r="CU186" s="113"/>
      <c r="CV186" s="102">
        <f t="shared" si="461"/>
        <v>42800</v>
      </c>
      <c r="CW186" s="99">
        <v>800</v>
      </c>
      <c r="CX186" s="113">
        <v>12000</v>
      </c>
      <c r="CY186" s="102">
        <f t="shared" si="462"/>
        <v>31600</v>
      </c>
    </row>
    <row r="187" spans="1:103">
      <c r="A187" s="41">
        <f>VLOOKUP(B187,справочник!$B$2:$E$322,4,FALSE)</f>
        <v>212</v>
      </c>
      <c r="B187" t="str">
        <f t="shared" si="258"/>
        <v>221Милишенко Надежда Ивановна</v>
      </c>
      <c r="C187" s="1">
        <v>221</v>
      </c>
      <c r="D187" s="2" t="s">
        <v>170</v>
      </c>
      <c r="E187" s="1" t="s">
        <v>487</v>
      </c>
      <c r="F187" s="16">
        <v>41552</v>
      </c>
      <c r="G187" s="16">
        <v>41579</v>
      </c>
      <c r="H187" s="17">
        <f>INT(($H$326-G187)/30)</f>
        <v>26</v>
      </c>
      <c r="I187" s="1">
        <f t="shared" si="305"/>
        <v>26000</v>
      </c>
      <c r="J187" s="17">
        <v>23000</v>
      </c>
      <c r="K187" s="17"/>
      <c r="L187" s="18">
        <f t="shared" si="260"/>
        <v>3000</v>
      </c>
      <c r="M187" s="29">
        <v>600</v>
      </c>
      <c r="N187" s="29"/>
      <c r="O187" s="29">
        <v>1600</v>
      </c>
      <c r="P187" s="29">
        <v>800</v>
      </c>
      <c r="Q187" s="29"/>
      <c r="R187" s="29"/>
      <c r="S187" s="29">
        <v>800</v>
      </c>
      <c r="T187">
        <v>800</v>
      </c>
      <c r="U187" s="29"/>
      <c r="V187" s="29">
        <v>1600</v>
      </c>
      <c r="W187" s="29"/>
      <c r="X187" s="29">
        <v>1600</v>
      </c>
      <c r="Y187" s="18">
        <f t="shared" si="261"/>
        <v>7800</v>
      </c>
      <c r="Z187" s="96">
        <v>12</v>
      </c>
      <c r="AA187" s="96">
        <f t="shared" si="262"/>
        <v>9600</v>
      </c>
      <c r="AB187" s="96">
        <f t="shared" si="263"/>
        <v>4800</v>
      </c>
      <c r="AC187" s="99">
        <v>800</v>
      </c>
      <c r="AD187" s="98"/>
      <c r="AE187" s="102">
        <f t="shared" si="264"/>
        <v>5600</v>
      </c>
      <c r="AF187" s="99">
        <v>800</v>
      </c>
      <c r="AG187" s="98"/>
      <c r="AH187" s="102">
        <f t="shared" si="439"/>
        <v>6400</v>
      </c>
      <c r="AI187" s="99">
        <v>800</v>
      </c>
      <c r="AJ187" s="98">
        <v>1600</v>
      </c>
      <c r="AK187" s="102">
        <f t="shared" si="440"/>
        <v>5600</v>
      </c>
      <c r="AL187" s="99">
        <v>800</v>
      </c>
      <c r="AM187" s="98">
        <v>800</v>
      </c>
      <c r="AN187" s="102">
        <f t="shared" si="441"/>
        <v>5600</v>
      </c>
      <c r="AO187" s="99">
        <v>800</v>
      </c>
      <c r="AP187" s="113"/>
      <c r="AQ187" s="102">
        <f t="shared" si="442"/>
        <v>6400</v>
      </c>
      <c r="AR187" s="99">
        <v>800</v>
      </c>
      <c r="AS187" s="113">
        <v>800</v>
      </c>
      <c r="AT187" s="102">
        <f t="shared" si="443"/>
        <v>6400</v>
      </c>
      <c r="AU187" s="99">
        <v>800</v>
      </c>
      <c r="AV187" s="113">
        <v>800</v>
      </c>
      <c r="AW187" s="102">
        <f t="shared" si="444"/>
        <v>6400</v>
      </c>
      <c r="AX187" s="99">
        <v>800</v>
      </c>
      <c r="AY187" s="113">
        <v>800</v>
      </c>
      <c r="AZ187" s="102">
        <f t="shared" si="445"/>
        <v>6400</v>
      </c>
      <c r="BA187" s="99">
        <v>800</v>
      </c>
      <c r="BB187" s="113">
        <v>800</v>
      </c>
      <c r="BC187" s="102">
        <f t="shared" si="446"/>
        <v>6400</v>
      </c>
      <c r="BD187" s="99">
        <v>800</v>
      </c>
      <c r="BE187" s="113"/>
      <c r="BF187" s="102">
        <f t="shared" si="447"/>
        <v>7200</v>
      </c>
      <c r="BG187" s="99">
        <v>800</v>
      </c>
      <c r="BH187" s="113">
        <f>800+800</f>
        <v>1600</v>
      </c>
      <c r="BI187" s="102">
        <f t="shared" si="448"/>
        <v>6400</v>
      </c>
      <c r="BJ187" s="99">
        <v>800</v>
      </c>
      <c r="BK187" s="113">
        <v>800</v>
      </c>
      <c r="BL187" s="102">
        <f t="shared" si="449"/>
        <v>6400</v>
      </c>
      <c r="BM187" s="99">
        <v>800</v>
      </c>
      <c r="BN187" s="113">
        <f>1893.04+1600</f>
        <v>3493.04</v>
      </c>
      <c r="BO187" s="102">
        <f t="shared" si="450"/>
        <v>3706.96</v>
      </c>
      <c r="BP187" s="99">
        <v>800</v>
      </c>
      <c r="BQ187" s="113">
        <v>800</v>
      </c>
      <c r="BR187" s="102">
        <f t="shared" si="451"/>
        <v>3706.96</v>
      </c>
      <c r="BS187" s="99">
        <v>800</v>
      </c>
      <c r="BT187" s="113">
        <v>800</v>
      </c>
      <c r="BU187" s="102">
        <f t="shared" si="452"/>
        <v>3706.96</v>
      </c>
      <c r="BV187" s="99">
        <v>800</v>
      </c>
      <c r="BW187" s="113">
        <v>800</v>
      </c>
      <c r="BX187" s="102">
        <f t="shared" si="453"/>
        <v>3706.96</v>
      </c>
      <c r="BY187" s="99">
        <v>800</v>
      </c>
      <c r="BZ187" s="113">
        <v>800</v>
      </c>
      <c r="CA187" s="102">
        <f t="shared" si="454"/>
        <v>3706.96</v>
      </c>
      <c r="CB187" s="99">
        <v>800</v>
      </c>
      <c r="CC187" s="113"/>
      <c r="CD187" s="102">
        <f t="shared" si="455"/>
        <v>4506.96</v>
      </c>
      <c r="CE187" s="99">
        <v>800</v>
      </c>
      <c r="CF187" s="113">
        <f>800+800</f>
        <v>1600</v>
      </c>
      <c r="CG187" s="102">
        <f t="shared" si="456"/>
        <v>3706.96</v>
      </c>
      <c r="CH187" s="99">
        <v>800</v>
      </c>
      <c r="CI187" s="113"/>
      <c r="CJ187" s="102">
        <f t="shared" si="457"/>
        <v>4506.96</v>
      </c>
      <c r="CK187" s="99">
        <v>800</v>
      </c>
      <c r="CL187" s="113">
        <f>800+800</f>
        <v>1600</v>
      </c>
      <c r="CM187" s="102">
        <f t="shared" si="458"/>
        <v>3706.96</v>
      </c>
      <c r="CN187" s="99">
        <v>800</v>
      </c>
      <c r="CO187" s="113">
        <v>800</v>
      </c>
      <c r="CP187" s="102">
        <f t="shared" si="459"/>
        <v>3706.96</v>
      </c>
      <c r="CQ187" s="99">
        <v>800</v>
      </c>
      <c r="CR187" s="113"/>
      <c r="CS187" s="102">
        <f t="shared" si="460"/>
        <v>4506.96</v>
      </c>
      <c r="CT187" s="99">
        <v>800</v>
      </c>
      <c r="CU187" s="113">
        <f>800+800</f>
        <v>1600</v>
      </c>
      <c r="CV187" s="102">
        <f t="shared" si="461"/>
        <v>3706.96</v>
      </c>
      <c r="CW187" s="99">
        <v>800</v>
      </c>
      <c r="CX187" s="113">
        <v>800</v>
      </c>
      <c r="CY187" s="102">
        <f t="shared" si="462"/>
        <v>3706.96</v>
      </c>
    </row>
    <row r="188" spans="1:103">
      <c r="A188" s="41" t="e">
        <f>VLOOKUP(B188,справочник!$B$2:$E$322,4,FALSE)</f>
        <v>#N/A</v>
      </c>
      <c r="B188" t="str">
        <f t="shared" si="258"/>
        <v>59Милоянин Алексей Леонидович</v>
      </c>
      <c r="C188" s="1">
        <v>59</v>
      </c>
      <c r="D188" s="2" t="s">
        <v>171</v>
      </c>
      <c r="E188" s="1"/>
      <c r="F188" s="16"/>
      <c r="G188" s="16"/>
      <c r="H188" s="17"/>
      <c r="I188" s="1"/>
      <c r="J188" s="17"/>
      <c r="K188" s="17"/>
      <c r="L188" s="18"/>
      <c r="M188" s="29"/>
      <c r="N188" s="29"/>
      <c r="O188" s="29"/>
      <c r="P188" s="29">
        <v>3200</v>
      </c>
      <c r="Q188" s="29"/>
      <c r="R188" s="29"/>
      <c r="S188" s="29"/>
      <c r="T188"/>
      <c r="U188" s="29"/>
      <c r="V188" s="29"/>
      <c r="W188" s="84">
        <v>6400</v>
      </c>
      <c r="X188" s="29"/>
      <c r="Y188" s="18">
        <f t="shared" si="261"/>
        <v>9600</v>
      </c>
      <c r="Z188" s="96">
        <v>12</v>
      </c>
      <c r="AA188" s="96">
        <f t="shared" si="262"/>
        <v>9600</v>
      </c>
      <c r="AB188" s="96">
        <f t="shared" si="263"/>
        <v>0</v>
      </c>
      <c r="AC188" s="99">
        <v>800</v>
      </c>
      <c r="AD188" s="98"/>
      <c r="AE188" s="102">
        <f t="shared" si="264"/>
        <v>800</v>
      </c>
      <c r="AF188" s="99">
        <v>800</v>
      </c>
      <c r="AG188" s="98"/>
      <c r="AH188" s="102">
        <f t="shared" si="439"/>
        <v>1600</v>
      </c>
      <c r="AI188" s="99">
        <v>800</v>
      </c>
      <c r="AJ188" s="98">
        <v>3200</v>
      </c>
      <c r="AK188" s="102">
        <f t="shared" si="440"/>
        <v>-800</v>
      </c>
      <c r="AL188" s="99">
        <v>800</v>
      </c>
      <c r="AM188" s="98"/>
      <c r="AN188" s="102">
        <f t="shared" si="441"/>
        <v>0</v>
      </c>
      <c r="AO188" s="99">
        <v>800</v>
      </c>
      <c r="AP188" s="113"/>
      <c r="AQ188" s="102">
        <f t="shared" si="442"/>
        <v>800</v>
      </c>
      <c r="AR188" s="99">
        <v>800</v>
      </c>
      <c r="AS188" s="113"/>
      <c r="AT188" s="102">
        <f t="shared" si="443"/>
        <v>1600</v>
      </c>
      <c r="AU188" s="99">
        <v>800</v>
      </c>
      <c r="AV188" s="113"/>
      <c r="AW188" s="102">
        <f t="shared" si="444"/>
        <v>2400</v>
      </c>
      <c r="AX188" s="99">
        <v>800</v>
      </c>
      <c r="AY188" s="113"/>
      <c r="AZ188" s="102">
        <f t="shared" si="445"/>
        <v>3200</v>
      </c>
      <c r="BA188" s="99">
        <v>800</v>
      </c>
      <c r="BB188" s="113"/>
      <c r="BC188" s="102">
        <f t="shared" si="446"/>
        <v>4000</v>
      </c>
      <c r="BD188" s="99">
        <v>800</v>
      </c>
      <c r="BE188" s="113"/>
      <c r="BF188" s="102">
        <f t="shared" si="447"/>
        <v>4800</v>
      </c>
      <c r="BG188" s="99">
        <v>800</v>
      </c>
      <c r="BH188" s="113">
        <v>6400</v>
      </c>
      <c r="BI188" s="102">
        <f t="shared" si="448"/>
        <v>-800</v>
      </c>
      <c r="BJ188" s="99">
        <v>800</v>
      </c>
      <c r="BK188" s="113"/>
      <c r="BL188" s="102">
        <f t="shared" si="449"/>
        <v>0</v>
      </c>
      <c r="BM188" s="99">
        <v>800</v>
      </c>
      <c r="BN188" s="113"/>
      <c r="BO188" s="102">
        <f t="shared" si="450"/>
        <v>800</v>
      </c>
      <c r="BP188" s="99">
        <v>800</v>
      </c>
      <c r="BQ188" s="113"/>
      <c r="BR188" s="102">
        <f t="shared" si="451"/>
        <v>1600</v>
      </c>
      <c r="BS188" s="99">
        <v>800</v>
      </c>
      <c r="BT188" s="113"/>
      <c r="BU188" s="102">
        <f t="shared" si="452"/>
        <v>2400</v>
      </c>
      <c r="BV188" s="99">
        <v>800</v>
      </c>
      <c r="BW188" s="113">
        <v>3200</v>
      </c>
      <c r="BX188" s="102">
        <f t="shared" si="453"/>
        <v>0</v>
      </c>
      <c r="BY188" s="99">
        <v>800</v>
      </c>
      <c r="BZ188" s="113"/>
      <c r="CA188" s="102">
        <f t="shared" si="454"/>
        <v>800</v>
      </c>
      <c r="CB188" s="99">
        <v>800</v>
      </c>
      <c r="CC188" s="113"/>
      <c r="CD188" s="102">
        <f t="shared" si="455"/>
        <v>1600</v>
      </c>
      <c r="CE188" s="99">
        <v>800</v>
      </c>
      <c r="CF188" s="113"/>
      <c r="CG188" s="102">
        <f t="shared" si="456"/>
        <v>2400</v>
      </c>
      <c r="CH188" s="99">
        <v>800</v>
      </c>
      <c r="CI188" s="113"/>
      <c r="CJ188" s="102">
        <f t="shared" si="457"/>
        <v>3200</v>
      </c>
      <c r="CK188" s="99">
        <v>800</v>
      </c>
      <c r="CL188" s="113">
        <v>5000</v>
      </c>
      <c r="CM188" s="102">
        <f t="shared" si="458"/>
        <v>-1000</v>
      </c>
      <c r="CN188" s="99">
        <v>800</v>
      </c>
      <c r="CO188" s="113"/>
      <c r="CP188" s="102">
        <f t="shared" si="459"/>
        <v>-200</v>
      </c>
      <c r="CQ188" s="99">
        <v>800</v>
      </c>
      <c r="CR188" s="113"/>
      <c r="CS188" s="102">
        <f t="shared" si="460"/>
        <v>600</v>
      </c>
      <c r="CT188" s="99">
        <v>800</v>
      </c>
      <c r="CU188" s="113"/>
      <c r="CV188" s="102">
        <f t="shared" si="461"/>
        <v>1400</v>
      </c>
      <c r="CW188" s="99">
        <v>800</v>
      </c>
      <c r="CX188" s="113"/>
      <c r="CY188" s="102">
        <f t="shared" si="462"/>
        <v>2200</v>
      </c>
    </row>
    <row r="189" spans="1:103" ht="24">
      <c r="A189" s="41" t="e">
        <f>VLOOKUP(B189,справочник!$B$2:$E$322,4,FALSE)</f>
        <v>#N/A</v>
      </c>
      <c r="B189" t="str">
        <f t="shared" si="258"/>
        <v>194Захарова Елена Александровна (новый собственник Мирошниченко Андрей Иванович)</v>
      </c>
      <c r="C189" s="1">
        <v>194</v>
      </c>
      <c r="D189" s="2" t="s">
        <v>851</v>
      </c>
      <c r="E189" s="1" t="s">
        <v>488</v>
      </c>
      <c r="F189" s="16">
        <v>41872</v>
      </c>
      <c r="G189" s="16">
        <v>41883</v>
      </c>
      <c r="H189" s="17">
        <f t="shared" ref="H189:H196" si="463">INT(($H$326-G189)/30)</f>
        <v>16</v>
      </c>
      <c r="I189" s="1">
        <f t="shared" ref="I189:I227" si="464">H189*1000</f>
        <v>16000</v>
      </c>
      <c r="J189" s="17">
        <v>12000</v>
      </c>
      <c r="K189" s="17"/>
      <c r="L189" s="18">
        <f t="shared" ref="L189:L250" si="465">I189-J189-K189</f>
        <v>4000</v>
      </c>
      <c r="M189" s="29"/>
      <c r="N189" s="29"/>
      <c r="O189" s="29"/>
      <c r="P189" s="29">
        <v>5000</v>
      </c>
      <c r="Q189" s="29"/>
      <c r="R189" s="29"/>
      <c r="S189" s="29"/>
      <c r="T189" s="29"/>
      <c r="U189" s="29"/>
      <c r="V189" s="29"/>
      <c r="W189" s="29"/>
      <c r="X189" s="29"/>
      <c r="Y189" s="18">
        <f t="shared" si="261"/>
        <v>5000</v>
      </c>
      <c r="Z189" s="96">
        <v>12</v>
      </c>
      <c r="AA189" s="96">
        <f t="shared" si="262"/>
        <v>9600</v>
      </c>
      <c r="AB189" s="96">
        <f t="shared" si="263"/>
        <v>8600</v>
      </c>
      <c r="AC189" s="99">
        <v>800</v>
      </c>
      <c r="AD189" s="98"/>
      <c r="AE189" s="102">
        <f t="shared" si="264"/>
        <v>9400</v>
      </c>
      <c r="AF189" s="99">
        <v>800</v>
      </c>
      <c r="AG189" s="98"/>
      <c r="AH189" s="102">
        <f t="shared" si="439"/>
        <v>10200</v>
      </c>
      <c r="AI189" s="99">
        <v>800</v>
      </c>
      <c r="AJ189" s="98"/>
      <c r="AK189" s="102">
        <f t="shared" si="440"/>
        <v>11000</v>
      </c>
      <c r="AL189" s="99">
        <v>800</v>
      </c>
      <c r="AM189" s="98"/>
      <c r="AN189" s="102">
        <f t="shared" si="441"/>
        <v>11800</v>
      </c>
      <c r="AO189" s="99">
        <v>800</v>
      </c>
      <c r="AP189" s="113"/>
      <c r="AQ189" s="102">
        <f t="shared" si="442"/>
        <v>12600</v>
      </c>
      <c r="AR189" s="99">
        <v>800</v>
      </c>
      <c r="AS189" s="113"/>
      <c r="AT189" s="102">
        <f t="shared" si="443"/>
        <v>13400</v>
      </c>
      <c r="AU189" s="99">
        <v>800</v>
      </c>
      <c r="AV189" s="113"/>
      <c r="AW189" s="102">
        <f t="shared" si="444"/>
        <v>14200</v>
      </c>
      <c r="AX189" s="99">
        <v>800</v>
      </c>
      <c r="AY189" s="113"/>
      <c r="AZ189" s="102">
        <f t="shared" si="445"/>
        <v>15000</v>
      </c>
      <c r="BA189" s="99">
        <v>800</v>
      </c>
      <c r="BB189" s="113"/>
      <c r="BC189" s="102">
        <f t="shared" si="446"/>
        <v>15800</v>
      </c>
      <c r="BD189" s="99">
        <v>800</v>
      </c>
      <c r="BE189" s="113"/>
      <c r="BF189" s="102">
        <f t="shared" si="447"/>
        <v>16600</v>
      </c>
      <c r="BG189" s="99">
        <v>800</v>
      </c>
      <c r="BH189" s="113"/>
      <c r="BI189" s="102">
        <f t="shared" si="448"/>
        <v>17400</v>
      </c>
      <c r="BJ189" s="99">
        <v>800</v>
      </c>
      <c r="BK189" s="113"/>
      <c r="BL189" s="102">
        <f t="shared" si="449"/>
        <v>18200</v>
      </c>
      <c r="BM189" s="99">
        <v>800</v>
      </c>
      <c r="BN189" s="113"/>
      <c r="BO189" s="102">
        <f t="shared" si="450"/>
        <v>19000</v>
      </c>
      <c r="BP189" s="99">
        <v>800</v>
      </c>
      <c r="BQ189" s="113"/>
      <c r="BR189" s="102">
        <f t="shared" si="451"/>
        <v>19800</v>
      </c>
      <c r="BS189" s="99">
        <v>800</v>
      </c>
      <c r="BT189" s="113"/>
      <c r="BU189" s="102">
        <f t="shared" si="452"/>
        <v>20600</v>
      </c>
      <c r="BV189" s="99">
        <v>800</v>
      </c>
      <c r="BW189" s="113"/>
      <c r="BX189" s="102">
        <f t="shared" si="453"/>
        <v>21400</v>
      </c>
      <c r="BY189" s="99">
        <v>800</v>
      </c>
      <c r="BZ189" s="113">
        <v>2500</v>
      </c>
      <c r="CA189" s="102">
        <f t="shared" si="454"/>
        <v>19700</v>
      </c>
      <c r="CB189" s="99">
        <v>800</v>
      </c>
      <c r="CC189" s="113"/>
      <c r="CD189" s="102">
        <f t="shared" si="455"/>
        <v>20500</v>
      </c>
      <c r="CE189" s="99">
        <v>800</v>
      </c>
      <c r="CF189" s="113"/>
      <c r="CG189" s="102">
        <f t="shared" si="456"/>
        <v>21300</v>
      </c>
      <c r="CH189" s="99">
        <v>800</v>
      </c>
      <c r="CI189" s="113"/>
      <c r="CJ189" s="102">
        <f t="shared" si="457"/>
        <v>22100</v>
      </c>
      <c r="CK189" s="99">
        <v>800</v>
      </c>
      <c r="CL189" s="113"/>
      <c r="CM189" s="102">
        <f t="shared" si="458"/>
        <v>22900</v>
      </c>
      <c r="CN189" s="99">
        <v>800</v>
      </c>
      <c r="CO189" s="113"/>
      <c r="CP189" s="102">
        <f t="shared" si="459"/>
        <v>23700</v>
      </c>
      <c r="CQ189" s="99">
        <v>800</v>
      </c>
      <c r="CR189" s="113"/>
      <c r="CS189" s="102">
        <f t="shared" si="460"/>
        <v>24500</v>
      </c>
      <c r="CT189" s="99">
        <v>800</v>
      </c>
      <c r="CU189" s="113"/>
      <c r="CV189" s="102">
        <f t="shared" si="461"/>
        <v>25300</v>
      </c>
      <c r="CW189" s="99">
        <v>800</v>
      </c>
      <c r="CX189" s="113"/>
      <c r="CY189" s="102">
        <f t="shared" si="462"/>
        <v>26100</v>
      </c>
    </row>
    <row r="190" spans="1:103">
      <c r="A190" s="41">
        <f>VLOOKUP(B190,справочник!$B$2:$E$322,4,FALSE)</f>
        <v>187</v>
      </c>
      <c r="B190" t="str">
        <f t="shared" si="258"/>
        <v>195Мирошниченко Екатерина Олеговна</v>
      </c>
      <c r="C190" s="1">
        <v>195</v>
      </c>
      <c r="D190" s="2" t="s">
        <v>173</v>
      </c>
      <c r="E190" s="1" t="s">
        <v>489</v>
      </c>
      <c r="F190" s="16">
        <v>41542</v>
      </c>
      <c r="G190" s="16">
        <v>41548</v>
      </c>
      <c r="H190" s="17">
        <f t="shared" si="463"/>
        <v>27</v>
      </c>
      <c r="I190" s="1">
        <f t="shared" si="464"/>
        <v>27000</v>
      </c>
      <c r="J190" s="17"/>
      <c r="K190" s="17"/>
      <c r="L190" s="18">
        <f t="shared" si="465"/>
        <v>27000</v>
      </c>
      <c r="M190" s="29"/>
      <c r="N190" s="29"/>
      <c r="O190" s="29"/>
      <c r="P190" s="29">
        <v>5000</v>
      </c>
      <c r="Q190" s="29"/>
      <c r="R190" s="29"/>
      <c r="S190" s="29"/>
      <c r="T190">
        <v>5000</v>
      </c>
      <c r="U190" s="29"/>
      <c r="V190" s="29"/>
      <c r="W190" s="29"/>
      <c r="X190" s="29"/>
      <c r="Y190" s="18">
        <f t="shared" si="261"/>
        <v>10000</v>
      </c>
      <c r="Z190" s="96">
        <v>12</v>
      </c>
      <c r="AA190" s="96">
        <f t="shared" si="262"/>
        <v>9600</v>
      </c>
      <c r="AB190" s="96">
        <f t="shared" si="263"/>
        <v>26600</v>
      </c>
      <c r="AC190" s="99">
        <v>800</v>
      </c>
      <c r="AD190" s="98"/>
      <c r="AE190" s="102">
        <f t="shared" si="264"/>
        <v>27400</v>
      </c>
      <c r="AF190" s="99">
        <v>800</v>
      </c>
      <c r="AG190" s="98"/>
      <c r="AH190" s="102">
        <f t="shared" si="439"/>
        <v>28200</v>
      </c>
      <c r="AI190" s="99">
        <v>800</v>
      </c>
      <c r="AJ190" s="98"/>
      <c r="AK190" s="102">
        <f t="shared" si="440"/>
        <v>29000</v>
      </c>
      <c r="AL190" s="99">
        <v>800</v>
      </c>
      <c r="AM190" s="98"/>
      <c r="AN190" s="102">
        <f t="shared" si="441"/>
        <v>29800</v>
      </c>
      <c r="AO190" s="99">
        <v>800</v>
      </c>
      <c r="AP190" s="113"/>
      <c r="AQ190" s="102">
        <f t="shared" si="442"/>
        <v>30600</v>
      </c>
      <c r="AR190" s="99">
        <v>800</v>
      </c>
      <c r="AS190" s="113"/>
      <c r="AT190" s="102">
        <f t="shared" si="443"/>
        <v>31400</v>
      </c>
      <c r="AU190" s="99">
        <v>800</v>
      </c>
      <c r="AV190" s="113"/>
      <c r="AW190" s="102">
        <f t="shared" si="444"/>
        <v>32200</v>
      </c>
      <c r="AX190" s="99">
        <v>800</v>
      </c>
      <c r="AY190" s="113"/>
      <c r="AZ190" s="102">
        <f t="shared" si="445"/>
        <v>33000</v>
      </c>
      <c r="BA190" s="99">
        <v>800</v>
      </c>
      <c r="BB190" s="113"/>
      <c r="BC190" s="102">
        <f t="shared" si="446"/>
        <v>33800</v>
      </c>
      <c r="BD190" s="99">
        <v>800</v>
      </c>
      <c r="BE190" s="113"/>
      <c r="BF190" s="102">
        <f t="shared" si="447"/>
        <v>34600</v>
      </c>
      <c r="BG190" s="99">
        <v>800</v>
      </c>
      <c r="BH190" s="113"/>
      <c r="BI190" s="102">
        <f t="shared" si="448"/>
        <v>35400</v>
      </c>
      <c r="BJ190" s="99">
        <v>800</v>
      </c>
      <c r="BK190" s="113">
        <f>10000+7000</f>
        <v>17000</v>
      </c>
      <c r="BL190" s="102">
        <f t="shared" si="449"/>
        <v>19200</v>
      </c>
      <c r="BM190" s="99">
        <v>800</v>
      </c>
      <c r="BN190" s="113"/>
      <c r="BO190" s="102">
        <f t="shared" si="450"/>
        <v>20000</v>
      </c>
      <c r="BP190" s="99">
        <v>800</v>
      </c>
      <c r="BQ190" s="113"/>
      <c r="BR190" s="102">
        <f t="shared" si="451"/>
        <v>20800</v>
      </c>
      <c r="BS190" s="99">
        <v>800</v>
      </c>
      <c r="BT190" s="113"/>
      <c r="BU190" s="102">
        <f t="shared" si="452"/>
        <v>21600</v>
      </c>
      <c r="BV190" s="99">
        <v>800</v>
      </c>
      <c r="BW190" s="113"/>
      <c r="BX190" s="102">
        <f t="shared" si="453"/>
        <v>22400</v>
      </c>
      <c r="BY190" s="99">
        <v>800</v>
      </c>
      <c r="BZ190" s="113">
        <v>2500</v>
      </c>
      <c r="CA190" s="102">
        <f t="shared" si="454"/>
        <v>20700</v>
      </c>
      <c r="CB190" s="99">
        <v>800</v>
      </c>
      <c r="CC190" s="113"/>
      <c r="CD190" s="102">
        <f t="shared" si="455"/>
        <v>21500</v>
      </c>
      <c r="CE190" s="99">
        <v>800</v>
      </c>
      <c r="CF190" s="113"/>
      <c r="CG190" s="102">
        <f t="shared" si="456"/>
        <v>22300</v>
      </c>
      <c r="CH190" s="99">
        <v>800</v>
      </c>
      <c r="CI190" s="113"/>
      <c r="CJ190" s="102">
        <f t="shared" si="457"/>
        <v>23100</v>
      </c>
      <c r="CK190" s="99">
        <v>800</v>
      </c>
      <c r="CL190" s="113"/>
      <c r="CM190" s="102">
        <f t="shared" si="458"/>
        <v>23900</v>
      </c>
      <c r="CN190" s="99">
        <v>800</v>
      </c>
      <c r="CO190" s="113"/>
      <c r="CP190" s="102">
        <f t="shared" si="459"/>
        <v>24700</v>
      </c>
      <c r="CQ190" s="99">
        <v>800</v>
      </c>
      <c r="CR190" s="113"/>
      <c r="CS190" s="102">
        <f t="shared" si="460"/>
        <v>25500</v>
      </c>
      <c r="CT190" s="99">
        <v>800</v>
      </c>
      <c r="CU190" s="113"/>
      <c r="CV190" s="102">
        <f t="shared" si="461"/>
        <v>26300</v>
      </c>
      <c r="CW190" s="99">
        <v>800</v>
      </c>
      <c r="CX190" s="113"/>
      <c r="CY190" s="102">
        <f t="shared" si="462"/>
        <v>27100</v>
      </c>
    </row>
    <row r="191" spans="1:103">
      <c r="A191" s="41">
        <f>VLOOKUP(B191,справочник!$B$2:$E$322,4,FALSE)</f>
        <v>211</v>
      </c>
      <c r="B191" t="str">
        <f t="shared" si="258"/>
        <v>220Модин Игорь Николаевич</v>
      </c>
      <c r="C191" s="1">
        <v>220</v>
      </c>
      <c r="D191" s="2" t="s">
        <v>174</v>
      </c>
      <c r="E191" s="1" t="s">
        <v>490</v>
      </c>
      <c r="F191" s="16">
        <v>41417</v>
      </c>
      <c r="G191" s="16">
        <v>41426</v>
      </c>
      <c r="H191" s="17">
        <f t="shared" si="463"/>
        <v>31</v>
      </c>
      <c r="I191" s="1">
        <f t="shared" si="464"/>
        <v>31000</v>
      </c>
      <c r="J191" s="17">
        <v>26000</v>
      </c>
      <c r="K191" s="17">
        <v>7000</v>
      </c>
      <c r="L191" s="18">
        <f t="shared" si="465"/>
        <v>-2000</v>
      </c>
      <c r="M191" s="29"/>
      <c r="N191" s="29"/>
      <c r="O191" s="29"/>
      <c r="P191" s="29"/>
      <c r="Q191" s="29"/>
      <c r="R191" s="29"/>
      <c r="S191" s="29"/>
      <c r="T191" s="29"/>
      <c r="U191" s="29"/>
      <c r="V191" s="29">
        <v>9600</v>
      </c>
      <c r="W191" s="29"/>
      <c r="X191" s="29"/>
      <c r="Y191" s="18">
        <f t="shared" si="261"/>
        <v>9600</v>
      </c>
      <c r="Z191" s="96">
        <v>12</v>
      </c>
      <c r="AA191" s="96">
        <f t="shared" si="262"/>
        <v>9600</v>
      </c>
      <c r="AB191" s="96">
        <f t="shared" si="263"/>
        <v>-2000</v>
      </c>
      <c r="AC191" s="99">
        <v>800</v>
      </c>
      <c r="AD191" s="98"/>
      <c r="AE191" s="102">
        <f t="shared" si="264"/>
        <v>-1200</v>
      </c>
      <c r="AF191" s="99">
        <v>800</v>
      </c>
      <c r="AG191" s="98"/>
      <c r="AH191" s="102">
        <f t="shared" si="439"/>
        <v>-400</v>
      </c>
      <c r="AI191" s="99">
        <v>800</v>
      </c>
      <c r="AJ191" s="98"/>
      <c r="AK191" s="102">
        <f t="shared" si="440"/>
        <v>400</v>
      </c>
      <c r="AL191" s="99">
        <v>800</v>
      </c>
      <c r="AM191" s="98"/>
      <c r="AN191" s="102">
        <f t="shared" si="441"/>
        <v>1200</v>
      </c>
      <c r="AO191" s="99">
        <v>800</v>
      </c>
      <c r="AP191" s="113"/>
      <c r="AQ191" s="102">
        <f t="shared" si="442"/>
        <v>2000</v>
      </c>
      <c r="AR191" s="99">
        <v>800</v>
      </c>
      <c r="AS191" s="113"/>
      <c r="AT191" s="102">
        <f t="shared" si="443"/>
        <v>2800</v>
      </c>
      <c r="AU191" s="99">
        <v>800</v>
      </c>
      <c r="AV191" s="113"/>
      <c r="AW191" s="102">
        <f t="shared" si="444"/>
        <v>3600</v>
      </c>
      <c r="AX191" s="99">
        <v>800</v>
      </c>
      <c r="AY191" s="113"/>
      <c r="AZ191" s="102">
        <f t="shared" si="445"/>
        <v>4400</v>
      </c>
      <c r="BA191" s="99">
        <v>800</v>
      </c>
      <c r="BB191" s="113">
        <v>10000</v>
      </c>
      <c r="BC191" s="102">
        <f t="shared" si="446"/>
        <v>-4800</v>
      </c>
      <c r="BD191" s="99">
        <v>800</v>
      </c>
      <c r="BE191" s="113"/>
      <c r="BF191" s="102">
        <f t="shared" si="447"/>
        <v>-4000</v>
      </c>
      <c r="BG191" s="99">
        <v>800</v>
      </c>
      <c r="BH191" s="113"/>
      <c r="BI191" s="102">
        <f t="shared" si="448"/>
        <v>-3200</v>
      </c>
      <c r="BJ191" s="99">
        <v>800</v>
      </c>
      <c r="BK191" s="113"/>
      <c r="BL191" s="102">
        <f t="shared" si="449"/>
        <v>-2400</v>
      </c>
      <c r="BM191" s="99">
        <v>800</v>
      </c>
      <c r="BN191" s="113"/>
      <c r="BO191" s="102">
        <f t="shared" si="450"/>
        <v>-1600</v>
      </c>
      <c r="BP191" s="99">
        <v>800</v>
      </c>
      <c r="BQ191" s="113"/>
      <c r="BR191" s="102">
        <f t="shared" si="451"/>
        <v>-800</v>
      </c>
      <c r="BS191" s="99">
        <v>800</v>
      </c>
      <c r="BT191" s="113"/>
      <c r="BU191" s="102">
        <f t="shared" si="452"/>
        <v>0</v>
      </c>
      <c r="BV191" s="99">
        <v>800</v>
      </c>
      <c r="BW191" s="113"/>
      <c r="BX191" s="102">
        <f t="shared" si="453"/>
        <v>800</v>
      </c>
      <c r="BY191" s="99">
        <v>800</v>
      </c>
      <c r="BZ191" s="113"/>
      <c r="CA191" s="102">
        <f t="shared" si="454"/>
        <v>1600</v>
      </c>
      <c r="CB191" s="99">
        <v>800</v>
      </c>
      <c r="CC191" s="113"/>
      <c r="CD191" s="102">
        <f t="shared" si="455"/>
        <v>2400</v>
      </c>
      <c r="CE191" s="99">
        <v>800</v>
      </c>
      <c r="CF191" s="113">
        <v>10000</v>
      </c>
      <c r="CG191" s="102">
        <f t="shared" si="456"/>
        <v>-6800</v>
      </c>
      <c r="CH191" s="99">
        <v>800</v>
      </c>
      <c r="CI191" s="113"/>
      <c r="CJ191" s="102">
        <f t="shared" si="457"/>
        <v>-6000</v>
      </c>
      <c r="CK191" s="99">
        <v>800</v>
      </c>
      <c r="CL191" s="113"/>
      <c r="CM191" s="102">
        <f t="shared" si="458"/>
        <v>-5200</v>
      </c>
      <c r="CN191" s="99">
        <v>800</v>
      </c>
      <c r="CO191" s="113"/>
      <c r="CP191" s="102">
        <f t="shared" si="459"/>
        <v>-4400</v>
      </c>
      <c r="CQ191" s="99">
        <v>800</v>
      </c>
      <c r="CR191" s="113"/>
      <c r="CS191" s="102">
        <f t="shared" si="460"/>
        <v>-3600</v>
      </c>
      <c r="CT191" s="99">
        <v>800</v>
      </c>
      <c r="CU191" s="113"/>
      <c r="CV191" s="102">
        <f t="shared" si="461"/>
        <v>-2800</v>
      </c>
      <c r="CW191" s="99">
        <v>800</v>
      </c>
      <c r="CX191" s="113"/>
      <c r="CY191" s="102">
        <f t="shared" si="462"/>
        <v>-2000</v>
      </c>
    </row>
    <row r="192" spans="1:103" ht="25.5" customHeight="1">
      <c r="A192" s="41">
        <f>VLOOKUP(B192,справочник!$B$2:$E$322,4,FALSE)</f>
        <v>242</v>
      </c>
      <c r="B192" t="str">
        <f t="shared" si="258"/>
        <v>253Моисеев Андрей Валентинович</v>
      </c>
      <c r="C192" s="1">
        <v>253</v>
      </c>
      <c r="D192" s="2" t="s">
        <v>175</v>
      </c>
      <c r="E192" s="1" t="s">
        <v>491</v>
      </c>
      <c r="F192" s="16">
        <v>41352</v>
      </c>
      <c r="G192" s="16">
        <v>41365</v>
      </c>
      <c r="H192" s="17">
        <f t="shared" si="463"/>
        <v>33</v>
      </c>
      <c r="I192" s="1">
        <f t="shared" si="464"/>
        <v>33000</v>
      </c>
      <c r="J192" s="17">
        <v>4000</v>
      </c>
      <c r="K192" s="17"/>
      <c r="L192" s="18">
        <f t="shared" si="465"/>
        <v>29000</v>
      </c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18">
        <f t="shared" si="261"/>
        <v>0</v>
      </c>
      <c r="Z192" s="96">
        <v>12</v>
      </c>
      <c r="AA192" s="96">
        <f t="shared" si="262"/>
        <v>9600</v>
      </c>
      <c r="AB192" s="96">
        <f t="shared" si="263"/>
        <v>38600</v>
      </c>
      <c r="AC192" s="99">
        <v>800</v>
      </c>
      <c r="AD192" s="98"/>
      <c r="AE192" s="102">
        <f t="shared" si="264"/>
        <v>39400</v>
      </c>
      <c r="AF192" s="99">
        <v>800</v>
      </c>
      <c r="AG192" s="98"/>
      <c r="AH192" s="102">
        <f t="shared" si="439"/>
        <v>40200</v>
      </c>
      <c r="AI192" s="99">
        <v>800</v>
      </c>
      <c r="AJ192" s="98"/>
      <c r="AK192" s="102">
        <f t="shared" si="440"/>
        <v>41000</v>
      </c>
      <c r="AL192" s="99">
        <v>800</v>
      </c>
      <c r="AM192" s="98"/>
      <c r="AN192" s="102">
        <f t="shared" si="441"/>
        <v>41800</v>
      </c>
      <c r="AO192" s="99">
        <v>800</v>
      </c>
      <c r="AP192" s="113"/>
      <c r="AQ192" s="102">
        <f t="shared" si="442"/>
        <v>42600</v>
      </c>
      <c r="AR192" s="99">
        <v>800</v>
      </c>
      <c r="AS192" s="113"/>
      <c r="AT192" s="102">
        <f t="shared" si="443"/>
        <v>43400</v>
      </c>
      <c r="AU192" s="99">
        <v>800</v>
      </c>
      <c r="AV192" s="113"/>
      <c r="AW192" s="102">
        <f t="shared" si="444"/>
        <v>44200</v>
      </c>
      <c r="AX192" s="99">
        <v>800</v>
      </c>
      <c r="AY192" s="113"/>
      <c r="AZ192" s="102">
        <f t="shared" si="445"/>
        <v>45000</v>
      </c>
      <c r="BA192" s="99">
        <v>800</v>
      </c>
      <c r="BB192" s="113"/>
      <c r="BC192" s="102">
        <f t="shared" si="446"/>
        <v>45800</v>
      </c>
      <c r="BD192" s="99">
        <v>800</v>
      </c>
      <c r="BE192" s="113"/>
      <c r="BF192" s="102">
        <f t="shared" si="447"/>
        <v>46600</v>
      </c>
      <c r="BG192" s="99">
        <v>800</v>
      </c>
      <c r="BH192" s="113"/>
      <c r="BI192" s="102">
        <f t="shared" si="448"/>
        <v>47400</v>
      </c>
      <c r="BJ192" s="99">
        <v>800</v>
      </c>
      <c r="BK192" s="113"/>
      <c r="BL192" s="102">
        <f t="shared" si="449"/>
        <v>48200</v>
      </c>
      <c r="BM192" s="99">
        <v>800</v>
      </c>
      <c r="BN192" s="113"/>
      <c r="BO192" s="102">
        <f t="shared" si="450"/>
        <v>49000</v>
      </c>
      <c r="BP192" s="99">
        <v>800</v>
      </c>
      <c r="BQ192" s="113">
        <v>3000</v>
      </c>
      <c r="BR192" s="102">
        <f t="shared" si="451"/>
        <v>46800</v>
      </c>
      <c r="BS192" s="99">
        <v>800</v>
      </c>
      <c r="BT192" s="113"/>
      <c r="BU192" s="102">
        <f t="shared" si="452"/>
        <v>47600</v>
      </c>
      <c r="BV192" s="99">
        <v>800</v>
      </c>
      <c r="BW192" s="113">
        <v>3000</v>
      </c>
      <c r="BX192" s="102">
        <f t="shared" si="453"/>
        <v>45400</v>
      </c>
      <c r="BY192" s="99">
        <v>800</v>
      </c>
      <c r="BZ192" s="113">
        <v>2000</v>
      </c>
      <c r="CA192" s="102">
        <f t="shared" si="454"/>
        <v>44200</v>
      </c>
      <c r="CB192" s="99">
        <v>800</v>
      </c>
      <c r="CC192" s="113">
        <v>2000</v>
      </c>
      <c r="CD192" s="102">
        <f t="shared" si="455"/>
        <v>43000</v>
      </c>
      <c r="CE192" s="99">
        <v>800</v>
      </c>
      <c r="CF192" s="113">
        <v>1500</v>
      </c>
      <c r="CG192" s="102">
        <f t="shared" si="456"/>
        <v>42300</v>
      </c>
      <c r="CH192" s="99">
        <v>800</v>
      </c>
      <c r="CI192" s="113"/>
      <c r="CJ192" s="102">
        <f t="shared" si="457"/>
        <v>43100</v>
      </c>
      <c r="CK192" s="99">
        <v>800</v>
      </c>
      <c r="CL192" s="113"/>
      <c r="CM192" s="102">
        <f t="shared" si="458"/>
        <v>43900</v>
      </c>
      <c r="CN192" s="99">
        <v>800</v>
      </c>
      <c r="CO192" s="113">
        <v>1000</v>
      </c>
      <c r="CP192" s="102">
        <f t="shared" si="459"/>
        <v>43700</v>
      </c>
      <c r="CQ192" s="99">
        <v>800</v>
      </c>
      <c r="CR192" s="113">
        <v>1000</v>
      </c>
      <c r="CS192" s="102">
        <f t="shared" si="460"/>
        <v>43500</v>
      </c>
      <c r="CT192" s="99">
        <v>800</v>
      </c>
      <c r="CU192" s="113">
        <v>1000</v>
      </c>
      <c r="CV192" s="102">
        <f t="shared" si="461"/>
        <v>43300</v>
      </c>
      <c r="CW192" s="99">
        <v>800</v>
      </c>
      <c r="CX192" s="113">
        <v>1000</v>
      </c>
      <c r="CY192" s="102">
        <f t="shared" si="462"/>
        <v>43100</v>
      </c>
    </row>
    <row r="193" spans="1:103">
      <c r="A193" s="41">
        <f>VLOOKUP(B193,справочник!$B$2:$E$322,4,FALSE)</f>
        <v>218</v>
      </c>
      <c r="B193" t="str">
        <f t="shared" si="258"/>
        <v>227Молчанова Ирина Владимировна</v>
      </c>
      <c r="C193" s="10">
        <v>227</v>
      </c>
      <c r="D193" s="2" t="s">
        <v>176</v>
      </c>
      <c r="E193" s="1" t="s">
        <v>492</v>
      </c>
      <c r="F193" s="16">
        <v>40793</v>
      </c>
      <c r="G193" s="16">
        <v>40787</v>
      </c>
      <c r="H193" s="17">
        <f t="shared" si="463"/>
        <v>52</v>
      </c>
      <c r="I193" s="1">
        <f t="shared" si="464"/>
        <v>52000</v>
      </c>
      <c r="J193" s="17">
        <v>33000</v>
      </c>
      <c r="K193" s="17">
        <v>5000</v>
      </c>
      <c r="L193" s="18">
        <f t="shared" si="465"/>
        <v>14000</v>
      </c>
      <c r="M193" s="29"/>
      <c r="N193" s="29"/>
      <c r="O193" s="29">
        <v>1000</v>
      </c>
      <c r="P193" s="29"/>
      <c r="Q193" s="29"/>
      <c r="R193" s="29">
        <v>5000</v>
      </c>
      <c r="S193" s="92">
        <v>12000</v>
      </c>
      <c r="T193" s="29"/>
      <c r="U193" s="29">
        <v>3200</v>
      </c>
      <c r="V193" s="29"/>
      <c r="W193" s="29"/>
      <c r="X193" s="29">
        <v>2400</v>
      </c>
      <c r="Y193" s="18">
        <f t="shared" si="261"/>
        <v>23600</v>
      </c>
      <c r="Z193" s="96">
        <v>12</v>
      </c>
      <c r="AA193" s="96">
        <f t="shared" si="262"/>
        <v>9600</v>
      </c>
      <c r="AB193" s="96">
        <f t="shared" si="263"/>
        <v>0</v>
      </c>
      <c r="AC193" s="99">
        <v>800</v>
      </c>
      <c r="AD193" s="98"/>
      <c r="AE193" s="102">
        <f t="shared" si="264"/>
        <v>800</v>
      </c>
      <c r="AF193" s="99">
        <v>800</v>
      </c>
      <c r="AG193" s="98">
        <v>800</v>
      </c>
      <c r="AH193" s="102">
        <f t="shared" si="439"/>
        <v>800</v>
      </c>
      <c r="AI193" s="99">
        <v>800</v>
      </c>
      <c r="AJ193" s="98">
        <v>800</v>
      </c>
      <c r="AK193" s="102">
        <f t="shared" si="440"/>
        <v>800</v>
      </c>
      <c r="AL193" s="99">
        <v>800</v>
      </c>
      <c r="AM193" s="98"/>
      <c r="AN193" s="102">
        <f t="shared" si="441"/>
        <v>1600</v>
      </c>
      <c r="AO193" s="99">
        <v>800</v>
      </c>
      <c r="AP193" s="113"/>
      <c r="AQ193" s="102">
        <f t="shared" si="442"/>
        <v>2400</v>
      </c>
      <c r="AR193" s="99">
        <v>800</v>
      </c>
      <c r="AS193" s="113">
        <v>2400</v>
      </c>
      <c r="AT193" s="102">
        <f t="shared" si="443"/>
        <v>800</v>
      </c>
      <c r="AU193" s="99">
        <v>800</v>
      </c>
      <c r="AV193" s="113"/>
      <c r="AW193" s="102">
        <f t="shared" si="444"/>
        <v>1600</v>
      </c>
      <c r="AX193" s="99">
        <v>800</v>
      </c>
      <c r="AY193" s="113">
        <v>1600</v>
      </c>
      <c r="AZ193" s="102">
        <f t="shared" si="445"/>
        <v>800</v>
      </c>
      <c r="BA193" s="99">
        <v>800</v>
      </c>
      <c r="BB193" s="113"/>
      <c r="BC193" s="102">
        <f t="shared" si="446"/>
        <v>1600</v>
      </c>
      <c r="BD193" s="99">
        <v>800</v>
      </c>
      <c r="BE193" s="113"/>
      <c r="BF193" s="102">
        <f t="shared" si="447"/>
        <v>2400</v>
      </c>
      <c r="BG193" s="99">
        <v>800</v>
      </c>
      <c r="BH193" s="113"/>
      <c r="BI193" s="102">
        <f t="shared" si="448"/>
        <v>3200</v>
      </c>
      <c r="BJ193" s="99">
        <v>800</v>
      </c>
      <c r="BK193" s="113"/>
      <c r="BL193" s="102">
        <f t="shared" si="449"/>
        <v>4000</v>
      </c>
      <c r="BM193" s="99">
        <v>800</v>
      </c>
      <c r="BN193" s="113"/>
      <c r="BO193" s="102">
        <f t="shared" si="450"/>
        <v>4800</v>
      </c>
      <c r="BP193" s="99">
        <v>800</v>
      </c>
      <c r="BQ193" s="113"/>
      <c r="BR193" s="102">
        <f t="shared" si="451"/>
        <v>5600</v>
      </c>
      <c r="BS193" s="99">
        <v>800</v>
      </c>
      <c r="BT193" s="113"/>
      <c r="BU193" s="102">
        <f t="shared" si="452"/>
        <v>6400</v>
      </c>
      <c r="BV193" s="99">
        <v>800</v>
      </c>
      <c r="BW193" s="113">
        <v>13600</v>
      </c>
      <c r="BX193" s="102">
        <f t="shared" si="453"/>
        <v>-6400</v>
      </c>
      <c r="BY193" s="99">
        <v>800</v>
      </c>
      <c r="BZ193" s="113"/>
      <c r="CA193" s="102">
        <f t="shared" si="454"/>
        <v>-5600</v>
      </c>
      <c r="CB193" s="99">
        <v>800</v>
      </c>
      <c r="CC193" s="113"/>
      <c r="CD193" s="102">
        <f t="shared" si="455"/>
        <v>-4800</v>
      </c>
      <c r="CE193" s="99">
        <v>800</v>
      </c>
      <c r="CF193" s="113"/>
      <c r="CG193" s="102">
        <f t="shared" si="456"/>
        <v>-4000</v>
      </c>
      <c r="CH193" s="99">
        <v>800</v>
      </c>
      <c r="CI193" s="113"/>
      <c r="CJ193" s="102">
        <f t="shared" si="457"/>
        <v>-3200</v>
      </c>
      <c r="CK193" s="99">
        <v>800</v>
      </c>
      <c r="CL193" s="113"/>
      <c r="CM193" s="102">
        <f t="shared" si="458"/>
        <v>-2400</v>
      </c>
      <c r="CN193" s="99">
        <v>800</v>
      </c>
      <c r="CO193" s="113"/>
      <c r="CP193" s="102">
        <f t="shared" si="459"/>
        <v>-1600</v>
      </c>
      <c r="CQ193" s="99">
        <v>800</v>
      </c>
      <c r="CR193" s="113"/>
      <c r="CS193" s="102">
        <f t="shared" si="460"/>
        <v>-800</v>
      </c>
      <c r="CT193" s="99">
        <v>800</v>
      </c>
      <c r="CU193" s="113"/>
      <c r="CV193" s="102">
        <f t="shared" si="461"/>
        <v>0</v>
      </c>
      <c r="CW193" s="99">
        <v>800</v>
      </c>
      <c r="CX193" s="113"/>
      <c r="CY193" s="102">
        <f t="shared" si="462"/>
        <v>800</v>
      </c>
    </row>
    <row r="194" spans="1:103">
      <c r="A194" s="41" t="e">
        <f>VLOOKUP(B194,справочник!$B$2:$E$322,4,FALSE)</f>
        <v>#N/A</v>
      </c>
      <c r="B194" t="str">
        <f t="shared" si="258"/>
        <v>125Мудрак Владимир Григорьевич</v>
      </c>
      <c r="C194" s="1">
        <v>125</v>
      </c>
      <c r="D194" s="2" t="s">
        <v>782</v>
      </c>
      <c r="E194" s="1" t="s">
        <v>493</v>
      </c>
      <c r="F194" s="16">
        <v>41417</v>
      </c>
      <c r="G194" s="16">
        <v>41426</v>
      </c>
      <c r="H194" s="17">
        <f t="shared" si="463"/>
        <v>31</v>
      </c>
      <c r="I194" s="1">
        <f t="shared" si="464"/>
        <v>31000</v>
      </c>
      <c r="J194" s="17">
        <v>21000</v>
      </c>
      <c r="K194" s="17"/>
      <c r="L194" s="18">
        <f t="shared" si="465"/>
        <v>10000</v>
      </c>
      <c r="M194" s="29">
        <v>5000</v>
      </c>
      <c r="N194" s="29">
        <v>6600</v>
      </c>
      <c r="O194" s="29">
        <v>2000</v>
      </c>
      <c r="P194" s="29"/>
      <c r="Q194" s="29"/>
      <c r="R194" s="29">
        <v>1200</v>
      </c>
      <c r="S194" s="29"/>
      <c r="T194" s="29"/>
      <c r="U194" s="29"/>
      <c r="V194" s="29">
        <v>3200</v>
      </c>
      <c r="W194" s="29"/>
      <c r="X194" s="29">
        <v>1600</v>
      </c>
      <c r="Y194" s="18">
        <f t="shared" si="261"/>
        <v>19600</v>
      </c>
      <c r="Z194" s="96">
        <v>12</v>
      </c>
      <c r="AA194" s="96">
        <f t="shared" si="262"/>
        <v>9600</v>
      </c>
      <c r="AB194" s="96">
        <f t="shared" si="263"/>
        <v>0</v>
      </c>
      <c r="AC194" s="99">
        <v>800</v>
      </c>
      <c r="AD194" s="98"/>
      <c r="AE194" s="102">
        <f t="shared" si="264"/>
        <v>800</v>
      </c>
      <c r="AF194" s="99">
        <v>800</v>
      </c>
      <c r="AG194" s="98"/>
      <c r="AH194" s="102">
        <f t="shared" si="439"/>
        <v>1600</v>
      </c>
      <c r="AI194" s="99">
        <v>800</v>
      </c>
      <c r="AJ194" s="98"/>
      <c r="AK194" s="102">
        <f t="shared" si="440"/>
        <v>2400</v>
      </c>
      <c r="AL194" s="99">
        <v>800</v>
      </c>
      <c r="AM194" s="98"/>
      <c r="AN194" s="102">
        <f t="shared" si="441"/>
        <v>3200</v>
      </c>
      <c r="AO194" s="99">
        <v>800</v>
      </c>
      <c r="AP194" s="113"/>
      <c r="AQ194" s="102">
        <f t="shared" si="442"/>
        <v>4000</v>
      </c>
      <c r="AR194" s="99">
        <v>800</v>
      </c>
      <c r="AS194" s="113"/>
      <c r="AT194" s="102">
        <f t="shared" si="443"/>
        <v>4800</v>
      </c>
      <c r="AU194" s="99">
        <v>800</v>
      </c>
      <c r="AV194" s="113"/>
      <c r="AW194" s="102">
        <f t="shared" si="444"/>
        <v>5600</v>
      </c>
      <c r="AX194" s="99">
        <v>800</v>
      </c>
      <c r="AY194" s="113">
        <v>2400</v>
      </c>
      <c r="AZ194" s="102">
        <f t="shared" si="445"/>
        <v>4000</v>
      </c>
      <c r="BA194" s="99">
        <v>800</v>
      </c>
      <c r="BB194" s="113"/>
      <c r="BC194" s="102">
        <f t="shared" si="446"/>
        <v>4800</v>
      </c>
      <c r="BD194" s="99">
        <v>800</v>
      </c>
      <c r="BE194" s="113"/>
      <c r="BF194" s="102">
        <f t="shared" si="447"/>
        <v>5600</v>
      </c>
      <c r="BG194" s="99">
        <v>800</v>
      </c>
      <c r="BH194" s="113">
        <f>3200+800</f>
        <v>4000</v>
      </c>
      <c r="BI194" s="102">
        <f t="shared" si="448"/>
        <v>2400</v>
      </c>
      <c r="BJ194" s="99">
        <v>800</v>
      </c>
      <c r="BK194" s="113">
        <v>3200</v>
      </c>
      <c r="BL194" s="102">
        <f t="shared" si="449"/>
        <v>0</v>
      </c>
      <c r="BM194" s="99">
        <v>800</v>
      </c>
      <c r="BN194" s="113"/>
      <c r="BO194" s="102">
        <f t="shared" si="450"/>
        <v>800</v>
      </c>
      <c r="BP194" s="99">
        <v>800</v>
      </c>
      <c r="BQ194" s="113"/>
      <c r="BR194" s="102">
        <f t="shared" si="451"/>
        <v>1600</v>
      </c>
      <c r="BS194" s="99">
        <v>800</v>
      </c>
      <c r="BT194" s="113"/>
      <c r="BU194" s="102">
        <f t="shared" si="452"/>
        <v>2400</v>
      </c>
      <c r="BV194" s="99">
        <v>800</v>
      </c>
      <c r="BW194" s="113"/>
      <c r="BX194" s="102">
        <f t="shared" si="453"/>
        <v>3200</v>
      </c>
      <c r="BY194" s="99">
        <v>800</v>
      </c>
      <c r="BZ194" s="113">
        <v>5000</v>
      </c>
      <c r="CA194" s="102">
        <f t="shared" si="454"/>
        <v>-1000</v>
      </c>
      <c r="CB194" s="99">
        <v>800</v>
      </c>
      <c r="CC194" s="113"/>
      <c r="CD194" s="102">
        <f t="shared" si="455"/>
        <v>-200</v>
      </c>
      <c r="CE194" s="99">
        <v>800</v>
      </c>
      <c r="CF194" s="113"/>
      <c r="CG194" s="102">
        <f t="shared" si="456"/>
        <v>600</v>
      </c>
      <c r="CH194" s="99">
        <v>800</v>
      </c>
      <c r="CI194" s="113"/>
      <c r="CJ194" s="102">
        <f t="shared" si="457"/>
        <v>1400</v>
      </c>
      <c r="CK194" s="99">
        <v>800</v>
      </c>
      <c r="CL194" s="113">
        <v>3000</v>
      </c>
      <c r="CM194" s="102">
        <f t="shared" si="458"/>
        <v>-800</v>
      </c>
      <c r="CN194" s="99">
        <v>800</v>
      </c>
      <c r="CO194" s="113"/>
      <c r="CP194" s="102">
        <f t="shared" si="459"/>
        <v>0</v>
      </c>
      <c r="CQ194" s="99">
        <v>800</v>
      </c>
      <c r="CR194" s="113"/>
      <c r="CS194" s="102">
        <f t="shared" si="460"/>
        <v>800</v>
      </c>
      <c r="CT194" s="99">
        <v>800</v>
      </c>
      <c r="CU194" s="113">
        <v>2000</v>
      </c>
      <c r="CV194" s="102">
        <f t="shared" si="461"/>
        <v>-400</v>
      </c>
      <c r="CW194" s="99">
        <v>800</v>
      </c>
      <c r="CX194" s="113"/>
      <c r="CY194" s="102">
        <f t="shared" si="462"/>
        <v>400</v>
      </c>
    </row>
    <row r="195" spans="1:103">
      <c r="A195" s="41">
        <f>VLOOKUP(B195,справочник!$B$2:$E$322,4,FALSE)</f>
        <v>287</v>
      </c>
      <c r="B195" t="str">
        <f t="shared" si="258"/>
        <v>299Мурадова Альбина Сергеевна</v>
      </c>
      <c r="C195" s="1">
        <v>299</v>
      </c>
      <c r="D195" s="2" t="s">
        <v>178</v>
      </c>
      <c r="E195" s="1" t="s">
        <v>494</v>
      </c>
      <c r="F195" s="16">
        <v>41897</v>
      </c>
      <c r="G195" s="16">
        <v>41913</v>
      </c>
      <c r="H195" s="17">
        <f t="shared" si="463"/>
        <v>15</v>
      </c>
      <c r="I195" s="1">
        <f t="shared" si="464"/>
        <v>15000</v>
      </c>
      <c r="J195" s="17">
        <v>13000</v>
      </c>
      <c r="K195" s="17"/>
      <c r="L195" s="18">
        <f t="shared" si="465"/>
        <v>2000</v>
      </c>
      <c r="M195" s="29"/>
      <c r="N195" s="29"/>
      <c r="O195" s="29"/>
      <c r="P195" s="29"/>
      <c r="Q195" s="29"/>
      <c r="R195" s="29"/>
      <c r="S195" s="29">
        <v>5200</v>
      </c>
      <c r="T195" s="29"/>
      <c r="U195" s="29"/>
      <c r="V195" s="29"/>
      <c r="W195" s="29"/>
      <c r="X195" s="29">
        <v>5600</v>
      </c>
      <c r="Y195" s="18">
        <f t="shared" si="261"/>
        <v>10800</v>
      </c>
      <c r="Z195" s="96">
        <v>12</v>
      </c>
      <c r="AA195" s="96">
        <f t="shared" si="262"/>
        <v>9600</v>
      </c>
      <c r="AB195" s="96">
        <f t="shared" si="263"/>
        <v>800</v>
      </c>
      <c r="AC195" s="99">
        <v>800</v>
      </c>
      <c r="AD195" s="98"/>
      <c r="AE195" s="102">
        <f t="shared" si="264"/>
        <v>1600</v>
      </c>
      <c r="AF195" s="99">
        <v>800</v>
      </c>
      <c r="AG195" s="98">
        <f>1600</f>
        <v>1600</v>
      </c>
      <c r="AH195" s="102">
        <f t="shared" si="439"/>
        <v>800</v>
      </c>
      <c r="AI195" s="99">
        <v>800</v>
      </c>
      <c r="AJ195" s="98">
        <v>1800</v>
      </c>
      <c r="AK195" s="102">
        <f t="shared" si="440"/>
        <v>-200</v>
      </c>
      <c r="AL195" s="99">
        <v>800</v>
      </c>
      <c r="AM195" s="98"/>
      <c r="AN195" s="102">
        <f t="shared" si="441"/>
        <v>600</v>
      </c>
      <c r="AO195" s="99">
        <v>800</v>
      </c>
      <c r="AP195" s="113">
        <v>1600</v>
      </c>
      <c r="AQ195" s="102">
        <f t="shared" si="442"/>
        <v>-200</v>
      </c>
      <c r="AR195" s="99">
        <v>800</v>
      </c>
      <c r="AS195" s="113">
        <v>1600</v>
      </c>
      <c r="AT195" s="102">
        <f t="shared" si="443"/>
        <v>-1000</v>
      </c>
      <c r="AU195" s="99">
        <v>800</v>
      </c>
      <c r="AV195" s="113"/>
      <c r="AW195" s="102">
        <f t="shared" si="444"/>
        <v>-200</v>
      </c>
      <c r="AX195" s="99">
        <v>800</v>
      </c>
      <c r="AY195" s="113"/>
      <c r="AZ195" s="102">
        <f t="shared" si="445"/>
        <v>600</v>
      </c>
      <c r="BA195" s="99">
        <v>800</v>
      </c>
      <c r="BB195" s="113"/>
      <c r="BC195" s="102">
        <f t="shared" si="446"/>
        <v>1400</v>
      </c>
      <c r="BD195" s="99">
        <v>800</v>
      </c>
      <c r="BE195" s="113"/>
      <c r="BF195" s="102">
        <f t="shared" si="447"/>
        <v>2200</v>
      </c>
      <c r="BG195" s="99">
        <v>800</v>
      </c>
      <c r="BH195" s="113">
        <v>2400</v>
      </c>
      <c r="BI195" s="102">
        <f t="shared" si="448"/>
        <v>600</v>
      </c>
      <c r="BJ195" s="99">
        <v>800</v>
      </c>
      <c r="BK195" s="113"/>
      <c r="BL195" s="102">
        <f t="shared" si="449"/>
        <v>1400</v>
      </c>
      <c r="BM195" s="99">
        <v>800</v>
      </c>
      <c r="BN195" s="113"/>
      <c r="BO195" s="102">
        <f t="shared" si="450"/>
        <v>2200</v>
      </c>
      <c r="BP195" s="99">
        <v>800</v>
      </c>
      <c r="BQ195" s="113"/>
      <c r="BR195" s="102">
        <f t="shared" si="451"/>
        <v>3000</v>
      </c>
      <c r="BS195" s="99">
        <v>800</v>
      </c>
      <c r="BT195" s="113"/>
      <c r="BU195" s="102">
        <f t="shared" si="452"/>
        <v>3800</v>
      </c>
      <c r="BV195" s="99">
        <v>800</v>
      </c>
      <c r="BW195" s="113">
        <v>5000</v>
      </c>
      <c r="BX195" s="102">
        <f t="shared" si="453"/>
        <v>-400</v>
      </c>
      <c r="BY195" s="99">
        <v>800</v>
      </c>
      <c r="BZ195" s="113"/>
      <c r="CA195" s="102">
        <f t="shared" si="454"/>
        <v>400</v>
      </c>
      <c r="CB195" s="99">
        <v>800</v>
      </c>
      <c r="CC195" s="113"/>
      <c r="CD195" s="102">
        <f t="shared" si="455"/>
        <v>1200</v>
      </c>
      <c r="CE195" s="99">
        <v>800</v>
      </c>
      <c r="CF195" s="113">
        <v>5000</v>
      </c>
      <c r="CG195" s="102">
        <f t="shared" si="456"/>
        <v>-3000</v>
      </c>
      <c r="CH195" s="99">
        <v>800</v>
      </c>
      <c r="CI195" s="113"/>
      <c r="CJ195" s="102">
        <f t="shared" si="457"/>
        <v>-2200</v>
      </c>
      <c r="CK195" s="99">
        <v>800</v>
      </c>
      <c r="CL195" s="113"/>
      <c r="CM195" s="102">
        <f t="shared" si="458"/>
        <v>-1400</v>
      </c>
      <c r="CN195" s="99">
        <v>800</v>
      </c>
      <c r="CO195" s="113"/>
      <c r="CP195" s="102">
        <f t="shared" si="459"/>
        <v>-600</v>
      </c>
      <c r="CQ195" s="99">
        <v>800</v>
      </c>
      <c r="CR195" s="113"/>
      <c r="CS195" s="102">
        <f t="shared" si="460"/>
        <v>200</v>
      </c>
      <c r="CT195" s="99">
        <v>800</v>
      </c>
      <c r="CU195" s="113"/>
      <c r="CV195" s="102">
        <f t="shared" si="461"/>
        <v>1000</v>
      </c>
      <c r="CW195" s="99">
        <v>800</v>
      </c>
      <c r="CX195" s="113"/>
      <c r="CY195" s="102">
        <f t="shared" si="462"/>
        <v>1800</v>
      </c>
    </row>
    <row r="196" spans="1:103" s="80" customFormat="1">
      <c r="A196" s="103">
        <f>VLOOKUP(B196,справочник!$B$2:$E$322,4,FALSE)</f>
        <v>170</v>
      </c>
      <c r="B196" s="80" t="str">
        <f t="shared" si="258"/>
        <v>178Науменко Дмитрий Александрович</v>
      </c>
      <c r="C196" s="5">
        <v>178</v>
      </c>
      <c r="D196" s="7" t="s">
        <v>179</v>
      </c>
      <c r="E196" s="5" t="s">
        <v>495</v>
      </c>
      <c r="F196" s="19">
        <v>41414</v>
      </c>
      <c r="G196" s="19">
        <v>41456</v>
      </c>
      <c r="H196" s="20">
        <f t="shared" si="463"/>
        <v>30</v>
      </c>
      <c r="I196" s="5">
        <f t="shared" si="464"/>
        <v>30000</v>
      </c>
      <c r="J196" s="20">
        <v>29000</v>
      </c>
      <c r="K196" s="20">
        <v>1000</v>
      </c>
      <c r="L196" s="21">
        <f t="shared" si="465"/>
        <v>0</v>
      </c>
      <c r="M196" s="109">
        <v>2400</v>
      </c>
      <c r="N196" s="109"/>
      <c r="O196" s="109">
        <v>2400</v>
      </c>
      <c r="P196" s="109"/>
      <c r="Q196" s="109"/>
      <c r="R196" s="109">
        <v>2400</v>
      </c>
      <c r="S196" s="109"/>
      <c r="T196" s="109"/>
      <c r="U196" s="109"/>
      <c r="V196" s="109">
        <v>2400</v>
      </c>
      <c r="W196" s="109"/>
      <c r="X196" s="109">
        <v>2400</v>
      </c>
      <c r="Y196" s="21">
        <f t="shared" si="261"/>
        <v>12000</v>
      </c>
      <c r="Z196" s="104">
        <v>12</v>
      </c>
      <c r="AA196" s="104">
        <f t="shared" si="262"/>
        <v>9600</v>
      </c>
      <c r="AB196" s="104">
        <f t="shared" si="263"/>
        <v>-2400</v>
      </c>
      <c r="AC196" s="104">
        <v>800</v>
      </c>
      <c r="AD196" s="105"/>
      <c r="AE196" s="222">
        <f>SUM(AB196:AB197)+SUM(AC196:AC197)-SUM(AD196:AD197)</f>
        <v>-3600</v>
      </c>
      <c r="AF196" s="104">
        <v>800</v>
      </c>
      <c r="AG196" s="105"/>
      <c r="AH196" s="222">
        <f>SUM(AE196:AE197)+SUM(AF196:AF197)-SUM(AG196:AG197)</f>
        <v>-2800</v>
      </c>
      <c r="AI196" s="104">
        <v>800</v>
      </c>
      <c r="AJ196" s="105"/>
      <c r="AK196" s="222">
        <f>SUM(AH196:AH197)+SUM(AI196:AI197)-SUM(AJ196:AJ197)</f>
        <v>-2000</v>
      </c>
      <c r="AL196" s="104">
        <v>800</v>
      </c>
      <c r="AM196" s="105">
        <v>3200</v>
      </c>
      <c r="AN196" s="222">
        <f>SUM(AK196:AK197)+SUM(AL196:AL197)-SUM(AM196:AM197)</f>
        <v>-4400</v>
      </c>
      <c r="AO196" s="104">
        <v>800</v>
      </c>
      <c r="AP196" s="105"/>
      <c r="AQ196" s="222">
        <f>SUM(AN196:AN197)+SUM(AO196:AO197)-SUM(AP196:AP197)</f>
        <v>-3600</v>
      </c>
      <c r="AR196" s="104">
        <v>800</v>
      </c>
      <c r="AS196" s="105"/>
      <c r="AT196" s="222">
        <f>SUM(AQ196:AQ197)+SUM(AR196:AR197)-SUM(AS196:AS197)</f>
        <v>-2800</v>
      </c>
      <c r="AU196" s="104">
        <v>800</v>
      </c>
      <c r="AV196" s="105"/>
      <c r="AW196" s="216">
        <f>SUM(AT196:AT197)+SUM(AU196:AU197)-SUM(AV196:AV197)</f>
        <v>-2000</v>
      </c>
      <c r="AX196" s="104">
        <v>800</v>
      </c>
      <c r="AY196" s="105"/>
      <c r="AZ196" s="216">
        <f>SUM(AW196:AW197)+SUM(AX196:AX197)-SUM(AY196:AY197)</f>
        <v>-1200</v>
      </c>
      <c r="BA196" s="104">
        <v>800</v>
      </c>
      <c r="BB196" s="105"/>
      <c r="BC196" s="216">
        <f>SUM(AZ196:AZ197)+SUM(BA196:BA197)-SUM(BB196:BB197)</f>
        <v>-400</v>
      </c>
      <c r="BD196" s="104">
        <v>800</v>
      </c>
      <c r="BE196" s="105">
        <v>2400</v>
      </c>
      <c r="BF196" s="216">
        <f>SUM(BC196:BC197)+SUM(BD196:BD197)-SUM(BE196:BE197)</f>
        <v>-2000</v>
      </c>
      <c r="BG196" s="104">
        <v>800</v>
      </c>
      <c r="BH196" s="105"/>
      <c r="BI196" s="216">
        <f>SUM(BF196:BF197)+SUM(BG196:BG197)-SUM(BH196:BH197)</f>
        <v>-1200</v>
      </c>
      <c r="BJ196" s="104">
        <v>800</v>
      </c>
      <c r="BK196" s="105"/>
      <c r="BL196" s="216">
        <f>SUM(BI196:BI197)+SUM(BJ196:BJ197)-SUM(BK196:BK197)</f>
        <v>-400</v>
      </c>
      <c r="BM196" s="104">
        <v>800</v>
      </c>
      <c r="BN196" s="105"/>
      <c r="BO196" s="216">
        <f>SUM(BL196:BL197)+SUM(BM196:BM197)-SUM(BN196:BN197)</f>
        <v>400</v>
      </c>
      <c r="BP196" s="104">
        <v>800</v>
      </c>
      <c r="BQ196" s="105"/>
      <c r="BR196" s="216">
        <f>SUM(BO196:BO197)+SUM(BP196:BP197)-SUM(BQ196:BQ197)</f>
        <v>1200</v>
      </c>
      <c r="BS196" s="104">
        <v>800</v>
      </c>
      <c r="BT196" s="105"/>
      <c r="BU196" s="216">
        <f>SUM(BR196:BR197)+SUM(BS196:BS197)-SUM(BT196:BT197)</f>
        <v>2000</v>
      </c>
      <c r="BV196" s="104">
        <v>800</v>
      </c>
      <c r="BW196" s="105"/>
      <c r="BX196" s="216">
        <f>SUM(BU196:BU197)+SUM(BV196:BV197)-SUM(BW196:BW197)</f>
        <v>-2000</v>
      </c>
      <c r="BY196" s="104">
        <v>800</v>
      </c>
      <c r="BZ196" s="105"/>
      <c r="CA196" s="216">
        <f>SUM(BX196:BX197)+SUM(BY196:BY197)-SUM(BZ196:BZ197)</f>
        <v>-1200</v>
      </c>
      <c r="CB196" s="104">
        <v>800</v>
      </c>
      <c r="CC196" s="105"/>
      <c r="CD196" s="216">
        <f>SUM(CA196:CA197)+SUM(CB196:CB197)-SUM(CC196:CC197)</f>
        <v>-400</v>
      </c>
      <c r="CE196" s="104">
        <v>800</v>
      </c>
      <c r="CF196" s="105"/>
      <c r="CG196" s="216">
        <f>SUM(CD196:CD197)+SUM(CE196:CE197)-SUM(CF196:CF197)</f>
        <v>400</v>
      </c>
      <c r="CH196" s="104">
        <v>800</v>
      </c>
      <c r="CI196" s="105"/>
      <c r="CJ196" s="216">
        <f>SUM(CG196:CG197)+SUM(CH196:CH197)-SUM(CI196:CI197)</f>
        <v>-800</v>
      </c>
      <c r="CK196" s="104">
        <v>800</v>
      </c>
      <c r="CL196" s="105"/>
      <c r="CM196" s="216">
        <f>SUM(CJ196:CJ197)+SUM(CK196:CK197)-SUM(CL196:CL197)</f>
        <v>0</v>
      </c>
      <c r="CN196" s="104">
        <v>800</v>
      </c>
      <c r="CO196" s="105"/>
      <c r="CP196" s="216">
        <f>SUM(CM196:CM197)+SUM(CN196:CN197)-SUM(CO196:CO197)</f>
        <v>800</v>
      </c>
      <c r="CQ196" s="104">
        <v>800</v>
      </c>
      <c r="CR196" s="105"/>
      <c r="CS196" s="216">
        <f>CP196+CQ196-CR196</f>
        <v>1600</v>
      </c>
      <c r="CT196" s="104">
        <v>800</v>
      </c>
      <c r="CU196" s="105"/>
      <c r="CV196" s="216">
        <f>CS196+CT196-CU196</f>
        <v>2400</v>
      </c>
      <c r="CW196" s="104">
        <v>800</v>
      </c>
      <c r="CX196" s="105">
        <v>4000</v>
      </c>
      <c r="CY196" s="216">
        <f>CV196+CW196-CX196</f>
        <v>-800</v>
      </c>
    </row>
    <row r="197" spans="1:103" s="80" customFormat="1">
      <c r="A197" s="103">
        <f>VLOOKUP(B197,справочник!$B$2:$E$322,4,FALSE)</f>
        <v>170</v>
      </c>
      <c r="B197" s="80" t="str">
        <f t="shared" si="258"/>
        <v>179Науменко Дмитрий Александрович</v>
      </c>
      <c r="C197" s="5">
        <v>179</v>
      </c>
      <c r="D197" s="7" t="s">
        <v>179</v>
      </c>
      <c r="E197" s="5" t="s">
        <v>496</v>
      </c>
      <c r="F197" s="19">
        <v>41414</v>
      </c>
      <c r="G197" s="19">
        <v>41456</v>
      </c>
      <c r="H197" s="20">
        <v>28</v>
      </c>
      <c r="I197" s="5">
        <f t="shared" si="464"/>
        <v>28000</v>
      </c>
      <c r="J197" s="20">
        <v>29000</v>
      </c>
      <c r="K197" s="20">
        <v>1000</v>
      </c>
      <c r="L197" s="21">
        <f t="shared" si="465"/>
        <v>-2000</v>
      </c>
      <c r="M197" s="109"/>
      <c r="N197" s="109"/>
      <c r="O197" s="109"/>
      <c r="P197" s="109"/>
      <c r="Q197" s="109"/>
      <c r="R197" s="109"/>
      <c r="S197" s="109"/>
      <c r="T197" s="109"/>
      <c r="U197" s="109"/>
      <c r="V197" s="109"/>
      <c r="W197" s="109"/>
      <c r="X197" s="109"/>
      <c r="Y197" s="21">
        <f t="shared" si="261"/>
        <v>0</v>
      </c>
      <c r="Z197" s="104">
        <v>0</v>
      </c>
      <c r="AA197" s="104">
        <f t="shared" si="262"/>
        <v>0</v>
      </c>
      <c r="AB197" s="104">
        <f t="shared" si="263"/>
        <v>-2000</v>
      </c>
      <c r="AC197" s="104">
        <v>0</v>
      </c>
      <c r="AD197" s="105"/>
      <c r="AE197" s="223"/>
      <c r="AF197" s="104">
        <v>0</v>
      </c>
      <c r="AG197" s="105"/>
      <c r="AH197" s="223"/>
      <c r="AI197" s="104">
        <v>0</v>
      </c>
      <c r="AJ197" s="105"/>
      <c r="AK197" s="223"/>
      <c r="AL197" s="104">
        <v>0</v>
      </c>
      <c r="AM197" s="105"/>
      <c r="AN197" s="223"/>
      <c r="AO197" s="104">
        <v>0</v>
      </c>
      <c r="AP197" s="105"/>
      <c r="AQ197" s="223"/>
      <c r="AR197" s="104">
        <v>0</v>
      </c>
      <c r="AS197" s="105"/>
      <c r="AT197" s="223"/>
      <c r="AU197" s="104">
        <v>0</v>
      </c>
      <c r="AV197" s="105"/>
      <c r="AW197" s="217"/>
      <c r="AX197" s="104">
        <v>0</v>
      </c>
      <c r="AY197" s="105"/>
      <c r="AZ197" s="217"/>
      <c r="BA197" s="104">
        <v>0</v>
      </c>
      <c r="BB197" s="105"/>
      <c r="BC197" s="217"/>
      <c r="BD197" s="104">
        <v>0</v>
      </c>
      <c r="BE197" s="105"/>
      <c r="BF197" s="217"/>
      <c r="BG197" s="104">
        <v>0</v>
      </c>
      <c r="BH197" s="105"/>
      <c r="BI197" s="217"/>
      <c r="BJ197" s="104">
        <v>0</v>
      </c>
      <c r="BK197" s="105"/>
      <c r="BL197" s="217"/>
      <c r="BM197" s="104">
        <v>0</v>
      </c>
      <c r="BN197" s="105"/>
      <c r="BO197" s="217"/>
      <c r="BP197" s="104">
        <v>0</v>
      </c>
      <c r="BQ197" s="105"/>
      <c r="BR197" s="217"/>
      <c r="BS197" s="104">
        <v>0</v>
      </c>
      <c r="BT197" s="105"/>
      <c r="BU197" s="217"/>
      <c r="BV197" s="104">
        <v>0</v>
      </c>
      <c r="BW197" s="105">
        <f>1600+3200</f>
        <v>4800</v>
      </c>
      <c r="BX197" s="217"/>
      <c r="BY197" s="104">
        <v>0</v>
      </c>
      <c r="BZ197" s="105"/>
      <c r="CA197" s="217"/>
      <c r="CB197" s="104">
        <v>0</v>
      </c>
      <c r="CC197" s="105"/>
      <c r="CD197" s="217"/>
      <c r="CE197" s="104">
        <v>0</v>
      </c>
      <c r="CF197" s="105"/>
      <c r="CG197" s="217"/>
      <c r="CH197" s="104">
        <v>0</v>
      </c>
      <c r="CI197" s="105">
        <v>2000</v>
      </c>
      <c r="CJ197" s="217"/>
      <c r="CK197" s="104">
        <v>0</v>
      </c>
      <c r="CL197" s="105"/>
      <c r="CM197" s="217"/>
      <c r="CN197" s="104">
        <v>0</v>
      </c>
      <c r="CO197" s="105"/>
      <c r="CP197" s="217"/>
      <c r="CQ197" s="104">
        <v>0</v>
      </c>
      <c r="CR197" s="105"/>
      <c r="CS197" s="217"/>
      <c r="CT197" s="104">
        <v>0</v>
      </c>
      <c r="CU197" s="105"/>
      <c r="CV197" s="217"/>
      <c r="CW197" s="104">
        <v>0</v>
      </c>
      <c r="CX197" s="105"/>
      <c r="CY197" s="217"/>
    </row>
    <row r="198" spans="1:103">
      <c r="A198" s="41" t="e">
        <f>VLOOKUP(B198,справочник!$B$2:$E$322,4,FALSE)</f>
        <v>#N/A</v>
      </c>
      <c r="B198" t="str">
        <f t="shared" si="258"/>
        <v>303Недосенко Татьяна Сергеевна</v>
      </c>
      <c r="C198" s="1">
        <v>303</v>
      </c>
      <c r="D198" s="2" t="s">
        <v>805</v>
      </c>
      <c r="E198" s="1" t="s">
        <v>497</v>
      </c>
      <c r="F198" s="16">
        <v>40959</v>
      </c>
      <c r="G198" s="16">
        <v>40940</v>
      </c>
      <c r="H198" s="17">
        <f t="shared" ref="H198:H205" si="466">INT(($H$326-G198)/30)</f>
        <v>47</v>
      </c>
      <c r="I198" s="1">
        <f t="shared" si="464"/>
        <v>47000</v>
      </c>
      <c r="J198" s="17">
        <v>42000</v>
      </c>
      <c r="K198" s="17">
        <v>5000</v>
      </c>
      <c r="L198" s="18">
        <f t="shared" si="465"/>
        <v>0</v>
      </c>
      <c r="M198" s="29"/>
      <c r="N198" s="29"/>
      <c r="O198" s="29"/>
      <c r="P198" s="29"/>
      <c r="Q198" s="29">
        <v>5000</v>
      </c>
      <c r="R198" s="29"/>
      <c r="S198" s="29"/>
      <c r="T198" s="29"/>
      <c r="U198" s="29">
        <v>5000</v>
      </c>
      <c r="V198" s="29"/>
      <c r="W198" s="29"/>
      <c r="X198" s="29"/>
      <c r="Y198" s="18">
        <f t="shared" si="261"/>
        <v>10000</v>
      </c>
      <c r="Z198" s="96">
        <v>12</v>
      </c>
      <c r="AA198" s="96">
        <f t="shared" si="262"/>
        <v>9600</v>
      </c>
      <c r="AB198" s="96">
        <f t="shared" si="263"/>
        <v>-400</v>
      </c>
      <c r="AC198" s="99">
        <v>800</v>
      </c>
      <c r="AD198" s="98"/>
      <c r="AE198" s="102">
        <f t="shared" si="264"/>
        <v>400</v>
      </c>
      <c r="AF198" s="99">
        <v>800</v>
      </c>
      <c r="AG198" s="98"/>
      <c r="AH198" s="102">
        <f t="shared" ref="AH198:AH230" si="467">AE198+AF198-AG198</f>
        <v>1200</v>
      </c>
      <c r="AI198" s="99">
        <v>800</v>
      </c>
      <c r="AJ198" s="98">
        <v>5000</v>
      </c>
      <c r="AK198" s="102">
        <f t="shared" ref="AK198:AK230" si="468">AH198+AI198-AJ198</f>
        <v>-3000</v>
      </c>
      <c r="AL198" s="99">
        <v>800</v>
      </c>
      <c r="AM198" s="98"/>
      <c r="AN198" s="102">
        <f t="shared" ref="AN198:AN230" si="469">AK198+AL198-AM198</f>
        <v>-2200</v>
      </c>
      <c r="AO198" s="99">
        <v>800</v>
      </c>
      <c r="AP198" s="113"/>
      <c r="AQ198" s="102">
        <f t="shared" ref="AQ198:AQ230" si="470">AN198+AO198-AP198</f>
        <v>-1400</v>
      </c>
      <c r="AR198" s="99">
        <v>800</v>
      </c>
      <c r="AS198" s="113"/>
      <c r="AT198" s="102">
        <f t="shared" ref="AT198:AT230" si="471">AQ198+AR198-AS198</f>
        <v>-600</v>
      </c>
      <c r="AU198" s="99">
        <v>800</v>
      </c>
      <c r="AV198" s="113"/>
      <c r="AW198" s="102">
        <f t="shared" ref="AW198:AW230" si="472">AT198+AU198-AV198</f>
        <v>200</v>
      </c>
      <c r="AX198" s="99">
        <v>800</v>
      </c>
      <c r="AY198" s="113">
        <v>10000</v>
      </c>
      <c r="AZ198" s="102">
        <f t="shared" ref="AZ198:AZ230" si="473">AW198+AX198-AY198</f>
        <v>-9000</v>
      </c>
      <c r="BA198" s="99">
        <v>800</v>
      </c>
      <c r="BB198" s="113"/>
      <c r="BC198" s="102">
        <f t="shared" ref="BC198:BC210" si="474">AZ198+BA198-BB198</f>
        <v>-8200</v>
      </c>
      <c r="BD198" s="99">
        <v>800</v>
      </c>
      <c r="BE198" s="113"/>
      <c r="BF198" s="102">
        <f t="shared" ref="BF198:BF208" si="475">BC198+BD198-BE198</f>
        <v>-7400</v>
      </c>
      <c r="BG198" s="99">
        <v>800</v>
      </c>
      <c r="BH198" s="113"/>
      <c r="BI198" s="102">
        <f t="shared" ref="BI198:BI207" si="476">BF198+BG198-BH198</f>
        <v>-6600</v>
      </c>
      <c r="BJ198" s="99">
        <v>800</v>
      </c>
      <c r="BK198" s="113"/>
      <c r="BL198" s="102">
        <f t="shared" ref="BL198:BL207" si="477">BI198+BJ198-BK198</f>
        <v>-5800</v>
      </c>
      <c r="BM198" s="99">
        <v>800</v>
      </c>
      <c r="BN198" s="113"/>
      <c r="BO198" s="102">
        <f t="shared" ref="BO198:BO207" si="478">BL198+BM198-BN198</f>
        <v>-5000</v>
      </c>
      <c r="BP198" s="99">
        <v>800</v>
      </c>
      <c r="BQ198" s="113"/>
      <c r="BR198" s="102">
        <f t="shared" ref="BR198:BR207" si="479">BO198+BP198-BQ198</f>
        <v>-4200</v>
      </c>
      <c r="BS198" s="99">
        <v>800</v>
      </c>
      <c r="BT198" s="113"/>
      <c r="BU198" s="102">
        <f t="shared" ref="BU198:BU207" si="480">BR198+BS198-BT198</f>
        <v>-3400</v>
      </c>
      <c r="BV198" s="99">
        <v>800</v>
      </c>
      <c r="BW198" s="113"/>
      <c r="BX198" s="102">
        <f t="shared" ref="BX198:BX207" si="481">BU198+BV198-BW198</f>
        <v>-2600</v>
      </c>
      <c r="BY198" s="99">
        <v>800</v>
      </c>
      <c r="BZ198" s="113"/>
      <c r="CA198" s="102">
        <f t="shared" ref="CA198:CA207" si="482">BX198+BY198-BZ198</f>
        <v>-1800</v>
      </c>
      <c r="CB198" s="99">
        <v>800</v>
      </c>
      <c r="CC198" s="113"/>
      <c r="CD198" s="102">
        <f t="shared" ref="CD198:CD207" si="483">CA198+CB198-CC198</f>
        <v>-1000</v>
      </c>
      <c r="CE198" s="99">
        <v>800</v>
      </c>
      <c r="CF198" s="113"/>
      <c r="CG198" s="102">
        <f t="shared" ref="CG198:CG207" si="484">CD198+CE198-CF198</f>
        <v>-200</v>
      </c>
      <c r="CH198" s="99">
        <v>800</v>
      </c>
      <c r="CI198" s="113"/>
      <c r="CJ198" s="102">
        <f t="shared" ref="CJ198:CJ207" si="485">CG198+CH198-CI198</f>
        <v>600</v>
      </c>
      <c r="CK198" s="99">
        <v>800</v>
      </c>
      <c r="CL198" s="113"/>
      <c r="CM198" s="102">
        <f t="shared" ref="CM198:CM207" si="486">CJ198+CK198-CL198</f>
        <v>1400</v>
      </c>
      <c r="CN198" s="99">
        <v>800</v>
      </c>
      <c r="CO198" s="113"/>
      <c r="CP198" s="102">
        <f t="shared" ref="CP198:CP207" si="487">CM198+CN198-CO198</f>
        <v>2200</v>
      </c>
      <c r="CQ198" s="99">
        <v>800</v>
      </c>
      <c r="CR198" s="113"/>
      <c r="CS198" s="102">
        <f>CP198+CQ198-CR198</f>
        <v>3000</v>
      </c>
      <c r="CT198" s="99">
        <v>800</v>
      </c>
      <c r="CU198" s="113">
        <v>8600</v>
      </c>
      <c r="CV198" s="102">
        <f>CS198+CT198-CU198</f>
        <v>-4800</v>
      </c>
      <c r="CW198" s="99">
        <v>800</v>
      </c>
      <c r="CX198" s="113"/>
      <c r="CY198" s="102">
        <f>CV198+CW198-CX198</f>
        <v>-4000</v>
      </c>
    </row>
    <row r="199" spans="1:103">
      <c r="A199" s="41">
        <f>VLOOKUP(B199,справочник!$B$2:$E$322,4,FALSE)</f>
        <v>81</v>
      </c>
      <c r="B199" t="str">
        <f t="shared" ref="B199:B260" si="488">CONCATENATE(C199,D199)</f>
        <v>86Нелюбов Сергей Владимирович</v>
      </c>
      <c r="C199" s="1">
        <v>86</v>
      </c>
      <c r="D199" s="2" t="s">
        <v>181</v>
      </c>
      <c r="E199" s="1" t="s">
        <v>498</v>
      </c>
      <c r="F199" s="16">
        <v>40949</v>
      </c>
      <c r="G199" s="16">
        <v>40940</v>
      </c>
      <c r="H199" s="17">
        <f t="shared" si="466"/>
        <v>47</v>
      </c>
      <c r="I199" s="1">
        <f t="shared" si="464"/>
        <v>47000</v>
      </c>
      <c r="J199" s="17">
        <v>44000</v>
      </c>
      <c r="K199" s="17">
        <v>3000</v>
      </c>
      <c r="L199" s="18">
        <f t="shared" si="465"/>
        <v>0</v>
      </c>
      <c r="M199" s="29"/>
      <c r="N199" s="29"/>
      <c r="O199" s="29">
        <v>3200</v>
      </c>
      <c r="P199" s="29"/>
      <c r="Q199" s="29"/>
      <c r="R199" s="29"/>
      <c r="S199" s="29"/>
      <c r="T199">
        <v>3200</v>
      </c>
      <c r="U199" s="29"/>
      <c r="V199" s="29"/>
      <c r="W199" s="29"/>
      <c r="X199" s="29">
        <v>3200</v>
      </c>
      <c r="Y199" s="18">
        <f t="shared" ref="Y199:Y260" si="489">SUM(M199:X199)</f>
        <v>9600</v>
      </c>
      <c r="Z199" s="96">
        <v>12</v>
      </c>
      <c r="AA199" s="96">
        <f t="shared" ref="AA199:AA260" si="490">Z199*800</f>
        <v>9600</v>
      </c>
      <c r="AB199" s="96">
        <f t="shared" ref="AB199:AB260" si="491">L199+AA199-Y199</f>
        <v>0</v>
      </c>
      <c r="AC199" s="99">
        <v>800</v>
      </c>
      <c r="AD199" s="98"/>
      <c r="AE199" s="102">
        <f t="shared" ref="AE199:AE260" si="492">AB199+AC199-AD199</f>
        <v>800</v>
      </c>
      <c r="AF199" s="99">
        <v>800</v>
      </c>
      <c r="AG199" s="98"/>
      <c r="AH199" s="102">
        <f t="shared" si="467"/>
        <v>1600</v>
      </c>
      <c r="AI199" s="99">
        <v>800</v>
      </c>
      <c r="AJ199" s="98"/>
      <c r="AK199" s="102">
        <f t="shared" si="468"/>
        <v>2400</v>
      </c>
      <c r="AL199" s="99">
        <v>800</v>
      </c>
      <c r="AM199" s="98"/>
      <c r="AN199" s="102">
        <f t="shared" si="469"/>
        <v>3200</v>
      </c>
      <c r="AO199" s="99">
        <v>800</v>
      </c>
      <c r="AP199" s="113">
        <v>3200</v>
      </c>
      <c r="AQ199" s="102">
        <f t="shared" si="470"/>
        <v>800</v>
      </c>
      <c r="AR199" s="99">
        <v>800</v>
      </c>
      <c r="AS199" s="113"/>
      <c r="AT199" s="102">
        <f t="shared" si="471"/>
        <v>1600</v>
      </c>
      <c r="AU199" s="99">
        <v>800</v>
      </c>
      <c r="AV199" s="113"/>
      <c r="AW199" s="102">
        <f t="shared" si="472"/>
        <v>2400</v>
      </c>
      <c r="AX199" s="99">
        <v>800</v>
      </c>
      <c r="AY199" s="113"/>
      <c r="AZ199" s="102">
        <f t="shared" si="473"/>
        <v>3200</v>
      </c>
      <c r="BA199" s="99">
        <v>800</v>
      </c>
      <c r="BB199" s="113"/>
      <c r="BC199" s="102">
        <f t="shared" si="474"/>
        <v>4000</v>
      </c>
      <c r="BD199" s="99">
        <v>800</v>
      </c>
      <c r="BE199" s="113"/>
      <c r="BF199" s="102">
        <f t="shared" si="475"/>
        <v>4800</v>
      </c>
      <c r="BG199" s="99">
        <v>800</v>
      </c>
      <c r="BH199" s="113"/>
      <c r="BI199" s="102">
        <f t="shared" si="476"/>
        <v>5600</v>
      </c>
      <c r="BJ199" s="99">
        <v>800</v>
      </c>
      <c r="BK199" s="113"/>
      <c r="BL199" s="102">
        <f t="shared" si="477"/>
        <v>6400</v>
      </c>
      <c r="BM199" s="99">
        <v>800</v>
      </c>
      <c r="BN199" s="113">
        <v>6500</v>
      </c>
      <c r="BO199" s="102">
        <f t="shared" si="478"/>
        <v>700</v>
      </c>
      <c r="BP199" s="99">
        <v>800</v>
      </c>
      <c r="BQ199" s="113"/>
      <c r="BR199" s="102">
        <f t="shared" si="479"/>
        <v>1500</v>
      </c>
      <c r="BS199" s="99">
        <v>800</v>
      </c>
      <c r="BT199" s="113"/>
      <c r="BU199" s="102">
        <f t="shared" si="480"/>
        <v>2300</v>
      </c>
      <c r="BV199" s="99">
        <v>800</v>
      </c>
      <c r="BW199" s="113"/>
      <c r="BX199" s="102">
        <f t="shared" si="481"/>
        <v>3100</v>
      </c>
      <c r="BY199" s="99">
        <v>800</v>
      </c>
      <c r="BZ199" s="113"/>
      <c r="CA199" s="102">
        <f t="shared" si="482"/>
        <v>3900</v>
      </c>
      <c r="CB199" s="99">
        <v>800</v>
      </c>
      <c r="CC199" s="113">
        <v>5000</v>
      </c>
      <c r="CD199" s="102">
        <f t="shared" si="483"/>
        <v>-300</v>
      </c>
      <c r="CE199" s="99">
        <v>800</v>
      </c>
      <c r="CF199" s="113"/>
      <c r="CG199" s="102">
        <f t="shared" si="484"/>
        <v>500</v>
      </c>
      <c r="CH199" s="99">
        <v>800</v>
      </c>
      <c r="CI199" s="113"/>
      <c r="CJ199" s="102">
        <f t="shared" si="485"/>
        <v>1300</v>
      </c>
      <c r="CK199" s="99">
        <v>800</v>
      </c>
      <c r="CL199" s="113"/>
      <c r="CM199" s="102">
        <f t="shared" si="486"/>
        <v>2100</v>
      </c>
      <c r="CN199" s="99">
        <v>800</v>
      </c>
      <c r="CO199" s="113"/>
      <c r="CP199" s="102">
        <f t="shared" si="487"/>
        <v>2900</v>
      </c>
      <c r="CQ199" s="99">
        <v>800</v>
      </c>
      <c r="CR199" s="113"/>
      <c r="CS199" s="102">
        <f t="shared" ref="CS199:CS208" si="493">CP199+CQ199-CR199</f>
        <v>3700</v>
      </c>
      <c r="CT199" s="99">
        <v>800</v>
      </c>
      <c r="CU199" s="113"/>
      <c r="CV199" s="102">
        <f t="shared" ref="CV199:CV208" si="494">CS199+CT199-CU199</f>
        <v>4500</v>
      </c>
      <c r="CW199" s="99">
        <v>800</v>
      </c>
      <c r="CX199" s="113"/>
      <c r="CY199" s="102">
        <f t="shared" ref="CY199:CY208" si="495">CV199+CW199-CX199</f>
        <v>5300</v>
      </c>
    </row>
    <row r="200" spans="1:103">
      <c r="A200" s="41">
        <f>VLOOKUP(B200,справочник!$B$2:$E$322,4,FALSE)</f>
        <v>31</v>
      </c>
      <c r="B200" t="str">
        <f t="shared" si="488"/>
        <v>31Нефедов Михаил Владимирович</v>
      </c>
      <c r="C200" s="1">
        <v>31</v>
      </c>
      <c r="D200" s="2" t="s">
        <v>182</v>
      </c>
      <c r="E200" s="1" t="s">
        <v>499</v>
      </c>
      <c r="F200" s="16">
        <v>40786</v>
      </c>
      <c r="G200" s="16">
        <v>40787</v>
      </c>
      <c r="H200" s="17">
        <f t="shared" si="466"/>
        <v>52</v>
      </c>
      <c r="I200" s="1">
        <f t="shared" si="464"/>
        <v>52000</v>
      </c>
      <c r="J200" s="17">
        <f>10000+42000</f>
        <v>52000</v>
      </c>
      <c r="K200" s="17"/>
      <c r="L200" s="18">
        <f t="shared" si="465"/>
        <v>0</v>
      </c>
      <c r="M200" s="29"/>
      <c r="N200" s="29"/>
      <c r="O200" s="29"/>
      <c r="P200" s="29">
        <v>2400</v>
      </c>
      <c r="Q200" s="29">
        <v>2400</v>
      </c>
      <c r="R200" s="29"/>
      <c r="S200" s="29"/>
      <c r="T200">
        <v>4800</v>
      </c>
      <c r="U200" s="29"/>
      <c r="V200" s="29"/>
      <c r="W200" s="29"/>
      <c r="X200" s="29"/>
      <c r="Y200" s="18">
        <f t="shared" si="489"/>
        <v>9600</v>
      </c>
      <c r="Z200" s="96">
        <v>12</v>
      </c>
      <c r="AA200" s="96">
        <f t="shared" si="490"/>
        <v>9600</v>
      </c>
      <c r="AB200" s="96">
        <f t="shared" si="491"/>
        <v>0</v>
      </c>
      <c r="AC200" s="99">
        <v>800</v>
      </c>
      <c r="AD200" s="98">
        <v>4800</v>
      </c>
      <c r="AE200" s="102">
        <f t="shared" si="492"/>
        <v>-4000</v>
      </c>
      <c r="AF200" s="99">
        <v>800</v>
      </c>
      <c r="AG200" s="98"/>
      <c r="AH200" s="102">
        <f t="shared" si="467"/>
        <v>-3200</v>
      </c>
      <c r="AI200" s="99">
        <v>800</v>
      </c>
      <c r="AJ200" s="98"/>
      <c r="AK200" s="102">
        <f t="shared" si="468"/>
        <v>-2400</v>
      </c>
      <c r="AL200" s="99">
        <v>800</v>
      </c>
      <c r="AM200" s="98"/>
      <c r="AN200" s="102">
        <f t="shared" si="469"/>
        <v>-1600</v>
      </c>
      <c r="AO200" s="99">
        <v>800</v>
      </c>
      <c r="AP200" s="113"/>
      <c r="AQ200" s="102">
        <f t="shared" si="470"/>
        <v>-800</v>
      </c>
      <c r="AR200" s="99">
        <v>800</v>
      </c>
      <c r="AS200" s="113"/>
      <c r="AT200" s="102">
        <f t="shared" si="471"/>
        <v>0</v>
      </c>
      <c r="AU200" s="99">
        <v>800</v>
      </c>
      <c r="AV200" s="113"/>
      <c r="AW200" s="102">
        <f t="shared" si="472"/>
        <v>800</v>
      </c>
      <c r="AX200" s="99">
        <v>800</v>
      </c>
      <c r="AY200" s="113"/>
      <c r="AZ200" s="102">
        <f t="shared" si="473"/>
        <v>1600</v>
      </c>
      <c r="BA200" s="99">
        <v>800</v>
      </c>
      <c r="BB200" s="113"/>
      <c r="BC200" s="102">
        <f t="shared" si="474"/>
        <v>2400</v>
      </c>
      <c r="BD200" s="99">
        <v>800</v>
      </c>
      <c r="BE200" s="113"/>
      <c r="BF200" s="102">
        <f t="shared" si="475"/>
        <v>3200</v>
      </c>
      <c r="BG200" s="99">
        <v>800</v>
      </c>
      <c r="BH200" s="113"/>
      <c r="BI200" s="102">
        <f t="shared" si="476"/>
        <v>4000</v>
      </c>
      <c r="BJ200" s="99">
        <v>800</v>
      </c>
      <c r="BK200" s="113"/>
      <c r="BL200" s="102">
        <f t="shared" si="477"/>
        <v>4800</v>
      </c>
      <c r="BM200" s="99">
        <v>800</v>
      </c>
      <c r="BN200" s="113"/>
      <c r="BO200" s="102">
        <f t="shared" si="478"/>
        <v>5600</v>
      </c>
      <c r="BP200" s="99">
        <v>800</v>
      </c>
      <c r="BQ200" s="113"/>
      <c r="BR200" s="102">
        <f t="shared" si="479"/>
        <v>6400</v>
      </c>
      <c r="BS200" s="99">
        <v>800</v>
      </c>
      <c r="BT200" s="113"/>
      <c r="BU200" s="102">
        <f t="shared" si="480"/>
        <v>7200</v>
      </c>
      <c r="BV200" s="99">
        <v>800</v>
      </c>
      <c r="BW200" s="113"/>
      <c r="BX200" s="102">
        <f t="shared" si="481"/>
        <v>8000</v>
      </c>
      <c r="BY200" s="99">
        <v>800</v>
      </c>
      <c r="BZ200" s="113">
        <v>9600</v>
      </c>
      <c r="CA200" s="102">
        <f t="shared" si="482"/>
        <v>-800</v>
      </c>
      <c r="CB200" s="99">
        <v>800</v>
      </c>
      <c r="CC200" s="113"/>
      <c r="CD200" s="102">
        <f t="shared" si="483"/>
        <v>0</v>
      </c>
      <c r="CE200" s="99">
        <v>800</v>
      </c>
      <c r="CF200" s="113"/>
      <c r="CG200" s="102">
        <f t="shared" si="484"/>
        <v>800</v>
      </c>
      <c r="CH200" s="99">
        <v>800</v>
      </c>
      <c r="CI200" s="113"/>
      <c r="CJ200" s="102">
        <f t="shared" si="485"/>
        <v>1600</v>
      </c>
      <c r="CK200" s="99">
        <v>800</v>
      </c>
      <c r="CL200" s="113"/>
      <c r="CM200" s="102">
        <f t="shared" si="486"/>
        <v>2400</v>
      </c>
      <c r="CN200" s="99">
        <v>800</v>
      </c>
      <c r="CO200" s="113">
        <v>4800</v>
      </c>
      <c r="CP200" s="102">
        <f t="shared" si="487"/>
        <v>-1600</v>
      </c>
      <c r="CQ200" s="99">
        <v>800</v>
      </c>
      <c r="CR200" s="113"/>
      <c r="CS200" s="102">
        <f t="shared" si="493"/>
        <v>-800</v>
      </c>
      <c r="CT200" s="99">
        <v>800</v>
      </c>
      <c r="CU200" s="113"/>
      <c r="CV200" s="102">
        <f t="shared" si="494"/>
        <v>0</v>
      </c>
      <c r="CW200" s="99">
        <v>800</v>
      </c>
      <c r="CX200" s="113"/>
      <c r="CY200" s="102">
        <f t="shared" si="495"/>
        <v>800</v>
      </c>
    </row>
    <row r="201" spans="1:103">
      <c r="A201" s="41">
        <f>VLOOKUP(B201,справочник!$B$2:$E$322,4,FALSE)</f>
        <v>104</v>
      </c>
      <c r="B201" t="str">
        <f t="shared" si="488"/>
        <v>109Никифоров Андрей Леонидович</v>
      </c>
      <c r="C201" s="1">
        <v>109</v>
      </c>
      <c r="D201" s="2" t="s">
        <v>183</v>
      </c>
      <c r="E201" s="1" t="s">
        <v>500</v>
      </c>
      <c r="F201" s="16">
        <v>40893</v>
      </c>
      <c r="G201" s="16">
        <v>40878</v>
      </c>
      <c r="H201" s="17">
        <f t="shared" si="466"/>
        <v>49</v>
      </c>
      <c r="I201" s="1">
        <f t="shared" si="464"/>
        <v>49000</v>
      </c>
      <c r="J201" s="17">
        <f>1000+45000</f>
        <v>46000</v>
      </c>
      <c r="K201" s="17"/>
      <c r="L201" s="18">
        <f t="shared" si="465"/>
        <v>3000</v>
      </c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18">
        <f t="shared" si="489"/>
        <v>0</v>
      </c>
      <c r="Z201" s="96">
        <v>12</v>
      </c>
      <c r="AA201" s="96">
        <f t="shared" si="490"/>
        <v>9600</v>
      </c>
      <c r="AB201" s="96">
        <f t="shared" si="491"/>
        <v>12600</v>
      </c>
      <c r="AC201" s="99">
        <v>800</v>
      </c>
      <c r="AD201" s="98"/>
      <c r="AE201" s="102">
        <f t="shared" si="492"/>
        <v>13400</v>
      </c>
      <c r="AF201" s="99">
        <v>800</v>
      </c>
      <c r="AG201" s="98"/>
      <c r="AH201" s="102">
        <f t="shared" si="467"/>
        <v>14200</v>
      </c>
      <c r="AI201" s="99">
        <v>800</v>
      </c>
      <c r="AJ201" s="98"/>
      <c r="AK201" s="102">
        <f t="shared" si="468"/>
        <v>15000</v>
      </c>
      <c r="AL201" s="99">
        <v>800</v>
      </c>
      <c r="AM201" s="98"/>
      <c r="AN201" s="102">
        <f t="shared" si="469"/>
        <v>15800</v>
      </c>
      <c r="AO201" s="99">
        <v>800</v>
      </c>
      <c r="AP201" s="113"/>
      <c r="AQ201" s="102">
        <f t="shared" si="470"/>
        <v>16600</v>
      </c>
      <c r="AR201" s="99">
        <v>800</v>
      </c>
      <c r="AS201" s="113"/>
      <c r="AT201" s="102">
        <f t="shared" si="471"/>
        <v>17400</v>
      </c>
      <c r="AU201" s="99">
        <v>800</v>
      </c>
      <c r="AV201" s="113"/>
      <c r="AW201" s="102">
        <f t="shared" si="472"/>
        <v>18200</v>
      </c>
      <c r="AX201" s="99">
        <v>800</v>
      </c>
      <c r="AY201" s="113"/>
      <c r="AZ201" s="102">
        <f t="shared" si="473"/>
        <v>19000</v>
      </c>
      <c r="BA201" s="99">
        <v>800</v>
      </c>
      <c r="BB201" s="113"/>
      <c r="BC201" s="102">
        <f t="shared" si="474"/>
        <v>19800</v>
      </c>
      <c r="BD201" s="99">
        <v>800</v>
      </c>
      <c r="BE201" s="113"/>
      <c r="BF201" s="102">
        <f t="shared" si="475"/>
        <v>20600</v>
      </c>
      <c r="BG201" s="99">
        <v>800</v>
      </c>
      <c r="BH201" s="113"/>
      <c r="BI201" s="102">
        <f t="shared" si="476"/>
        <v>21400</v>
      </c>
      <c r="BJ201" s="99">
        <v>800</v>
      </c>
      <c r="BK201" s="113"/>
      <c r="BL201" s="102">
        <f t="shared" si="477"/>
        <v>22200</v>
      </c>
      <c r="BM201" s="99">
        <v>800</v>
      </c>
      <c r="BN201" s="113"/>
      <c r="BO201" s="102">
        <f t="shared" si="478"/>
        <v>23000</v>
      </c>
      <c r="BP201" s="99">
        <v>800</v>
      </c>
      <c r="BQ201" s="113"/>
      <c r="BR201" s="102">
        <f t="shared" si="479"/>
        <v>23800</v>
      </c>
      <c r="BS201" s="99">
        <v>800</v>
      </c>
      <c r="BT201" s="113"/>
      <c r="BU201" s="102">
        <f t="shared" si="480"/>
        <v>24600</v>
      </c>
      <c r="BV201" s="99">
        <v>800</v>
      </c>
      <c r="BW201" s="113"/>
      <c r="BX201" s="102">
        <f t="shared" si="481"/>
        <v>25400</v>
      </c>
      <c r="BY201" s="99">
        <v>800</v>
      </c>
      <c r="BZ201" s="113"/>
      <c r="CA201" s="102">
        <f t="shared" si="482"/>
        <v>26200</v>
      </c>
      <c r="CB201" s="99">
        <v>800</v>
      </c>
      <c r="CC201" s="113"/>
      <c r="CD201" s="102">
        <f t="shared" si="483"/>
        <v>27000</v>
      </c>
      <c r="CE201" s="99">
        <v>800</v>
      </c>
      <c r="CF201" s="113"/>
      <c r="CG201" s="102">
        <f t="shared" si="484"/>
        <v>27800</v>
      </c>
      <c r="CH201" s="99">
        <v>800</v>
      </c>
      <c r="CI201" s="113"/>
      <c r="CJ201" s="102">
        <f t="shared" si="485"/>
        <v>28600</v>
      </c>
      <c r="CK201" s="99">
        <v>800</v>
      </c>
      <c r="CL201" s="113"/>
      <c r="CM201" s="102">
        <f t="shared" si="486"/>
        <v>29400</v>
      </c>
      <c r="CN201" s="99">
        <v>800</v>
      </c>
      <c r="CO201" s="113"/>
      <c r="CP201" s="102">
        <f t="shared" si="487"/>
        <v>30200</v>
      </c>
      <c r="CQ201" s="99">
        <v>800</v>
      </c>
      <c r="CR201" s="113"/>
      <c r="CS201" s="102">
        <f t="shared" si="493"/>
        <v>31000</v>
      </c>
      <c r="CT201" s="99">
        <v>800</v>
      </c>
      <c r="CU201" s="113"/>
      <c r="CV201" s="102">
        <f t="shared" si="494"/>
        <v>31800</v>
      </c>
      <c r="CW201" s="99">
        <v>800</v>
      </c>
      <c r="CX201" s="113"/>
      <c r="CY201" s="102">
        <f t="shared" si="495"/>
        <v>32600</v>
      </c>
    </row>
    <row r="202" spans="1:103" ht="25.5" customHeight="1">
      <c r="A202" s="41">
        <f>VLOOKUP(B202,справочник!$B$2:$E$322,4,FALSE)</f>
        <v>85</v>
      </c>
      <c r="B202" t="str">
        <f t="shared" si="488"/>
        <v>90Новиков Виктор Викторович</v>
      </c>
      <c r="C202" s="1">
        <v>90</v>
      </c>
      <c r="D202" s="2" t="s">
        <v>184</v>
      </c>
      <c r="E202" s="1" t="s">
        <v>501</v>
      </c>
      <c r="F202" s="16">
        <v>40695</v>
      </c>
      <c r="G202" s="16">
        <v>40725</v>
      </c>
      <c r="H202" s="17">
        <f t="shared" si="466"/>
        <v>54</v>
      </c>
      <c r="I202" s="1">
        <f t="shared" si="464"/>
        <v>54000</v>
      </c>
      <c r="J202" s="17">
        <f>1000+53000</f>
        <v>54000</v>
      </c>
      <c r="K202" s="17"/>
      <c r="L202" s="18">
        <f t="shared" si="465"/>
        <v>0</v>
      </c>
      <c r="M202" s="29"/>
      <c r="N202" s="29"/>
      <c r="O202" s="29"/>
      <c r="P202" s="29">
        <v>4800</v>
      </c>
      <c r="Q202" s="29"/>
      <c r="R202" s="29"/>
      <c r="S202" s="29"/>
      <c r="T202" s="29"/>
      <c r="U202" s="29"/>
      <c r="V202" s="29"/>
      <c r="W202" s="29"/>
      <c r="X202" s="29"/>
      <c r="Y202" s="18">
        <f t="shared" si="489"/>
        <v>4800</v>
      </c>
      <c r="Z202" s="96">
        <v>12</v>
      </c>
      <c r="AA202" s="96">
        <f t="shared" si="490"/>
        <v>9600</v>
      </c>
      <c r="AB202" s="96">
        <f t="shared" si="491"/>
        <v>4800</v>
      </c>
      <c r="AC202" s="99">
        <v>800</v>
      </c>
      <c r="AD202" s="98"/>
      <c r="AE202" s="102">
        <f t="shared" si="492"/>
        <v>5600</v>
      </c>
      <c r="AF202" s="99">
        <v>800</v>
      </c>
      <c r="AG202" s="98"/>
      <c r="AH202" s="102">
        <f t="shared" si="467"/>
        <v>6400</v>
      </c>
      <c r="AI202" s="99">
        <v>800</v>
      </c>
      <c r="AJ202" s="98"/>
      <c r="AK202" s="102">
        <f t="shared" si="468"/>
        <v>7200</v>
      </c>
      <c r="AL202" s="99">
        <v>800</v>
      </c>
      <c r="AM202" s="98"/>
      <c r="AN202" s="102">
        <f t="shared" si="469"/>
        <v>8000</v>
      </c>
      <c r="AO202" s="99">
        <v>800</v>
      </c>
      <c r="AP202" s="113"/>
      <c r="AQ202" s="102">
        <f t="shared" si="470"/>
        <v>8800</v>
      </c>
      <c r="AR202" s="99">
        <v>800</v>
      </c>
      <c r="AS202" s="113"/>
      <c r="AT202" s="102">
        <f t="shared" si="471"/>
        <v>9600</v>
      </c>
      <c r="AU202" s="99">
        <v>800</v>
      </c>
      <c r="AV202" s="113"/>
      <c r="AW202" s="102">
        <f t="shared" si="472"/>
        <v>10400</v>
      </c>
      <c r="AX202" s="99">
        <v>800</v>
      </c>
      <c r="AY202" s="113"/>
      <c r="AZ202" s="102">
        <f t="shared" si="473"/>
        <v>11200</v>
      </c>
      <c r="BA202" s="99">
        <v>800</v>
      </c>
      <c r="BB202" s="113"/>
      <c r="BC202" s="102">
        <f t="shared" si="474"/>
        <v>12000</v>
      </c>
      <c r="BD202" s="99">
        <v>800</v>
      </c>
      <c r="BE202" s="113"/>
      <c r="BF202" s="102">
        <f t="shared" si="475"/>
        <v>12800</v>
      </c>
      <c r="BG202" s="99">
        <v>800</v>
      </c>
      <c r="BH202" s="113"/>
      <c r="BI202" s="102">
        <f t="shared" si="476"/>
        <v>13600</v>
      </c>
      <c r="BJ202" s="99">
        <v>800</v>
      </c>
      <c r="BK202" s="113">
        <v>10000</v>
      </c>
      <c r="BL202" s="102">
        <f t="shared" si="477"/>
        <v>4400</v>
      </c>
      <c r="BM202" s="99">
        <v>800</v>
      </c>
      <c r="BN202" s="113"/>
      <c r="BO202" s="102">
        <f t="shared" si="478"/>
        <v>5200</v>
      </c>
      <c r="BP202" s="99">
        <v>800</v>
      </c>
      <c r="BQ202" s="113"/>
      <c r="BR202" s="102">
        <f t="shared" si="479"/>
        <v>6000</v>
      </c>
      <c r="BS202" s="99">
        <v>800</v>
      </c>
      <c r="BT202" s="113"/>
      <c r="BU202" s="102">
        <f t="shared" si="480"/>
        <v>6800</v>
      </c>
      <c r="BV202" s="99">
        <v>800</v>
      </c>
      <c r="BW202" s="113">
        <v>6800</v>
      </c>
      <c r="BX202" s="102">
        <f t="shared" si="481"/>
        <v>800</v>
      </c>
      <c r="BY202" s="99">
        <v>800</v>
      </c>
      <c r="BZ202" s="113"/>
      <c r="CA202" s="102">
        <f t="shared" si="482"/>
        <v>1600</v>
      </c>
      <c r="CB202" s="99">
        <v>800</v>
      </c>
      <c r="CC202" s="113"/>
      <c r="CD202" s="102">
        <f t="shared" si="483"/>
        <v>2400</v>
      </c>
      <c r="CE202" s="99">
        <v>800</v>
      </c>
      <c r="CF202" s="113"/>
      <c r="CG202" s="102">
        <f t="shared" si="484"/>
        <v>3200</v>
      </c>
      <c r="CH202" s="99">
        <v>800</v>
      </c>
      <c r="CI202" s="113"/>
      <c r="CJ202" s="102">
        <f t="shared" si="485"/>
        <v>4000</v>
      </c>
      <c r="CK202" s="99">
        <v>800</v>
      </c>
      <c r="CL202" s="113"/>
      <c r="CM202" s="102">
        <f t="shared" si="486"/>
        <v>4800</v>
      </c>
      <c r="CN202" s="99">
        <v>800</v>
      </c>
      <c r="CO202" s="113"/>
      <c r="CP202" s="102">
        <f t="shared" si="487"/>
        <v>5600</v>
      </c>
      <c r="CQ202" s="99">
        <v>800</v>
      </c>
      <c r="CR202" s="113"/>
      <c r="CS202" s="102">
        <f t="shared" si="493"/>
        <v>6400</v>
      </c>
      <c r="CT202" s="99">
        <v>800</v>
      </c>
      <c r="CU202" s="113"/>
      <c r="CV202" s="102">
        <f t="shared" si="494"/>
        <v>7200</v>
      </c>
      <c r="CW202" s="99">
        <v>800</v>
      </c>
      <c r="CX202" s="113"/>
      <c r="CY202" s="102">
        <f t="shared" si="495"/>
        <v>8000</v>
      </c>
    </row>
    <row r="203" spans="1:103" ht="25.5" customHeight="1">
      <c r="A203" s="41">
        <f>VLOOKUP(B203,справочник!$B$2:$E$322,4,FALSE)</f>
        <v>300</v>
      </c>
      <c r="B203" t="str">
        <f t="shared" si="488"/>
        <v>315Новикова Наталья Петровна</v>
      </c>
      <c r="C203" s="1">
        <v>315</v>
      </c>
      <c r="D203" s="2" t="s">
        <v>185</v>
      </c>
      <c r="E203" s="1" t="s">
        <v>502</v>
      </c>
      <c r="F203" s="16">
        <v>41999</v>
      </c>
      <c r="G203" s="16">
        <v>42005</v>
      </c>
      <c r="H203" s="17">
        <f t="shared" si="466"/>
        <v>12</v>
      </c>
      <c r="I203" s="1">
        <f t="shared" si="464"/>
        <v>12000</v>
      </c>
      <c r="J203" s="17">
        <v>1000</v>
      </c>
      <c r="K203" s="17"/>
      <c r="L203" s="18">
        <f t="shared" si="465"/>
        <v>11000</v>
      </c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18">
        <f t="shared" si="489"/>
        <v>0</v>
      </c>
      <c r="Z203" s="96">
        <v>12</v>
      </c>
      <c r="AA203" s="96">
        <f t="shared" si="490"/>
        <v>9600</v>
      </c>
      <c r="AB203" s="96">
        <f t="shared" si="491"/>
        <v>20600</v>
      </c>
      <c r="AC203" s="99">
        <v>800</v>
      </c>
      <c r="AD203" s="98"/>
      <c r="AE203" s="102">
        <f t="shared" si="492"/>
        <v>21400</v>
      </c>
      <c r="AF203" s="99">
        <v>800</v>
      </c>
      <c r="AG203" s="98"/>
      <c r="AH203" s="102">
        <f t="shared" si="467"/>
        <v>22200</v>
      </c>
      <c r="AI203" s="99">
        <v>800</v>
      </c>
      <c r="AJ203" s="98"/>
      <c r="AK203" s="102">
        <f t="shared" si="468"/>
        <v>23000</v>
      </c>
      <c r="AL203" s="99">
        <v>800</v>
      </c>
      <c r="AM203" s="98"/>
      <c r="AN203" s="102">
        <f t="shared" si="469"/>
        <v>23800</v>
      </c>
      <c r="AO203" s="99">
        <v>800</v>
      </c>
      <c r="AP203" s="113"/>
      <c r="AQ203" s="102">
        <f t="shared" si="470"/>
        <v>24600</v>
      </c>
      <c r="AR203" s="99">
        <v>800</v>
      </c>
      <c r="AS203" s="113"/>
      <c r="AT203" s="102">
        <f t="shared" si="471"/>
        <v>25400</v>
      </c>
      <c r="AU203" s="99">
        <v>800</v>
      </c>
      <c r="AV203" s="113"/>
      <c r="AW203" s="102">
        <f t="shared" si="472"/>
        <v>26200</v>
      </c>
      <c r="AX203" s="99">
        <v>800</v>
      </c>
      <c r="AY203" s="113"/>
      <c r="AZ203" s="102">
        <f t="shared" si="473"/>
        <v>27000</v>
      </c>
      <c r="BA203" s="99">
        <v>800</v>
      </c>
      <c r="BB203" s="113"/>
      <c r="BC203" s="102">
        <f t="shared" si="474"/>
        <v>27800</v>
      </c>
      <c r="BD203" s="99">
        <v>800</v>
      </c>
      <c r="BE203" s="113"/>
      <c r="BF203" s="102">
        <f t="shared" si="475"/>
        <v>28600</v>
      </c>
      <c r="BG203" s="99">
        <v>800</v>
      </c>
      <c r="BH203" s="113"/>
      <c r="BI203" s="102">
        <f t="shared" si="476"/>
        <v>29400</v>
      </c>
      <c r="BJ203" s="99">
        <v>800</v>
      </c>
      <c r="BK203" s="113"/>
      <c r="BL203" s="102">
        <f t="shared" si="477"/>
        <v>30200</v>
      </c>
      <c r="BM203" s="99">
        <v>800</v>
      </c>
      <c r="BN203" s="113"/>
      <c r="BO203" s="102">
        <f t="shared" si="478"/>
        <v>31000</v>
      </c>
      <c r="BP203" s="99">
        <v>800</v>
      </c>
      <c r="BQ203" s="113"/>
      <c r="BR203" s="102">
        <f t="shared" si="479"/>
        <v>31800</v>
      </c>
      <c r="BS203" s="99">
        <v>800</v>
      </c>
      <c r="BT203" s="113"/>
      <c r="BU203" s="102">
        <f t="shared" si="480"/>
        <v>32600</v>
      </c>
      <c r="BV203" s="99">
        <v>800</v>
      </c>
      <c r="BW203" s="113"/>
      <c r="BX203" s="102">
        <f t="shared" si="481"/>
        <v>33400</v>
      </c>
      <c r="BY203" s="99">
        <v>800</v>
      </c>
      <c r="BZ203" s="113"/>
      <c r="CA203" s="102">
        <f t="shared" si="482"/>
        <v>34200</v>
      </c>
      <c r="CB203" s="99">
        <v>800</v>
      </c>
      <c r="CC203" s="113"/>
      <c r="CD203" s="102">
        <f t="shared" si="483"/>
        <v>35000</v>
      </c>
      <c r="CE203" s="99">
        <v>800</v>
      </c>
      <c r="CF203" s="113"/>
      <c r="CG203" s="102">
        <f t="shared" si="484"/>
        <v>35800</v>
      </c>
      <c r="CH203" s="99">
        <v>800</v>
      </c>
      <c r="CI203" s="113"/>
      <c r="CJ203" s="102">
        <f t="shared" si="485"/>
        <v>36600</v>
      </c>
      <c r="CK203" s="99">
        <v>800</v>
      </c>
      <c r="CL203" s="113"/>
      <c r="CM203" s="102">
        <f t="shared" si="486"/>
        <v>37400</v>
      </c>
      <c r="CN203" s="99">
        <v>800</v>
      </c>
      <c r="CO203" s="113"/>
      <c r="CP203" s="102">
        <f t="shared" si="487"/>
        <v>38200</v>
      </c>
      <c r="CQ203" s="99">
        <v>800</v>
      </c>
      <c r="CR203" s="113"/>
      <c r="CS203" s="102">
        <f t="shared" si="493"/>
        <v>39000</v>
      </c>
      <c r="CT203" s="99">
        <v>800</v>
      </c>
      <c r="CU203" s="113"/>
      <c r="CV203" s="102">
        <f t="shared" si="494"/>
        <v>39800</v>
      </c>
      <c r="CW203" s="99">
        <v>800</v>
      </c>
      <c r="CX203" s="113"/>
      <c r="CY203" s="102">
        <f t="shared" si="495"/>
        <v>40600</v>
      </c>
    </row>
    <row r="204" spans="1:103">
      <c r="A204" s="41" t="e">
        <f>VLOOKUP(B204,справочник!$B$2:$E$322,4,FALSE)</f>
        <v>#N/A</v>
      </c>
      <c r="B204" t="str">
        <f t="shared" si="488"/>
        <v>47Новикова Светлана Владимировна</v>
      </c>
      <c r="C204" s="1">
        <v>47</v>
      </c>
      <c r="D204" s="2" t="s">
        <v>769</v>
      </c>
      <c r="E204" s="1" t="s">
        <v>503</v>
      </c>
      <c r="F204" s="16">
        <v>41375</v>
      </c>
      <c r="G204" s="16">
        <v>41395</v>
      </c>
      <c r="H204" s="17">
        <f t="shared" si="466"/>
        <v>32</v>
      </c>
      <c r="I204" s="1">
        <f t="shared" si="464"/>
        <v>32000</v>
      </c>
      <c r="J204" s="17">
        <v>9000</v>
      </c>
      <c r="K204" s="17"/>
      <c r="L204" s="18">
        <f t="shared" si="465"/>
        <v>23000</v>
      </c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18">
        <f t="shared" si="489"/>
        <v>0</v>
      </c>
      <c r="Z204" s="96">
        <v>12</v>
      </c>
      <c r="AA204" s="96">
        <f t="shared" si="490"/>
        <v>9600</v>
      </c>
      <c r="AB204" s="96">
        <f t="shared" si="491"/>
        <v>32600</v>
      </c>
      <c r="AC204" s="99">
        <v>800</v>
      </c>
      <c r="AD204" s="98"/>
      <c r="AE204" s="102">
        <f t="shared" si="492"/>
        <v>33400</v>
      </c>
      <c r="AF204" s="99">
        <v>800</v>
      </c>
      <c r="AG204" s="98"/>
      <c r="AH204" s="102">
        <f t="shared" si="467"/>
        <v>34200</v>
      </c>
      <c r="AI204" s="99">
        <v>800</v>
      </c>
      <c r="AJ204" s="98"/>
      <c r="AK204" s="102">
        <f t="shared" si="468"/>
        <v>35000</v>
      </c>
      <c r="AL204" s="99">
        <v>800</v>
      </c>
      <c r="AM204" s="98"/>
      <c r="AN204" s="102">
        <f t="shared" si="469"/>
        <v>35800</v>
      </c>
      <c r="AO204" s="99">
        <v>800</v>
      </c>
      <c r="AP204" s="113"/>
      <c r="AQ204" s="102">
        <f t="shared" si="470"/>
        <v>36600</v>
      </c>
      <c r="AR204" s="99">
        <v>800</v>
      </c>
      <c r="AS204" s="113"/>
      <c r="AT204" s="102">
        <f t="shared" si="471"/>
        <v>37400</v>
      </c>
      <c r="AU204" s="99">
        <v>800</v>
      </c>
      <c r="AV204" s="113"/>
      <c r="AW204" s="102">
        <f t="shared" si="472"/>
        <v>38200</v>
      </c>
      <c r="AX204" s="99">
        <v>800</v>
      </c>
      <c r="AY204" s="113"/>
      <c r="AZ204" s="102">
        <f t="shared" si="473"/>
        <v>39000</v>
      </c>
      <c r="BA204" s="99">
        <v>800</v>
      </c>
      <c r="BB204" s="113"/>
      <c r="BC204" s="102">
        <f t="shared" si="474"/>
        <v>39800</v>
      </c>
      <c r="BD204" s="99">
        <v>800</v>
      </c>
      <c r="BE204" s="113"/>
      <c r="BF204" s="102">
        <f t="shared" si="475"/>
        <v>40600</v>
      </c>
      <c r="BG204" s="99">
        <v>800</v>
      </c>
      <c r="BH204" s="113"/>
      <c r="BI204" s="102">
        <f t="shared" si="476"/>
        <v>41400</v>
      </c>
      <c r="BJ204" s="99">
        <v>800</v>
      </c>
      <c r="BK204" s="113"/>
      <c r="BL204" s="102">
        <f t="shared" si="477"/>
        <v>42200</v>
      </c>
      <c r="BM204" s="99">
        <v>800</v>
      </c>
      <c r="BN204" s="113"/>
      <c r="BO204" s="102">
        <f t="shared" si="478"/>
        <v>43000</v>
      </c>
      <c r="BP204" s="99">
        <v>800</v>
      </c>
      <c r="BQ204" s="113"/>
      <c r="BR204" s="102">
        <f t="shared" si="479"/>
        <v>43800</v>
      </c>
      <c r="BS204" s="99">
        <v>800</v>
      </c>
      <c r="BT204" s="113"/>
      <c r="BU204" s="102">
        <f t="shared" si="480"/>
        <v>44600</v>
      </c>
      <c r="BV204" s="99">
        <v>800</v>
      </c>
      <c r="BW204" s="113">
        <v>20000</v>
      </c>
      <c r="BX204" s="102">
        <f t="shared" si="481"/>
        <v>25400</v>
      </c>
      <c r="BY204" s="99">
        <v>800</v>
      </c>
      <c r="BZ204" s="113"/>
      <c r="CA204" s="102">
        <f t="shared" si="482"/>
        <v>26200</v>
      </c>
      <c r="CB204" s="99">
        <v>800</v>
      </c>
      <c r="CC204" s="113"/>
      <c r="CD204" s="102">
        <f t="shared" si="483"/>
        <v>27000</v>
      </c>
      <c r="CE204" s="99">
        <v>800</v>
      </c>
      <c r="CF204" s="113"/>
      <c r="CG204" s="102">
        <f t="shared" si="484"/>
        <v>27800</v>
      </c>
      <c r="CH204" s="99">
        <v>800</v>
      </c>
      <c r="CI204" s="113"/>
      <c r="CJ204" s="102">
        <f t="shared" si="485"/>
        <v>28600</v>
      </c>
      <c r="CK204" s="99">
        <v>800</v>
      </c>
      <c r="CL204" s="113"/>
      <c r="CM204" s="102">
        <f t="shared" si="486"/>
        <v>29400</v>
      </c>
      <c r="CN204" s="99">
        <v>800</v>
      </c>
      <c r="CO204" s="113"/>
      <c r="CP204" s="102">
        <f t="shared" si="487"/>
        <v>30200</v>
      </c>
      <c r="CQ204" s="99">
        <v>800</v>
      </c>
      <c r="CR204" s="113"/>
      <c r="CS204" s="102">
        <f t="shared" si="493"/>
        <v>31000</v>
      </c>
      <c r="CT204" s="99">
        <v>800</v>
      </c>
      <c r="CU204" s="113"/>
      <c r="CV204" s="102">
        <f t="shared" si="494"/>
        <v>31800</v>
      </c>
      <c r="CW204" s="99">
        <v>800</v>
      </c>
      <c r="CX204" s="113"/>
      <c r="CY204" s="102">
        <f t="shared" si="495"/>
        <v>32600</v>
      </c>
    </row>
    <row r="205" spans="1:103">
      <c r="A205" s="41" t="e">
        <f>VLOOKUP(B205,справочник!$B$2:$E$322,4,FALSE)</f>
        <v>#N/A</v>
      </c>
      <c r="B205" t="str">
        <f t="shared" si="488"/>
        <v>294Нормуротов Анваржон Абдирайимович</v>
      </c>
      <c r="C205" s="1">
        <v>294</v>
      </c>
      <c r="D205" s="2" t="s">
        <v>804</v>
      </c>
      <c r="E205" s="23" t="s">
        <v>474</v>
      </c>
      <c r="F205" s="24">
        <v>41716</v>
      </c>
      <c r="G205" s="24">
        <v>41730</v>
      </c>
      <c r="H205" s="17">
        <f t="shared" si="466"/>
        <v>21</v>
      </c>
      <c r="I205" s="1">
        <f t="shared" si="464"/>
        <v>21000</v>
      </c>
      <c r="J205" s="17">
        <v>18000</v>
      </c>
      <c r="K205" s="17"/>
      <c r="L205" s="18">
        <f t="shared" si="465"/>
        <v>3000</v>
      </c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18">
        <f t="shared" si="489"/>
        <v>0</v>
      </c>
      <c r="Z205" s="96">
        <v>12</v>
      </c>
      <c r="AA205" s="96">
        <f t="shared" si="490"/>
        <v>9600</v>
      </c>
      <c r="AB205" s="96">
        <f t="shared" si="491"/>
        <v>12600</v>
      </c>
      <c r="AC205" s="99">
        <v>800</v>
      </c>
      <c r="AD205" s="98"/>
      <c r="AE205" s="102">
        <f t="shared" si="492"/>
        <v>13400</v>
      </c>
      <c r="AF205" s="99">
        <v>800</v>
      </c>
      <c r="AG205" s="98"/>
      <c r="AH205" s="102">
        <f t="shared" si="467"/>
        <v>14200</v>
      </c>
      <c r="AI205" s="99">
        <v>800</v>
      </c>
      <c r="AJ205" s="98"/>
      <c r="AK205" s="102">
        <f t="shared" si="468"/>
        <v>15000</v>
      </c>
      <c r="AL205" s="99">
        <v>800</v>
      </c>
      <c r="AM205" s="98"/>
      <c r="AN205" s="102">
        <f t="shared" si="469"/>
        <v>15800</v>
      </c>
      <c r="AO205" s="99">
        <v>800</v>
      </c>
      <c r="AP205" s="113"/>
      <c r="AQ205" s="102">
        <f t="shared" si="470"/>
        <v>16600</v>
      </c>
      <c r="AR205" s="99">
        <v>800</v>
      </c>
      <c r="AS205" s="113"/>
      <c r="AT205" s="102">
        <f t="shared" si="471"/>
        <v>17400</v>
      </c>
      <c r="AU205" s="99">
        <v>800</v>
      </c>
      <c r="AV205" s="113"/>
      <c r="AW205" s="102">
        <f t="shared" si="472"/>
        <v>18200</v>
      </c>
      <c r="AX205" s="99">
        <v>800</v>
      </c>
      <c r="AY205" s="113"/>
      <c r="AZ205" s="102">
        <f t="shared" si="473"/>
        <v>19000</v>
      </c>
      <c r="BA205" s="99">
        <v>800</v>
      </c>
      <c r="BB205" s="113"/>
      <c r="BC205" s="102">
        <f t="shared" si="474"/>
        <v>19800</v>
      </c>
      <c r="BD205" s="99">
        <v>800</v>
      </c>
      <c r="BE205" s="113"/>
      <c r="BF205" s="102">
        <f t="shared" si="475"/>
        <v>20600</v>
      </c>
      <c r="BG205" s="99">
        <v>800</v>
      </c>
      <c r="BH205" s="113"/>
      <c r="BI205" s="102">
        <f t="shared" si="476"/>
        <v>21400</v>
      </c>
      <c r="BJ205" s="99">
        <v>800</v>
      </c>
      <c r="BK205" s="113"/>
      <c r="BL205" s="102">
        <f t="shared" si="477"/>
        <v>22200</v>
      </c>
      <c r="BM205" s="99">
        <v>800</v>
      </c>
      <c r="BN205" s="113"/>
      <c r="BO205" s="102">
        <f t="shared" si="478"/>
        <v>23000</v>
      </c>
      <c r="BP205" s="99">
        <v>800</v>
      </c>
      <c r="BQ205" s="113"/>
      <c r="BR205" s="102">
        <f t="shared" si="479"/>
        <v>23800</v>
      </c>
      <c r="BS205" s="99">
        <v>800</v>
      </c>
      <c r="BT205" s="113"/>
      <c r="BU205" s="102">
        <f t="shared" si="480"/>
        <v>24600</v>
      </c>
      <c r="BV205" s="99">
        <v>800</v>
      </c>
      <c r="BW205" s="113"/>
      <c r="BX205" s="102">
        <f t="shared" si="481"/>
        <v>25400</v>
      </c>
      <c r="BY205" s="99">
        <v>800</v>
      </c>
      <c r="BZ205" s="113"/>
      <c r="CA205" s="102">
        <f t="shared" si="482"/>
        <v>26200</v>
      </c>
      <c r="CB205" s="99">
        <v>800</v>
      </c>
      <c r="CC205" s="113">
        <v>15400</v>
      </c>
      <c r="CD205" s="102">
        <f t="shared" si="483"/>
        <v>11600</v>
      </c>
      <c r="CE205" s="99">
        <v>800</v>
      </c>
      <c r="CF205" s="113"/>
      <c r="CG205" s="102">
        <f t="shared" si="484"/>
        <v>12400</v>
      </c>
      <c r="CH205" s="99">
        <v>800</v>
      </c>
      <c r="CI205" s="113"/>
      <c r="CJ205" s="102">
        <f t="shared" si="485"/>
        <v>13200</v>
      </c>
      <c r="CK205" s="99">
        <v>800</v>
      </c>
      <c r="CL205" s="113"/>
      <c r="CM205" s="102">
        <f t="shared" si="486"/>
        <v>14000</v>
      </c>
      <c r="CN205" s="99">
        <v>800</v>
      </c>
      <c r="CO205" s="113"/>
      <c r="CP205" s="102">
        <f t="shared" si="487"/>
        <v>14800</v>
      </c>
      <c r="CQ205" s="99">
        <v>800</v>
      </c>
      <c r="CR205" s="113"/>
      <c r="CS205" s="102">
        <f t="shared" si="493"/>
        <v>15600</v>
      </c>
      <c r="CT205" s="99">
        <v>800</v>
      </c>
      <c r="CU205" s="113"/>
      <c r="CV205" s="102">
        <f t="shared" si="494"/>
        <v>16400</v>
      </c>
      <c r="CW205" s="99">
        <v>800</v>
      </c>
      <c r="CX205" s="113"/>
      <c r="CY205" s="102">
        <f t="shared" si="495"/>
        <v>17200</v>
      </c>
    </row>
    <row r="206" spans="1:103" ht="40.5" customHeight="1">
      <c r="A206" s="41" t="e">
        <f>VLOOKUP(B206,справочник!$B$2:$E$322,4,FALSE)</f>
        <v>#N/A</v>
      </c>
      <c r="B206" t="str">
        <f t="shared" si="488"/>
        <v>214Носикова Мария Леонидовна (новый собственник Носикова Александра Васильевна)</v>
      </c>
      <c r="C206" s="1">
        <v>214</v>
      </c>
      <c r="D206" s="2" t="s">
        <v>839</v>
      </c>
      <c r="E206" s="1" t="s">
        <v>504</v>
      </c>
      <c r="F206" s="1"/>
      <c r="G206" s="1"/>
      <c r="H206" s="17"/>
      <c r="I206" s="1">
        <f t="shared" si="464"/>
        <v>0</v>
      </c>
      <c r="J206" s="17"/>
      <c r="K206" s="17"/>
      <c r="L206" s="18">
        <f t="shared" si="465"/>
        <v>0</v>
      </c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18">
        <f t="shared" si="489"/>
        <v>0</v>
      </c>
      <c r="Z206" s="96">
        <v>12</v>
      </c>
      <c r="AA206" s="96">
        <f t="shared" si="490"/>
        <v>9600</v>
      </c>
      <c r="AB206" s="96">
        <f t="shared" si="491"/>
        <v>9600</v>
      </c>
      <c r="AC206" s="99">
        <v>800</v>
      </c>
      <c r="AD206" s="98"/>
      <c r="AE206" s="102">
        <f t="shared" si="492"/>
        <v>10400</v>
      </c>
      <c r="AF206" s="99">
        <v>800</v>
      </c>
      <c r="AG206" s="98"/>
      <c r="AH206" s="102">
        <f t="shared" si="467"/>
        <v>11200</v>
      </c>
      <c r="AI206" s="99">
        <v>800</v>
      </c>
      <c r="AJ206" s="98"/>
      <c r="AK206" s="102">
        <f t="shared" si="468"/>
        <v>12000</v>
      </c>
      <c r="AL206" s="99">
        <v>800</v>
      </c>
      <c r="AM206" s="98"/>
      <c r="AN206" s="102">
        <f t="shared" si="469"/>
        <v>12800</v>
      </c>
      <c r="AO206" s="99">
        <v>800</v>
      </c>
      <c r="AP206" s="113"/>
      <c r="AQ206" s="102">
        <f t="shared" si="470"/>
        <v>13600</v>
      </c>
      <c r="AR206" s="99">
        <v>800</v>
      </c>
      <c r="AS206" s="113"/>
      <c r="AT206" s="102">
        <f t="shared" si="471"/>
        <v>14400</v>
      </c>
      <c r="AU206" s="99">
        <v>800</v>
      </c>
      <c r="AV206" s="113"/>
      <c r="AW206" s="102">
        <f t="shared" si="472"/>
        <v>15200</v>
      </c>
      <c r="AX206" s="99">
        <v>800</v>
      </c>
      <c r="AY206" s="113"/>
      <c r="AZ206" s="102">
        <f t="shared" si="473"/>
        <v>16000</v>
      </c>
      <c r="BA206" s="99">
        <v>800</v>
      </c>
      <c r="BB206" s="113"/>
      <c r="BC206" s="102">
        <f t="shared" si="474"/>
        <v>16800</v>
      </c>
      <c r="BD206" s="99">
        <v>800</v>
      </c>
      <c r="BE206" s="113"/>
      <c r="BF206" s="102">
        <f t="shared" si="475"/>
        <v>17600</v>
      </c>
      <c r="BG206" s="99">
        <v>800</v>
      </c>
      <c r="BH206" s="113"/>
      <c r="BI206" s="102">
        <f t="shared" si="476"/>
        <v>18400</v>
      </c>
      <c r="BJ206" s="99">
        <v>800</v>
      </c>
      <c r="BK206" s="113"/>
      <c r="BL206" s="102">
        <f t="shared" si="477"/>
        <v>19200</v>
      </c>
      <c r="BM206" s="99">
        <v>800</v>
      </c>
      <c r="BN206" s="113">
        <v>9000</v>
      </c>
      <c r="BO206" s="102">
        <f t="shared" si="478"/>
        <v>11000</v>
      </c>
      <c r="BP206" s="99">
        <v>800</v>
      </c>
      <c r="BQ206" s="113"/>
      <c r="BR206" s="102">
        <f t="shared" si="479"/>
        <v>11800</v>
      </c>
      <c r="BS206" s="99">
        <v>800</v>
      </c>
      <c r="BT206" s="113"/>
      <c r="BU206" s="102">
        <f t="shared" si="480"/>
        <v>12600</v>
      </c>
      <c r="BV206" s="99">
        <v>800</v>
      </c>
      <c r="BW206" s="113"/>
      <c r="BX206" s="102">
        <f t="shared" si="481"/>
        <v>13400</v>
      </c>
      <c r="BY206" s="99">
        <v>800</v>
      </c>
      <c r="BZ206" s="113"/>
      <c r="CA206" s="102">
        <f t="shared" si="482"/>
        <v>14200</v>
      </c>
      <c r="CB206" s="99">
        <v>800</v>
      </c>
      <c r="CC206" s="113"/>
      <c r="CD206" s="102">
        <f t="shared" si="483"/>
        <v>15000</v>
      </c>
      <c r="CE206" s="99">
        <v>800</v>
      </c>
      <c r="CF206" s="113"/>
      <c r="CG206" s="102">
        <f t="shared" si="484"/>
        <v>15800</v>
      </c>
      <c r="CH206" s="99">
        <v>800</v>
      </c>
      <c r="CI206" s="113"/>
      <c r="CJ206" s="102">
        <f t="shared" si="485"/>
        <v>16600</v>
      </c>
      <c r="CK206" s="99">
        <v>800</v>
      </c>
      <c r="CL206" s="113"/>
      <c r="CM206" s="102">
        <f t="shared" si="486"/>
        <v>17400</v>
      </c>
      <c r="CN206" s="99">
        <v>800</v>
      </c>
      <c r="CO206" s="113"/>
      <c r="CP206" s="102">
        <f t="shared" si="487"/>
        <v>18200</v>
      </c>
      <c r="CQ206" s="99">
        <v>800</v>
      </c>
      <c r="CR206" s="113"/>
      <c r="CS206" s="102">
        <f t="shared" si="493"/>
        <v>19000</v>
      </c>
      <c r="CT206" s="99">
        <v>800</v>
      </c>
      <c r="CU206" s="113"/>
      <c r="CV206" s="102">
        <f t="shared" si="494"/>
        <v>19800</v>
      </c>
      <c r="CW206" s="99">
        <v>800</v>
      </c>
      <c r="CX206" s="113"/>
      <c r="CY206" s="102">
        <f t="shared" si="495"/>
        <v>20600</v>
      </c>
    </row>
    <row r="207" spans="1:103" ht="40.5" customHeight="1">
      <c r="A207" s="41" t="e">
        <f>VLOOKUP(B207,справочник!$B$2:$E$322,4,FALSE)</f>
        <v>#N/A</v>
      </c>
      <c r="B207" t="str">
        <f t="shared" si="488"/>
        <v>304Носикова Мария Леонидовна (новый собственник Носикова Александра Васильевна)</v>
      </c>
      <c r="C207" s="1">
        <v>304</v>
      </c>
      <c r="D207" s="2" t="s">
        <v>839</v>
      </c>
      <c r="E207" s="1" t="s">
        <v>505</v>
      </c>
      <c r="F207" s="1"/>
      <c r="G207" s="1"/>
      <c r="H207" s="17"/>
      <c r="I207" s="1">
        <f t="shared" si="464"/>
        <v>0</v>
      </c>
      <c r="J207" s="17"/>
      <c r="K207" s="17"/>
      <c r="L207" s="18">
        <f t="shared" si="465"/>
        <v>0</v>
      </c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18">
        <f t="shared" si="489"/>
        <v>0</v>
      </c>
      <c r="Z207" s="96">
        <v>12</v>
      </c>
      <c r="AA207" s="96">
        <f t="shared" si="490"/>
        <v>9600</v>
      </c>
      <c r="AB207" s="96">
        <f t="shared" si="491"/>
        <v>9600</v>
      </c>
      <c r="AC207" s="99">
        <v>800</v>
      </c>
      <c r="AD207" s="98"/>
      <c r="AE207" s="102">
        <f t="shared" si="492"/>
        <v>10400</v>
      </c>
      <c r="AF207" s="99">
        <v>800</v>
      </c>
      <c r="AG207" s="98"/>
      <c r="AH207" s="102">
        <f t="shared" si="467"/>
        <v>11200</v>
      </c>
      <c r="AI207" s="99">
        <v>800</v>
      </c>
      <c r="AJ207" s="98"/>
      <c r="AK207" s="102">
        <f t="shared" si="468"/>
        <v>12000</v>
      </c>
      <c r="AL207" s="99">
        <v>800</v>
      </c>
      <c r="AM207" s="98"/>
      <c r="AN207" s="102">
        <f t="shared" si="469"/>
        <v>12800</v>
      </c>
      <c r="AO207" s="99">
        <v>800</v>
      </c>
      <c r="AP207" s="113"/>
      <c r="AQ207" s="102">
        <f t="shared" si="470"/>
        <v>13600</v>
      </c>
      <c r="AR207" s="99">
        <v>800</v>
      </c>
      <c r="AS207" s="113"/>
      <c r="AT207" s="102">
        <f t="shared" si="471"/>
        <v>14400</v>
      </c>
      <c r="AU207" s="99">
        <v>800</v>
      </c>
      <c r="AV207" s="113"/>
      <c r="AW207" s="102">
        <f t="shared" si="472"/>
        <v>15200</v>
      </c>
      <c r="AX207" s="99">
        <v>800</v>
      </c>
      <c r="AY207" s="113"/>
      <c r="AZ207" s="102">
        <f t="shared" si="473"/>
        <v>16000</v>
      </c>
      <c r="BA207" s="99">
        <v>800</v>
      </c>
      <c r="BB207" s="113"/>
      <c r="BC207" s="102">
        <f t="shared" si="474"/>
        <v>16800</v>
      </c>
      <c r="BD207" s="99">
        <v>800</v>
      </c>
      <c r="BE207" s="113"/>
      <c r="BF207" s="102">
        <f t="shared" si="475"/>
        <v>17600</v>
      </c>
      <c r="BG207" s="99">
        <v>800</v>
      </c>
      <c r="BH207" s="113"/>
      <c r="BI207" s="102">
        <f t="shared" si="476"/>
        <v>18400</v>
      </c>
      <c r="BJ207" s="99">
        <v>800</v>
      </c>
      <c r="BK207" s="113"/>
      <c r="BL207" s="102">
        <f t="shared" si="477"/>
        <v>19200</v>
      </c>
      <c r="BM207" s="99">
        <v>800</v>
      </c>
      <c r="BN207" s="113">
        <v>9000</v>
      </c>
      <c r="BO207" s="102">
        <f t="shared" si="478"/>
        <v>11000</v>
      </c>
      <c r="BP207" s="99">
        <v>800</v>
      </c>
      <c r="BQ207" s="113"/>
      <c r="BR207" s="102">
        <f t="shared" si="479"/>
        <v>11800</v>
      </c>
      <c r="BS207" s="99">
        <v>800</v>
      </c>
      <c r="BT207" s="113"/>
      <c r="BU207" s="102">
        <f t="shared" si="480"/>
        <v>12600</v>
      </c>
      <c r="BV207" s="99">
        <v>800</v>
      </c>
      <c r="BW207" s="113"/>
      <c r="BX207" s="102">
        <f t="shared" si="481"/>
        <v>13400</v>
      </c>
      <c r="BY207" s="99">
        <v>800</v>
      </c>
      <c r="BZ207" s="113"/>
      <c r="CA207" s="102">
        <f t="shared" si="482"/>
        <v>14200</v>
      </c>
      <c r="CB207" s="99">
        <v>800</v>
      </c>
      <c r="CC207" s="113"/>
      <c r="CD207" s="102">
        <f t="shared" si="483"/>
        <v>15000</v>
      </c>
      <c r="CE207" s="99">
        <v>800</v>
      </c>
      <c r="CF207" s="113"/>
      <c r="CG207" s="102">
        <f t="shared" si="484"/>
        <v>15800</v>
      </c>
      <c r="CH207" s="99">
        <v>800</v>
      </c>
      <c r="CI207" s="113"/>
      <c r="CJ207" s="102">
        <f t="shared" si="485"/>
        <v>16600</v>
      </c>
      <c r="CK207" s="99">
        <v>800</v>
      </c>
      <c r="CL207" s="113"/>
      <c r="CM207" s="102">
        <f t="shared" si="486"/>
        <v>17400</v>
      </c>
      <c r="CN207" s="99">
        <v>800</v>
      </c>
      <c r="CO207" s="113"/>
      <c r="CP207" s="102">
        <f t="shared" si="487"/>
        <v>18200</v>
      </c>
      <c r="CQ207" s="99">
        <v>800</v>
      </c>
      <c r="CR207" s="113"/>
      <c r="CS207" s="102">
        <f t="shared" si="493"/>
        <v>19000</v>
      </c>
      <c r="CT207" s="99">
        <v>800</v>
      </c>
      <c r="CU207" s="113"/>
      <c r="CV207" s="102">
        <f t="shared" si="494"/>
        <v>19800</v>
      </c>
      <c r="CW207" s="99">
        <v>800</v>
      </c>
      <c r="CX207" s="113"/>
      <c r="CY207" s="102">
        <f t="shared" si="495"/>
        <v>20600</v>
      </c>
    </row>
    <row r="208" spans="1:103" ht="24">
      <c r="A208" s="41" t="e">
        <f>VLOOKUP(B208,справочник!$B$2:$E$322,4,FALSE)</f>
        <v>#N/A</v>
      </c>
      <c r="B208" t="str">
        <f t="shared" si="488"/>
        <v>94Гусев Николай Михайлович (новый собственник Хайрулин Олег Олегович)</v>
      </c>
      <c r="C208" s="1">
        <v>94</v>
      </c>
      <c r="D208" s="2" t="s">
        <v>773</v>
      </c>
      <c r="E208" s="1" t="s">
        <v>506</v>
      </c>
      <c r="F208" s="16">
        <v>41106</v>
      </c>
      <c r="G208" s="16">
        <v>41091</v>
      </c>
      <c r="H208" s="17">
        <f t="shared" ref="H208:H224" si="496">INT(($H$326-G208)/30)</f>
        <v>42</v>
      </c>
      <c r="I208" s="1">
        <f t="shared" si="464"/>
        <v>42000</v>
      </c>
      <c r="J208" s="17">
        <f>21000</f>
        <v>21000</v>
      </c>
      <c r="K208" s="17"/>
      <c r="L208" s="18">
        <f t="shared" si="465"/>
        <v>21000</v>
      </c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18">
        <f t="shared" si="489"/>
        <v>0</v>
      </c>
      <c r="Z208" s="96">
        <v>12</v>
      </c>
      <c r="AA208" s="96">
        <f t="shared" si="490"/>
        <v>9600</v>
      </c>
      <c r="AB208" s="96">
        <f t="shared" si="491"/>
        <v>30600</v>
      </c>
      <c r="AC208" s="99">
        <v>800</v>
      </c>
      <c r="AD208" s="98"/>
      <c r="AE208" s="102">
        <f t="shared" si="492"/>
        <v>31400</v>
      </c>
      <c r="AF208" s="99">
        <v>800</v>
      </c>
      <c r="AG208" s="98"/>
      <c r="AH208" s="102">
        <f t="shared" si="467"/>
        <v>32200</v>
      </c>
      <c r="AI208" s="99">
        <v>800</v>
      </c>
      <c r="AJ208" s="98"/>
      <c r="AK208" s="102">
        <f t="shared" si="468"/>
        <v>33000</v>
      </c>
      <c r="AL208" s="99">
        <v>800</v>
      </c>
      <c r="AM208" s="98"/>
      <c r="AN208" s="102">
        <f t="shared" si="469"/>
        <v>33800</v>
      </c>
      <c r="AO208" s="99">
        <v>800</v>
      </c>
      <c r="AP208" s="113"/>
      <c r="AQ208" s="102">
        <f t="shared" si="470"/>
        <v>34600</v>
      </c>
      <c r="AR208" s="99">
        <v>800</v>
      </c>
      <c r="AS208" s="113"/>
      <c r="AT208" s="102">
        <f t="shared" si="471"/>
        <v>35400</v>
      </c>
      <c r="AU208" s="99">
        <v>800</v>
      </c>
      <c r="AV208" s="113"/>
      <c r="AW208" s="102">
        <f t="shared" si="472"/>
        <v>36200</v>
      </c>
      <c r="AX208" s="99">
        <v>800</v>
      </c>
      <c r="AY208" s="113"/>
      <c r="AZ208" s="102">
        <f t="shared" si="473"/>
        <v>37000</v>
      </c>
      <c r="BA208" s="99">
        <v>800</v>
      </c>
      <c r="BB208" s="113"/>
      <c r="BC208" s="102">
        <f t="shared" si="474"/>
        <v>37800</v>
      </c>
      <c r="BD208" s="99">
        <v>800</v>
      </c>
      <c r="BE208" s="113"/>
      <c r="BF208" s="102">
        <f t="shared" si="475"/>
        <v>38600</v>
      </c>
      <c r="BG208" s="99">
        <v>800</v>
      </c>
      <c r="BH208" s="113"/>
      <c r="BI208" s="102">
        <f>BF208+BG208-BH208</f>
        <v>39400</v>
      </c>
      <c r="BJ208" s="99">
        <v>800</v>
      </c>
      <c r="BK208" s="113">
        <v>29200</v>
      </c>
      <c r="BL208" s="102">
        <f>BI208+BJ208-BK208</f>
        <v>11000</v>
      </c>
      <c r="BM208" s="99">
        <v>800</v>
      </c>
      <c r="BN208" s="113"/>
      <c r="BO208" s="102">
        <f>BL208+BM208-BN208</f>
        <v>11800</v>
      </c>
      <c r="BP208" s="99">
        <v>800</v>
      </c>
      <c r="BQ208" s="113"/>
      <c r="BR208" s="102">
        <f>BO208+BP208-BQ208</f>
        <v>12600</v>
      </c>
      <c r="BS208" s="99">
        <v>800</v>
      </c>
      <c r="BT208" s="113"/>
      <c r="BU208" s="102">
        <f>BR208+BS208-BT208</f>
        <v>13400</v>
      </c>
      <c r="BV208" s="99">
        <v>800</v>
      </c>
      <c r="BW208" s="113"/>
      <c r="BX208" s="102">
        <f>BU208+BV208-BW208</f>
        <v>14200</v>
      </c>
      <c r="BY208" s="99">
        <v>800</v>
      </c>
      <c r="BZ208" s="113"/>
      <c r="CA208" s="102">
        <f>BX208+BY208-BZ208</f>
        <v>15000</v>
      </c>
      <c r="CB208" s="99">
        <v>800</v>
      </c>
      <c r="CC208" s="113">
        <v>4800</v>
      </c>
      <c r="CD208" s="102">
        <f>CA208+CB208-CC208</f>
        <v>11000</v>
      </c>
      <c r="CE208" s="99">
        <v>800</v>
      </c>
      <c r="CF208" s="113"/>
      <c r="CG208" s="102">
        <f>CD208+CE208-CF208</f>
        <v>11800</v>
      </c>
      <c r="CH208" s="99">
        <v>800</v>
      </c>
      <c r="CI208" s="113"/>
      <c r="CJ208" s="102">
        <f>CG208+CH208-CI208</f>
        <v>12600</v>
      </c>
      <c r="CK208" s="99">
        <v>800</v>
      </c>
      <c r="CL208" s="113"/>
      <c r="CM208" s="102">
        <f>CJ208+CK208-CL208</f>
        <v>13400</v>
      </c>
      <c r="CN208" s="99">
        <v>800</v>
      </c>
      <c r="CO208" s="113"/>
      <c r="CP208" s="102">
        <f>CM208+CN208-CO208</f>
        <v>14200</v>
      </c>
      <c r="CQ208" s="99">
        <v>800</v>
      </c>
      <c r="CR208" s="113"/>
      <c r="CS208" s="102">
        <f t="shared" si="493"/>
        <v>15000</v>
      </c>
      <c r="CT208" s="99">
        <v>800</v>
      </c>
      <c r="CU208" s="113"/>
      <c r="CV208" s="102">
        <f t="shared" si="494"/>
        <v>15800</v>
      </c>
      <c r="CW208" s="99">
        <v>800</v>
      </c>
      <c r="CX208" s="113"/>
      <c r="CY208" s="102">
        <f t="shared" si="495"/>
        <v>16600</v>
      </c>
    </row>
    <row r="209" spans="1:103" s="80" customFormat="1">
      <c r="A209" s="103" t="e">
        <f>VLOOKUP(B209,справочник!$B$2:$E$322,4,FALSE)</f>
        <v>#N/A</v>
      </c>
      <c r="B209" s="80" t="str">
        <f t="shared" si="488"/>
        <v>26Олейников Дмитрий Александрович</v>
      </c>
      <c r="C209" s="5">
        <v>26</v>
      </c>
      <c r="D209" s="7" t="s">
        <v>780</v>
      </c>
      <c r="E209" s="5" t="s">
        <v>507</v>
      </c>
      <c r="F209" s="19">
        <v>40788</v>
      </c>
      <c r="G209" s="19">
        <v>40787</v>
      </c>
      <c r="H209" s="20">
        <f t="shared" si="496"/>
        <v>52</v>
      </c>
      <c r="I209" s="5">
        <f t="shared" si="464"/>
        <v>52000</v>
      </c>
      <c r="J209" s="20"/>
      <c r="K209" s="20"/>
      <c r="L209" s="21">
        <f t="shared" si="465"/>
        <v>52000</v>
      </c>
      <c r="M209" s="109"/>
      <c r="N209" s="109"/>
      <c r="O209" s="109"/>
      <c r="P209" s="109"/>
      <c r="Q209" s="109"/>
      <c r="R209" s="109"/>
      <c r="S209" s="109"/>
      <c r="T209" s="109"/>
      <c r="U209" s="109"/>
      <c r="V209" s="109"/>
      <c r="W209" s="109"/>
      <c r="X209" s="109"/>
      <c r="Y209" s="21">
        <f t="shared" si="489"/>
        <v>0</v>
      </c>
      <c r="Z209" s="104">
        <v>12</v>
      </c>
      <c r="AA209" s="104">
        <f t="shared" si="490"/>
        <v>9600</v>
      </c>
      <c r="AB209" s="104">
        <f t="shared" si="491"/>
        <v>61600</v>
      </c>
      <c r="AC209" s="104">
        <v>800</v>
      </c>
      <c r="AD209" s="105"/>
      <c r="AE209" s="106">
        <f t="shared" si="492"/>
        <v>62400</v>
      </c>
      <c r="AF209" s="104">
        <v>800</v>
      </c>
      <c r="AG209" s="105"/>
      <c r="AH209" s="106">
        <f t="shared" si="467"/>
        <v>63200</v>
      </c>
      <c r="AI209" s="104">
        <v>800</v>
      </c>
      <c r="AJ209" s="105"/>
      <c r="AK209" s="106">
        <f t="shared" si="468"/>
        <v>64000</v>
      </c>
      <c r="AL209" s="104">
        <v>800</v>
      </c>
      <c r="AM209" s="105"/>
      <c r="AN209" s="106">
        <f t="shared" si="469"/>
        <v>64800</v>
      </c>
      <c r="AO209" s="104">
        <v>800</v>
      </c>
      <c r="AP209" s="105"/>
      <c r="AQ209" s="106">
        <f t="shared" si="470"/>
        <v>65600</v>
      </c>
      <c r="AR209" s="104">
        <v>800</v>
      </c>
      <c r="AS209" s="105"/>
      <c r="AT209" s="106">
        <f t="shared" si="471"/>
        <v>66400</v>
      </c>
      <c r="AU209" s="104">
        <v>800</v>
      </c>
      <c r="AV209" s="105"/>
      <c r="AW209" s="106">
        <f t="shared" si="472"/>
        <v>67200</v>
      </c>
      <c r="AX209" s="104">
        <v>800</v>
      </c>
      <c r="AY209" s="105"/>
      <c r="AZ209" s="106">
        <f t="shared" si="473"/>
        <v>68000</v>
      </c>
      <c r="BA209" s="104">
        <v>800</v>
      </c>
      <c r="BB209" s="105">
        <v>10000</v>
      </c>
      <c r="BC209" s="106">
        <f t="shared" si="474"/>
        <v>58800</v>
      </c>
      <c r="BD209" s="104">
        <v>800</v>
      </c>
      <c r="BE209" s="105">
        <v>5000</v>
      </c>
      <c r="BF209" s="222">
        <f>SUM(BC209:BC210)+BD209-SUM(BE209:BE210)</f>
        <v>45600</v>
      </c>
      <c r="BG209" s="104">
        <v>800</v>
      </c>
      <c r="BH209" s="105"/>
      <c r="BI209" s="222">
        <f>SUM(BF209:BF210)+BG209-SUM(BH209:BH210)</f>
        <v>46400</v>
      </c>
      <c r="BJ209" s="220">
        <v>800</v>
      </c>
      <c r="BK209" s="218">
        <v>20000</v>
      </c>
      <c r="BL209" s="222">
        <f>SUM(BI209:BI210)+BJ209-SUM(BK209:BK209)</f>
        <v>27200</v>
      </c>
      <c r="BM209" s="220">
        <v>800</v>
      </c>
      <c r="BN209" s="218">
        <v>13000</v>
      </c>
      <c r="BO209" s="222">
        <f>SUM(BL209:BL210)+BM209-SUM(BN209:BN210)</f>
        <v>15000</v>
      </c>
      <c r="BP209" s="220">
        <v>800</v>
      </c>
      <c r="BQ209" s="218"/>
      <c r="BR209" s="222">
        <f>SUM(BO209:BO210)+BP209-SUM(BQ209:BQ210)</f>
        <v>15800</v>
      </c>
      <c r="BS209" s="220">
        <v>800</v>
      </c>
      <c r="BT209" s="218">
        <v>17400</v>
      </c>
      <c r="BU209" s="222">
        <f>SUM(BR209:BR210)+BS209-SUM(BT209:BT210)</f>
        <v>-800</v>
      </c>
      <c r="BV209" s="220">
        <v>800</v>
      </c>
      <c r="BW209" s="218"/>
      <c r="BX209" s="222">
        <f>SUM(BU209:BU210)+BV209-SUM(BW209:BW210)</f>
        <v>0</v>
      </c>
      <c r="BY209" s="220">
        <v>800</v>
      </c>
      <c r="BZ209" s="218"/>
      <c r="CA209" s="222">
        <f>SUM(BX209:BX210)+BY209-SUM(BZ209:BZ210)</f>
        <v>800</v>
      </c>
      <c r="CB209" s="220">
        <v>800</v>
      </c>
      <c r="CC209" s="218"/>
      <c r="CD209" s="222">
        <f>SUM(CA209:CA210)+CB209-SUM(CC209:CC210)</f>
        <v>1600</v>
      </c>
      <c r="CE209" s="220">
        <v>800</v>
      </c>
      <c r="CF209" s="218"/>
      <c r="CG209" s="222">
        <f>SUM(CD209:CD210)+CE209-SUM(CF209:CF210)</f>
        <v>2400</v>
      </c>
      <c r="CH209" s="220">
        <v>800</v>
      </c>
      <c r="CI209" s="218"/>
      <c r="CJ209" s="222">
        <f>SUM(CG209:CG210)+CH209-SUM(CI209:CI210)</f>
        <v>3200</v>
      </c>
      <c r="CK209" s="220">
        <v>800</v>
      </c>
      <c r="CL209" s="218"/>
      <c r="CM209" s="222">
        <f>SUM(CJ209:CJ210)+CK209-SUM(CL209:CL210)</f>
        <v>4000</v>
      </c>
      <c r="CN209" s="220">
        <v>800</v>
      </c>
      <c r="CO209" s="218"/>
      <c r="CP209" s="222">
        <f>SUM(CM209:CM210)+CN209-SUM(CO209:CO210)</f>
        <v>4800</v>
      </c>
      <c r="CQ209" s="220">
        <v>800</v>
      </c>
      <c r="CR209" s="218"/>
      <c r="CS209" s="222">
        <f>CP209+CQ209-CR209</f>
        <v>5600</v>
      </c>
      <c r="CT209" s="220">
        <v>800</v>
      </c>
      <c r="CU209" s="218"/>
      <c r="CV209" s="222">
        <f>CS209+CT209-CU209</f>
        <v>6400</v>
      </c>
      <c r="CW209" s="220">
        <v>800</v>
      </c>
      <c r="CX209" s="218"/>
      <c r="CY209" s="222">
        <f>CV209+CW209-CX209</f>
        <v>7200</v>
      </c>
    </row>
    <row r="210" spans="1:103" s="80" customFormat="1">
      <c r="A210" s="103" t="e">
        <f>VLOOKUP(B210,справочник!$B$2:$E$322,4,FALSE)</f>
        <v>#N/A</v>
      </c>
      <c r="B210" s="80" t="str">
        <f t="shared" si="488"/>
        <v>77Олейников Дмитрий Александрович</v>
      </c>
      <c r="C210" s="5">
        <v>77</v>
      </c>
      <c r="D210" s="7" t="s">
        <v>780</v>
      </c>
      <c r="E210" s="5" t="s">
        <v>508</v>
      </c>
      <c r="F210" s="19">
        <v>40788</v>
      </c>
      <c r="G210" s="19">
        <v>40787</v>
      </c>
      <c r="H210" s="20">
        <f t="shared" si="496"/>
        <v>52</v>
      </c>
      <c r="I210" s="5">
        <f t="shared" si="464"/>
        <v>52000</v>
      </c>
      <c r="J210" s="20">
        <f>36000+4000</f>
        <v>40000</v>
      </c>
      <c r="K210" s="20"/>
      <c r="L210" s="21">
        <v>6000</v>
      </c>
      <c r="M210" s="109"/>
      <c r="N210" s="109"/>
      <c r="O210" s="109"/>
      <c r="P210" s="109"/>
      <c r="Q210" s="109"/>
      <c r="R210" s="109"/>
      <c r="S210" s="109"/>
      <c r="T210" s="109"/>
      <c r="U210" s="109"/>
      <c r="V210" s="109"/>
      <c r="W210" s="109"/>
      <c r="X210" s="109"/>
      <c r="Y210" s="21">
        <f t="shared" si="489"/>
        <v>0</v>
      </c>
      <c r="Z210" s="104">
        <v>0</v>
      </c>
      <c r="AA210" s="104">
        <f t="shared" si="490"/>
        <v>0</v>
      </c>
      <c r="AB210" s="104">
        <f>L210+AA210-Y210</f>
        <v>6000</v>
      </c>
      <c r="AC210" s="104">
        <v>0</v>
      </c>
      <c r="AD210" s="105"/>
      <c r="AE210" s="106">
        <f t="shared" si="492"/>
        <v>6000</v>
      </c>
      <c r="AF210" s="104">
        <v>0</v>
      </c>
      <c r="AG210" s="105"/>
      <c r="AH210" s="106">
        <f t="shared" si="467"/>
        <v>6000</v>
      </c>
      <c r="AI210" s="104"/>
      <c r="AJ210" s="105"/>
      <c r="AK210" s="106">
        <f t="shared" si="468"/>
        <v>6000</v>
      </c>
      <c r="AL210" s="104"/>
      <c r="AM210" s="105"/>
      <c r="AN210" s="106">
        <f t="shared" si="469"/>
        <v>6000</v>
      </c>
      <c r="AO210" s="104"/>
      <c r="AP210" s="105"/>
      <c r="AQ210" s="106">
        <f t="shared" si="470"/>
        <v>6000</v>
      </c>
      <c r="AR210" s="104"/>
      <c r="AS210" s="105"/>
      <c r="AT210" s="106">
        <f t="shared" si="471"/>
        <v>6000</v>
      </c>
      <c r="AU210" s="104"/>
      <c r="AV210" s="105"/>
      <c r="AW210" s="106">
        <f t="shared" si="472"/>
        <v>6000</v>
      </c>
      <c r="AX210" s="104"/>
      <c r="AY210" s="105"/>
      <c r="AZ210" s="106">
        <f t="shared" si="473"/>
        <v>6000</v>
      </c>
      <c r="BA210" s="104"/>
      <c r="BB210" s="105">
        <v>10000</v>
      </c>
      <c r="BC210" s="106">
        <f t="shared" si="474"/>
        <v>-4000</v>
      </c>
      <c r="BD210" s="104"/>
      <c r="BE210" s="105">
        <v>5000</v>
      </c>
      <c r="BF210" s="223"/>
      <c r="BG210" s="104"/>
      <c r="BH210" s="105"/>
      <c r="BI210" s="223"/>
      <c r="BJ210" s="221"/>
      <c r="BK210" s="219"/>
      <c r="BL210" s="223"/>
      <c r="BM210" s="221"/>
      <c r="BN210" s="219"/>
      <c r="BO210" s="223"/>
      <c r="BP210" s="221"/>
      <c r="BQ210" s="219"/>
      <c r="BR210" s="223"/>
      <c r="BS210" s="221"/>
      <c r="BT210" s="219"/>
      <c r="BU210" s="223"/>
      <c r="BV210" s="221"/>
      <c r="BW210" s="219"/>
      <c r="BX210" s="223"/>
      <c r="BY210" s="221"/>
      <c r="BZ210" s="219"/>
      <c r="CA210" s="223"/>
      <c r="CB210" s="221"/>
      <c r="CC210" s="219"/>
      <c r="CD210" s="223"/>
      <c r="CE210" s="221"/>
      <c r="CF210" s="219"/>
      <c r="CG210" s="223"/>
      <c r="CH210" s="221"/>
      <c r="CI210" s="219"/>
      <c r="CJ210" s="223"/>
      <c r="CK210" s="221"/>
      <c r="CL210" s="219"/>
      <c r="CM210" s="223"/>
      <c r="CN210" s="221"/>
      <c r="CO210" s="219"/>
      <c r="CP210" s="223"/>
      <c r="CQ210" s="221"/>
      <c r="CR210" s="219"/>
      <c r="CS210" s="223"/>
      <c r="CT210" s="221"/>
      <c r="CU210" s="219"/>
      <c r="CV210" s="223"/>
      <c r="CW210" s="221"/>
      <c r="CX210" s="219"/>
      <c r="CY210" s="223"/>
    </row>
    <row r="211" spans="1:103" ht="25.5" customHeight="1">
      <c r="A211" s="41">
        <f>VLOOKUP(B211,справочник!$B$2:$E$322,4,FALSE)</f>
        <v>6</v>
      </c>
      <c r="B211" t="str">
        <f t="shared" si="488"/>
        <v>6Осадчев Константин Владимирович</v>
      </c>
      <c r="C211" s="1">
        <v>6</v>
      </c>
      <c r="D211" s="2" t="s">
        <v>193</v>
      </c>
      <c r="E211" s="1" t="s">
        <v>509</v>
      </c>
      <c r="F211" s="16">
        <v>41939</v>
      </c>
      <c r="G211" s="16">
        <v>41944</v>
      </c>
      <c r="H211" s="17">
        <f t="shared" si="496"/>
        <v>14</v>
      </c>
      <c r="I211" s="1">
        <f t="shared" si="464"/>
        <v>14000</v>
      </c>
      <c r="J211" s="17"/>
      <c r="K211" s="17"/>
      <c r="L211" s="18">
        <f t="shared" si="465"/>
        <v>14000</v>
      </c>
      <c r="M211" s="29"/>
      <c r="N211" s="29"/>
      <c r="O211" s="29"/>
      <c r="P211" s="29"/>
      <c r="Q211" s="29">
        <v>4000</v>
      </c>
      <c r="R211" s="29"/>
      <c r="S211" s="29"/>
      <c r="T211" s="29"/>
      <c r="U211" s="29"/>
      <c r="V211" s="29"/>
      <c r="W211" s="29"/>
      <c r="X211" s="29">
        <v>18000</v>
      </c>
      <c r="Y211" s="18">
        <f t="shared" si="489"/>
        <v>22000</v>
      </c>
      <c r="Z211" s="96">
        <v>12</v>
      </c>
      <c r="AA211" s="96">
        <f t="shared" si="490"/>
        <v>9600</v>
      </c>
      <c r="AB211" s="96">
        <f t="shared" si="491"/>
        <v>1600</v>
      </c>
      <c r="AC211" s="99">
        <v>800</v>
      </c>
      <c r="AD211" s="98"/>
      <c r="AE211" s="102">
        <f t="shared" si="492"/>
        <v>2400</v>
      </c>
      <c r="AF211" s="99">
        <v>800</v>
      </c>
      <c r="AG211" s="98"/>
      <c r="AH211" s="102">
        <f t="shared" si="467"/>
        <v>3200</v>
      </c>
      <c r="AI211" s="99">
        <v>800</v>
      </c>
      <c r="AJ211" s="98"/>
      <c r="AK211" s="102">
        <f t="shared" si="468"/>
        <v>4000</v>
      </c>
      <c r="AL211" s="99">
        <v>800</v>
      </c>
      <c r="AM211" s="98"/>
      <c r="AN211" s="102">
        <f t="shared" si="469"/>
        <v>4800</v>
      </c>
      <c r="AO211" s="99">
        <v>800</v>
      </c>
      <c r="AP211" s="113">
        <v>4500</v>
      </c>
      <c r="AQ211" s="102">
        <f t="shared" si="470"/>
        <v>1100</v>
      </c>
      <c r="AR211" s="99">
        <v>800</v>
      </c>
      <c r="AS211" s="113"/>
      <c r="AT211" s="102">
        <f t="shared" si="471"/>
        <v>1900</v>
      </c>
      <c r="AU211" s="99">
        <v>800</v>
      </c>
      <c r="AV211" s="113"/>
      <c r="AW211" s="102">
        <f t="shared" si="472"/>
        <v>2700</v>
      </c>
      <c r="AX211" s="99">
        <v>800</v>
      </c>
      <c r="AY211" s="113">
        <v>1000</v>
      </c>
      <c r="AZ211" s="102">
        <f>AW211+AX211-AY211</f>
        <v>2500</v>
      </c>
      <c r="BA211" s="99">
        <v>800</v>
      </c>
      <c r="BB211" s="113"/>
      <c r="BC211" s="102">
        <f>AZ211+BA211-BB211</f>
        <v>3300</v>
      </c>
      <c r="BD211" s="99">
        <v>800</v>
      </c>
      <c r="BE211" s="113"/>
      <c r="BF211" s="102">
        <f>BC211+BD211-BE211</f>
        <v>4100</v>
      </c>
      <c r="BG211" s="99">
        <v>800</v>
      </c>
      <c r="BH211" s="113"/>
      <c r="BI211" s="102">
        <f>BF211+BG211-BH211</f>
        <v>4900</v>
      </c>
      <c r="BJ211" s="99">
        <v>800</v>
      </c>
      <c r="BK211" s="113"/>
      <c r="BL211" s="102">
        <f>BI211+BJ211-BK211</f>
        <v>5700</v>
      </c>
      <c r="BM211" s="99">
        <v>800</v>
      </c>
      <c r="BN211" s="113">
        <v>4900</v>
      </c>
      <c r="BO211" s="102">
        <f>BL211+BM211-BN211</f>
        <v>1600</v>
      </c>
      <c r="BP211" s="99">
        <v>800</v>
      </c>
      <c r="BQ211" s="113"/>
      <c r="BR211" s="102">
        <f>BO211+BP211-BQ211</f>
        <v>2400</v>
      </c>
      <c r="BS211" s="99">
        <v>800</v>
      </c>
      <c r="BT211" s="113">
        <v>414.06</v>
      </c>
      <c r="BU211" s="102">
        <f>BR211+BS211-BT211</f>
        <v>2785.94</v>
      </c>
      <c r="BV211" s="99">
        <v>800</v>
      </c>
      <c r="BW211" s="113"/>
      <c r="BX211" s="102">
        <f>BU211+BV211-BW211</f>
        <v>3585.94</v>
      </c>
      <c r="BY211" s="99">
        <v>800</v>
      </c>
      <c r="BZ211" s="113">
        <v>3585.94</v>
      </c>
      <c r="CA211" s="102">
        <f>BX211+BY211-BZ211</f>
        <v>800.00000000000045</v>
      </c>
      <c r="CB211" s="99">
        <v>800</v>
      </c>
      <c r="CC211" s="113"/>
      <c r="CD211" s="102">
        <f>CA211+CB211-CC211</f>
        <v>1600.0000000000005</v>
      </c>
      <c r="CE211" s="99">
        <v>800</v>
      </c>
      <c r="CF211" s="113"/>
      <c r="CG211" s="102">
        <f>CD211+CE211-CF211</f>
        <v>2400.0000000000005</v>
      </c>
      <c r="CH211" s="99">
        <v>800</v>
      </c>
      <c r="CI211" s="113"/>
      <c r="CJ211" s="102">
        <f>CG211+CH211-CI211</f>
        <v>3200.0000000000005</v>
      </c>
      <c r="CK211" s="99">
        <v>800</v>
      </c>
      <c r="CL211" s="113"/>
      <c r="CM211" s="102">
        <f>CJ211+CK211-CL211</f>
        <v>4000.0000000000005</v>
      </c>
      <c r="CN211" s="99">
        <v>800</v>
      </c>
      <c r="CO211" s="113"/>
      <c r="CP211" s="102">
        <f>CM211+CN211-CO211</f>
        <v>4800</v>
      </c>
      <c r="CQ211" s="99">
        <v>800</v>
      </c>
      <c r="CR211" s="113"/>
      <c r="CS211" s="102">
        <f>CP211+CQ211-CR211</f>
        <v>5600</v>
      </c>
      <c r="CT211" s="99">
        <v>800</v>
      </c>
      <c r="CU211" s="113">
        <v>6400</v>
      </c>
      <c r="CV211" s="102">
        <f>CS211+CT211-CU211</f>
        <v>0</v>
      </c>
      <c r="CW211" s="99">
        <v>800</v>
      </c>
      <c r="CX211" s="113"/>
      <c r="CY211" s="102">
        <f>CV211+CW211-CX211</f>
        <v>800</v>
      </c>
    </row>
    <row r="212" spans="1:103" ht="25.5" customHeight="1">
      <c r="A212" s="41">
        <f>VLOOKUP(B212,справочник!$B$2:$E$322,4,FALSE)</f>
        <v>80</v>
      </c>
      <c r="B212" t="str">
        <f t="shared" si="488"/>
        <v>85Острикова Наталья Львовна</v>
      </c>
      <c r="C212" s="1">
        <v>85</v>
      </c>
      <c r="D212" s="2" t="s">
        <v>194</v>
      </c>
      <c r="E212" s="1" t="s">
        <v>510</v>
      </c>
      <c r="F212" s="16">
        <v>40995</v>
      </c>
      <c r="G212" s="16">
        <v>41000</v>
      </c>
      <c r="H212" s="17">
        <f t="shared" si="496"/>
        <v>45</v>
      </c>
      <c r="I212" s="1">
        <f t="shared" si="464"/>
        <v>45000</v>
      </c>
      <c r="J212" s="17">
        <v>45000</v>
      </c>
      <c r="K212" s="17"/>
      <c r="L212" s="18">
        <f t="shared" si="465"/>
        <v>0</v>
      </c>
      <c r="M212" s="29"/>
      <c r="N212" s="29"/>
      <c r="O212" s="29"/>
      <c r="P212" s="29"/>
      <c r="Q212" s="29"/>
      <c r="R212" s="29">
        <v>4000</v>
      </c>
      <c r="S212" s="29">
        <v>2000</v>
      </c>
      <c r="T212">
        <v>2000</v>
      </c>
      <c r="U212" s="29"/>
      <c r="V212" s="29"/>
      <c r="W212" s="29"/>
      <c r="X212" s="29"/>
      <c r="Y212" s="18">
        <f t="shared" si="489"/>
        <v>8000</v>
      </c>
      <c r="Z212" s="96">
        <v>12</v>
      </c>
      <c r="AA212" s="96">
        <f t="shared" si="490"/>
        <v>9600</v>
      </c>
      <c r="AB212" s="96">
        <f t="shared" si="491"/>
        <v>1600</v>
      </c>
      <c r="AC212" s="99">
        <v>800</v>
      </c>
      <c r="AD212" s="98">
        <v>6000</v>
      </c>
      <c r="AE212" s="102">
        <f t="shared" si="492"/>
        <v>-3600</v>
      </c>
      <c r="AF212" s="99">
        <v>800</v>
      </c>
      <c r="AG212" s="98">
        <v>4000</v>
      </c>
      <c r="AH212" s="102">
        <f t="shared" si="467"/>
        <v>-6800</v>
      </c>
      <c r="AI212" s="99">
        <v>800</v>
      </c>
      <c r="AJ212" s="98"/>
      <c r="AK212" s="102">
        <f t="shared" si="468"/>
        <v>-6000</v>
      </c>
      <c r="AL212" s="99">
        <v>800</v>
      </c>
      <c r="AM212" s="98">
        <v>1600</v>
      </c>
      <c r="AN212" s="102">
        <f t="shared" si="469"/>
        <v>-6800</v>
      </c>
      <c r="AO212" s="99">
        <v>800</v>
      </c>
      <c r="AP212" s="113"/>
      <c r="AQ212" s="102">
        <f t="shared" si="470"/>
        <v>-6000</v>
      </c>
      <c r="AR212" s="99">
        <v>800</v>
      </c>
      <c r="AS212" s="113"/>
      <c r="AT212" s="102">
        <f t="shared" si="471"/>
        <v>-5200</v>
      </c>
      <c r="AU212" s="99">
        <v>800</v>
      </c>
      <c r="AV212" s="113"/>
      <c r="AW212" s="102">
        <f t="shared" si="472"/>
        <v>-4400</v>
      </c>
      <c r="AX212" s="99">
        <v>800</v>
      </c>
      <c r="AY212" s="113"/>
      <c r="AZ212" s="102">
        <f t="shared" si="473"/>
        <v>-3600</v>
      </c>
      <c r="BA212" s="99">
        <v>800</v>
      </c>
      <c r="BB212" s="113"/>
      <c r="BC212" s="102">
        <f t="shared" ref="BC212:BC230" si="497">AZ212+BA212-BB212</f>
        <v>-2800</v>
      </c>
      <c r="BD212" s="99">
        <v>800</v>
      </c>
      <c r="BE212" s="113"/>
      <c r="BF212" s="102">
        <f t="shared" ref="BF212:BF230" si="498">BC212+BD212-BE212</f>
        <v>-2000</v>
      </c>
      <c r="BG212" s="99">
        <v>800</v>
      </c>
      <c r="BH212" s="113"/>
      <c r="BI212" s="102">
        <f t="shared" ref="BI212:BI230" si="499">BF212+BG212-BH212</f>
        <v>-1200</v>
      </c>
      <c r="BJ212" s="99">
        <v>800</v>
      </c>
      <c r="BK212" s="113"/>
      <c r="BL212" s="102">
        <f t="shared" ref="BL212:BL230" si="500">BI212+BJ212-BK212</f>
        <v>-400</v>
      </c>
      <c r="BM212" s="99">
        <v>800</v>
      </c>
      <c r="BN212" s="113"/>
      <c r="BO212" s="102">
        <f t="shared" ref="BO212:BO230" si="501">BL212+BM212-BN212</f>
        <v>400</v>
      </c>
      <c r="BP212" s="99">
        <v>800</v>
      </c>
      <c r="BQ212" s="113"/>
      <c r="BR212" s="102">
        <f t="shared" ref="BR212:BR230" si="502">BO212+BP212-BQ212</f>
        <v>1200</v>
      </c>
      <c r="BS212" s="99">
        <v>800</v>
      </c>
      <c r="BT212" s="113"/>
      <c r="BU212" s="102">
        <f t="shared" ref="BU212:BU230" si="503">BR212+BS212-BT212</f>
        <v>2000</v>
      </c>
      <c r="BV212" s="99">
        <v>800</v>
      </c>
      <c r="BW212" s="113"/>
      <c r="BX212" s="102">
        <f t="shared" ref="BX212:BX230" si="504">BU212+BV212-BW212</f>
        <v>2800</v>
      </c>
      <c r="BY212" s="99">
        <v>800</v>
      </c>
      <c r="BZ212" s="113">
        <v>3200</v>
      </c>
      <c r="CA212" s="102">
        <f t="shared" ref="CA212:CA230" si="505">BX212+BY212-BZ212</f>
        <v>400</v>
      </c>
      <c r="CB212" s="99">
        <v>800</v>
      </c>
      <c r="CC212" s="113"/>
      <c r="CD212" s="102">
        <f t="shared" ref="CD212:CD230" si="506">CA212+CB212-CC212</f>
        <v>1200</v>
      </c>
      <c r="CE212" s="99">
        <v>800</v>
      </c>
      <c r="CF212" s="113"/>
      <c r="CG212" s="102">
        <f t="shared" ref="CG212:CG230" si="507">CD212+CE212-CF212</f>
        <v>2000</v>
      </c>
      <c r="CH212" s="99">
        <v>800</v>
      </c>
      <c r="CI212" s="113">
        <v>2000</v>
      </c>
      <c r="CJ212" s="102">
        <f t="shared" ref="CJ212:CJ230" si="508">CG212+CH212-CI212</f>
        <v>800</v>
      </c>
      <c r="CK212" s="99">
        <v>800</v>
      </c>
      <c r="CL212" s="113"/>
      <c r="CM212" s="102">
        <f t="shared" ref="CM212:CM230" si="509">CJ212+CK212-CL212</f>
        <v>1600</v>
      </c>
      <c r="CN212" s="99">
        <v>800</v>
      </c>
      <c r="CO212" s="113"/>
      <c r="CP212" s="102">
        <f t="shared" ref="CP212:CP230" si="510">CM212+CN212-CO212</f>
        <v>2400</v>
      </c>
      <c r="CQ212" s="99">
        <v>800</v>
      </c>
      <c r="CR212" s="113"/>
      <c r="CS212" s="102">
        <f t="shared" ref="CS212:CS227" si="511">CP212+CQ212-CR212</f>
        <v>3200</v>
      </c>
      <c r="CT212" s="99">
        <v>800</v>
      </c>
      <c r="CU212" s="113"/>
      <c r="CV212" s="102">
        <f t="shared" ref="CV212:CV227" si="512">CS212+CT212-CU212</f>
        <v>4000</v>
      </c>
      <c r="CW212" s="99">
        <v>800</v>
      </c>
      <c r="CX212" s="113"/>
      <c r="CY212" s="102">
        <f t="shared" ref="CY212:CY227" si="513">CV212+CW212-CX212</f>
        <v>4800</v>
      </c>
    </row>
    <row r="213" spans="1:103" ht="38.25" customHeight="1">
      <c r="A213" s="41" t="e">
        <f>VLOOKUP(B213,справочник!$B$2:$E$322,4,FALSE)</f>
        <v>#N/A</v>
      </c>
      <c r="B213" t="str">
        <f t="shared" si="488"/>
        <v>209Пархачева Эльвира Валентиновна</v>
      </c>
      <c r="C213" s="1">
        <v>209</v>
      </c>
      <c r="D213" s="2" t="s">
        <v>792</v>
      </c>
      <c r="E213" s="1" t="s">
        <v>511</v>
      </c>
      <c r="F213" s="16">
        <v>40974</v>
      </c>
      <c r="G213" s="16">
        <v>40969</v>
      </c>
      <c r="H213" s="17">
        <f t="shared" si="496"/>
        <v>46</v>
      </c>
      <c r="I213" s="1">
        <f t="shared" si="464"/>
        <v>46000</v>
      </c>
      <c r="J213" s="17">
        <v>38000</v>
      </c>
      <c r="K213" s="17"/>
      <c r="L213" s="18">
        <f t="shared" si="465"/>
        <v>8000</v>
      </c>
      <c r="M213" s="29">
        <v>4000</v>
      </c>
      <c r="N213" s="29"/>
      <c r="O213" s="29"/>
      <c r="P213" s="29"/>
      <c r="Q213" s="29">
        <v>3200</v>
      </c>
      <c r="R213" s="29"/>
      <c r="S213" s="29">
        <v>800</v>
      </c>
      <c r="T213">
        <v>1600</v>
      </c>
      <c r="U213" s="29"/>
      <c r="V213" s="29"/>
      <c r="W213" s="29"/>
      <c r="X213" s="29">
        <f>1600+1600+800</f>
        <v>4000</v>
      </c>
      <c r="Y213" s="18">
        <f t="shared" si="489"/>
        <v>13600</v>
      </c>
      <c r="Z213" s="96">
        <v>12</v>
      </c>
      <c r="AA213" s="96">
        <f t="shared" si="490"/>
        <v>9600</v>
      </c>
      <c r="AB213" s="96">
        <f t="shared" si="491"/>
        <v>4000</v>
      </c>
      <c r="AC213" s="99">
        <v>800</v>
      </c>
      <c r="AD213" s="98"/>
      <c r="AE213" s="102">
        <f t="shared" si="492"/>
        <v>4800</v>
      </c>
      <c r="AF213" s="99">
        <v>800</v>
      </c>
      <c r="AG213" s="98">
        <v>1600</v>
      </c>
      <c r="AH213" s="102">
        <f t="shared" si="467"/>
        <v>4000</v>
      </c>
      <c r="AI213" s="99">
        <v>800</v>
      </c>
      <c r="AJ213" s="98"/>
      <c r="AK213" s="102">
        <f t="shared" si="468"/>
        <v>4800</v>
      </c>
      <c r="AL213" s="99">
        <v>800</v>
      </c>
      <c r="AM213" s="98"/>
      <c r="AN213" s="102">
        <f t="shared" si="469"/>
        <v>5600</v>
      </c>
      <c r="AO213" s="99">
        <v>800</v>
      </c>
      <c r="AP213" s="113"/>
      <c r="AQ213" s="102">
        <f t="shared" si="470"/>
        <v>6400</v>
      </c>
      <c r="AR213" s="99">
        <v>800</v>
      </c>
      <c r="AS213" s="113"/>
      <c r="AT213" s="102">
        <f t="shared" si="471"/>
        <v>7200</v>
      </c>
      <c r="AU213" s="99">
        <v>800</v>
      </c>
      <c r="AV213" s="113"/>
      <c r="AW213" s="102">
        <f t="shared" si="472"/>
        <v>8000</v>
      </c>
      <c r="AX213" s="99">
        <v>800</v>
      </c>
      <c r="AY213" s="113"/>
      <c r="AZ213" s="102">
        <f t="shared" si="473"/>
        <v>8800</v>
      </c>
      <c r="BA213" s="99">
        <v>800</v>
      </c>
      <c r="BB213" s="113"/>
      <c r="BC213" s="102">
        <f t="shared" si="497"/>
        <v>9600</v>
      </c>
      <c r="BD213" s="99">
        <v>800</v>
      </c>
      <c r="BE213" s="113">
        <v>6400</v>
      </c>
      <c r="BF213" s="102">
        <f t="shared" si="498"/>
        <v>4000</v>
      </c>
      <c r="BG213" s="99">
        <v>800</v>
      </c>
      <c r="BH213" s="113">
        <v>1600</v>
      </c>
      <c r="BI213" s="102">
        <f t="shared" si="499"/>
        <v>3200</v>
      </c>
      <c r="BJ213" s="99">
        <v>800</v>
      </c>
      <c r="BK213" s="113"/>
      <c r="BL213" s="102">
        <f t="shared" si="500"/>
        <v>4000</v>
      </c>
      <c r="BM213" s="99">
        <v>800</v>
      </c>
      <c r="BN213" s="113"/>
      <c r="BO213" s="102">
        <f t="shared" si="501"/>
        <v>4800</v>
      </c>
      <c r="BP213" s="99">
        <v>800</v>
      </c>
      <c r="BQ213" s="113"/>
      <c r="BR213" s="102">
        <f t="shared" si="502"/>
        <v>5600</v>
      </c>
      <c r="BS213" s="99">
        <v>800</v>
      </c>
      <c r="BT213" s="113"/>
      <c r="BU213" s="102">
        <f t="shared" si="503"/>
        <v>6400</v>
      </c>
      <c r="BV213" s="99">
        <v>800</v>
      </c>
      <c r="BW213" s="113"/>
      <c r="BX213" s="102">
        <f t="shared" si="504"/>
        <v>7200</v>
      </c>
      <c r="BY213" s="99">
        <v>800</v>
      </c>
      <c r="BZ213" s="113">
        <v>4000</v>
      </c>
      <c r="CA213" s="102">
        <f t="shared" si="505"/>
        <v>4000</v>
      </c>
      <c r="CB213" s="99">
        <v>800</v>
      </c>
      <c r="CC213" s="113"/>
      <c r="CD213" s="102">
        <f t="shared" si="506"/>
        <v>4800</v>
      </c>
      <c r="CE213" s="99">
        <v>800</v>
      </c>
      <c r="CF213" s="113"/>
      <c r="CG213" s="102">
        <f t="shared" si="507"/>
        <v>5600</v>
      </c>
      <c r="CH213" s="99">
        <v>800</v>
      </c>
      <c r="CI213" s="113"/>
      <c r="CJ213" s="102">
        <f t="shared" si="508"/>
        <v>6400</v>
      </c>
      <c r="CK213" s="99">
        <v>800</v>
      </c>
      <c r="CL213" s="113">
        <v>3200</v>
      </c>
      <c r="CM213" s="102">
        <f t="shared" si="509"/>
        <v>4000</v>
      </c>
      <c r="CN213" s="99">
        <v>800</v>
      </c>
      <c r="CO213" s="113">
        <v>800</v>
      </c>
      <c r="CP213" s="102">
        <f t="shared" si="510"/>
        <v>4000</v>
      </c>
      <c r="CQ213" s="99">
        <v>800</v>
      </c>
      <c r="CR213" s="113"/>
      <c r="CS213" s="102">
        <f t="shared" si="511"/>
        <v>4800</v>
      </c>
      <c r="CT213" s="99">
        <v>800</v>
      </c>
      <c r="CU213" s="113"/>
      <c r="CV213" s="102">
        <f t="shared" si="512"/>
        <v>5600</v>
      </c>
      <c r="CW213" s="99">
        <v>800</v>
      </c>
      <c r="CX213" s="113"/>
      <c r="CY213" s="102">
        <f t="shared" si="513"/>
        <v>6400</v>
      </c>
    </row>
    <row r="214" spans="1:103" ht="15" customHeight="1">
      <c r="A214" s="41" t="e">
        <f>VLOOKUP(B214,справочник!$B$2:$E$322,4,FALSE)</f>
        <v>#N/A</v>
      </c>
      <c r="B214" t="str">
        <f t="shared" si="488"/>
        <v>155Пахарева Ольга Александровна</v>
      </c>
      <c r="C214" s="1">
        <v>155</v>
      </c>
      <c r="D214" s="2" t="s">
        <v>786</v>
      </c>
      <c r="E214" s="1" t="s">
        <v>512</v>
      </c>
      <c r="F214" s="16">
        <v>40952</v>
      </c>
      <c r="G214" s="16">
        <v>40940</v>
      </c>
      <c r="H214" s="17">
        <f t="shared" si="496"/>
        <v>47</v>
      </c>
      <c r="I214" s="1">
        <f t="shared" si="464"/>
        <v>47000</v>
      </c>
      <c r="J214" s="17">
        <v>32000</v>
      </c>
      <c r="K214" s="17"/>
      <c r="L214" s="18">
        <f t="shared" si="465"/>
        <v>15000</v>
      </c>
      <c r="M214" s="29"/>
      <c r="N214" s="29"/>
      <c r="O214" s="29"/>
      <c r="P214" s="29"/>
      <c r="Q214" s="29"/>
      <c r="R214" s="29"/>
      <c r="S214" s="29">
        <v>1000</v>
      </c>
      <c r="T214">
        <v>1000</v>
      </c>
      <c r="U214" s="29">
        <v>1000</v>
      </c>
      <c r="V214" s="29"/>
      <c r="W214" s="29"/>
      <c r="X214" s="29">
        <v>1000</v>
      </c>
      <c r="Y214" s="18">
        <f t="shared" si="489"/>
        <v>4000</v>
      </c>
      <c r="Z214" s="96">
        <v>12</v>
      </c>
      <c r="AA214" s="96">
        <f t="shared" si="490"/>
        <v>9600</v>
      </c>
      <c r="AB214" s="96">
        <f t="shared" si="491"/>
        <v>20600</v>
      </c>
      <c r="AC214" s="99">
        <v>800</v>
      </c>
      <c r="AD214" s="98"/>
      <c r="AE214" s="102">
        <f t="shared" si="492"/>
        <v>21400</v>
      </c>
      <c r="AF214" s="99">
        <v>800</v>
      </c>
      <c r="AG214" s="98"/>
      <c r="AH214" s="102">
        <f t="shared" si="467"/>
        <v>22200</v>
      </c>
      <c r="AI214" s="99">
        <v>800</v>
      </c>
      <c r="AJ214" s="98"/>
      <c r="AK214" s="102">
        <f t="shared" si="468"/>
        <v>23000</v>
      </c>
      <c r="AL214" s="99">
        <v>800</v>
      </c>
      <c r="AM214" s="98"/>
      <c r="AN214" s="102">
        <f t="shared" si="469"/>
        <v>23800</v>
      </c>
      <c r="AO214" s="99">
        <v>800</v>
      </c>
      <c r="AP214" s="113"/>
      <c r="AQ214" s="102">
        <f t="shared" si="470"/>
        <v>24600</v>
      </c>
      <c r="AR214" s="99">
        <v>800</v>
      </c>
      <c r="AS214" s="113">
        <v>2500</v>
      </c>
      <c r="AT214" s="102">
        <f t="shared" si="471"/>
        <v>22900</v>
      </c>
      <c r="AU214" s="99">
        <v>800</v>
      </c>
      <c r="AV214" s="113">
        <v>10000</v>
      </c>
      <c r="AW214" s="102">
        <f t="shared" si="472"/>
        <v>13700</v>
      </c>
      <c r="AX214" s="99">
        <v>800</v>
      </c>
      <c r="AY214" s="113">
        <v>800</v>
      </c>
      <c r="AZ214" s="102">
        <f t="shared" si="473"/>
        <v>13700</v>
      </c>
      <c r="BA214" s="99">
        <v>800</v>
      </c>
      <c r="BB214" s="113"/>
      <c r="BC214" s="102">
        <f t="shared" si="497"/>
        <v>14500</v>
      </c>
      <c r="BD214" s="99">
        <v>800</v>
      </c>
      <c r="BE214" s="113">
        <v>3000</v>
      </c>
      <c r="BF214" s="102">
        <f t="shared" si="498"/>
        <v>12300</v>
      </c>
      <c r="BG214" s="99">
        <v>800</v>
      </c>
      <c r="BH214" s="113"/>
      <c r="BI214" s="102">
        <f t="shared" si="499"/>
        <v>13100</v>
      </c>
      <c r="BJ214" s="99">
        <v>800</v>
      </c>
      <c r="BK214" s="113"/>
      <c r="BL214" s="102">
        <f t="shared" si="500"/>
        <v>13900</v>
      </c>
      <c r="BM214" s="99">
        <v>800</v>
      </c>
      <c r="BN214" s="113"/>
      <c r="BO214" s="102">
        <f t="shared" si="501"/>
        <v>14700</v>
      </c>
      <c r="BP214" s="99">
        <v>800</v>
      </c>
      <c r="BQ214" s="113"/>
      <c r="BR214" s="102">
        <f t="shared" si="502"/>
        <v>15500</v>
      </c>
      <c r="BS214" s="99">
        <v>800</v>
      </c>
      <c r="BT214" s="113"/>
      <c r="BU214" s="102">
        <f t="shared" si="503"/>
        <v>16300</v>
      </c>
      <c r="BV214" s="99">
        <v>800</v>
      </c>
      <c r="BW214" s="113"/>
      <c r="BX214" s="102">
        <f t="shared" si="504"/>
        <v>17100</v>
      </c>
      <c r="BY214" s="99">
        <v>800</v>
      </c>
      <c r="BZ214" s="113"/>
      <c r="CA214" s="102">
        <f t="shared" si="505"/>
        <v>17900</v>
      </c>
      <c r="CB214" s="99">
        <v>800</v>
      </c>
      <c r="CC214" s="113"/>
      <c r="CD214" s="102">
        <f t="shared" si="506"/>
        <v>18700</v>
      </c>
      <c r="CE214" s="99">
        <v>800</v>
      </c>
      <c r="CF214" s="113"/>
      <c r="CG214" s="102">
        <f t="shared" si="507"/>
        <v>19500</v>
      </c>
      <c r="CH214" s="99">
        <v>800</v>
      </c>
      <c r="CI214" s="113"/>
      <c r="CJ214" s="102">
        <f t="shared" si="508"/>
        <v>20300</v>
      </c>
      <c r="CK214" s="99">
        <v>800</v>
      </c>
      <c r="CL214" s="113"/>
      <c r="CM214" s="102">
        <f t="shared" si="509"/>
        <v>21100</v>
      </c>
      <c r="CN214" s="99">
        <v>800</v>
      </c>
      <c r="CO214" s="113"/>
      <c r="CP214" s="102">
        <f t="shared" si="510"/>
        <v>21900</v>
      </c>
      <c r="CQ214" s="99">
        <v>800</v>
      </c>
      <c r="CR214" s="113"/>
      <c r="CS214" s="102">
        <f t="shared" si="511"/>
        <v>22700</v>
      </c>
      <c r="CT214" s="99">
        <v>800</v>
      </c>
      <c r="CU214" s="113"/>
      <c r="CV214" s="102">
        <f t="shared" si="512"/>
        <v>23500</v>
      </c>
      <c r="CW214" s="99">
        <v>800</v>
      </c>
      <c r="CX214" s="113"/>
      <c r="CY214" s="102">
        <f t="shared" si="513"/>
        <v>24300</v>
      </c>
    </row>
    <row r="215" spans="1:103" ht="15" customHeight="1">
      <c r="A215" s="41">
        <f>VLOOKUP(B215,справочник!$B$2:$E$322,4,FALSE)</f>
        <v>33</v>
      </c>
      <c r="B215" t="str">
        <f t="shared" si="488"/>
        <v>33Петров Борис Викторович</v>
      </c>
      <c r="C215" s="1">
        <v>33</v>
      </c>
      <c r="D215" s="2" t="s">
        <v>198</v>
      </c>
      <c r="E215" s="1" t="s">
        <v>514</v>
      </c>
      <c r="F215" s="16">
        <v>40791</v>
      </c>
      <c r="G215" s="16">
        <v>40787</v>
      </c>
      <c r="H215" s="17">
        <f t="shared" si="496"/>
        <v>52</v>
      </c>
      <c r="I215" s="1">
        <f t="shared" si="464"/>
        <v>52000</v>
      </c>
      <c r="J215" s="17">
        <f>1000+44000</f>
        <v>45000</v>
      </c>
      <c r="K215" s="17"/>
      <c r="L215" s="18">
        <f t="shared" si="465"/>
        <v>7000</v>
      </c>
      <c r="M215" s="29"/>
      <c r="N215" s="29"/>
      <c r="O215" s="29"/>
      <c r="P215" s="29"/>
      <c r="Q215" s="29">
        <v>10050</v>
      </c>
      <c r="R215" s="29"/>
      <c r="S215" s="29"/>
      <c r="T215" s="29"/>
      <c r="U215" s="29"/>
      <c r="V215" s="29"/>
      <c r="W215" s="29"/>
      <c r="X215" s="29"/>
      <c r="Y215" s="18">
        <f t="shared" si="489"/>
        <v>10050</v>
      </c>
      <c r="Z215" s="96">
        <v>12</v>
      </c>
      <c r="AA215" s="96">
        <f t="shared" si="490"/>
        <v>9600</v>
      </c>
      <c r="AB215" s="96">
        <f t="shared" si="491"/>
        <v>6550</v>
      </c>
      <c r="AC215" s="99">
        <v>800</v>
      </c>
      <c r="AD215" s="98"/>
      <c r="AE215" s="102">
        <f t="shared" si="492"/>
        <v>7350</v>
      </c>
      <c r="AF215" s="99">
        <v>800</v>
      </c>
      <c r="AG215" s="98"/>
      <c r="AH215" s="102">
        <f t="shared" si="467"/>
        <v>8150</v>
      </c>
      <c r="AI215" s="99">
        <v>800</v>
      </c>
      <c r="AJ215" s="98">
        <v>8150</v>
      </c>
      <c r="AK215" s="102">
        <f t="shared" si="468"/>
        <v>800</v>
      </c>
      <c r="AL215" s="99">
        <v>800</v>
      </c>
      <c r="AM215" s="98"/>
      <c r="AN215" s="102">
        <f t="shared" si="469"/>
        <v>1600</v>
      </c>
      <c r="AO215" s="99">
        <v>800</v>
      </c>
      <c r="AP215" s="113"/>
      <c r="AQ215" s="102">
        <f t="shared" si="470"/>
        <v>2400</v>
      </c>
      <c r="AR215" s="99">
        <v>800</v>
      </c>
      <c r="AS215" s="113"/>
      <c r="AT215" s="102">
        <f t="shared" si="471"/>
        <v>3200</v>
      </c>
      <c r="AU215" s="99">
        <v>800</v>
      </c>
      <c r="AV215" s="113"/>
      <c r="AW215" s="102">
        <f t="shared" si="472"/>
        <v>4000</v>
      </c>
      <c r="AX215" s="99">
        <v>800</v>
      </c>
      <c r="AY215" s="113"/>
      <c r="AZ215" s="102">
        <f t="shared" si="473"/>
        <v>4800</v>
      </c>
      <c r="BA215" s="99">
        <v>800</v>
      </c>
      <c r="BB215" s="113"/>
      <c r="BC215" s="102">
        <f t="shared" si="497"/>
        <v>5600</v>
      </c>
      <c r="BD215" s="99">
        <v>800</v>
      </c>
      <c r="BE215" s="113"/>
      <c r="BF215" s="102">
        <f t="shared" si="498"/>
        <v>6400</v>
      </c>
      <c r="BG215" s="99">
        <v>800</v>
      </c>
      <c r="BH215" s="113">
        <v>8000</v>
      </c>
      <c r="BI215" s="102">
        <f t="shared" si="499"/>
        <v>-800</v>
      </c>
      <c r="BJ215" s="99">
        <v>800</v>
      </c>
      <c r="BK215" s="113"/>
      <c r="BL215" s="102">
        <f t="shared" si="500"/>
        <v>0</v>
      </c>
      <c r="BM215" s="99">
        <v>800</v>
      </c>
      <c r="BN215" s="113"/>
      <c r="BO215" s="102">
        <f t="shared" si="501"/>
        <v>800</v>
      </c>
      <c r="BP215" s="99">
        <v>800</v>
      </c>
      <c r="BQ215" s="113"/>
      <c r="BR215" s="102">
        <f t="shared" si="502"/>
        <v>1600</v>
      </c>
      <c r="BS215" s="99">
        <v>800</v>
      </c>
      <c r="BT215" s="113">
        <v>2400</v>
      </c>
      <c r="BU215" s="102">
        <f t="shared" si="503"/>
        <v>0</v>
      </c>
      <c r="BV215" s="99">
        <v>800</v>
      </c>
      <c r="BW215" s="113"/>
      <c r="BX215" s="102">
        <f t="shared" si="504"/>
        <v>800</v>
      </c>
      <c r="BY215" s="99">
        <v>800</v>
      </c>
      <c r="BZ215" s="113"/>
      <c r="CA215" s="102">
        <f t="shared" si="505"/>
        <v>1600</v>
      </c>
      <c r="CB215" s="99">
        <v>800</v>
      </c>
      <c r="CC215" s="113">
        <v>3200</v>
      </c>
      <c r="CD215" s="102">
        <f t="shared" si="506"/>
        <v>-800</v>
      </c>
      <c r="CE215" s="99">
        <v>800</v>
      </c>
      <c r="CF215" s="113"/>
      <c r="CG215" s="102">
        <f t="shared" si="507"/>
        <v>0</v>
      </c>
      <c r="CH215" s="99">
        <v>800</v>
      </c>
      <c r="CI215" s="113"/>
      <c r="CJ215" s="102">
        <f t="shared" si="508"/>
        <v>800</v>
      </c>
      <c r="CK215" s="99">
        <v>800</v>
      </c>
      <c r="CL215" s="113"/>
      <c r="CM215" s="102">
        <f t="shared" si="509"/>
        <v>1600</v>
      </c>
      <c r="CN215" s="99">
        <v>800</v>
      </c>
      <c r="CO215" s="113">
        <v>3200</v>
      </c>
      <c r="CP215" s="102">
        <f t="shared" si="510"/>
        <v>-800</v>
      </c>
      <c r="CQ215" s="99">
        <v>800</v>
      </c>
      <c r="CR215" s="113"/>
      <c r="CS215" s="102">
        <f t="shared" si="511"/>
        <v>0</v>
      </c>
      <c r="CT215" s="99">
        <v>800</v>
      </c>
      <c r="CU215" s="113">
        <v>3200</v>
      </c>
      <c r="CV215" s="102">
        <f t="shared" si="512"/>
        <v>-2400</v>
      </c>
      <c r="CW215" s="99">
        <v>800</v>
      </c>
      <c r="CX215" s="113"/>
      <c r="CY215" s="102">
        <f t="shared" si="513"/>
        <v>-1600</v>
      </c>
    </row>
    <row r="216" spans="1:103" ht="15" customHeight="1">
      <c r="A216" s="41">
        <f>VLOOKUP(B216,справочник!$B$2:$E$322,4,FALSE)</f>
        <v>169</v>
      </c>
      <c r="B216" t="str">
        <f t="shared" si="488"/>
        <v>177Петрова Елена Николаевна</v>
      </c>
      <c r="C216" s="1">
        <v>177</v>
      </c>
      <c r="D216" s="2" t="s">
        <v>199</v>
      </c>
      <c r="E216" s="1" t="s">
        <v>515</v>
      </c>
      <c r="F216" s="16">
        <v>41598</v>
      </c>
      <c r="G216" s="16">
        <v>41609</v>
      </c>
      <c r="H216" s="17">
        <f t="shared" si="496"/>
        <v>25</v>
      </c>
      <c r="I216" s="1">
        <f t="shared" si="464"/>
        <v>25000</v>
      </c>
      <c r="J216" s="17">
        <v>21000</v>
      </c>
      <c r="K216" s="17"/>
      <c r="L216" s="18">
        <f t="shared" si="465"/>
        <v>4000</v>
      </c>
      <c r="M216" s="29"/>
      <c r="N216" s="29"/>
      <c r="O216" s="29">
        <v>5400</v>
      </c>
      <c r="P216" s="29"/>
      <c r="Q216" s="29">
        <v>2400</v>
      </c>
      <c r="R216" s="29"/>
      <c r="S216" s="29"/>
      <c r="T216" s="29"/>
      <c r="U216" s="29"/>
      <c r="V216" s="29">
        <v>2400</v>
      </c>
      <c r="W216" s="84">
        <v>2400</v>
      </c>
      <c r="X216" s="29"/>
      <c r="Y216" s="18">
        <f t="shared" si="489"/>
        <v>12600</v>
      </c>
      <c r="Z216" s="96">
        <v>12</v>
      </c>
      <c r="AA216" s="96">
        <f t="shared" si="490"/>
        <v>9600</v>
      </c>
      <c r="AB216" s="96">
        <f t="shared" si="491"/>
        <v>1000</v>
      </c>
      <c r="AC216" s="99">
        <v>800</v>
      </c>
      <c r="AD216" s="98"/>
      <c r="AE216" s="102">
        <f t="shared" si="492"/>
        <v>1800</v>
      </c>
      <c r="AF216" s="99">
        <v>800</v>
      </c>
      <c r="AG216" s="98">
        <v>2400</v>
      </c>
      <c r="AH216" s="102">
        <f t="shared" si="467"/>
        <v>200</v>
      </c>
      <c r="AI216" s="99">
        <v>800</v>
      </c>
      <c r="AJ216" s="98"/>
      <c r="AK216" s="102">
        <f t="shared" si="468"/>
        <v>1000</v>
      </c>
      <c r="AL216" s="99">
        <v>800</v>
      </c>
      <c r="AM216" s="98"/>
      <c r="AN216" s="102">
        <f t="shared" si="469"/>
        <v>1800</v>
      </c>
      <c r="AO216" s="99">
        <v>800</v>
      </c>
      <c r="AP216" s="113">
        <v>2400</v>
      </c>
      <c r="AQ216" s="102">
        <f t="shared" si="470"/>
        <v>200</v>
      </c>
      <c r="AR216" s="99">
        <v>800</v>
      </c>
      <c r="AS216" s="113"/>
      <c r="AT216" s="102">
        <f t="shared" si="471"/>
        <v>1000</v>
      </c>
      <c r="AU216" s="99">
        <v>800</v>
      </c>
      <c r="AV216" s="113"/>
      <c r="AW216" s="102">
        <f t="shared" si="472"/>
        <v>1800</v>
      </c>
      <c r="AX216" s="99">
        <v>800</v>
      </c>
      <c r="AY216" s="113"/>
      <c r="AZ216" s="102">
        <f t="shared" si="473"/>
        <v>2600</v>
      </c>
      <c r="BA216" s="99">
        <v>800</v>
      </c>
      <c r="BB216" s="113">
        <v>2400</v>
      </c>
      <c r="BC216" s="102">
        <f t="shared" si="497"/>
        <v>1000</v>
      </c>
      <c r="BD216" s="99">
        <v>800</v>
      </c>
      <c r="BE216" s="113">
        <v>2400</v>
      </c>
      <c r="BF216" s="102">
        <f t="shared" si="498"/>
        <v>-600</v>
      </c>
      <c r="BG216" s="99">
        <v>800</v>
      </c>
      <c r="BH216" s="113"/>
      <c r="BI216" s="102">
        <f t="shared" si="499"/>
        <v>200</v>
      </c>
      <c r="BJ216" s="99">
        <v>800</v>
      </c>
      <c r="BK216" s="113"/>
      <c r="BL216" s="102">
        <f t="shared" si="500"/>
        <v>1000</v>
      </c>
      <c r="BM216" s="99">
        <v>800</v>
      </c>
      <c r="BN216" s="113"/>
      <c r="BO216" s="102">
        <f t="shared" si="501"/>
        <v>1800</v>
      </c>
      <c r="BP216" s="99">
        <v>800</v>
      </c>
      <c r="BQ216" s="113">
        <v>2400</v>
      </c>
      <c r="BR216" s="102">
        <f t="shared" si="502"/>
        <v>200</v>
      </c>
      <c r="BS216" s="99">
        <v>800</v>
      </c>
      <c r="BT216" s="113"/>
      <c r="BU216" s="102">
        <f t="shared" si="503"/>
        <v>1000</v>
      </c>
      <c r="BV216" s="99">
        <v>800</v>
      </c>
      <c r="BW216" s="113">
        <v>2400</v>
      </c>
      <c r="BX216" s="102">
        <f t="shared" si="504"/>
        <v>-600</v>
      </c>
      <c r="BY216" s="99">
        <v>800</v>
      </c>
      <c r="BZ216" s="113"/>
      <c r="CA216" s="102">
        <f t="shared" si="505"/>
        <v>200</v>
      </c>
      <c r="CB216" s="99">
        <v>800</v>
      </c>
      <c r="CC216" s="113"/>
      <c r="CD216" s="102">
        <f t="shared" si="506"/>
        <v>1000</v>
      </c>
      <c r="CE216" s="99">
        <v>800</v>
      </c>
      <c r="CF216" s="113">
        <v>2400</v>
      </c>
      <c r="CG216" s="102">
        <f t="shared" si="507"/>
        <v>-600</v>
      </c>
      <c r="CH216" s="99">
        <v>800</v>
      </c>
      <c r="CI216" s="113"/>
      <c r="CJ216" s="102">
        <f t="shared" si="508"/>
        <v>200</v>
      </c>
      <c r="CK216" s="99">
        <v>800</v>
      </c>
      <c r="CL216" s="113"/>
      <c r="CM216" s="102">
        <f t="shared" si="509"/>
        <v>1000</v>
      </c>
      <c r="CN216" s="99">
        <v>800</v>
      </c>
      <c r="CO216" s="113">
        <v>2400</v>
      </c>
      <c r="CP216" s="102">
        <f t="shared" si="510"/>
        <v>-600</v>
      </c>
      <c r="CQ216" s="99">
        <v>800</v>
      </c>
      <c r="CR216" s="113"/>
      <c r="CS216" s="102">
        <f t="shared" si="511"/>
        <v>200</v>
      </c>
      <c r="CT216" s="99">
        <v>800</v>
      </c>
      <c r="CU216" s="113"/>
      <c r="CV216" s="102">
        <f t="shared" si="512"/>
        <v>1000</v>
      </c>
      <c r="CW216" s="99">
        <v>800</v>
      </c>
      <c r="CX216" s="113"/>
      <c r="CY216" s="102">
        <f t="shared" si="513"/>
        <v>1800</v>
      </c>
    </row>
    <row r="217" spans="1:103" ht="15" customHeight="1">
      <c r="A217" s="41">
        <f>VLOOKUP(B217,справочник!$B$2:$E$322,4,FALSE)</f>
        <v>185</v>
      </c>
      <c r="B217" t="str">
        <f t="shared" si="488"/>
        <v>193Петункин Игорь Минович</v>
      </c>
      <c r="C217" s="1">
        <v>193</v>
      </c>
      <c r="D217" s="2" t="s">
        <v>200</v>
      </c>
      <c r="E217" s="1" t="s">
        <v>516</v>
      </c>
      <c r="F217" s="16">
        <v>41506</v>
      </c>
      <c r="G217" s="16">
        <v>41518</v>
      </c>
      <c r="H217" s="17">
        <f t="shared" si="496"/>
        <v>28</v>
      </c>
      <c r="I217" s="1">
        <f t="shared" si="464"/>
        <v>28000</v>
      </c>
      <c r="J217" s="17">
        <v>14000</v>
      </c>
      <c r="K217" s="17"/>
      <c r="L217" s="18">
        <f t="shared" si="465"/>
        <v>14000</v>
      </c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18">
        <f t="shared" si="489"/>
        <v>0</v>
      </c>
      <c r="Z217" s="96">
        <v>12</v>
      </c>
      <c r="AA217" s="96">
        <f t="shared" si="490"/>
        <v>9600</v>
      </c>
      <c r="AB217" s="96">
        <f t="shared" si="491"/>
        <v>23600</v>
      </c>
      <c r="AC217" s="99">
        <v>800</v>
      </c>
      <c r="AD217" s="98"/>
      <c r="AE217" s="102">
        <f t="shared" si="492"/>
        <v>24400</v>
      </c>
      <c r="AF217" s="99">
        <v>800</v>
      </c>
      <c r="AG217" s="98"/>
      <c r="AH217" s="102">
        <f t="shared" si="467"/>
        <v>25200</v>
      </c>
      <c r="AI217" s="99">
        <v>800</v>
      </c>
      <c r="AJ217" s="98"/>
      <c r="AK217" s="102">
        <f t="shared" si="468"/>
        <v>26000</v>
      </c>
      <c r="AL217" s="99">
        <v>800</v>
      </c>
      <c r="AM217" s="98"/>
      <c r="AN217" s="102">
        <f t="shared" si="469"/>
        <v>26800</v>
      </c>
      <c r="AO217" s="99">
        <v>800</v>
      </c>
      <c r="AP217" s="113"/>
      <c r="AQ217" s="102">
        <f t="shared" si="470"/>
        <v>27600</v>
      </c>
      <c r="AR217" s="99">
        <v>800</v>
      </c>
      <c r="AS217" s="113"/>
      <c r="AT217" s="102">
        <f t="shared" si="471"/>
        <v>28400</v>
      </c>
      <c r="AU217" s="99">
        <v>800</v>
      </c>
      <c r="AV217" s="113"/>
      <c r="AW217" s="102">
        <f t="shared" si="472"/>
        <v>29200</v>
      </c>
      <c r="AX217" s="99">
        <v>800</v>
      </c>
      <c r="AY217" s="113"/>
      <c r="AZ217" s="102">
        <f t="shared" si="473"/>
        <v>30000</v>
      </c>
      <c r="BA217" s="99">
        <v>800</v>
      </c>
      <c r="BB217" s="113"/>
      <c r="BC217" s="102">
        <f t="shared" si="497"/>
        <v>30800</v>
      </c>
      <c r="BD217" s="99">
        <v>800</v>
      </c>
      <c r="BE217" s="113"/>
      <c r="BF217" s="102">
        <f t="shared" si="498"/>
        <v>31600</v>
      </c>
      <c r="BG217" s="99">
        <v>800</v>
      </c>
      <c r="BH217" s="113"/>
      <c r="BI217" s="102">
        <f t="shared" si="499"/>
        <v>32400</v>
      </c>
      <c r="BJ217" s="99">
        <v>800</v>
      </c>
      <c r="BK217" s="113"/>
      <c r="BL217" s="102">
        <f t="shared" si="500"/>
        <v>33200</v>
      </c>
      <c r="BM217" s="99">
        <v>800</v>
      </c>
      <c r="BN217" s="113"/>
      <c r="BO217" s="102">
        <f t="shared" si="501"/>
        <v>34000</v>
      </c>
      <c r="BP217" s="99">
        <v>800</v>
      </c>
      <c r="BQ217" s="113"/>
      <c r="BR217" s="102">
        <f t="shared" si="502"/>
        <v>34800</v>
      </c>
      <c r="BS217" s="99">
        <v>800</v>
      </c>
      <c r="BT217" s="113"/>
      <c r="BU217" s="102">
        <f t="shared" si="503"/>
        <v>35600</v>
      </c>
      <c r="BV217" s="99">
        <v>800</v>
      </c>
      <c r="BW217" s="113"/>
      <c r="BX217" s="102">
        <f t="shared" si="504"/>
        <v>36400</v>
      </c>
      <c r="BY217" s="99">
        <v>800</v>
      </c>
      <c r="BZ217" s="113"/>
      <c r="CA217" s="102">
        <f t="shared" si="505"/>
        <v>37200</v>
      </c>
      <c r="CB217" s="99">
        <v>800</v>
      </c>
      <c r="CC217" s="113"/>
      <c r="CD217" s="102">
        <f t="shared" si="506"/>
        <v>38000</v>
      </c>
      <c r="CE217" s="99">
        <v>800</v>
      </c>
      <c r="CF217" s="113"/>
      <c r="CG217" s="102">
        <f t="shared" si="507"/>
        <v>38800</v>
      </c>
      <c r="CH217" s="99">
        <v>800</v>
      </c>
      <c r="CI217" s="113"/>
      <c r="CJ217" s="102">
        <f t="shared" si="508"/>
        <v>39600</v>
      </c>
      <c r="CK217" s="99">
        <v>800</v>
      </c>
      <c r="CL217" s="113"/>
      <c r="CM217" s="102">
        <f t="shared" si="509"/>
        <v>40400</v>
      </c>
      <c r="CN217" s="99">
        <v>800</v>
      </c>
      <c r="CO217" s="113"/>
      <c r="CP217" s="102">
        <f t="shared" si="510"/>
        <v>41200</v>
      </c>
      <c r="CQ217" s="99">
        <v>800</v>
      </c>
      <c r="CR217" s="113"/>
      <c r="CS217" s="102">
        <f t="shared" si="511"/>
        <v>42000</v>
      </c>
      <c r="CT217" s="99">
        <v>800</v>
      </c>
      <c r="CU217" s="113"/>
      <c r="CV217" s="102">
        <f t="shared" si="512"/>
        <v>42800</v>
      </c>
      <c r="CW217" s="99">
        <v>800</v>
      </c>
      <c r="CX217" s="113"/>
      <c r="CY217" s="102">
        <f t="shared" si="513"/>
        <v>43600</v>
      </c>
    </row>
    <row r="218" spans="1:103" ht="15" customHeight="1">
      <c r="A218" s="41" t="e">
        <f>VLOOKUP(B218,справочник!$B$2:$E$322,4,FALSE)</f>
        <v>#N/A</v>
      </c>
      <c r="B218" t="str">
        <f t="shared" si="488"/>
        <v>184Пикалёва Алла Григорьевна</v>
      </c>
      <c r="C218" s="1">
        <v>184</v>
      </c>
      <c r="D218" s="2" t="s">
        <v>788</v>
      </c>
      <c r="E218" s="1" t="s">
        <v>517</v>
      </c>
      <c r="F218" s="16">
        <v>41734</v>
      </c>
      <c r="G218" s="16">
        <v>41760</v>
      </c>
      <c r="H218" s="17">
        <f t="shared" si="496"/>
        <v>20</v>
      </c>
      <c r="I218" s="1">
        <f t="shared" si="464"/>
        <v>20000</v>
      </c>
      <c r="J218" s="17">
        <v>3000</v>
      </c>
      <c r="K218" s="17"/>
      <c r="L218" s="18">
        <f t="shared" si="465"/>
        <v>17000</v>
      </c>
      <c r="M218" s="29">
        <v>5000</v>
      </c>
      <c r="N218" s="29">
        <v>3000</v>
      </c>
      <c r="O218" s="29"/>
      <c r="P218" s="29"/>
      <c r="Q218" s="29">
        <v>3000</v>
      </c>
      <c r="R218" s="29">
        <v>3500</v>
      </c>
      <c r="S218" s="29"/>
      <c r="T218" s="29"/>
      <c r="U218" s="29"/>
      <c r="V218" s="29"/>
      <c r="W218" s="29"/>
      <c r="X218" s="29"/>
      <c r="Y218" s="18">
        <f t="shared" si="489"/>
        <v>14500</v>
      </c>
      <c r="Z218" s="96">
        <v>12</v>
      </c>
      <c r="AA218" s="96">
        <f t="shared" si="490"/>
        <v>9600</v>
      </c>
      <c r="AB218" s="96">
        <f t="shared" si="491"/>
        <v>12100</v>
      </c>
      <c r="AC218" s="99">
        <v>800</v>
      </c>
      <c r="AD218" s="98"/>
      <c r="AE218" s="102">
        <f t="shared" si="492"/>
        <v>12900</v>
      </c>
      <c r="AF218" s="99">
        <v>800</v>
      </c>
      <c r="AG218" s="98"/>
      <c r="AH218" s="102">
        <f t="shared" si="467"/>
        <v>13700</v>
      </c>
      <c r="AI218" s="99">
        <v>800</v>
      </c>
      <c r="AJ218" s="98"/>
      <c r="AK218" s="102">
        <f t="shared" si="468"/>
        <v>14500</v>
      </c>
      <c r="AL218" s="99">
        <v>800</v>
      </c>
      <c r="AM218" s="98">
        <v>4700</v>
      </c>
      <c r="AN218" s="102">
        <f t="shared" si="469"/>
        <v>10600</v>
      </c>
      <c r="AO218" s="99">
        <v>800</v>
      </c>
      <c r="AP218" s="113"/>
      <c r="AQ218" s="102">
        <f t="shared" si="470"/>
        <v>11400</v>
      </c>
      <c r="AR218" s="99">
        <v>800</v>
      </c>
      <c r="AS218" s="113"/>
      <c r="AT218" s="102">
        <f t="shared" si="471"/>
        <v>12200</v>
      </c>
      <c r="AU218" s="99">
        <v>800</v>
      </c>
      <c r="AV218" s="113">
        <v>4800</v>
      </c>
      <c r="AW218" s="102">
        <f t="shared" si="472"/>
        <v>8200</v>
      </c>
      <c r="AX218" s="99">
        <v>800</v>
      </c>
      <c r="AY218" s="113"/>
      <c r="AZ218" s="102">
        <f t="shared" si="473"/>
        <v>9000</v>
      </c>
      <c r="BA218" s="99">
        <v>800</v>
      </c>
      <c r="BB218" s="113"/>
      <c r="BC218" s="102">
        <f t="shared" si="497"/>
        <v>9800</v>
      </c>
      <c r="BD218" s="99">
        <v>800</v>
      </c>
      <c r="BE218" s="113"/>
      <c r="BF218" s="102">
        <f t="shared" si="498"/>
        <v>10600</v>
      </c>
      <c r="BG218" s="99">
        <v>800</v>
      </c>
      <c r="BH218" s="113">
        <v>5600</v>
      </c>
      <c r="BI218" s="102">
        <f t="shared" si="499"/>
        <v>5800</v>
      </c>
      <c r="BJ218" s="99">
        <v>800</v>
      </c>
      <c r="BK218" s="113">
        <v>3200</v>
      </c>
      <c r="BL218" s="102">
        <f t="shared" si="500"/>
        <v>3400</v>
      </c>
      <c r="BM218" s="99">
        <v>800</v>
      </c>
      <c r="BN218" s="113"/>
      <c r="BO218" s="102">
        <f t="shared" si="501"/>
        <v>4200</v>
      </c>
      <c r="BP218" s="99">
        <v>800</v>
      </c>
      <c r="BQ218" s="113">
        <v>1500</v>
      </c>
      <c r="BR218" s="102">
        <f t="shared" si="502"/>
        <v>3500</v>
      </c>
      <c r="BS218" s="99">
        <v>800</v>
      </c>
      <c r="BT218" s="113"/>
      <c r="BU218" s="102">
        <f t="shared" si="503"/>
        <v>4300</v>
      </c>
      <c r="BV218" s="99">
        <v>800</v>
      </c>
      <c r="BW218" s="113">
        <f>1600+1000</f>
        <v>2600</v>
      </c>
      <c r="BX218" s="102">
        <f t="shared" si="504"/>
        <v>2500</v>
      </c>
      <c r="BY218" s="99">
        <v>800</v>
      </c>
      <c r="BZ218" s="113"/>
      <c r="CA218" s="102">
        <f t="shared" si="505"/>
        <v>3300</v>
      </c>
      <c r="CB218" s="99">
        <v>800</v>
      </c>
      <c r="CC218" s="113">
        <v>2000</v>
      </c>
      <c r="CD218" s="102">
        <f t="shared" si="506"/>
        <v>2100</v>
      </c>
      <c r="CE218" s="99">
        <v>800</v>
      </c>
      <c r="CF218" s="113"/>
      <c r="CG218" s="102">
        <f t="shared" si="507"/>
        <v>2900</v>
      </c>
      <c r="CH218" s="99">
        <v>800</v>
      </c>
      <c r="CI218" s="113">
        <v>2200</v>
      </c>
      <c r="CJ218" s="102">
        <f t="shared" si="508"/>
        <v>1500</v>
      </c>
      <c r="CK218" s="99">
        <v>800</v>
      </c>
      <c r="CL218" s="113"/>
      <c r="CM218" s="102">
        <f t="shared" si="509"/>
        <v>2300</v>
      </c>
      <c r="CN218" s="99">
        <v>800</v>
      </c>
      <c r="CO218" s="113"/>
      <c r="CP218" s="102">
        <f t="shared" si="510"/>
        <v>3100</v>
      </c>
      <c r="CQ218" s="99">
        <v>800</v>
      </c>
      <c r="CR218" s="113"/>
      <c r="CS218" s="102">
        <f t="shared" si="511"/>
        <v>3900</v>
      </c>
      <c r="CT218" s="99">
        <v>800</v>
      </c>
      <c r="CU218" s="113"/>
      <c r="CV218" s="102">
        <f t="shared" si="512"/>
        <v>4700</v>
      </c>
      <c r="CW218" s="99">
        <v>800</v>
      </c>
      <c r="CX218" s="113">
        <v>4000</v>
      </c>
      <c r="CY218" s="102">
        <f t="shared" si="513"/>
        <v>1500</v>
      </c>
    </row>
    <row r="219" spans="1:103" ht="15" customHeight="1">
      <c r="A219" s="41">
        <f>VLOOKUP(B219,справочник!$B$2:$E$322,4,FALSE)</f>
        <v>307</v>
      </c>
      <c r="B219" t="str">
        <f t="shared" si="488"/>
        <v>322Поликарпова Наталья Дмитриевна</v>
      </c>
      <c r="C219" s="1">
        <v>322</v>
      </c>
      <c r="D219" s="2" t="s">
        <v>202</v>
      </c>
      <c r="E219" s="1" t="s">
        <v>518</v>
      </c>
      <c r="F219" s="16">
        <v>41114</v>
      </c>
      <c r="G219" s="16">
        <v>41122</v>
      </c>
      <c r="H219" s="17">
        <f t="shared" si="496"/>
        <v>41</v>
      </c>
      <c r="I219" s="1">
        <f t="shared" si="464"/>
        <v>41000</v>
      </c>
      <c r="J219" s="17">
        <v>27000</v>
      </c>
      <c r="K219" s="17"/>
      <c r="L219" s="18">
        <f t="shared" si="465"/>
        <v>14000</v>
      </c>
      <c r="M219" s="29"/>
      <c r="N219" s="29"/>
      <c r="O219" s="29"/>
      <c r="P219" s="29"/>
      <c r="Q219" s="29">
        <v>8000</v>
      </c>
      <c r="R219" s="29"/>
      <c r="S219" s="29"/>
      <c r="T219" s="29"/>
      <c r="U219" s="29"/>
      <c r="V219" s="29"/>
      <c r="W219" s="29"/>
      <c r="X219" s="29"/>
      <c r="Y219" s="18">
        <f t="shared" si="489"/>
        <v>8000</v>
      </c>
      <c r="Z219" s="96">
        <v>12</v>
      </c>
      <c r="AA219" s="96">
        <f t="shared" si="490"/>
        <v>9600</v>
      </c>
      <c r="AB219" s="96">
        <f t="shared" si="491"/>
        <v>15600</v>
      </c>
      <c r="AC219" s="99">
        <v>800</v>
      </c>
      <c r="AD219" s="98"/>
      <c r="AE219" s="102">
        <f t="shared" si="492"/>
        <v>16400</v>
      </c>
      <c r="AF219" s="99">
        <v>800</v>
      </c>
      <c r="AG219" s="98"/>
      <c r="AH219" s="102">
        <f t="shared" si="467"/>
        <v>17200</v>
      </c>
      <c r="AI219" s="99">
        <v>800</v>
      </c>
      <c r="AJ219" s="98">
        <v>4800</v>
      </c>
      <c r="AK219" s="102">
        <f t="shared" si="468"/>
        <v>13200</v>
      </c>
      <c r="AL219" s="99">
        <v>800</v>
      </c>
      <c r="AM219" s="98">
        <v>4800</v>
      </c>
      <c r="AN219" s="102">
        <f t="shared" si="469"/>
        <v>9200</v>
      </c>
      <c r="AO219" s="99">
        <v>800</v>
      </c>
      <c r="AP219" s="113">
        <v>3200</v>
      </c>
      <c r="AQ219" s="102">
        <f t="shared" si="470"/>
        <v>6800</v>
      </c>
      <c r="AR219" s="99">
        <v>800</v>
      </c>
      <c r="AS219" s="113">
        <v>2800</v>
      </c>
      <c r="AT219" s="102">
        <f t="shared" si="471"/>
        <v>4800</v>
      </c>
      <c r="AU219" s="99">
        <v>800</v>
      </c>
      <c r="AV219" s="113">
        <v>2800</v>
      </c>
      <c r="AW219" s="102">
        <f t="shared" si="472"/>
        <v>2800</v>
      </c>
      <c r="AX219" s="99">
        <v>800</v>
      </c>
      <c r="AY219" s="113">
        <v>5200</v>
      </c>
      <c r="AZ219" s="102">
        <f t="shared" si="473"/>
        <v>-1600</v>
      </c>
      <c r="BA219" s="99">
        <v>800</v>
      </c>
      <c r="BB219" s="113"/>
      <c r="BC219" s="102">
        <f t="shared" si="497"/>
        <v>-800</v>
      </c>
      <c r="BD219" s="99">
        <v>800</v>
      </c>
      <c r="BE219" s="113">
        <v>2000</v>
      </c>
      <c r="BF219" s="102">
        <f t="shared" si="498"/>
        <v>-2000</v>
      </c>
      <c r="BG219" s="99">
        <v>800</v>
      </c>
      <c r="BH219" s="113"/>
      <c r="BI219" s="102">
        <f t="shared" si="499"/>
        <v>-1200</v>
      </c>
      <c r="BJ219" s="99">
        <v>800</v>
      </c>
      <c r="BK219" s="113"/>
      <c r="BL219" s="102">
        <f t="shared" si="500"/>
        <v>-400</v>
      </c>
      <c r="BM219" s="99">
        <v>800</v>
      </c>
      <c r="BN219" s="113">
        <v>2000</v>
      </c>
      <c r="BO219" s="102">
        <f t="shared" si="501"/>
        <v>-1600</v>
      </c>
      <c r="BP219" s="99">
        <v>800</v>
      </c>
      <c r="BQ219" s="113"/>
      <c r="BR219" s="102">
        <f t="shared" si="502"/>
        <v>-800</v>
      </c>
      <c r="BS219" s="99">
        <v>800</v>
      </c>
      <c r="BT219" s="113"/>
      <c r="BU219" s="102">
        <f t="shared" si="503"/>
        <v>0</v>
      </c>
      <c r="BV219" s="99">
        <v>800</v>
      </c>
      <c r="BW219" s="113">
        <v>800</v>
      </c>
      <c r="BX219" s="102">
        <f t="shared" si="504"/>
        <v>0</v>
      </c>
      <c r="BY219" s="99">
        <v>800</v>
      </c>
      <c r="BZ219" s="113">
        <v>800</v>
      </c>
      <c r="CA219" s="102">
        <f t="shared" si="505"/>
        <v>0</v>
      </c>
      <c r="CB219" s="99">
        <v>800</v>
      </c>
      <c r="CC219" s="113">
        <v>800</v>
      </c>
      <c r="CD219" s="102">
        <f t="shared" si="506"/>
        <v>0</v>
      </c>
      <c r="CE219" s="99">
        <v>800</v>
      </c>
      <c r="CF219" s="113">
        <v>800</v>
      </c>
      <c r="CG219" s="102">
        <f t="shared" si="507"/>
        <v>0</v>
      </c>
      <c r="CH219" s="99">
        <v>800</v>
      </c>
      <c r="CI219" s="113">
        <v>800</v>
      </c>
      <c r="CJ219" s="102">
        <f t="shared" si="508"/>
        <v>0</v>
      </c>
      <c r="CK219" s="99">
        <v>800</v>
      </c>
      <c r="CL219" s="113">
        <v>800</v>
      </c>
      <c r="CM219" s="102">
        <f t="shared" si="509"/>
        <v>0</v>
      </c>
      <c r="CN219" s="99">
        <v>800</v>
      </c>
      <c r="CO219" s="113">
        <v>800</v>
      </c>
      <c r="CP219" s="102">
        <f t="shared" si="510"/>
        <v>0</v>
      </c>
      <c r="CQ219" s="99">
        <v>800</v>
      </c>
      <c r="CR219" s="113"/>
      <c r="CS219" s="102">
        <f t="shared" si="511"/>
        <v>800</v>
      </c>
      <c r="CT219" s="99">
        <v>800</v>
      </c>
      <c r="CU219" s="113"/>
      <c r="CV219" s="102">
        <f t="shared" si="512"/>
        <v>1600</v>
      </c>
      <c r="CW219" s="99">
        <v>800</v>
      </c>
      <c r="CX219" s="113"/>
      <c r="CY219" s="102">
        <f t="shared" si="513"/>
        <v>2400</v>
      </c>
    </row>
    <row r="220" spans="1:103" ht="15" customHeight="1">
      <c r="A220" s="41">
        <f>VLOOKUP(B220,справочник!$B$2:$E$322,4,FALSE)</f>
        <v>177</v>
      </c>
      <c r="B220" t="str">
        <f t="shared" si="488"/>
        <v>185Полякова Марина Александровна</v>
      </c>
      <c r="C220" s="1">
        <v>185</v>
      </c>
      <c r="D220" s="2" t="s">
        <v>203</v>
      </c>
      <c r="E220" s="1" t="s">
        <v>519</v>
      </c>
      <c r="F220" s="16">
        <v>41898</v>
      </c>
      <c r="G220" s="16">
        <v>41913</v>
      </c>
      <c r="H220" s="17">
        <f t="shared" si="496"/>
        <v>15</v>
      </c>
      <c r="I220" s="1">
        <f t="shared" si="464"/>
        <v>15000</v>
      </c>
      <c r="J220" s="17">
        <v>12000</v>
      </c>
      <c r="K220" s="17"/>
      <c r="L220" s="18">
        <f t="shared" si="465"/>
        <v>3000</v>
      </c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84">
        <v>5000</v>
      </c>
      <c r="X220" s="29"/>
      <c r="Y220" s="18">
        <f t="shared" si="489"/>
        <v>5000</v>
      </c>
      <c r="Z220" s="96">
        <v>12</v>
      </c>
      <c r="AA220" s="96">
        <f t="shared" si="490"/>
        <v>9600</v>
      </c>
      <c r="AB220" s="96">
        <f t="shared" si="491"/>
        <v>7600</v>
      </c>
      <c r="AC220" s="99">
        <v>800</v>
      </c>
      <c r="AD220" s="98">
        <v>10000</v>
      </c>
      <c r="AE220" s="102">
        <f t="shared" si="492"/>
        <v>-1600</v>
      </c>
      <c r="AF220" s="99">
        <v>800</v>
      </c>
      <c r="AG220" s="98"/>
      <c r="AH220" s="102">
        <f t="shared" si="467"/>
        <v>-800</v>
      </c>
      <c r="AI220" s="99">
        <v>800</v>
      </c>
      <c r="AJ220" s="98"/>
      <c r="AK220" s="102">
        <f t="shared" si="468"/>
        <v>0</v>
      </c>
      <c r="AL220" s="99">
        <v>800</v>
      </c>
      <c r="AM220" s="98"/>
      <c r="AN220" s="102">
        <f t="shared" si="469"/>
        <v>800</v>
      </c>
      <c r="AO220" s="99">
        <v>800</v>
      </c>
      <c r="AP220" s="113"/>
      <c r="AQ220" s="102">
        <f t="shared" si="470"/>
        <v>1600</v>
      </c>
      <c r="AR220" s="99">
        <v>800</v>
      </c>
      <c r="AS220" s="113"/>
      <c r="AT220" s="102">
        <f t="shared" si="471"/>
        <v>2400</v>
      </c>
      <c r="AU220" s="99">
        <v>800</v>
      </c>
      <c r="AV220" s="113"/>
      <c r="AW220" s="102">
        <f t="shared" si="472"/>
        <v>3200</v>
      </c>
      <c r="AX220" s="99">
        <v>800</v>
      </c>
      <c r="AY220" s="113"/>
      <c r="AZ220" s="102">
        <f t="shared" si="473"/>
        <v>4000</v>
      </c>
      <c r="BA220" s="99">
        <v>800</v>
      </c>
      <c r="BB220" s="113"/>
      <c r="BC220" s="102">
        <f t="shared" si="497"/>
        <v>4800</v>
      </c>
      <c r="BD220" s="99">
        <v>800</v>
      </c>
      <c r="BE220" s="113">
        <v>5000</v>
      </c>
      <c r="BF220" s="102">
        <f t="shared" si="498"/>
        <v>600</v>
      </c>
      <c r="BG220" s="99">
        <v>800</v>
      </c>
      <c r="BH220" s="113"/>
      <c r="BI220" s="102">
        <f t="shared" si="499"/>
        <v>1400</v>
      </c>
      <c r="BJ220" s="99">
        <v>800</v>
      </c>
      <c r="BK220" s="113"/>
      <c r="BL220" s="102">
        <f t="shared" si="500"/>
        <v>2200</v>
      </c>
      <c r="BM220" s="99">
        <v>800</v>
      </c>
      <c r="BN220" s="113"/>
      <c r="BO220" s="102">
        <f t="shared" si="501"/>
        <v>3000</v>
      </c>
      <c r="BP220" s="99">
        <v>800</v>
      </c>
      <c r="BQ220" s="113">
        <v>5000</v>
      </c>
      <c r="BR220" s="102">
        <f t="shared" si="502"/>
        <v>-1200</v>
      </c>
      <c r="BS220" s="99">
        <v>800</v>
      </c>
      <c r="BT220" s="113"/>
      <c r="BU220" s="102">
        <f t="shared" si="503"/>
        <v>-400</v>
      </c>
      <c r="BV220" s="99">
        <v>800</v>
      </c>
      <c r="BW220" s="113"/>
      <c r="BX220" s="102">
        <f t="shared" si="504"/>
        <v>400</v>
      </c>
      <c r="BY220" s="99">
        <v>800</v>
      </c>
      <c r="BZ220" s="113"/>
      <c r="CA220" s="102">
        <f t="shared" si="505"/>
        <v>1200</v>
      </c>
      <c r="CB220" s="99">
        <v>800</v>
      </c>
      <c r="CC220" s="113"/>
      <c r="CD220" s="102">
        <f t="shared" si="506"/>
        <v>2000</v>
      </c>
      <c r="CE220" s="99">
        <v>800</v>
      </c>
      <c r="CF220" s="113">
        <v>4000</v>
      </c>
      <c r="CG220" s="102">
        <f t="shared" si="507"/>
        <v>-1200</v>
      </c>
      <c r="CH220" s="99">
        <v>800</v>
      </c>
      <c r="CI220" s="113"/>
      <c r="CJ220" s="102">
        <f t="shared" si="508"/>
        <v>-400</v>
      </c>
      <c r="CK220" s="99">
        <v>800</v>
      </c>
      <c r="CL220" s="113"/>
      <c r="CM220" s="102">
        <f t="shared" si="509"/>
        <v>400</v>
      </c>
      <c r="CN220" s="99">
        <v>800</v>
      </c>
      <c r="CO220" s="113"/>
      <c r="CP220" s="102">
        <f t="shared" si="510"/>
        <v>1200</v>
      </c>
      <c r="CQ220" s="99">
        <v>800</v>
      </c>
      <c r="CR220" s="113">
        <v>3000</v>
      </c>
      <c r="CS220" s="102">
        <f t="shared" si="511"/>
        <v>-1000</v>
      </c>
      <c r="CT220" s="99">
        <v>800</v>
      </c>
      <c r="CU220" s="113"/>
      <c r="CV220" s="102">
        <f t="shared" si="512"/>
        <v>-200</v>
      </c>
      <c r="CW220" s="99">
        <v>800</v>
      </c>
      <c r="CX220" s="113"/>
      <c r="CY220" s="102">
        <f t="shared" si="513"/>
        <v>600</v>
      </c>
    </row>
    <row r="221" spans="1:103" ht="15" customHeight="1">
      <c r="A221" s="41">
        <f>VLOOKUP(B221,справочник!$B$2:$E$322,4,FALSE)</f>
        <v>160</v>
      </c>
      <c r="B221" t="str">
        <f t="shared" si="488"/>
        <v>168Пономарева Олеся Сергеевна</v>
      </c>
      <c r="C221" s="1">
        <v>168</v>
      </c>
      <c r="D221" s="2" t="s">
        <v>204</v>
      </c>
      <c r="E221" s="1" t="s">
        <v>520</v>
      </c>
      <c r="F221" s="16">
        <v>41079</v>
      </c>
      <c r="G221" s="16">
        <v>41091</v>
      </c>
      <c r="H221" s="17">
        <f t="shared" si="496"/>
        <v>42</v>
      </c>
      <c r="I221" s="1">
        <v>29800</v>
      </c>
      <c r="J221" s="17">
        <v>21000</v>
      </c>
      <c r="K221" s="17"/>
      <c r="L221" s="18">
        <f t="shared" si="465"/>
        <v>8800</v>
      </c>
      <c r="M221" s="29"/>
      <c r="N221" s="29"/>
      <c r="O221" s="29"/>
      <c r="P221" s="29"/>
      <c r="Q221" s="29"/>
      <c r="R221" s="29"/>
      <c r="S221" s="29"/>
      <c r="T221" s="29"/>
      <c r="U221" s="29"/>
      <c r="V221" s="29">
        <v>4800</v>
      </c>
      <c r="W221" s="29"/>
      <c r="X221" s="29">
        <v>4800</v>
      </c>
      <c r="Y221" s="18">
        <f t="shared" si="489"/>
        <v>9600</v>
      </c>
      <c r="Z221" s="96">
        <v>12</v>
      </c>
      <c r="AA221" s="96">
        <f t="shared" si="490"/>
        <v>9600</v>
      </c>
      <c r="AB221" s="96">
        <f t="shared" si="491"/>
        <v>8800</v>
      </c>
      <c r="AC221" s="99">
        <v>800</v>
      </c>
      <c r="AD221" s="98"/>
      <c r="AE221" s="102">
        <f t="shared" si="492"/>
        <v>9600</v>
      </c>
      <c r="AF221" s="99">
        <v>800</v>
      </c>
      <c r="AG221" s="98">
        <v>2400</v>
      </c>
      <c r="AH221" s="102">
        <f t="shared" si="467"/>
        <v>8000</v>
      </c>
      <c r="AI221" s="99">
        <v>800</v>
      </c>
      <c r="AJ221" s="98"/>
      <c r="AK221" s="102">
        <f t="shared" si="468"/>
        <v>8800</v>
      </c>
      <c r="AL221" s="99">
        <v>800</v>
      </c>
      <c r="AM221" s="98"/>
      <c r="AN221" s="102">
        <f t="shared" si="469"/>
        <v>9600</v>
      </c>
      <c r="AO221" s="99">
        <v>800</v>
      </c>
      <c r="AP221" s="113"/>
      <c r="AQ221" s="102">
        <f t="shared" si="470"/>
        <v>10400</v>
      </c>
      <c r="AR221" s="99">
        <v>800</v>
      </c>
      <c r="AS221" s="113">
        <f>4000</f>
        <v>4000</v>
      </c>
      <c r="AT221" s="102">
        <f t="shared" si="471"/>
        <v>7200</v>
      </c>
      <c r="AU221" s="99">
        <v>800</v>
      </c>
      <c r="AV221" s="113">
        <v>7200</v>
      </c>
      <c r="AW221" s="102">
        <f t="shared" si="472"/>
        <v>800</v>
      </c>
      <c r="AX221" s="99">
        <v>800</v>
      </c>
      <c r="AY221" s="113">
        <v>1800</v>
      </c>
      <c r="AZ221" s="102">
        <f t="shared" si="473"/>
        <v>-200</v>
      </c>
      <c r="BA221" s="99">
        <v>800</v>
      </c>
      <c r="BB221" s="113"/>
      <c r="BC221" s="102">
        <f t="shared" si="497"/>
        <v>600</v>
      </c>
      <c r="BD221" s="99">
        <v>800</v>
      </c>
      <c r="BE221" s="113"/>
      <c r="BF221" s="102">
        <f t="shared" si="498"/>
        <v>1400</v>
      </c>
      <c r="BG221" s="99">
        <v>800</v>
      </c>
      <c r="BH221" s="113"/>
      <c r="BI221" s="102">
        <f t="shared" si="499"/>
        <v>2200</v>
      </c>
      <c r="BJ221" s="99">
        <v>800</v>
      </c>
      <c r="BK221" s="113">
        <v>3000</v>
      </c>
      <c r="BL221" s="102">
        <f t="shared" si="500"/>
        <v>0</v>
      </c>
      <c r="BM221" s="99">
        <v>800</v>
      </c>
      <c r="BN221" s="113"/>
      <c r="BO221" s="102">
        <f t="shared" si="501"/>
        <v>800</v>
      </c>
      <c r="BP221" s="99">
        <v>800</v>
      </c>
      <c r="BQ221" s="113"/>
      <c r="BR221" s="102">
        <f t="shared" si="502"/>
        <v>1600</v>
      </c>
      <c r="BS221" s="99">
        <v>800</v>
      </c>
      <c r="BT221" s="113"/>
      <c r="BU221" s="102">
        <f t="shared" si="503"/>
        <v>2400</v>
      </c>
      <c r="BV221" s="99">
        <v>800</v>
      </c>
      <c r="BW221" s="113">
        <v>3000</v>
      </c>
      <c r="BX221" s="102">
        <f t="shared" si="504"/>
        <v>200</v>
      </c>
      <c r="BY221" s="99">
        <v>800</v>
      </c>
      <c r="BZ221" s="113"/>
      <c r="CA221" s="102">
        <f t="shared" si="505"/>
        <v>1000</v>
      </c>
      <c r="CB221" s="99">
        <v>800</v>
      </c>
      <c r="CC221" s="113"/>
      <c r="CD221" s="102">
        <f t="shared" si="506"/>
        <v>1800</v>
      </c>
      <c r="CE221" s="99">
        <v>800</v>
      </c>
      <c r="CF221" s="113"/>
      <c r="CG221" s="102">
        <f t="shared" si="507"/>
        <v>2600</v>
      </c>
      <c r="CH221" s="99">
        <v>800</v>
      </c>
      <c r="CI221" s="113"/>
      <c r="CJ221" s="102">
        <f t="shared" si="508"/>
        <v>3400</v>
      </c>
      <c r="CK221" s="99">
        <v>800</v>
      </c>
      <c r="CL221" s="113"/>
      <c r="CM221" s="102">
        <f t="shared" si="509"/>
        <v>4200</v>
      </c>
      <c r="CN221" s="99">
        <v>800</v>
      </c>
      <c r="CO221" s="113"/>
      <c r="CP221" s="102">
        <f t="shared" si="510"/>
        <v>5000</v>
      </c>
      <c r="CQ221" s="99">
        <v>800</v>
      </c>
      <c r="CR221" s="113"/>
      <c r="CS221" s="102">
        <f t="shared" si="511"/>
        <v>5800</v>
      </c>
      <c r="CT221" s="99">
        <v>800</v>
      </c>
      <c r="CU221" s="113"/>
      <c r="CV221" s="102">
        <f t="shared" si="512"/>
        <v>6600</v>
      </c>
      <c r="CW221" s="99">
        <v>800</v>
      </c>
      <c r="CX221" s="113"/>
      <c r="CY221" s="102">
        <f t="shared" si="513"/>
        <v>7400</v>
      </c>
    </row>
    <row r="222" spans="1:103" ht="25.5" customHeight="1">
      <c r="A222" s="41">
        <f>VLOOKUP(B222,справочник!$B$2:$E$322,4,FALSE)</f>
        <v>53</v>
      </c>
      <c r="B222" t="str">
        <f t="shared" si="488"/>
        <v>55Попова Нина Ивановна</v>
      </c>
      <c r="C222" s="1">
        <v>55</v>
      </c>
      <c r="D222" s="2" t="s">
        <v>205</v>
      </c>
      <c r="E222" s="1" t="s">
        <v>521</v>
      </c>
      <c r="F222" s="16">
        <v>41995</v>
      </c>
      <c r="G222" s="16">
        <v>42005</v>
      </c>
      <c r="H222" s="17">
        <f t="shared" si="496"/>
        <v>12</v>
      </c>
      <c r="I222" s="1">
        <f t="shared" si="464"/>
        <v>12000</v>
      </c>
      <c r="J222" s="17">
        <v>12000</v>
      </c>
      <c r="K222" s="17"/>
      <c r="L222" s="18">
        <f t="shared" si="465"/>
        <v>0</v>
      </c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18">
        <f t="shared" si="489"/>
        <v>0</v>
      </c>
      <c r="Z222" s="96">
        <v>12</v>
      </c>
      <c r="AA222" s="96">
        <f t="shared" si="490"/>
        <v>9600</v>
      </c>
      <c r="AB222" s="96">
        <f t="shared" si="491"/>
        <v>9600</v>
      </c>
      <c r="AC222" s="99">
        <v>800</v>
      </c>
      <c r="AD222" s="98"/>
      <c r="AE222" s="102">
        <f t="shared" si="492"/>
        <v>10400</v>
      </c>
      <c r="AF222" s="99">
        <v>800</v>
      </c>
      <c r="AG222" s="98"/>
      <c r="AH222" s="102">
        <f t="shared" si="467"/>
        <v>11200</v>
      </c>
      <c r="AI222" s="99">
        <v>800</v>
      </c>
      <c r="AJ222" s="98"/>
      <c r="AK222" s="102">
        <f t="shared" si="468"/>
        <v>12000</v>
      </c>
      <c r="AL222" s="99">
        <v>800</v>
      </c>
      <c r="AM222" s="98"/>
      <c r="AN222" s="102">
        <f t="shared" si="469"/>
        <v>12800</v>
      </c>
      <c r="AO222" s="99">
        <v>800</v>
      </c>
      <c r="AP222" s="113"/>
      <c r="AQ222" s="102">
        <f t="shared" si="470"/>
        <v>13600</v>
      </c>
      <c r="AR222" s="99">
        <v>800</v>
      </c>
      <c r="AS222" s="113">
        <f>4800+4800</f>
        <v>9600</v>
      </c>
      <c r="AT222" s="102">
        <f t="shared" si="471"/>
        <v>4800</v>
      </c>
      <c r="AU222" s="99">
        <v>800</v>
      </c>
      <c r="AV222" s="113">
        <v>4800</v>
      </c>
      <c r="AW222" s="102">
        <f t="shared" si="472"/>
        <v>800</v>
      </c>
      <c r="AX222" s="99">
        <v>800</v>
      </c>
      <c r="AY222" s="113"/>
      <c r="AZ222" s="102">
        <f t="shared" si="473"/>
        <v>1600</v>
      </c>
      <c r="BA222" s="99">
        <v>800</v>
      </c>
      <c r="BB222" s="113"/>
      <c r="BC222" s="102">
        <f t="shared" si="497"/>
        <v>2400</v>
      </c>
      <c r="BD222" s="99">
        <v>800</v>
      </c>
      <c r="BE222" s="113"/>
      <c r="BF222" s="102">
        <f t="shared" si="498"/>
        <v>3200</v>
      </c>
      <c r="BG222" s="99">
        <v>800</v>
      </c>
      <c r="BH222" s="113"/>
      <c r="BI222" s="102">
        <f t="shared" si="499"/>
        <v>4000</v>
      </c>
      <c r="BJ222" s="99">
        <v>800</v>
      </c>
      <c r="BK222" s="113"/>
      <c r="BL222" s="102">
        <f t="shared" si="500"/>
        <v>4800</v>
      </c>
      <c r="BM222" s="99">
        <v>800</v>
      </c>
      <c r="BN222" s="113"/>
      <c r="BO222" s="102">
        <f t="shared" si="501"/>
        <v>5600</v>
      </c>
      <c r="BP222" s="99">
        <v>800</v>
      </c>
      <c r="BQ222" s="113"/>
      <c r="BR222" s="102">
        <f t="shared" si="502"/>
        <v>6400</v>
      </c>
      <c r="BS222" s="99">
        <v>800</v>
      </c>
      <c r="BT222" s="113"/>
      <c r="BU222" s="102">
        <f t="shared" si="503"/>
        <v>7200</v>
      </c>
      <c r="BV222" s="99">
        <v>800</v>
      </c>
      <c r="BW222" s="113"/>
      <c r="BX222" s="102">
        <f t="shared" si="504"/>
        <v>8000</v>
      </c>
      <c r="BY222" s="99">
        <v>800</v>
      </c>
      <c r="BZ222" s="113">
        <v>2400</v>
      </c>
      <c r="CA222" s="102">
        <f t="shared" si="505"/>
        <v>6400</v>
      </c>
      <c r="CB222" s="99">
        <v>800</v>
      </c>
      <c r="CC222" s="113"/>
      <c r="CD222" s="102">
        <f t="shared" si="506"/>
        <v>7200</v>
      </c>
      <c r="CE222" s="99">
        <v>800</v>
      </c>
      <c r="CF222" s="113"/>
      <c r="CG222" s="102">
        <f t="shared" si="507"/>
        <v>8000</v>
      </c>
      <c r="CH222" s="99">
        <v>800</v>
      </c>
      <c r="CI222" s="113"/>
      <c r="CJ222" s="102">
        <f t="shared" si="508"/>
        <v>8800</v>
      </c>
      <c r="CK222" s="99">
        <v>800</v>
      </c>
      <c r="CL222" s="113">
        <v>5000</v>
      </c>
      <c r="CM222" s="102">
        <f t="shared" si="509"/>
        <v>4600</v>
      </c>
      <c r="CN222" s="99">
        <v>800</v>
      </c>
      <c r="CO222" s="113"/>
      <c r="CP222" s="102">
        <f t="shared" si="510"/>
        <v>5400</v>
      </c>
      <c r="CQ222" s="99">
        <v>800</v>
      </c>
      <c r="CR222" s="113"/>
      <c r="CS222" s="102">
        <f t="shared" si="511"/>
        <v>6200</v>
      </c>
      <c r="CT222" s="99">
        <v>800</v>
      </c>
      <c r="CU222" s="113">
        <v>3000</v>
      </c>
      <c r="CV222" s="102">
        <f t="shared" si="512"/>
        <v>4000</v>
      </c>
      <c r="CW222" s="99">
        <v>800</v>
      </c>
      <c r="CX222" s="113"/>
      <c r="CY222" s="102">
        <f t="shared" si="513"/>
        <v>4800</v>
      </c>
    </row>
    <row r="223" spans="1:103" ht="15" customHeight="1">
      <c r="A223" s="41">
        <f>VLOOKUP(B223,справочник!$B$2:$E$322,4,FALSE)</f>
        <v>102</v>
      </c>
      <c r="B223" t="str">
        <f t="shared" si="488"/>
        <v>107Постернак Татьяна Николаевна</v>
      </c>
      <c r="C223" s="1">
        <v>107</v>
      </c>
      <c r="D223" s="2" t="s">
        <v>206</v>
      </c>
      <c r="E223" s="1" t="s">
        <v>522</v>
      </c>
      <c r="F223" s="16">
        <v>40757</v>
      </c>
      <c r="G223" s="16">
        <v>40756</v>
      </c>
      <c r="H223" s="17">
        <f t="shared" si="496"/>
        <v>53</v>
      </c>
      <c r="I223" s="1">
        <f t="shared" si="464"/>
        <v>53000</v>
      </c>
      <c r="J223" s="17">
        <f>52000+1000</f>
        <v>53000</v>
      </c>
      <c r="K223" s="17"/>
      <c r="L223" s="18">
        <f t="shared" si="465"/>
        <v>0</v>
      </c>
      <c r="M223" s="29">
        <v>800</v>
      </c>
      <c r="N223" s="29">
        <v>800</v>
      </c>
      <c r="O223" s="29">
        <v>800</v>
      </c>
      <c r="P223" s="29">
        <v>800</v>
      </c>
      <c r="Q223" s="29"/>
      <c r="R223" s="29">
        <v>800</v>
      </c>
      <c r="S223" s="29">
        <v>800</v>
      </c>
      <c r="T223">
        <v>1600</v>
      </c>
      <c r="U223" s="29">
        <v>800</v>
      </c>
      <c r="V223" s="29">
        <v>800</v>
      </c>
      <c r="W223" s="84">
        <v>800</v>
      </c>
      <c r="X223" s="29">
        <v>800</v>
      </c>
      <c r="Y223" s="18">
        <f t="shared" si="489"/>
        <v>9600</v>
      </c>
      <c r="Z223" s="96">
        <v>12</v>
      </c>
      <c r="AA223" s="96">
        <f t="shared" si="490"/>
        <v>9600</v>
      </c>
      <c r="AB223" s="96">
        <f t="shared" si="491"/>
        <v>0</v>
      </c>
      <c r="AC223" s="99">
        <v>800</v>
      </c>
      <c r="AD223" s="97">
        <v>800</v>
      </c>
      <c r="AE223" s="102">
        <f t="shared" si="492"/>
        <v>0</v>
      </c>
      <c r="AF223" s="99">
        <v>800</v>
      </c>
      <c r="AG223" s="97"/>
      <c r="AH223" s="102">
        <f t="shared" si="467"/>
        <v>800</v>
      </c>
      <c r="AI223" s="99">
        <v>800</v>
      </c>
      <c r="AJ223" s="97">
        <v>800</v>
      </c>
      <c r="AK223" s="102">
        <f t="shared" si="468"/>
        <v>800</v>
      </c>
      <c r="AL223" s="99">
        <v>800</v>
      </c>
      <c r="AM223" s="97">
        <v>800</v>
      </c>
      <c r="AN223" s="102">
        <f t="shared" si="469"/>
        <v>800</v>
      </c>
      <c r="AO223" s="99">
        <v>800</v>
      </c>
      <c r="AP223" s="97"/>
      <c r="AQ223" s="102">
        <f t="shared" si="470"/>
        <v>1600</v>
      </c>
      <c r="AR223" s="99">
        <v>800</v>
      </c>
      <c r="AS223" s="97">
        <f>800+800</f>
        <v>1600</v>
      </c>
      <c r="AT223" s="102">
        <f t="shared" si="471"/>
        <v>800</v>
      </c>
      <c r="AU223" s="99">
        <v>800</v>
      </c>
      <c r="AV223" s="97"/>
      <c r="AW223" s="102">
        <f t="shared" si="472"/>
        <v>1600</v>
      </c>
      <c r="AX223" s="99">
        <v>800</v>
      </c>
      <c r="AY223" s="97">
        <f>800+800</f>
        <v>1600</v>
      </c>
      <c r="AZ223" s="102">
        <f t="shared" si="473"/>
        <v>800</v>
      </c>
      <c r="BA223" s="99">
        <v>800</v>
      </c>
      <c r="BB223" s="97">
        <f>800+800</f>
        <v>1600</v>
      </c>
      <c r="BC223" s="102">
        <f t="shared" si="497"/>
        <v>0</v>
      </c>
      <c r="BD223" s="99">
        <v>800</v>
      </c>
      <c r="BE223" s="97">
        <v>800</v>
      </c>
      <c r="BF223" s="102">
        <f t="shared" si="498"/>
        <v>0</v>
      </c>
      <c r="BG223" s="99">
        <v>800</v>
      </c>
      <c r="BH223" s="97">
        <v>800</v>
      </c>
      <c r="BI223" s="102">
        <f t="shared" si="499"/>
        <v>0</v>
      </c>
      <c r="BJ223" s="99">
        <v>800</v>
      </c>
      <c r="BK223" s="97">
        <v>800</v>
      </c>
      <c r="BL223" s="102">
        <f t="shared" si="500"/>
        <v>0</v>
      </c>
      <c r="BM223" s="99">
        <v>800</v>
      </c>
      <c r="BN223" s="97">
        <v>800</v>
      </c>
      <c r="BO223" s="102">
        <f t="shared" si="501"/>
        <v>0</v>
      </c>
      <c r="BP223" s="99">
        <v>800</v>
      </c>
      <c r="BQ223" s="97">
        <v>800</v>
      </c>
      <c r="BR223" s="102">
        <f t="shared" si="502"/>
        <v>0</v>
      </c>
      <c r="BS223" s="99">
        <v>800</v>
      </c>
      <c r="BT223" s="97">
        <v>800</v>
      </c>
      <c r="BU223" s="102">
        <f t="shared" si="503"/>
        <v>0</v>
      </c>
      <c r="BV223" s="99">
        <v>800</v>
      </c>
      <c r="BW223" s="97">
        <v>800</v>
      </c>
      <c r="BX223" s="102">
        <f t="shared" si="504"/>
        <v>0</v>
      </c>
      <c r="BY223" s="99">
        <v>800</v>
      </c>
      <c r="BZ223" s="97">
        <v>800</v>
      </c>
      <c r="CA223" s="102">
        <f t="shared" si="505"/>
        <v>0</v>
      </c>
      <c r="CB223" s="99">
        <v>800</v>
      </c>
      <c r="CC223" s="97">
        <v>800</v>
      </c>
      <c r="CD223" s="102">
        <f t="shared" si="506"/>
        <v>0</v>
      </c>
      <c r="CE223" s="99">
        <v>800</v>
      </c>
      <c r="CF223" s="97">
        <v>1000</v>
      </c>
      <c r="CG223" s="102">
        <f t="shared" si="507"/>
        <v>-200</v>
      </c>
      <c r="CH223" s="99">
        <v>800</v>
      </c>
      <c r="CI223" s="97">
        <v>600</v>
      </c>
      <c r="CJ223" s="102">
        <f t="shared" si="508"/>
        <v>0</v>
      </c>
      <c r="CK223" s="99">
        <v>800</v>
      </c>
      <c r="CL223" s="97">
        <v>800</v>
      </c>
      <c r="CM223" s="102">
        <f t="shared" si="509"/>
        <v>0</v>
      </c>
      <c r="CN223" s="99">
        <v>800</v>
      </c>
      <c r="CO223" s="97">
        <v>800</v>
      </c>
      <c r="CP223" s="102">
        <f t="shared" si="510"/>
        <v>0</v>
      </c>
      <c r="CQ223" s="99">
        <v>800</v>
      </c>
      <c r="CR223" s="97">
        <v>800</v>
      </c>
      <c r="CS223" s="102">
        <f t="shared" si="511"/>
        <v>0</v>
      </c>
      <c r="CT223" s="99">
        <v>800</v>
      </c>
      <c r="CU223" s="97">
        <v>800</v>
      </c>
      <c r="CV223" s="102">
        <f t="shared" si="512"/>
        <v>0</v>
      </c>
      <c r="CW223" s="99">
        <v>800</v>
      </c>
      <c r="CX223" s="97"/>
      <c r="CY223" s="102">
        <f t="shared" si="513"/>
        <v>800</v>
      </c>
    </row>
    <row r="224" spans="1:103" ht="40.5" customHeight="1">
      <c r="A224" s="41" t="e">
        <f>VLOOKUP(B224,справочник!$B$2:$E$322,4,FALSE)</f>
        <v>#N/A</v>
      </c>
      <c r="B224" t="str">
        <f t="shared" si="488"/>
        <v>182Просянов Александр Александрович (новый собственник Гаврилова Мария Сергеевна)</v>
      </c>
      <c r="C224" s="1">
        <v>182</v>
      </c>
      <c r="D224" s="2" t="s">
        <v>818</v>
      </c>
      <c r="E224" s="1" t="s">
        <v>523</v>
      </c>
      <c r="F224" s="16">
        <v>41352</v>
      </c>
      <c r="G224" s="16">
        <v>41365</v>
      </c>
      <c r="H224" s="17">
        <f t="shared" si="496"/>
        <v>33</v>
      </c>
      <c r="I224" s="1">
        <f t="shared" si="464"/>
        <v>33000</v>
      </c>
      <c r="J224" s="17">
        <v>33000</v>
      </c>
      <c r="K224" s="17"/>
      <c r="L224" s="18">
        <f t="shared" si="465"/>
        <v>0</v>
      </c>
      <c r="M224" s="29">
        <v>1000</v>
      </c>
      <c r="N224" s="29"/>
      <c r="O224" s="29"/>
      <c r="P224" s="29"/>
      <c r="Q224" s="29">
        <v>3000</v>
      </c>
      <c r="R224" s="29"/>
      <c r="S224" s="29">
        <v>1600</v>
      </c>
      <c r="T224" s="29"/>
      <c r="U224" s="29"/>
      <c r="V224" s="29">
        <v>0</v>
      </c>
      <c r="W224" s="29"/>
      <c r="X224" s="29"/>
      <c r="Y224" s="18">
        <f t="shared" si="489"/>
        <v>5600</v>
      </c>
      <c r="Z224" s="96">
        <v>12</v>
      </c>
      <c r="AA224" s="96">
        <f t="shared" si="490"/>
        <v>9600</v>
      </c>
      <c r="AB224" s="96">
        <f t="shared" si="491"/>
        <v>4000</v>
      </c>
      <c r="AC224" s="99">
        <v>800</v>
      </c>
      <c r="AD224" s="98"/>
      <c r="AE224" s="102">
        <f t="shared" si="492"/>
        <v>4800</v>
      </c>
      <c r="AF224" s="99">
        <v>800</v>
      </c>
      <c r="AG224" s="98"/>
      <c r="AH224" s="102">
        <f t="shared" si="467"/>
        <v>5600</v>
      </c>
      <c r="AI224" s="99">
        <v>800</v>
      </c>
      <c r="AJ224" s="98">
        <v>6000</v>
      </c>
      <c r="AK224" s="102">
        <f t="shared" si="468"/>
        <v>400</v>
      </c>
      <c r="AL224" s="99">
        <v>800</v>
      </c>
      <c r="AM224" s="98"/>
      <c r="AN224" s="102">
        <f t="shared" si="469"/>
        <v>1200</v>
      </c>
      <c r="AO224" s="99">
        <v>800</v>
      </c>
      <c r="AP224" s="113"/>
      <c r="AQ224" s="102">
        <f t="shared" si="470"/>
        <v>2000</v>
      </c>
      <c r="AR224" s="99">
        <v>800</v>
      </c>
      <c r="AS224" s="113"/>
      <c r="AT224" s="102">
        <f t="shared" si="471"/>
        <v>2800</v>
      </c>
      <c r="AU224" s="99">
        <v>800</v>
      </c>
      <c r="AV224" s="113"/>
      <c r="AW224" s="102">
        <f t="shared" si="472"/>
        <v>3600</v>
      </c>
      <c r="AX224" s="99">
        <v>800</v>
      </c>
      <c r="AY224" s="113">
        <v>3600</v>
      </c>
      <c r="AZ224" s="102">
        <f t="shared" si="473"/>
        <v>800</v>
      </c>
      <c r="BA224" s="99">
        <v>800</v>
      </c>
      <c r="BB224" s="113"/>
      <c r="BC224" s="102">
        <f t="shared" si="497"/>
        <v>1600</v>
      </c>
      <c r="BD224" s="99">
        <v>800</v>
      </c>
      <c r="BE224" s="113"/>
      <c r="BF224" s="102">
        <f t="shared" si="498"/>
        <v>2400</v>
      </c>
      <c r="BG224" s="99">
        <v>800</v>
      </c>
      <c r="BH224" s="113"/>
      <c r="BI224" s="102">
        <f t="shared" si="499"/>
        <v>3200</v>
      </c>
      <c r="BJ224" s="99">
        <v>800</v>
      </c>
      <c r="BK224" s="113">
        <v>4000</v>
      </c>
      <c r="BL224" s="102">
        <f t="shared" si="500"/>
        <v>0</v>
      </c>
      <c r="BM224" s="99">
        <v>800</v>
      </c>
      <c r="BN224" s="113"/>
      <c r="BO224" s="102">
        <f t="shared" si="501"/>
        <v>800</v>
      </c>
      <c r="BP224" s="99">
        <v>800</v>
      </c>
      <c r="BQ224" s="113"/>
      <c r="BR224" s="102">
        <f t="shared" si="502"/>
        <v>1600</v>
      </c>
      <c r="BS224" s="99">
        <v>800</v>
      </c>
      <c r="BT224" s="113"/>
      <c r="BU224" s="102">
        <f t="shared" si="503"/>
        <v>2400</v>
      </c>
      <c r="BV224" s="99">
        <v>800</v>
      </c>
      <c r="BW224" s="113"/>
      <c r="BX224" s="102">
        <f t="shared" si="504"/>
        <v>3200</v>
      </c>
      <c r="BY224" s="99">
        <v>800</v>
      </c>
      <c r="BZ224" s="113">
        <v>4000</v>
      </c>
      <c r="CA224" s="102">
        <f t="shared" si="505"/>
        <v>0</v>
      </c>
      <c r="CB224" s="99">
        <v>800</v>
      </c>
      <c r="CC224" s="113"/>
      <c r="CD224" s="102">
        <f t="shared" si="506"/>
        <v>800</v>
      </c>
      <c r="CE224" s="99">
        <v>800</v>
      </c>
      <c r="CF224" s="113"/>
      <c r="CG224" s="102">
        <f t="shared" si="507"/>
        <v>1600</v>
      </c>
      <c r="CH224" s="99">
        <v>800</v>
      </c>
      <c r="CI224" s="113"/>
      <c r="CJ224" s="102">
        <f t="shared" si="508"/>
        <v>2400</v>
      </c>
      <c r="CK224" s="99">
        <v>800</v>
      </c>
      <c r="CL224" s="113"/>
      <c r="CM224" s="102">
        <f t="shared" si="509"/>
        <v>3200</v>
      </c>
      <c r="CN224" s="99">
        <v>800</v>
      </c>
      <c r="CO224" s="113"/>
      <c r="CP224" s="102">
        <f t="shared" si="510"/>
        <v>4000</v>
      </c>
      <c r="CQ224" s="99">
        <v>800</v>
      </c>
      <c r="CR224" s="113"/>
      <c r="CS224" s="102">
        <f t="shared" si="511"/>
        <v>4800</v>
      </c>
      <c r="CT224" s="99">
        <v>800</v>
      </c>
      <c r="CU224" s="113"/>
      <c r="CV224" s="102">
        <f t="shared" si="512"/>
        <v>5600</v>
      </c>
      <c r="CW224" s="99">
        <v>800</v>
      </c>
      <c r="CX224" s="113"/>
      <c r="CY224" s="102">
        <f t="shared" si="513"/>
        <v>6400</v>
      </c>
    </row>
    <row r="225" spans="1:103" ht="15" customHeight="1">
      <c r="A225" s="41">
        <f>VLOOKUP(B225,справочник!$B$2:$E$322,4,FALSE)</f>
        <v>165</v>
      </c>
      <c r="B225" t="str">
        <f t="shared" si="488"/>
        <v xml:space="preserve">173Прохоров Владимир Михайлович        </v>
      </c>
      <c r="C225" s="1">
        <v>173</v>
      </c>
      <c r="D225" s="2" t="s">
        <v>208</v>
      </c>
      <c r="E225" s="1" t="s">
        <v>524</v>
      </c>
      <c r="F225" s="1"/>
      <c r="G225" s="1"/>
      <c r="H225" s="17">
        <v>17</v>
      </c>
      <c r="I225" s="1">
        <f t="shared" si="464"/>
        <v>17000</v>
      </c>
      <c r="J225" s="17">
        <v>17000</v>
      </c>
      <c r="K225" s="17"/>
      <c r="L225" s="18">
        <f t="shared" si="465"/>
        <v>0</v>
      </c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18">
        <f t="shared" si="489"/>
        <v>0</v>
      </c>
      <c r="Z225" s="96">
        <v>12</v>
      </c>
      <c r="AA225" s="96">
        <f t="shared" si="490"/>
        <v>9600</v>
      </c>
      <c r="AB225" s="96">
        <f t="shared" si="491"/>
        <v>9600</v>
      </c>
      <c r="AC225" s="99">
        <v>800</v>
      </c>
      <c r="AD225" s="98"/>
      <c r="AE225" s="102">
        <f t="shared" si="492"/>
        <v>10400</v>
      </c>
      <c r="AF225" s="99">
        <v>800</v>
      </c>
      <c r="AG225" s="98"/>
      <c r="AH225" s="102">
        <f t="shared" si="467"/>
        <v>11200</v>
      </c>
      <c r="AI225" s="99">
        <v>800</v>
      </c>
      <c r="AJ225" s="98"/>
      <c r="AK225" s="102">
        <f t="shared" si="468"/>
        <v>12000</v>
      </c>
      <c r="AL225" s="99">
        <v>800</v>
      </c>
      <c r="AM225" s="98"/>
      <c r="AN225" s="102">
        <f t="shared" si="469"/>
        <v>12800</v>
      </c>
      <c r="AO225" s="99">
        <v>800</v>
      </c>
      <c r="AP225" s="113"/>
      <c r="AQ225" s="102">
        <f t="shared" si="470"/>
        <v>13600</v>
      </c>
      <c r="AR225" s="99">
        <v>800</v>
      </c>
      <c r="AS225" s="113"/>
      <c r="AT225" s="102">
        <f t="shared" si="471"/>
        <v>14400</v>
      </c>
      <c r="AU225" s="99">
        <v>800</v>
      </c>
      <c r="AV225" s="113"/>
      <c r="AW225" s="102">
        <f t="shared" si="472"/>
        <v>15200</v>
      </c>
      <c r="AX225" s="99">
        <v>800</v>
      </c>
      <c r="AY225" s="113"/>
      <c r="AZ225" s="102">
        <f t="shared" si="473"/>
        <v>16000</v>
      </c>
      <c r="BA225" s="99">
        <v>800</v>
      </c>
      <c r="BB225" s="113"/>
      <c r="BC225" s="102">
        <f t="shared" si="497"/>
        <v>16800</v>
      </c>
      <c r="BD225" s="99">
        <v>800</v>
      </c>
      <c r="BE225" s="113"/>
      <c r="BF225" s="102">
        <f t="shared" si="498"/>
        <v>17600</v>
      </c>
      <c r="BG225" s="99">
        <v>800</v>
      </c>
      <c r="BH225" s="113"/>
      <c r="BI225" s="102">
        <f t="shared" si="499"/>
        <v>18400</v>
      </c>
      <c r="BJ225" s="99">
        <v>800</v>
      </c>
      <c r="BK225" s="113"/>
      <c r="BL225" s="102">
        <f t="shared" si="500"/>
        <v>19200</v>
      </c>
      <c r="BM225" s="99">
        <v>800</v>
      </c>
      <c r="BN225" s="113"/>
      <c r="BO225" s="102">
        <f t="shared" si="501"/>
        <v>20000</v>
      </c>
      <c r="BP225" s="99">
        <v>800</v>
      </c>
      <c r="BQ225" s="113"/>
      <c r="BR225" s="102">
        <f t="shared" si="502"/>
        <v>20800</v>
      </c>
      <c r="BS225" s="99">
        <v>800</v>
      </c>
      <c r="BT225" s="113"/>
      <c r="BU225" s="102">
        <f t="shared" si="503"/>
        <v>21600</v>
      </c>
      <c r="BV225" s="99">
        <v>800</v>
      </c>
      <c r="BW225" s="113"/>
      <c r="BX225" s="102">
        <f t="shared" si="504"/>
        <v>22400</v>
      </c>
      <c r="BY225" s="99">
        <v>800</v>
      </c>
      <c r="BZ225" s="113"/>
      <c r="CA225" s="102">
        <f t="shared" si="505"/>
        <v>23200</v>
      </c>
      <c r="CB225" s="99">
        <v>800</v>
      </c>
      <c r="CC225" s="113">
        <v>10000</v>
      </c>
      <c r="CD225" s="102">
        <f t="shared" si="506"/>
        <v>14000</v>
      </c>
      <c r="CE225" s="99">
        <v>800</v>
      </c>
      <c r="CF225" s="113"/>
      <c r="CG225" s="102">
        <f t="shared" si="507"/>
        <v>14800</v>
      </c>
      <c r="CH225" s="99">
        <v>800</v>
      </c>
      <c r="CI225" s="113"/>
      <c r="CJ225" s="102">
        <f t="shared" si="508"/>
        <v>15600</v>
      </c>
      <c r="CK225" s="99">
        <v>800</v>
      </c>
      <c r="CL225" s="113"/>
      <c r="CM225" s="102">
        <f t="shared" si="509"/>
        <v>16400</v>
      </c>
      <c r="CN225" s="99">
        <v>800</v>
      </c>
      <c r="CO225" s="113"/>
      <c r="CP225" s="102">
        <f t="shared" si="510"/>
        <v>17200</v>
      </c>
      <c r="CQ225" s="99">
        <v>800</v>
      </c>
      <c r="CR225" s="113"/>
      <c r="CS225" s="102">
        <f t="shared" si="511"/>
        <v>18000</v>
      </c>
      <c r="CT225" s="99">
        <v>800</v>
      </c>
      <c r="CU225" s="113"/>
      <c r="CV225" s="102">
        <f t="shared" si="512"/>
        <v>18800</v>
      </c>
      <c r="CW225" s="99">
        <v>800</v>
      </c>
      <c r="CX225" s="113"/>
      <c r="CY225" s="102">
        <f t="shared" si="513"/>
        <v>19600</v>
      </c>
    </row>
    <row r="226" spans="1:103" ht="15" customHeight="1">
      <c r="A226" s="41" t="e">
        <f>VLOOKUP(B226,справочник!$B$2:$E$322,4,FALSE)</f>
        <v>#N/A</v>
      </c>
      <c r="B226" t="str">
        <f t="shared" si="488"/>
        <v>262Пузанова Екатерина Вячеславовна</v>
      </c>
      <c r="C226" s="1">
        <v>262</v>
      </c>
      <c r="D226" s="2" t="s">
        <v>799</v>
      </c>
      <c r="E226" s="1" t="s">
        <v>525</v>
      </c>
      <c r="F226" s="16">
        <v>41751</v>
      </c>
      <c r="G226" s="16">
        <v>41760</v>
      </c>
      <c r="H226" s="17">
        <f>INT(($H$326-G226)/30)</f>
        <v>20</v>
      </c>
      <c r="I226" s="1">
        <f t="shared" si="464"/>
        <v>20000</v>
      </c>
      <c r="J226" s="17"/>
      <c r="K226" s="17"/>
      <c r="L226" s="18">
        <f t="shared" si="465"/>
        <v>20000</v>
      </c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18">
        <f t="shared" si="489"/>
        <v>0</v>
      </c>
      <c r="Z226" s="96">
        <v>12</v>
      </c>
      <c r="AA226" s="96">
        <f t="shared" si="490"/>
        <v>9600</v>
      </c>
      <c r="AB226" s="96">
        <f t="shared" si="491"/>
        <v>29600</v>
      </c>
      <c r="AC226" s="99">
        <v>800</v>
      </c>
      <c r="AD226" s="98"/>
      <c r="AE226" s="102">
        <f t="shared" si="492"/>
        <v>30400</v>
      </c>
      <c r="AF226" s="99">
        <v>800</v>
      </c>
      <c r="AG226" s="98"/>
      <c r="AH226" s="102">
        <f t="shared" si="467"/>
        <v>31200</v>
      </c>
      <c r="AI226" s="99">
        <v>800</v>
      </c>
      <c r="AJ226" s="98"/>
      <c r="AK226" s="102">
        <f t="shared" si="468"/>
        <v>32000</v>
      </c>
      <c r="AL226" s="99">
        <v>800</v>
      </c>
      <c r="AM226" s="98">
        <v>15000</v>
      </c>
      <c r="AN226" s="102">
        <f t="shared" si="469"/>
        <v>17800</v>
      </c>
      <c r="AO226" s="99">
        <v>800</v>
      </c>
      <c r="AP226" s="113"/>
      <c r="AQ226" s="102">
        <f t="shared" si="470"/>
        <v>18600</v>
      </c>
      <c r="AR226" s="99">
        <v>800</v>
      </c>
      <c r="AS226" s="113"/>
      <c r="AT226" s="102">
        <f t="shared" si="471"/>
        <v>19400</v>
      </c>
      <c r="AU226" s="99">
        <v>800</v>
      </c>
      <c r="AV226" s="113"/>
      <c r="AW226" s="102">
        <f t="shared" si="472"/>
        <v>20200</v>
      </c>
      <c r="AX226" s="99">
        <v>800</v>
      </c>
      <c r="AY226" s="113"/>
      <c r="AZ226" s="102">
        <f t="shared" si="473"/>
        <v>21000</v>
      </c>
      <c r="BA226" s="99">
        <v>800</v>
      </c>
      <c r="BB226" s="113"/>
      <c r="BC226" s="102">
        <f t="shared" si="497"/>
        <v>21800</v>
      </c>
      <c r="BD226" s="99">
        <v>800</v>
      </c>
      <c r="BE226" s="113"/>
      <c r="BF226" s="102">
        <f t="shared" si="498"/>
        <v>22600</v>
      </c>
      <c r="BG226" s="99">
        <v>800</v>
      </c>
      <c r="BH226" s="113">
        <v>10000</v>
      </c>
      <c r="BI226" s="102">
        <f t="shared" si="499"/>
        <v>13400</v>
      </c>
      <c r="BJ226" s="99">
        <v>800</v>
      </c>
      <c r="BK226" s="113"/>
      <c r="BL226" s="102">
        <f t="shared" si="500"/>
        <v>14200</v>
      </c>
      <c r="BM226" s="99">
        <v>800</v>
      </c>
      <c r="BN226" s="113"/>
      <c r="BO226" s="102">
        <f t="shared" si="501"/>
        <v>15000</v>
      </c>
      <c r="BP226" s="99">
        <v>800</v>
      </c>
      <c r="BQ226" s="113">
        <v>4000</v>
      </c>
      <c r="BR226" s="102">
        <f t="shared" si="502"/>
        <v>11800</v>
      </c>
      <c r="BS226" s="99">
        <v>800</v>
      </c>
      <c r="BT226" s="113"/>
      <c r="BU226" s="102">
        <f t="shared" si="503"/>
        <v>12600</v>
      </c>
      <c r="BV226" s="99">
        <v>800</v>
      </c>
      <c r="BW226" s="113"/>
      <c r="BX226" s="102">
        <f t="shared" si="504"/>
        <v>13400</v>
      </c>
      <c r="BY226" s="99">
        <v>800</v>
      </c>
      <c r="BZ226" s="113"/>
      <c r="CA226" s="102">
        <f t="shared" si="505"/>
        <v>14200</v>
      </c>
      <c r="CB226" s="99">
        <v>800</v>
      </c>
      <c r="CC226" s="113"/>
      <c r="CD226" s="102">
        <f t="shared" si="506"/>
        <v>15000</v>
      </c>
      <c r="CE226" s="99">
        <v>800</v>
      </c>
      <c r="CF226" s="113"/>
      <c r="CG226" s="102">
        <f t="shared" si="507"/>
        <v>15800</v>
      </c>
      <c r="CH226" s="99">
        <v>800</v>
      </c>
      <c r="CI226" s="113"/>
      <c r="CJ226" s="102">
        <f t="shared" si="508"/>
        <v>16600</v>
      </c>
      <c r="CK226" s="99">
        <v>800</v>
      </c>
      <c r="CL226" s="113"/>
      <c r="CM226" s="102">
        <f t="shared" si="509"/>
        <v>17400</v>
      </c>
      <c r="CN226" s="99">
        <v>800</v>
      </c>
      <c r="CO226" s="113"/>
      <c r="CP226" s="102">
        <f t="shared" si="510"/>
        <v>18200</v>
      </c>
      <c r="CQ226" s="99">
        <v>800</v>
      </c>
      <c r="CR226" s="113"/>
      <c r="CS226" s="102">
        <f t="shared" si="511"/>
        <v>19000</v>
      </c>
      <c r="CT226" s="99">
        <v>800</v>
      </c>
      <c r="CU226" s="113">
        <v>10000</v>
      </c>
      <c r="CV226" s="102">
        <f t="shared" si="512"/>
        <v>9800</v>
      </c>
      <c r="CW226" s="99">
        <v>800</v>
      </c>
      <c r="CX226" s="113"/>
      <c r="CY226" s="102">
        <f t="shared" si="513"/>
        <v>10600</v>
      </c>
    </row>
    <row r="227" spans="1:103" ht="15" customHeight="1">
      <c r="A227" s="41">
        <f>VLOOKUP(B227,справочник!$B$2:$E$322,4,FALSE)</f>
        <v>315</v>
      </c>
      <c r="B227" t="str">
        <f t="shared" si="488"/>
        <v>265-266Ратников Алексей Сергеевич</v>
      </c>
      <c r="C227" s="1" t="s">
        <v>210</v>
      </c>
      <c r="D227" s="2" t="s">
        <v>211</v>
      </c>
      <c r="E227" s="1" t="s">
        <v>526</v>
      </c>
      <c r="F227" s="19">
        <v>40890</v>
      </c>
      <c r="G227" s="19">
        <v>40878</v>
      </c>
      <c r="H227" s="20">
        <f>INT(($H$326-G227)/30)</f>
        <v>49</v>
      </c>
      <c r="I227" s="5">
        <f t="shared" si="464"/>
        <v>49000</v>
      </c>
      <c r="J227" s="20">
        <f>28000+2000</f>
        <v>30000</v>
      </c>
      <c r="K227" s="20"/>
      <c r="L227" s="21">
        <f t="shared" si="465"/>
        <v>19000</v>
      </c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18">
        <f t="shared" si="489"/>
        <v>0</v>
      </c>
      <c r="Z227" s="96">
        <v>12</v>
      </c>
      <c r="AA227" s="96">
        <f t="shared" si="490"/>
        <v>9600</v>
      </c>
      <c r="AB227" s="96">
        <f t="shared" si="491"/>
        <v>28600</v>
      </c>
      <c r="AC227" s="99">
        <v>800</v>
      </c>
      <c r="AD227" s="98"/>
      <c r="AE227" s="102">
        <f t="shared" si="492"/>
        <v>29400</v>
      </c>
      <c r="AF227" s="99">
        <v>800</v>
      </c>
      <c r="AG227" s="98"/>
      <c r="AH227" s="102">
        <f t="shared" si="467"/>
        <v>30200</v>
      </c>
      <c r="AI227" s="99">
        <v>800</v>
      </c>
      <c r="AJ227" s="98"/>
      <c r="AK227" s="102">
        <f t="shared" si="468"/>
        <v>31000</v>
      </c>
      <c r="AL227" s="99">
        <v>800</v>
      </c>
      <c r="AM227" s="98"/>
      <c r="AN227" s="102">
        <f t="shared" si="469"/>
        <v>31800</v>
      </c>
      <c r="AO227" s="99">
        <v>800</v>
      </c>
      <c r="AP227" s="113"/>
      <c r="AQ227" s="102">
        <f t="shared" si="470"/>
        <v>32600</v>
      </c>
      <c r="AR227" s="99">
        <v>800</v>
      </c>
      <c r="AS227" s="113"/>
      <c r="AT227" s="102">
        <f t="shared" si="471"/>
        <v>33400</v>
      </c>
      <c r="AU227" s="99">
        <v>800</v>
      </c>
      <c r="AV227" s="113"/>
      <c r="AW227" s="102">
        <f t="shared" si="472"/>
        <v>34200</v>
      </c>
      <c r="AX227" s="99">
        <v>800</v>
      </c>
      <c r="AY227" s="113"/>
      <c r="AZ227" s="102">
        <f t="shared" si="473"/>
        <v>35000</v>
      </c>
      <c r="BA227" s="99">
        <v>800</v>
      </c>
      <c r="BB227" s="113"/>
      <c r="BC227" s="102">
        <f t="shared" si="497"/>
        <v>35800</v>
      </c>
      <c r="BD227" s="99">
        <v>800</v>
      </c>
      <c r="BE227" s="113"/>
      <c r="BF227" s="102">
        <f t="shared" si="498"/>
        <v>36600</v>
      </c>
      <c r="BG227" s="99">
        <v>800</v>
      </c>
      <c r="BH227" s="113"/>
      <c r="BI227" s="102">
        <f t="shared" si="499"/>
        <v>37400</v>
      </c>
      <c r="BJ227" s="99">
        <v>800</v>
      </c>
      <c r="BK227" s="113"/>
      <c r="BL227" s="102">
        <f t="shared" si="500"/>
        <v>38200</v>
      </c>
      <c r="BM227" s="99">
        <v>800</v>
      </c>
      <c r="BN227" s="113"/>
      <c r="BO227" s="102">
        <f t="shared" si="501"/>
        <v>39000</v>
      </c>
      <c r="BP227" s="99">
        <v>800</v>
      </c>
      <c r="BQ227" s="113"/>
      <c r="BR227" s="102">
        <f t="shared" si="502"/>
        <v>39800</v>
      </c>
      <c r="BS227" s="99">
        <v>800</v>
      </c>
      <c r="BT227" s="113"/>
      <c r="BU227" s="102">
        <f t="shared" si="503"/>
        <v>40600</v>
      </c>
      <c r="BV227" s="99">
        <v>800</v>
      </c>
      <c r="BW227" s="113"/>
      <c r="BX227" s="102">
        <f t="shared" si="504"/>
        <v>41400</v>
      </c>
      <c r="BY227" s="99">
        <v>800</v>
      </c>
      <c r="BZ227" s="113"/>
      <c r="CA227" s="102">
        <f t="shared" si="505"/>
        <v>42200</v>
      </c>
      <c r="CB227" s="99">
        <v>800</v>
      </c>
      <c r="CC227" s="113"/>
      <c r="CD227" s="102">
        <f t="shared" si="506"/>
        <v>43000</v>
      </c>
      <c r="CE227" s="99">
        <v>800</v>
      </c>
      <c r="CF227" s="113"/>
      <c r="CG227" s="102">
        <f t="shared" si="507"/>
        <v>43800</v>
      </c>
      <c r="CH227" s="99">
        <v>800</v>
      </c>
      <c r="CI227" s="113"/>
      <c r="CJ227" s="102">
        <f t="shared" si="508"/>
        <v>44600</v>
      </c>
      <c r="CK227" s="99">
        <v>800</v>
      </c>
      <c r="CL227" s="113"/>
      <c r="CM227" s="102">
        <f t="shared" si="509"/>
        <v>45400</v>
      </c>
      <c r="CN227" s="99">
        <v>800</v>
      </c>
      <c r="CO227" s="113"/>
      <c r="CP227" s="102">
        <f t="shared" si="510"/>
        <v>46200</v>
      </c>
      <c r="CQ227" s="99">
        <v>800</v>
      </c>
      <c r="CR227" s="113"/>
      <c r="CS227" s="102">
        <f t="shared" si="511"/>
        <v>47000</v>
      </c>
      <c r="CT227" s="99">
        <v>800</v>
      </c>
      <c r="CU227" s="113"/>
      <c r="CV227" s="102">
        <f t="shared" si="512"/>
        <v>47800</v>
      </c>
      <c r="CW227" s="99">
        <v>800</v>
      </c>
      <c r="CX227" s="113"/>
      <c r="CY227" s="102">
        <f t="shared" si="513"/>
        <v>48600</v>
      </c>
    </row>
    <row r="228" spans="1:103" s="80" customFormat="1" ht="25.5" customHeight="1">
      <c r="A228" s="103" t="e">
        <f>VLOOKUP(B228,справочник!$B$2:$E$322,4,FALSE)</f>
        <v>#N/A</v>
      </c>
      <c r="B228" s="80" t="str">
        <f t="shared" si="488"/>
        <v>210-211Решетов Владимир Генадьевич</v>
      </c>
      <c r="C228" s="5" t="s">
        <v>212</v>
      </c>
      <c r="D228" s="7" t="s">
        <v>213</v>
      </c>
      <c r="E228" s="5" t="s">
        <v>527</v>
      </c>
      <c r="F228" s="19">
        <v>40816</v>
      </c>
      <c r="G228" s="19">
        <v>40817</v>
      </c>
      <c r="H228" s="20">
        <f>INT(($H$326-G228)/30)</f>
        <v>51</v>
      </c>
      <c r="I228" s="5">
        <v>61000</v>
      </c>
      <c r="J228" s="20">
        <f>2000+55000</f>
        <v>57000</v>
      </c>
      <c r="K228" s="20">
        <v>4000</v>
      </c>
      <c r="L228" s="21">
        <f t="shared" si="465"/>
        <v>0</v>
      </c>
      <c r="M228" s="109">
        <v>2000</v>
      </c>
      <c r="N228" s="109"/>
      <c r="O228" s="109"/>
      <c r="P228" s="109">
        <v>2000</v>
      </c>
      <c r="Q228" s="109"/>
      <c r="R228" s="109">
        <v>2000</v>
      </c>
      <c r="S228" s="109"/>
      <c r="T228" s="80">
        <v>2000</v>
      </c>
      <c r="U228" s="109"/>
      <c r="V228" s="109">
        <v>2000</v>
      </c>
      <c r="W228" s="109"/>
      <c r="X228" s="109">
        <v>2000</v>
      </c>
      <c r="Y228" s="21">
        <f t="shared" si="489"/>
        <v>12000</v>
      </c>
      <c r="Z228" s="104">
        <v>12</v>
      </c>
      <c r="AA228" s="104">
        <f t="shared" si="490"/>
        <v>9600</v>
      </c>
      <c r="AB228" s="104">
        <f t="shared" si="491"/>
        <v>-2400</v>
      </c>
      <c r="AC228" s="104">
        <v>800</v>
      </c>
      <c r="AD228" s="105"/>
      <c r="AE228" s="106">
        <f t="shared" si="492"/>
        <v>-1600</v>
      </c>
      <c r="AF228" s="104">
        <v>800</v>
      </c>
      <c r="AG228" s="105"/>
      <c r="AH228" s="106">
        <f t="shared" si="467"/>
        <v>-800</v>
      </c>
      <c r="AI228" s="104">
        <v>800</v>
      </c>
      <c r="AJ228" s="105"/>
      <c r="AK228" s="106">
        <f t="shared" si="468"/>
        <v>0</v>
      </c>
      <c r="AL228" s="104">
        <v>800</v>
      </c>
      <c r="AM228" s="105"/>
      <c r="AN228" s="106">
        <f t="shared" si="469"/>
        <v>800</v>
      </c>
      <c r="AO228" s="104">
        <v>800</v>
      </c>
      <c r="AP228" s="105">
        <v>3000</v>
      </c>
      <c r="AQ228" s="106">
        <f t="shared" si="470"/>
        <v>-1400</v>
      </c>
      <c r="AR228" s="104">
        <v>800</v>
      </c>
      <c r="AS228" s="105"/>
      <c r="AT228" s="106">
        <f t="shared" si="471"/>
        <v>-600</v>
      </c>
      <c r="AU228" s="104">
        <v>800</v>
      </c>
      <c r="AV228" s="105"/>
      <c r="AW228" s="119">
        <f t="shared" si="472"/>
        <v>200</v>
      </c>
      <c r="AX228" s="104">
        <v>800</v>
      </c>
      <c r="AY228" s="105">
        <v>2400</v>
      </c>
      <c r="AZ228" s="119">
        <f t="shared" si="473"/>
        <v>-1400</v>
      </c>
      <c r="BA228" s="104">
        <v>800</v>
      </c>
      <c r="BB228" s="105"/>
      <c r="BC228" s="119">
        <f t="shared" si="497"/>
        <v>-600</v>
      </c>
      <c r="BD228" s="104">
        <v>800</v>
      </c>
      <c r="BE228" s="105">
        <v>1600</v>
      </c>
      <c r="BF228" s="119">
        <f t="shared" si="498"/>
        <v>-1400</v>
      </c>
      <c r="BG228" s="104">
        <v>800</v>
      </c>
      <c r="BH228" s="105"/>
      <c r="BI228" s="119">
        <f t="shared" si="499"/>
        <v>-600</v>
      </c>
      <c r="BJ228" s="104">
        <v>800</v>
      </c>
      <c r="BK228" s="105"/>
      <c r="BL228" s="119">
        <f>BI228+BJ228-BK228</f>
        <v>200</v>
      </c>
      <c r="BM228" s="104">
        <v>800</v>
      </c>
      <c r="BN228" s="105"/>
      <c r="BO228" s="119">
        <f t="shared" si="501"/>
        <v>1000</v>
      </c>
      <c r="BP228" s="104">
        <v>800</v>
      </c>
      <c r="BQ228" s="105"/>
      <c r="BR228" s="119">
        <f t="shared" si="502"/>
        <v>1800</v>
      </c>
      <c r="BS228" s="104">
        <v>800</v>
      </c>
      <c r="BT228" s="105"/>
      <c r="BU228" s="119">
        <f t="shared" si="503"/>
        <v>2600</v>
      </c>
      <c r="BV228" s="104">
        <v>800</v>
      </c>
      <c r="BW228" s="105"/>
      <c r="BX228" s="119">
        <f t="shared" si="504"/>
        <v>3400</v>
      </c>
      <c r="BY228" s="104">
        <v>800</v>
      </c>
      <c r="BZ228" s="105"/>
      <c r="CA228" s="119">
        <f t="shared" si="505"/>
        <v>4200</v>
      </c>
      <c r="CB228" s="104">
        <v>800</v>
      </c>
      <c r="CC228" s="105">
        <v>5000</v>
      </c>
      <c r="CD228" s="119">
        <f t="shared" si="506"/>
        <v>0</v>
      </c>
      <c r="CE228" s="104">
        <v>800</v>
      </c>
      <c r="CF228" s="105"/>
      <c r="CG228" s="119">
        <f t="shared" si="507"/>
        <v>800</v>
      </c>
      <c r="CH228" s="104">
        <v>800</v>
      </c>
      <c r="CI228" s="105">
        <v>1600</v>
      </c>
      <c r="CJ228" s="119">
        <f t="shared" si="508"/>
        <v>0</v>
      </c>
      <c r="CK228" s="104">
        <v>800</v>
      </c>
      <c r="CL228" s="105"/>
      <c r="CM228" s="119">
        <f t="shared" si="509"/>
        <v>800</v>
      </c>
      <c r="CN228" s="104">
        <v>800</v>
      </c>
      <c r="CO228" s="105"/>
      <c r="CP228" s="119">
        <f t="shared" si="510"/>
        <v>1600</v>
      </c>
      <c r="CQ228" s="104">
        <v>800</v>
      </c>
      <c r="CR228" s="105"/>
      <c r="CS228" s="119">
        <f>CP228+CQ228-CR228</f>
        <v>2400</v>
      </c>
      <c r="CT228" s="104">
        <v>800</v>
      </c>
      <c r="CU228" s="105">
        <v>3200</v>
      </c>
      <c r="CV228" s="119">
        <f>CS228+CT228-CU228</f>
        <v>0</v>
      </c>
      <c r="CW228" s="104">
        <v>800</v>
      </c>
      <c r="CX228" s="105"/>
      <c r="CY228" s="119">
        <f>CV228+CW228-CX228</f>
        <v>800</v>
      </c>
    </row>
    <row r="229" spans="1:103" s="80" customFormat="1" ht="15" customHeight="1">
      <c r="A229" s="103" t="e">
        <f>VLOOKUP(B229,справочник!$B$2:$E$322,4,FALSE)</f>
        <v>#N/A</v>
      </c>
      <c r="B229" s="80" t="str">
        <f t="shared" si="488"/>
        <v>210-211Решетов Владимир Генадьевич</v>
      </c>
      <c r="C229" s="5" t="s">
        <v>212</v>
      </c>
      <c r="D229" s="7" t="s">
        <v>213</v>
      </c>
      <c r="E229" s="5" t="s">
        <v>527</v>
      </c>
      <c r="F229" s="19">
        <v>40816</v>
      </c>
      <c r="G229" s="19">
        <v>40817</v>
      </c>
      <c r="H229" s="20">
        <v>49</v>
      </c>
      <c r="I229" s="5">
        <v>61000</v>
      </c>
      <c r="J229" s="20">
        <v>58000</v>
      </c>
      <c r="K229" s="20">
        <v>3000</v>
      </c>
      <c r="L229" s="21">
        <f t="shared" si="465"/>
        <v>0</v>
      </c>
      <c r="M229" s="109"/>
      <c r="N229" s="109"/>
      <c r="O229" s="109"/>
      <c r="P229" s="109"/>
      <c r="Q229" s="109"/>
      <c r="R229" s="109"/>
      <c r="S229" s="109"/>
      <c r="U229" s="109"/>
      <c r="V229" s="109"/>
      <c r="W229" s="109"/>
      <c r="X229" s="109"/>
      <c r="Y229" s="21">
        <f t="shared" si="489"/>
        <v>0</v>
      </c>
      <c r="Z229" s="104">
        <v>0</v>
      </c>
      <c r="AA229" s="104">
        <f t="shared" si="490"/>
        <v>0</v>
      </c>
      <c r="AB229" s="104">
        <f t="shared" si="491"/>
        <v>0</v>
      </c>
      <c r="AC229" s="104">
        <v>0</v>
      </c>
      <c r="AD229" s="105"/>
      <c r="AE229" s="106">
        <f t="shared" si="492"/>
        <v>0</v>
      </c>
      <c r="AF229" s="104">
        <v>0</v>
      </c>
      <c r="AG229" s="105"/>
      <c r="AH229" s="106">
        <f t="shared" si="467"/>
        <v>0</v>
      </c>
      <c r="AI229" s="104">
        <v>0</v>
      </c>
      <c r="AJ229" s="105"/>
      <c r="AK229" s="106">
        <f t="shared" si="468"/>
        <v>0</v>
      </c>
      <c r="AL229" s="104">
        <v>0</v>
      </c>
      <c r="AM229" s="105"/>
      <c r="AN229" s="106">
        <f t="shared" si="469"/>
        <v>0</v>
      </c>
      <c r="AO229" s="104">
        <v>0</v>
      </c>
      <c r="AP229" s="105"/>
      <c r="AQ229" s="106">
        <f t="shared" si="470"/>
        <v>0</v>
      </c>
      <c r="AR229" s="104">
        <v>0</v>
      </c>
      <c r="AS229" s="105"/>
      <c r="AT229" s="106">
        <f t="shared" si="471"/>
        <v>0</v>
      </c>
      <c r="AU229" s="104">
        <v>0</v>
      </c>
      <c r="AV229" s="105"/>
      <c r="AW229" s="119">
        <f t="shared" si="472"/>
        <v>0</v>
      </c>
      <c r="AX229" s="104">
        <v>0</v>
      </c>
      <c r="AY229" s="105"/>
      <c r="AZ229" s="119">
        <f t="shared" si="473"/>
        <v>0</v>
      </c>
      <c r="BA229" s="104">
        <v>0</v>
      </c>
      <c r="BB229" s="105"/>
      <c r="BC229" s="119">
        <f t="shared" si="497"/>
        <v>0</v>
      </c>
      <c r="BD229" s="104">
        <v>0</v>
      </c>
      <c r="BE229" s="105"/>
      <c r="BF229" s="119">
        <f t="shared" si="498"/>
        <v>0</v>
      </c>
      <c r="BG229" s="104">
        <v>0</v>
      </c>
      <c r="BH229" s="105"/>
      <c r="BI229" s="119">
        <f t="shared" si="499"/>
        <v>0</v>
      </c>
      <c r="BJ229" s="104">
        <v>0</v>
      </c>
      <c r="BK229" s="105"/>
      <c r="BL229" s="119">
        <f t="shared" si="500"/>
        <v>0</v>
      </c>
      <c r="BM229" s="104">
        <v>0</v>
      </c>
      <c r="BN229" s="105"/>
      <c r="BO229" s="119">
        <f t="shared" si="501"/>
        <v>0</v>
      </c>
      <c r="BP229" s="104">
        <v>0</v>
      </c>
      <c r="BQ229" s="105"/>
      <c r="BR229" s="119">
        <f t="shared" si="502"/>
        <v>0</v>
      </c>
      <c r="BS229" s="104">
        <v>0</v>
      </c>
      <c r="BT229" s="105"/>
      <c r="BU229" s="119">
        <f t="shared" si="503"/>
        <v>0</v>
      </c>
      <c r="BV229" s="104">
        <v>0</v>
      </c>
      <c r="BW229" s="105"/>
      <c r="BX229" s="119">
        <f t="shared" si="504"/>
        <v>0</v>
      </c>
      <c r="BY229" s="104">
        <v>0</v>
      </c>
      <c r="BZ229" s="105"/>
      <c r="CA229" s="119">
        <f t="shared" si="505"/>
        <v>0</v>
      </c>
      <c r="CB229" s="104">
        <v>0</v>
      </c>
      <c r="CC229" s="105"/>
      <c r="CD229" s="119">
        <f t="shared" si="506"/>
        <v>0</v>
      </c>
      <c r="CE229" s="104">
        <v>0</v>
      </c>
      <c r="CF229" s="105"/>
      <c r="CG229" s="119">
        <f t="shared" si="507"/>
        <v>0</v>
      </c>
      <c r="CH229" s="104">
        <v>0</v>
      </c>
      <c r="CI229" s="105"/>
      <c r="CJ229" s="119">
        <f t="shared" si="508"/>
        <v>0</v>
      </c>
      <c r="CK229" s="104">
        <v>0</v>
      </c>
      <c r="CL229" s="105"/>
      <c r="CM229" s="119">
        <f t="shared" si="509"/>
        <v>0</v>
      </c>
      <c r="CN229" s="104">
        <v>0</v>
      </c>
      <c r="CO229" s="105"/>
      <c r="CP229" s="119">
        <f t="shared" si="510"/>
        <v>0</v>
      </c>
      <c r="CQ229" s="104">
        <v>0</v>
      </c>
      <c r="CR229" s="105"/>
      <c r="CS229" s="119">
        <f t="shared" ref="CS229" si="514">CO229+CP229-CR229</f>
        <v>0</v>
      </c>
      <c r="CT229" s="104">
        <v>0</v>
      </c>
      <c r="CU229" s="105"/>
      <c r="CV229" s="119">
        <f t="shared" ref="CV229" si="515">CR229+CS229-CU229</f>
        <v>0</v>
      </c>
      <c r="CW229" s="104">
        <v>0</v>
      </c>
      <c r="CX229" s="105"/>
      <c r="CY229" s="119">
        <f t="shared" ref="CY229" si="516">CU229+CV229-CX229</f>
        <v>0</v>
      </c>
    </row>
    <row r="230" spans="1:103" ht="38.25" customHeight="1">
      <c r="A230" s="41" t="e">
        <f>VLOOKUP(B230,справочник!$B$2:$E$322,4,FALSE)</f>
        <v>#N/A</v>
      </c>
      <c r="B230" t="str">
        <f t="shared" si="488"/>
        <v>203Родичева Наталья Николаевна (новый собственник Завилевский Сергей Геннадьевич)</v>
      </c>
      <c r="C230" s="1">
        <v>203</v>
      </c>
      <c r="D230" s="2" t="s">
        <v>819</v>
      </c>
      <c r="E230" s="1" t="s">
        <v>528</v>
      </c>
      <c r="F230" s="16">
        <v>41599</v>
      </c>
      <c r="G230" s="16">
        <v>41609</v>
      </c>
      <c r="H230" s="17">
        <f>INT(($H$326-G230)/30)</f>
        <v>25</v>
      </c>
      <c r="I230" s="1">
        <f t="shared" ref="I230:I266" si="517">H230*1000</f>
        <v>25000</v>
      </c>
      <c r="J230" s="17">
        <v>1000</v>
      </c>
      <c r="K230" s="17"/>
      <c r="L230" s="18">
        <f t="shared" si="465"/>
        <v>24000</v>
      </c>
      <c r="M230" s="29"/>
      <c r="N230" s="29"/>
      <c r="O230" s="29"/>
      <c r="P230" s="29"/>
      <c r="Q230" s="29"/>
      <c r="R230" s="29">
        <v>4000</v>
      </c>
      <c r="S230" s="29"/>
      <c r="T230" s="29"/>
      <c r="U230" s="29"/>
      <c r="V230" s="29"/>
      <c r="W230" s="29"/>
      <c r="X230" s="29"/>
      <c r="Y230" s="18">
        <f t="shared" si="489"/>
        <v>4000</v>
      </c>
      <c r="Z230" s="96">
        <v>12</v>
      </c>
      <c r="AA230" s="96">
        <f t="shared" si="490"/>
        <v>9600</v>
      </c>
      <c r="AB230" s="96">
        <f t="shared" si="491"/>
        <v>29600</v>
      </c>
      <c r="AC230" s="99">
        <v>800</v>
      </c>
      <c r="AD230" s="98"/>
      <c r="AE230" s="102">
        <f t="shared" si="492"/>
        <v>30400</v>
      </c>
      <c r="AF230" s="99">
        <v>800</v>
      </c>
      <c r="AG230" s="98"/>
      <c r="AH230" s="102">
        <f t="shared" si="467"/>
        <v>31200</v>
      </c>
      <c r="AI230" s="99">
        <v>800</v>
      </c>
      <c r="AJ230" s="98">
        <v>5000</v>
      </c>
      <c r="AK230" s="102">
        <f t="shared" si="468"/>
        <v>27000</v>
      </c>
      <c r="AL230" s="99">
        <v>800</v>
      </c>
      <c r="AM230" s="98"/>
      <c r="AN230" s="102">
        <f t="shared" si="469"/>
        <v>27800</v>
      </c>
      <c r="AO230" s="99">
        <v>800</v>
      </c>
      <c r="AP230" s="113"/>
      <c r="AQ230" s="102">
        <f t="shared" si="470"/>
        <v>28600</v>
      </c>
      <c r="AR230" s="99">
        <v>800</v>
      </c>
      <c r="AS230" s="113"/>
      <c r="AT230" s="102">
        <f t="shared" si="471"/>
        <v>29400</v>
      </c>
      <c r="AU230" s="99">
        <v>800</v>
      </c>
      <c r="AV230" s="113"/>
      <c r="AW230" s="102">
        <f t="shared" si="472"/>
        <v>30200</v>
      </c>
      <c r="AX230" s="99">
        <v>800</v>
      </c>
      <c r="AY230" s="113"/>
      <c r="AZ230" s="102">
        <f t="shared" si="473"/>
        <v>31000</v>
      </c>
      <c r="BA230" s="99">
        <v>800</v>
      </c>
      <c r="BB230" s="113"/>
      <c r="BC230" s="102">
        <f t="shared" si="497"/>
        <v>31800</v>
      </c>
      <c r="BD230" s="99">
        <v>800</v>
      </c>
      <c r="BE230" s="113"/>
      <c r="BF230" s="102">
        <f t="shared" si="498"/>
        <v>32600</v>
      </c>
      <c r="BG230" s="99">
        <v>800</v>
      </c>
      <c r="BH230" s="113">
        <v>10000</v>
      </c>
      <c r="BI230" s="102">
        <f t="shared" si="499"/>
        <v>23400</v>
      </c>
      <c r="BJ230" s="99">
        <v>800</v>
      </c>
      <c r="BK230" s="113"/>
      <c r="BL230" s="102">
        <f t="shared" si="500"/>
        <v>24200</v>
      </c>
      <c r="BM230" s="99">
        <v>800</v>
      </c>
      <c r="BN230" s="113">
        <v>2000</v>
      </c>
      <c r="BO230" s="102">
        <f t="shared" si="501"/>
        <v>23000</v>
      </c>
      <c r="BP230" s="99">
        <v>800</v>
      </c>
      <c r="BQ230" s="113"/>
      <c r="BR230" s="102">
        <f t="shared" si="502"/>
        <v>23800</v>
      </c>
      <c r="BS230" s="99">
        <v>800</v>
      </c>
      <c r="BT230" s="113"/>
      <c r="BU230" s="102">
        <f t="shared" si="503"/>
        <v>24600</v>
      </c>
      <c r="BV230" s="99">
        <v>800</v>
      </c>
      <c r="BW230" s="113">
        <v>5000</v>
      </c>
      <c r="BX230" s="102">
        <f t="shared" si="504"/>
        <v>20400</v>
      </c>
      <c r="BY230" s="99">
        <v>800</v>
      </c>
      <c r="BZ230" s="113"/>
      <c r="CA230" s="102">
        <f t="shared" si="505"/>
        <v>21200</v>
      </c>
      <c r="CB230" s="99">
        <v>800</v>
      </c>
      <c r="CC230" s="113">
        <v>5400</v>
      </c>
      <c r="CD230" s="102">
        <f t="shared" si="506"/>
        <v>16600</v>
      </c>
      <c r="CE230" s="99">
        <v>800</v>
      </c>
      <c r="CF230" s="113">
        <v>15800</v>
      </c>
      <c r="CG230" s="102">
        <f t="shared" si="507"/>
        <v>1600</v>
      </c>
      <c r="CH230" s="99">
        <v>800</v>
      </c>
      <c r="CI230" s="113"/>
      <c r="CJ230" s="102">
        <f t="shared" si="508"/>
        <v>2400</v>
      </c>
      <c r="CK230" s="99">
        <v>800</v>
      </c>
      <c r="CL230" s="113"/>
      <c r="CM230" s="102">
        <f t="shared" si="509"/>
        <v>3200</v>
      </c>
      <c r="CN230" s="99">
        <v>800</v>
      </c>
      <c r="CO230" s="113"/>
      <c r="CP230" s="102">
        <f t="shared" si="510"/>
        <v>4000</v>
      </c>
      <c r="CQ230" s="99">
        <v>800</v>
      </c>
      <c r="CR230" s="113"/>
      <c r="CS230" s="102">
        <f>CP230+CQ230-CR230</f>
        <v>4800</v>
      </c>
      <c r="CT230" s="99">
        <v>800</v>
      </c>
      <c r="CU230" s="113"/>
      <c r="CV230" s="102">
        <f>CS230+CT230-CU230</f>
        <v>5600</v>
      </c>
      <c r="CW230" s="99">
        <v>800</v>
      </c>
      <c r="CX230" s="113"/>
      <c r="CY230" s="102">
        <f>CV230+CW230-CX230</f>
        <v>6400</v>
      </c>
    </row>
    <row r="231" spans="1:103" s="80" customFormat="1" ht="15" customHeight="1">
      <c r="A231" s="103">
        <f>VLOOKUP(B231,справочник!$B$2:$E$322,4,FALSE)</f>
        <v>144</v>
      </c>
      <c r="B231" s="80" t="str">
        <f t="shared" si="488"/>
        <v>152Рожкова Глафира Андреевна</v>
      </c>
      <c r="C231" s="5">
        <v>152</v>
      </c>
      <c r="D231" s="7" t="s">
        <v>217</v>
      </c>
      <c r="E231" s="5" t="s">
        <v>529</v>
      </c>
      <c r="F231" s="19">
        <v>40788</v>
      </c>
      <c r="G231" s="19">
        <v>40787</v>
      </c>
      <c r="H231" s="20">
        <f>INT(($H$326-G231)/30)</f>
        <v>52</v>
      </c>
      <c r="I231" s="5">
        <f t="shared" si="517"/>
        <v>52000</v>
      </c>
      <c r="J231" s="20">
        <v>1000</v>
      </c>
      <c r="K231" s="20"/>
      <c r="L231" s="21">
        <f t="shared" si="465"/>
        <v>51000</v>
      </c>
      <c r="M231" s="109"/>
      <c r="N231" s="109"/>
      <c r="O231" s="109"/>
      <c r="P231" s="109"/>
      <c r="Q231" s="109"/>
      <c r="R231" s="109"/>
      <c r="S231" s="109"/>
      <c r="T231" s="109"/>
      <c r="U231" s="109"/>
      <c r="V231" s="109"/>
      <c r="W231" s="109"/>
      <c r="X231" s="109"/>
      <c r="Y231" s="21">
        <f t="shared" si="489"/>
        <v>0</v>
      </c>
      <c r="Z231" s="104">
        <v>12</v>
      </c>
      <c r="AA231" s="104">
        <f t="shared" si="490"/>
        <v>9600</v>
      </c>
      <c r="AB231" s="104">
        <f t="shared" si="491"/>
        <v>60600</v>
      </c>
      <c r="AC231" s="104">
        <v>800</v>
      </c>
      <c r="AD231" s="105"/>
      <c r="AE231" s="227">
        <f>SUM(AB231:AB232)+SUM(AC231:AC232)-SUM(AD231:AD232)</f>
        <v>110400</v>
      </c>
      <c r="AF231" s="104">
        <v>800</v>
      </c>
      <c r="AG231" s="105"/>
      <c r="AH231" s="227">
        <f>SUM(AE231:AE232)+SUM(AF231:AF232)-SUM(AG231:AG232)</f>
        <v>111200</v>
      </c>
      <c r="AI231" s="104">
        <v>800</v>
      </c>
      <c r="AJ231" s="105"/>
      <c r="AK231" s="227">
        <f>SUM(AH231:AH232)+SUM(AI231:AI232)-SUM(AJ231:AJ232)</f>
        <v>112000</v>
      </c>
      <c r="AL231" s="104">
        <v>800</v>
      </c>
      <c r="AM231" s="105"/>
      <c r="AN231" s="227">
        <f>SUM(AK231:AK232)+SUM(AL231:AL232)-SUM(AM231:AM232)</f>
        <v>112800</v>
      </c>
      <c r="AO231" s="104">
        <v>800</v>
      </c>
      <c r="AP231" s="105"/>
      <c r="AQ231" s="227">
        <f>SUM(AN231:AN232)+SUM(AO231:AO232)-SUM(AP231:AP232)</f>
        <v>113600</v>
      </c>
      <c r="AR231" s="104">
        <v>800</v>
      </c>
      <c r="AS231" s="105"/>
      <c r="AT231" s="227">
        <f>SUM(AQ231:AQ232)+SUM(AR231:AR232)-SUM(AS231:AS232)</f>
        <v>114400</v>
      </c>
      <c r="AU231" s="104">
        <v>800</v>
      </c>
      <c r="AV231" s="105"/>
      <c r="AW231" s="212">
        <f>SUM(AT231:AT232)+SUM(AU231:AU232)-SUM(AV231:AV232)</f>
        <v>115200</v>
      </c>
      <c r="AX231" s="104">
        <v>800</v>
      </c>
      <c r="AY231" s="105"/>
      <c r="AZ231" s="212">
        <f>SUM(AW231:AW232)+SUM(AX231:AX232)-SUM(AY231:AY232)</f>
        <v>106000</v>
      </c>
      <c r="BA231" s="104">
        <v>800</v>
      </c>
      <c r="BB231" s="105"/>
      <c r="BC231" s="212">
        <f>SUM(AZ231:AZ232)+SUM(BA231:BA232)-SUM(BB231:BB232)</f>
        <v>106800</v>
      </c>
      <c r="BD231" s="104">
        <v>800</v>
      </c>
      <c r="BE231" s="105"/>
      <c r="BF231" s="124">
        <f>SUM(BC231:BC232)+SUM(BD231:BD232)-SUM(BE231:BE232)</f>
        <v>107600</v>
      </c>
      <c r="BG231" s="104">
        <v>800</v>
      </c>
      <c r="BH231" s="105"/>
      <c r="BI231" s="129">
        <f>SUM(BF231:BF232)+SUM(BG231:BG232)-SUM(BH231:BH232)</f>
        <v>108400</v>
      </c>
      <c r="BJ231" s="104">
        <v>800</v>
      </c>
      <c r="BK231" s="105">
        <v>5000</v>
      </c>
      <c r="BL231" s="137">
        <f>SUM(BI231:BI232)+SUM(BJ231:BJ232)-SUM(BK231:BK232)</f>
        <v>104200</v>
      </c>
      <c r="BM231" s="104">
        <v>800</v>
      </c>
      <c r="BN231" s="105"/>
      <c r="BO231" s="139">
        <f>SUM(BL231:BL232)+SUM(BM231:BM232)-SUM(BN231:BN232)</f>
        <v>105000</v>
      </c>
      <c r="BP231" s="104">
        <v>800</v>
      </c>
      <c r="BQ231" s="105"/>
      <c r="BR231" s="145">
        <f>SUM(BO231:BO232)+SUM(BP231:BP232)-SUM(BQ231:BQ232)</f>
        <v>105800</v>
      </c>
      <c r="BS231" s="104">
        <v>800</v>
      </c>
      <c r="BT231" s="105"/>
      <c r="BU231" s="147">
        <f>SUM(BR231:BR232)+SUM(BS231:BS232)-SUM(BT231:BT232)</f>
        <v>106600</v>
      </c>
      <c r="BV231" s="104">
        <v>800</v>
      </c>
      <c r="BW231" s="105"/>
      <c r="BX231" s="153">
        <f>SUM(BU231:BU232)+SUM(BV231:BV232)-SUM(BW231:BW232)</f>
        <v>107400</v>
      </c>
      <c r="BY231" s="104">
        <v>800</v>
      </c>
      <c r="BZ231" s="105"/>
      <c r="CA231" s="155">
        <f>SUM(BX231:BX232)+SUM(BY231:BY232)-SUM(BZ231:BZ232)</f>
        <v>108200</v>
      </c>
      <c r="CB231" s="104">
        <v>800</v>
      </c>
      <c r="CC231" s="105"/>
      <c r="CD231" s="161">
        <f>SUM(CA231:CA232)+SUM(CB231:CB232)-SUM(CC231:CC232)</f>
        <v>109000</v>
      </c>
      <c r="CE231" s="104">
        <v>800</v>
      </c>
      <c r="CF231" s="105"/>
      <c r="CG231" s="163">
        <f>SUM(CD231:CD232)+SUM(CE231:CE232)-SUM(CF231:CF232)</f>
        <v>109800</v>
      </c>
      <c r="CH231" s="104">
        <v>800</v>
      </c>
      <c r="CI231" s="105"/>
      <c r="CJ231" s="167">
        <f>SUM(CG231:CG232)+SUM(CH231:CH232)-SUM(CI231:CI232)</f>
        <v>110600</v>
      </c>
      <c r="CK231" s="104">
        <v>800</v>
      </c>
      <c r="CL231" s="105"/>
      <c r="CM231" s="171">
        <f>SUM(CJ231:CJ232)+SUM(CK231:CK232)-SUM(CL231:CL232)</f>
        <v>111400</v>
      </c>
      <c r="CN231" s="104">
        <v>800</v>
      </c>
      <c r="CO231" s="105"/>
      <c r="CP231" s="175">
        <f>SUM(CM231:CM232)+SUM(CN231:CN232)-SUM(CO231:CO232)</f>
        <v>112200</v>
      </c>
      <c r="CQ231" s="104">
        <v>800</v>
      </c>
      <c r="CR231" s="105"/>
      <c r="CS231" s="208">
        <f>CP231+CQ231-CR231</f>
        <v>113000</v>
      </c>
      <c r="CT231" s="104">
        <v>800</v>
      </c>
      <c r="CU231" s="105"/>
      <c r="CV231" s="208">
        <f>CS231+CT231-CU231</f>
        <v>113800</v>
      </c>
      <c r="CW231" s="104">
        <v>800</v>
      </c>
      <c r="CX231" s="105"/>
      <c r="CY231" s="208">
        <f>CV231+CW231-CX231</f>
        <v>114600</v>
      </c>
    </row>
    <row r="232" spans="1:103" s="80" customFormat="1" ht="15" customHeight="1">
      <c r="A232" s="103">
        <f>VLOOKUP(B232,справочник!$B$2:$E$322,4,FALSE)</f>
        <v>144</v>
      </c>
      <c r="B232" s="80" t="str">
        <f t="shared" si="488"/>
        <v>153Рожкова Глафира Андреевна</v>
      </c>
      <c r="C232" s="5">
        <v>153</v>
      </c>
      <c r="D232" s="7" t="s">
        <v>217</v>
      </c>
      <c r="E232" s="5"/>
      <c r="F232" s="19">
        <v>40788</v>
      </c>
      <c r="G232" s="19">
        <v>40787</v>
      </c>
      <c r="H232" s="20">
        <v>50</v>
      </c>
      <c r="I232" s="5">
        <f t="shared" si="517"/>
        <v>50000</v>
      </c>
      <c r="J232" s="20">
        <v>1000</v>
      </c>
      <c r="K232" s="20"/>
      <c r="L232" s="21">
        <f t="shared" si="465"/>
        <v>49000</v>
      </c>
      <c r="M232" s="109"/>
      <c r="N232" s="109"/>
      <c r="O232" s="109"/>
      <c r="P232" s="109"/>
      <c r="Q232" s="109"/>
      <c r="R232" s="109"/>
      <c r="S232" s="109"/>
      <c r="T232" s="109"/>
      <c r="U232" s="109"/>
      <c r="V232" s="109"/>
      <c r="W232" s="109"/>
      <c r="X232" s="109"/>
      <c r="Y232" s="21">
        <f t="shared" si="489"/>
        <v>0</v>
      </c>
      <c r="Z232" s="104">
        <v>0</v>
      </c>
      <c r="AA232" s="104">
        <f t="shared" si="490"/>
        <v>0</v>
      </c>
      <c r="AB232" s="104">
        <f t="shared" si="491"/>
        <v>49000</v>
      </c>
      <c r="AC232" s="104">
        <v>0</v>
      </c>
      <c r="AD232" s="105"/>
      <c r="AE232" s="228"/>
      <c r="AF232" s="104">
        <v>0</v>
      </c>
      <c r="AG232" s="105"/>
      <c r="AH232" s="228"/>
      <c r="AI232" s="104">
        <v>0</v>
      </c>
      <c r="AJ232" s="105"/>
      <c r="AK232" s="228"/>
      <c r="AL232" s="104">
        <v>0</v>
      </c>
      <c r="AM232" s="105"/>
      <c r="AN232" s="228"/>
      <c r="AO232" s="104">
        <v>0</v>
      </c>
      <c r="AP232" s="105"/>
      <c r="AQ232" s="228"/>
      <c r="AR232" s="104">
        <v>0</v>
      </c>
      <c r="AS232" s="105"/>
      <c r="AT232" s="228"/>
      <c r="AU232" s="104">
        <v>0</v>
      </c>
      <c r="AV232" s="105"/>
      <c r="AW232" s="214"/>
      <c r="AX232" s="104">
        <v>0</v>
      </c>
      <c r="AY232" s="105">
        <v>10000</v>
      </c>
      <c r="AZ232" s="214"/>
      <c r="BA232" s="104">
        <v>0</v>
      </c>
      <c r="BB232" s="105"/>
      <c r="BC232" s="214"/>
      <c r="BD232" s="104">
        <v>0</v>
      </c>
      <c r="BE232" s="105"/>
      <c r="BF232" s="125"/>
      <c r="BG232" s="104">
        <v>0</v>
      </c>
      <c r="BH232" s="105"/>
      <c r="BI232" s="130"/>
      <c r="BJ232" s="104">
        <v>0</v>
      </c>
      <c r="BK232" s="105"/>
      <c r="BL232" s="138"/>
      <c r="BM232" s="104">
        <v>0</v>
      </c>
      <c r="BN232" s="105"/>
      <c r="BO232" s="140"/>
      <c r="BP232" s="104">
        <v>0</v>
      </c>
      <c r="BQ232" s="105"/>
      <c r="BR232" s="146"/>
      <c r="BS232" s="104">
        <v>0</v>
      </c>
      <c r="BT232" s="105"/>
      <c r="BU232" s="148"/>
      <c r="BV232" s="104">
        <v>0</v>
      </c>
      <c r="BW232" s="105"/>
      <c r="BX232" s="154"/>
      <c r="BY232" s="104">
        <v>0</v>
      </c>
      <c r="BZ232" s="105"/>
      <c r="CA232" s="156"/>
      <c r="CB232" s="104">
        <v>0</v>
      </c>
      <c r="CC232" s="105"/>
      <c r="CD232" s="162"/>
      <c r="CE232" s="104">
        <v>0</v>
      </c>
      <c r="CF232" s="105"/>
      <c r="CG232" s="164"/>
      <c r="CH232" s="104">
        <v>0</v>
      </c>
      <c r="CI232" s="105"/>
      <c r="CJ232" s="168"/>
      <c r="CK232" s="104">
        <v>0</v>
      </c>
      <c r="CL232" s="105"/>
      <c r="CM232" s="172"/>
      <c r="CN232" s="104">
        <v>0</v>
      </c>
      <c r="CO232" s="105"/>
      <c r="CP232" s="176"/>
      <c r="CQ232" s="104">
        <v>0</v>
      </c>
      <c r="CR232" s="105"/>
      <c r="CS232" s="209"/>
      <c r="CT232" s="104">
        <v>0</v>
      </c>
      <c r="CU232" s="105"/>
      <c r="CV232" s="209"/>
      <c r="CW232" s="104">
        <v>0</v>
      </c>
      <c r="CX232" s="105"/>
      <c r="CY232" s="209"/>
    </row>
    <row r="233" spans="1:103" s="80" customFormat="1" ht="15" customHeight="1">
      <c r="A233" s="103">
        <f>VLOOKUP(B233,справочник!$B$2:$E$322,4,FALSE)</f>
        <v>74</v>
      </c>
      <c r="B233" s="80" t="str">
        <f t="shared" si="488"/>
        <v>80Розова Татьяна Викторовна</v>
      </c>
      <c r="C233" s="5">
        <v>80</v>
      </c>
      <c r="D233" s="7" t="s">
        <v>218</v>
      </c>
      <c r="E233" s="5" t="s">
        <v>530</v>
      </c>
      <c r="F233" s="19">
        <v>41310</v>
      </c>
      <c r="G233" s="19">
        <v>41334</v>
      </c>
      <c r="H233" s="20">
        <f>INT(($H$326-G233)/30)</f>
        <v>34</v>
      </c>
      <c r="I233" s="5">
        <f t="shared" si="517"/>
        <v>34000</v>
      </c>
      <c r="J233" s="20">
        <v>31000</v>
      </c>
      <c r="K233" s="20"/>
      <c r="L233" s="21">
        <f t="shared" si="465"/>
        <v>3000</v>
      </c>
      <c r="M233" s="109">
        <v>6000</v>
      </c>
      <c r="N233" s="109"/>
      <c r="O233" s="109"/>
      <c r="P233" s="109"/>
      <c r="Q233" s="109">
        <v>2400</v>
      </c>
      <c r="R233" s="109"/>
      <c r="S233" s="109">
        <v>2400</v>
      </c>
      <c r="T233" s="109"/>
      <c r="U233" s="109"/>
      <c r="V233" s="109">
        <v>2400</v>
      </c>
      <c r="W233" s="109"/>
      <c r="X233" s="109">
        <v>2400</v>
      </c>
      <c r="Y233" s="21">
        <f t="shared" si="489"/>
        <v>15600</v>
      </c>
      <c r="Z233" s="104">
        <v>12</v>
      </c>
      <c r="AA233" s="104">
        <f t="shared" si="490"/>
        <v>9600</v>
      </c>
      <c r="AB233" s="104">
        <f t="shared" si="491"/>
        <v>-3000</v>
      </c>
      <c r="AC233" s="104">
        <v>800</v>
      </c>
      <c r="AD233" s="105"/>
      <c r="AE233" s="222">
        <f>SUM(AB233:AB234)+SUM(AC233:AC234)-SUM(AD233:AD234)</f>
        <v>-1200</v>
      </c>
      <c r="AF233" s="104">
        <v>800</v>
      </c>
      <c r="AG233" s="105"/>
      <c r="AH233" s="222">
        <f>SUM(AE233:AE234)+SUM(AF233:AF234)-SUM(AG233:AG234)</f>
        <v>-400</v>
      </c>
      <c r="AI233" s="104">
        <v>800</v>
      </c>
      <c r="AJ233" s="105"/>
      <c r="AK233" s="222">
        <f>SUM(AH233:AH234)+SUM(AI233:AI234)-SUM(AJ233:AJ234)</f>
        <v>400</v>
      </c>
      <c r="AL233" s="104">
        <v>800</v>
      </c>
      <c r="AM233" s="105"/>
      <c r="AN233" s="222">
        <f>SUM(AK233:AK234)+SUM(AL233:AL234)-SUM(AM233:AM234)</f>
        <v>1200</v>
      </c>
      <c r="AO233" s="104">
        <v>800</v>
      </c>
      <c r="AP233" s="105">
        <v>2400</v>
      </c>
      <c r="AQ233" s="222">
        <f>SUM(AN233:AN234)+SUM(AO233:AO234)-SUM(AP233:AP234)</f>
        <v>-400</v>
      </c>
      <c r="AR233" s="104">
        <v>800</v>
      </c>
      <c r="AS233" s="105"/>
      <c r="AT233" s="222">
        <f>SUM(AQ233:AQ234)+SUM(AR233:AR234)-SUM(AS233:AS234)</f>
        <v>400</v>
      </c>
      <c r="AU233" s="104">
        <v>800</v>
      </c>
      <c r="AV233" s="105"/>
      <c r="AW233" s="216">
        <f>SUM(AT233:AT234)+SUM(AU233:AU234)-SUM(AV233:AV234)</f>
        <v>1200</v>
      </c>
      <c r="AX233" s="104">
        <v>800</v>
      </c>
      <c r="AY233" s="105"/>
      <c r="AZ233" s="216">
        <f>SUM(AW233:AW234)+SUM(AX233:AX234)-SUM(AY233:AY234)</f>
        <v>-400</v>
      </c>
      <c r="BA233" s="104">
        <v>800</v>
      </c>
      <c r="BB233" s="105"/>
      <c r="BC233" s="216">
        <f>SUM(AZ233:AZ234)+SUM(BA233:BA234)-SUM(BB233:BB234)</f>
        <v>400</v>
      </c>
      <c r="BD233" s="104">
        <v>800</v>
      </c>
      <c r="BE233" s="105">
        <v>2400</v>
      </c>
      <c r="BF233" s="122">
        <f>SUM(BC233:BC234)+SUM(BD233:BD234)-SUM(BE233:BE234)</f>
        <v>-1200</v>
      </c>
      <c r="BG233" s="104">
        <v>800</v>
      </c>
      <c r="BH233" s="105"/>
      <c r="BI233" s="131">
        <f>SUM(BF233:BF234)+SUM(BG233:BG234)-SUM(BH233:BH234)</f>
        <v>-400</v>
      </c>
      <c r="BJ233" s="104">
        <v>800</v>
      </c>
      <c r="BK233" s="105"/>
      <c r="BL233" s="135">
        <f>SUM(BI233:BI234)+SUM(BJ233:BJ234)-SUM(BK233:BK234)</f>
        <v>400</v>
      </c>
      <c r="BM233" s="104">
        <v>800</v>
      </c>
      <c r="BN233" s="105"/>
      <c r="BO233" s="141">
        <f>SUM(BL233:BL234)+SUM(BM233:BM234)-SUM(BN233:BN234)</f>
        <v>1200</v>
      </c>
      <c r="BP233" s="104">
        <v>800</v>
      </c>
      <c r="BQ233" s="105"/>
      <c r="BR233" s="143">
        <f>SUM(BO233:BO234)+SUM(BP233:BP234)-SUM(BQ233:BQ234)</f>
        <v>2000</v>
      </c>
      <c r="BS233" s="104">
        <v>800</v>
      </c>
      <c r="BT233" s="105"/>
      <c r="BU233" s="149">
        <f>SUM(BR233:BR234)+SUM(BS233:BS234)-SUM(BT233:BT234)</f>
        <v>1800</v>
      </c>
      <c r="BV233" s="104">
        <v>800</v>
      </c>
      <c r="BW233" s="105">
        <f>1600+1000</f>
        <v>2600</v>
      </c>
      <c r="BX233" s="151">
        <f>SUM(BU233:BU234)+SUM(BV233:BV234)-SUM(BW233:BW234)</f>
        <v>0</v>
      </c>
      <c r="BY233" s="104">
        <v>800</v>
      </c>
      <c r="BZ233" s="105"/>
      <c r="CA233" s="157">
        <f>SUM(BX233:BX234)+SUM(BY233:BY234)-SUM(BZ233:BZ234)</f>
        <v>800</v>
      </c>
      <c r="CB233" s="104">
        <v>800</v>
      </c>
      <c r="CC233" s="105">
        <v>3300</v>
      </c>
      <c r="CD233" s="159">
        <f>SUM(CA233:CA234)+SUM(CB233:CB234)-SUM(CC233:CC234)</f>
        <v>-1700</v>
      </c>
      <c r="CE233" s="104">
        <v>800</v>
      </c>
      <c r="CF233" s="105"/>
      <c r="CG233" s="165">
        <f>SUM(CD233:CD234)+SUM(CE233:CE234)-SUM(CF233:CF234)</f>
        <v>-900</v>
      </c>
      <c r="CH233" s="104">
        <v>800</v>
      </c>
      <c r="CI233" s="105"/>
      <c r="CJ233" s="169">
        <f>SUM(CG233:CG234)+SUM(CH233:CH234)-SUM(CI233:CI234)</f>
        <v>-100</v>
      </c>
      <c r="CK233" s="104">
        <v>800</v>
      </c>
      <c r="CL233" s="105">
        <v>3100</v>
      </c>
      <c r="CM233" s="173">
        <f>SUM(CJ233:CJ234)+SUM(CK233:CK234)-SUM(CL233:CL234)</f>
        <v>-2400</v>
      </c>
      <c r="CN233" s="104">
        <v>800</v>
      </c>
      <c r="CO233" s="105"/>
      <c r="CP233" s="177">
        <f>SUM(CM233:CM234)+SUM(CN233:CN234)-SUM(CO233:CO234)</f>
        <v>-1600</v>
      </c>
      <c r="CQ233" s="104">
        <v>800</v>
      </c>
      <c r="CR233" s="105"/>
      <c r="CS233" s="179">
        <f>CP233+CQ233-CR233</f>
        <v>-800</v>
      </c>
      <c r="CT233" s="104">
        <v>800</v>
      </c>
      <c r="CU233" s="105"/>
      <c r="CV233" s="181">
        <f>CS233+CT233-CU233</f>
        <v>0</v>
      </c>
      <c r="CW233" s="104">
        <v>800</v>
      </c>
      <c r="CX233" s="105"/>
      <c r="CY233" s="187">
        <f>CV233+CW233-CX233</f>
        <v>800</v>
      </c>
    </row>
    <row r="234" spans="1:103" s="80" customFormat="1" ht="15" customHeight="1">
      <c r="A234" s="103">
        <f>VLOOKUP(B234,справочник!$B$2:$E$322,4,FALSE)</f>
        <v>74</v>
      </c>
      <c r="B234" s="80" t="str">
        <f t="shared" si="488"/>
        <v>81Розова Татьяна Викторовна</v>
      </c>
      <c r="C234" s="5">
        <v>81</v>
      </c>
      <c r="D234" s="7" t="s">
        <v>218</v>
      </c>
      <c r="E234" s="5" t="s">
        <v>531</v>
      </c>
      <c r="F234" s="19">
        <v>40682</v>
      </c>
      <c r="G234" s="19">
        <v>40695</v>
      </c>
      <c r="H234" s="20">
        <v>53</v>
      </c>
      <c r="I234" s="5">
        <f t="shared" si="517"/>
        <v>53000</v>
      </c>
      <c r="J234" s="20">
        <f>7000+48000-3000</f>
        <v>52000</v>
      </c>
      <c r="K234" s="20"/>
      <c r="L234" s="21">
        <f t="shared" si="465"/>
        <v>1000</v>
      </c>
      <c r="M234" s="109"/>
      <c r="N234" s="109"/>
      <c r="O234" s="109"/>
      <c r="P234" s="109"/>
      <c r="Q234" s="109"/>
      <c r="R234" s="109"/>
      <c r="S234" s="109"/>
      <c r="T234" s="109"/>
      <c r="U234" s="109"/>
      <c r="V234" s="109"/>
      <c r="W234" s="109"/>
      <c r="X234" s="109"/>
      <c r="Y234" s="21">
        <f t="shared" si="489"/>
        <v>0</v>
      </c>
      <c r="Z234" s="104">
        <v>0</v>
      </c>
      <c r="AA234" s="104">
        <f t="shared" si="490"/>
        <v>0</v>
      </c>
      <c r="AB234" s="104">
        <f t="shared" si="491"/>
        <v>1000</v>
      </c>
      <c r="AC234" s="104">
        <v>0</v>
      </c>
      <c r="AD234" s="105"/>
      <c r="AE234" s="223"/>
      <c r="AF234" s="104">
        <v>0</v>
      </c>
      <c r="AG234" s="105"/>
      <c r="AH234" s="223"/>
      <c r="AI234" s="104">
        <v>0</v>
      </c>
      <c r="AJ234" s="105"/>
      <c r="AK234" s="223"/>
      <c r="AL234" s="104">
        <v>0</v>
      </c>
      <c r="AM234" s="105"/>
      <c r="AN234" s="223"/>
      <c r="AO234" s="104">
        <v>0</v>
      </c>
      <c r="AP234" s="105"/>
      <c r="AQ234" s="223"/>
      <c r="AR234" s="104">
        <v>0</v>
      </c>
      <c r="AS234" s="105"/>
      <c r="AT234" s="223"/>
      <c r="AU234" s="104">
        <v>0</v>
      </c>
      <c r="AV234" s="105"/>
      <c r="AW234" s="217"/>
      <c r="AX234" s="104">
        <v>0</v>
      </c>
      <c r="AY234" s="105">
        <v>2400</v>
      </c>
      <c r="AZ234" s="217"/>
      <c r="BA234" s="104">
        <v>0</v>
      </c>
      <c r="BB234" s="105"/>
      <c r="BC234" s="217"/>
      <c r="BD234" s="104">
        <v>0</v>
      </c>
      <c r="BE234" s="105"/>
      <c r="BF234" s="123"/>
      <c r="BG234" s="104">
        <v>0</v>
      </c>
      <c r="BH234" s="105"/>
      <c r="BI234" s="132"/>
      <c r="BJ234" s="104">
        <v>0</v>
      </c>
      <c r="BK234" s="105"/>
      <c r="BL234" s="136"/>
      <c r="BM234" s="104">
        <v>0</v>
      </c>
      <c r="BN234" s="105"/>
      <c r="BO234" s="142"/>
      <c r="BP234" s="104">
        <v>0</v>
      </c>
      <c r="BQ234" s="105"/>
      <c r="BR234" s="144"/>
      <c r="BS234" s="104">
        <v>0</v>
      </c>
      <c r="BT234" s="105">
        <v>1000</v>
      </c>
      <c r="BU234" s="150"/>
      <c r="BV234" s="104">
        <v>0</v>
      </c>
      <c r="BW234" s="105"/>
      <c r="BX234" s="152"/>
      <c r="BY234" s="104">
        <v>0</v>
      </c>
      <c r="BZ234" s="105"/>
      <c r="CA234" s="158"/>
      <c r="CB234" s="104">
        <v>0</v>
      </c>
      <c r="CC234" s="105"/>
      <c r="CD234" s="160"/>
      <c r="CE234" s="104">
        <v>0</v>
      </c>
      <c r="CF234" s="105"/>
      <c r="CG234" s="166"/>
      <c r="CH234" s="104">
        <v>0</v>
      </c>
      <c r="CI234" s="105"/>
      <c r="CJ234" s="170"/>
      <c r="CK234" s="104">
        <v>0</v>
      </c>
      <c r="CL234" s="105"/>
      <c r="CM234" s="174"/>
      <c r="CN234" s="104">
        <v>0</v>
      </c>
      <c r="CO234" s="105"/>
      <c r="CP234" s="178"/>
      <c r="CQ234" s="104">
        <v>0</v>
      </c>
      <c r="CR234" s="105"/>
      <c r="CS234" s="180"/>
      <c r="CT234" s="104">
        <v>0</v>
      </c>
      <c r="CU234" s="105"/>
      <c r="CV234" s="182"/>
      <c r="CW234" s="104">
        <v>0</v>
      </c>
      <c r="CX234" s="105"/>
      <c r="CY234" s="188"/>
    </row>
    <row r="235" spans="1:103" ht="15" customHeight="1">
      <c r="A235" s="41">
        <f>VLOOKUP(B235,справочник!$B$2:$E$322,4,FALSE)</f>
        <v>68</v>
      </c>
      <c r="B235" t="str">
        <f t="shared" si="488"/>
        <v>70Рощина Ирина Михайловна</v>
      </c>
      <c r="C235" s="1">
        <v>70</v>
      </c>
      <c r="D235" s="2" t="s">
        <v>219</v>
      </c>
      <c r="E235" s="1" t="s">
        <v>532</v>
      </c>
      <c r="F235" s="16">
        <v>40687</v>
      </c>
      <c r="G235" s="16">
        <v>40664</v>
      </c>
      <c r="H235" s="17">
        <f t="shared" ref="H235:H245" si="518">INT(($H$326-G235)/30)</f>
        <v>56</v>
      </c>
      <c r="I235" s="1">
        <f t="shared" si="517"/>
        <v>56000</v>
      </c>
      <c r="J235" s="17">
        <f>12000+44000</f>
        <v>56000</v>
      </c>
      <c r="K235" s="17"/>
      <c r="L235" s="18">
        <f t="shared" si="465"/>
        <v>0</v>
      </c>
      <c r="M235" s="29"/>
      <c r="N235" s="29">
        <v>1600</v>
      </c>
      <c r="O235" s="29">
        <v>800</v>
      </c>
      <c r="P235" s="29"/>
      <c r="Q235" s="29">
        <v>800</v>
      </c>
      <c r="R235" s="29">
        <v>800</v>
      </c>
      <c r="S235" s="29"/>
      <c r="T235" s="29"/>
      <c r="U235" s="29">
        <v>800</v>
      </c>
      <c r="V235" s="29"/>
      <c r="W235" s="29"/>
      <c r="X235" s="29"/>
      <c r="Y235" s="18">
        <f t="shared" si="489"/>
        <v>4800</v>
      </c>
      <c r="Z235" s="96">
        <v>12</v>
      </c>
      <c r="AA235" s="96">
        <f t="shared" si="490"/>
        <v>9600</v>
      </c>
      <c r="AB235" s="96">
        <f t="shared" si="491"/>
        <v>4800</v>
      </c>
      <c r="AC235" s="99">
        <v>800</v>
      </c>
      <c r="AD235" s="98"/>
      <c r="AE235" s="102">
        <f t="shared" si="492"/>
        <v>5600</v>
      </c>
      <c r="AF235" s="99">
        <v>800</v>
      </c>
      <c r="AG235" s="98"/>
      <c r="AH235" s="102">
        <f t="shared" ref="AH235:AH260" si="519">AE235+AF235-AG235</f>
        <v>6400</v>
      </c>
      <c r="AI235" s="99">
        <v>800</v>
      </c>
      <c r="AJ235" s="98"/>
      <c r="AK235" s="102">
        <f t="shared" ref="AK235:AK260" si="520">AH235+AI235-AJ235</f>
        <v>7200</v>
      </c>
      <c r="AL235" s="99">
        <v>800</v>
      </c>
      <c r="AM235" s="98"/>
      <c r="AN235" s="102">
        <f t="shared" ref="AN235" si="521">AK235+AL235-AM235</f>
        <v>8000</v>
      </c>
      <c r="AO235" s="99">
        <v>800</v>
      </c>
      <c r="AP235" s="113"/>
      <c r="AQ235" s="102">
        <f t="shared" ref="AQ235" si="522">AN235+AO235-AP235</f>
        <v>8800</v>
      </c>
      <c r="AR235" s="99">
        <v>800</v>
      </c>
      <c r="AS235" s="113"/>
      <c r="AT235" s="102">
        <f t="shared" ref="AT235" si="523">AQ235+AR235-AS235</f>
        <v>9600</v>
      </c>
      <c r="AU235" s="99">
        <v>800</v>
      </c>
      <c r="AV235" s="113"/>
      <c r="AW235" s="102">
        <f t="shared" ref="AW235" si="524">AT235+AU235-AV235</f>
        <v>10400</v>
      </c>
      <c r="AX235" s="99">
        <v>800</v>
      </c>
      <c r="AY235" s="113"/>
      <c r="AZ235" s="102">
        <f t="shared" ref="AZ235" si="525">AW235+AX235-AY235</f>
        <v>11200</v>
      </c>
      <c r="BA235" s="99">
        <v>800</v>
      </c>
      <c r="BB235" s="113"/>
      <c r="BC235" s="102">
        <f t="shared" ref="BC235" si="526">AZ235+BA235-BB235</f>
        <v>12000</v>
      </c>
      <c r="BD235" s="99">
        <v>800</v>
      </c>
      <c r="BE235" s="113">
        <f>800+800</f>
        <v>1600</v>
      </c>
      <c r="BF235" s="102">
        <f t="shared" ref="BF235" si="527">BC235+BD235-BE235</f>
        <v>11200</v>
      </c>
      <c r="BG235" s="99">
        <v>800</v>
      </c>
      <c r="BH235" s="113">
        <v>800</v>
      </c>
      <c r="BI235" s="102">
        <f t="shared" ref="BI235" si="528">BF235+BG235-BH235</f>
        <v>11200</v>
      </c>
      <c r="BJ235" s="99">
        <v>800</v>
      </c>
      <c r="BK235" s="113"/>
      <c r="BL235" s="102">
        <f t="shared" ref="BL235" si="529">BI235+BJ235-BK235</f>
        <v>12000</v>
      </c>
      <c r="BM235" s="99">
        <v>800</v>
      </c>
      <c r="BN235" s="113">
        <f>800+800</f>
        <v>1600</v>
      </c>
      <c r="BO235" s="102">
        <f t="shared" ref="BO235" si="530">BL235+BM235-BN235</f>
        <v>11200</v>
      </c>
      <c r="BP235" s="99">
        <v>800</v>
      </c>
      <c r="BQ235" s="113">
        <v>1600</v>
      </c>
      <c r="BR235" s="102">
        <f t="shared" ref="BR235" si="531">BO235+BP235-BQ235</f>
        <v>10400</v>
      </c>
      <c r="BS235" s="99">
        <v>800</v>
      </c>
      <c r="BT235" s="113">
        <f>2000+1000</f>
        <v>3000</v>
      </c>
      <c r="BU235" s="102">
        <f t="shared" ref="BU235" si="532">BR235+BS235-BT235</f>
        <v>8200</v>
      </c>
      <c r="BV235" s="99">
        <v>800</v>
      </c>
      <c r="BW235" s="113">
        <f>1000+500+2000</f>
        <v>3500</v>
      </c>
      <c r="BX235" s="102">
        <f t="shared" ref="BX235" si="533">BU235+BV235-BW235</f>
        <v>5500</v>
      </c>
      <c r="BY235" s="99">
        <v>800</v>
      </c>
      <c r="BZ235" s="113">
        <f>800+800</f>
        <v>1600</v>
      </c>
      <c r="CA235" s="102">
        <f t="shared" ref="CA235" si="534">BX235+BY235-BZ235</f>
        <v>4700</v>
      </c>
      <c r="CB235" s="99">
        <v>800</v>
      </c>
      <c r="CC235" s="113">
        <f>800+800</f>
        <v>1600</v>
      </c>
      <c r="CD235" s="102">
        <f t="shared" ref="CD235" si="535">CA235+CB235-CC235</f>
        <v>3900</v>
      </c>
      <c r="CE235" s="99">
        <v>800</v>
      </c>
      <c r="CF235" s="113">
        <v>800</v>
      </c>
      <c r="CG235" s="102">
        <f t="shared" ref="CG235" si="536">CD235+CE235-CF235</f>
        <v>3900</v>
      </c>
      <c r="CH235" s="99">
        <v>800</v>
      </c>
      <c r="CI235" s="113">
        <f>1000+1000</f>
        <v>2000</v>
      </c>
      <c r="CJ235" s="102">
        <f t="shared" ref="CJ235" si="537">CG235+CH235-CI235</f>
        <v>2700</v>
      </c>
      <c r="CK235" s="99">
        <v>800</v>
      </c>
      <c r="CL235" s="113">
        <f>800+1000</f>
        <v>1800</v>
      </c>
      <c r="CM235" s="102">
        <f t="shared" ref="CM235" si="538">CJ235+CK235-CL235</f>
        <v>1700</v>
      </c>
      <c r="CN235" s="99">
        <v>800</v>
      </c>
      <c r="CO235" s="113">
        <v>1000</v>
      </c>
      <c r="CP235" s="102">
        <f t="shared" ref="CP235" si="539">CM235+CN235-CO235</f>
        <v>1500</v>
      </c>
      <c r="CQ235" s="99">
        <v>800</v>
      </c>
      <c r="CR235" s="113">
        <v>1000</v>
      </c>
      <c r="CS235" s="102">
        <f>CP235+CQ235-CR235</f>
        <v>1300</v>
      </c>
      <c r="CT235" s="99">
        <v>800</v>
      </c>
      <c r="CU235" s="113">
        <v>1000</v>
      </c>
      <c r="CV235" s="102">
        <f>CS235+CT235-CU235</f>
        <v>1100</v>
      </c>
      <c r="CW235" s="99">
        <v>800</v>
      </c>
      <c r="CX235" s="113">
        <v>1000</v>
      </c>
      <c r="CY235" s="102">
        <f>CV235+CW235-CX235</f>
        <v>900</v>
      </c>
    </row>
    <row r="236" spans="1:103" ht="15" customHeight="1">
      <c r="A236" s="41" t="e">
        <f>VLOOKUP(B236,справочник!$B$2:$E$322,4,FALSE)</f>
        <v>#N/A</v>
      </c>
      <c r="B236" t="str">
        <f t="shared" si="488"/>
        <v>233Рудая Наталья Викторовна</v>
      </c>
      <c r="C236" s="1">
        <v>233</v>
      </c>
      <c r="D236" s="2" t="s">
        <v>794</v>
      </c>
      <c r="E236" s="1" t="s">
        <v>533</v>
      </c>
      <c r="F236" s="16">
        <v>41751</v>
      </c>
      <c r="G236" s="16">
        <v>41760</v>
      </c>
      <c r="H236" s="17">
        <f t="shared" si="518"/>
        <v>20</v>
      </c>
      <c r="I236" s="1">
        <f t="shared" si="517"/>
        <v>20000</v>
      </c>
      <c r="J236" s="17"/>
      <c r="K236" s="17"/>
      <c r="L236" s="18">
        <f t="shared" si="465"/>
        <v>20000</v>
      </c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18">
        <f t="shared" si="489"/>
        <v>0</v>
      </c>
      <c r="Z236" s="96">
        <v>12</v>
      </c>
      <c r="AA236" s="96">
        <f t="shared" si="490"/>
        <v>9600</v>
      </c>
      <c r="AB236" s="96">
        <f t="shared" si="491"/>
        <v>29600</v>
      </c>
      <c r="AC236" s="99">
        <v>800</v>
      </c>
      <c r="AD236" s="98"/>
      <c r="AE236" s="102">
        <f t="shared" si="492"/>
        <v>30400</v>
      </c>
      <c r="AF236" s="99">
        <v>800</v>
      </c>
      <c r="AG236" s="98"/>
      <c r="AH236" s="102">
        <f t="shared" si="519"/>
        <v>31200</v>
      </c>
      <c r="AI236" s="99">
        <v>800</v>
      </c>
      <c r="AJ236" s="98">
        <v>10200</v>
      </c>
      <c r="AK236" s="102">
        <f>AH236+AI236-AJ236</f>
        <v>21800</v>
      </c>
      <c r="AL236" s="99">
        <v>800</v>
      </c>
      <c r="AM236" s="98">
        <v>10800</v>
      </c>
      <c r="AN236" s="102">
        <f>AK236+AL236-AM236</f>
        <v>11800</v>
      </c>
      <c r="AO236" s="99">
        <v>800</v>
      </c>
      <c r="AP236" s="113"/>
      <c r="AQ236" s="102">
        <f>AN236+AO236-AP236</f>
        <v>12600</v>
      </c>
      <c r="AR236" s="99">
        <v>800</v>
      </c>
      <c r="AS236" s="113">
        <v>10000</v>
      </c>
      <c r="AT236" s="102">
        <f>AQ236+AR236-AS236</f>
        <v>3400</v>
      </c>
      <c r="AU236" s="99">
        <v>800</v>
      </c>
      <c r="AV236" s="113"/>
      <c r="AW236" s="102">
        <f>AT236+AU236-AV236</f>
        <v>4200</v>
      </c>
      <c r="AX236" s="99">
        <v>800</v>
      </c>
      <c r="AY236" s="113"/>
      <c r="AZ236" s="102">
        <f>AW236+AX236-AY236</f>
        <v>5000</v>
      </c>
      <c r="BA236" s="99">
        <v>800</v>
      </c>
      <c r="BB236" s="113"/>
      <c r="BC236" s="102">
        <f>AZ236+BA236-BB236</f>
        <v>5800</v>
      </c>
      <c r="BD236" s="99">
        <v>800</v>
      </c>
      <c r="BE236" s="113"/>
      <c r="BF236" s="102">
        <f>BC236+BD236-BE236</f>
        <v>6600</v>
      </c>
      <c r="BG236" s="99">
        <v>800</v>
      </c>
      <c r="BH236" s="113"/>
      <c r="BI236" s="102">
        <f>BF236+BG236-BH236</f>
        <v>7400</v>
      </c>
      <c r="BJ236" s="99">
        <v>800</v>
      </c>
      <c r="BK236" s="113"/>
      <c r="BL236" s="102">
        <f>BI236+BJ236-BK236</f>
        <v>8200</v>
      </c>
      <c r="BM236" s="99">
        <v>800</v>
      </c>
      <c r="BN236" s="113"/>
      <c r="BO236" s="102">
        <f>BL236+BM236-BN236</f>
        <v>9000</v>
      </c>
      <c r="BP236" s="99">
        <v>800</v>
      </c>
      <c r="BQ236" s="113"/>
      <c r="BR236" s="102">
        <f>BO236+BP236-BQ236</f>
        <v>9800</v>
      </c>
      <c r="BS236" s="99">
        <v>800</v>
      </c>
      <c r="BT236" s="113"/>
      <c r="BU236" s="102">
        <f>BR236+BS236-BT236</f>
        <v>10600</v>
      </c>
      <c r="BV236" s="99">
        <v>800</v>
      </c>
      <c r="BW236" s="113"/>
      <c r="BX236" s="102">
        <f>BU236+BV236-BW236</f>
        <v>11400</v>
      </c>
      <c r="BY236" s="99">
        <v>800</v>
      </c>
      <c r="BZ236" s="113"/>
      <c r="CA236" s="102">
        <f>BX236+BY236-BZ236</f>
        <v>12200</v>
      </c>
      <c r="CB236" s="99">
        <v>800</v>
      </c>
      <c r="CC236" s="113"/>
      <c r="CD236" s="102">
        <f>CA236+CB236-CC236</f>
        <v>13000</v>
      </c>
      <c r="CE236" s="99">
        <v>800</v>
      </c>
      <c r="CF236" s="113"/>
      <c r="CG236" s="102">
        <f>CD236+CE236-CF236</f>
        <v>13800</v>
      </c>
      <c r="CH236" s="99">
        <v>800</v>
      </c>
      <c r="CI236" s="113"/>
      <c r="CJ236" s="102">
        <f>CG236+CH236-CI236</f>
        <v>14600</v>
      </c>
      <c r="CK236" s="99">
        <v>800</v>
      </c>
      <c r="CL236" s="113"/>
      <c r="CM236" s="102">
        <f>CJ236+CK236-CL236</f>
        <v>15400</v>
      </c>
      <c r="CN236" s="99">
        <v>800</v>
      </c>
      <c r="CO236" s="113">
        <v>2000</v>
      </c>
      <c r="CP236" s="102">
        <f>CM236+CN236-CO236</f>
        <v>14200</v>
      </c>
      <c r="CQ236" s="99">
        <v>800</v>
      </c>
      <c r="CR236" s="113"/>
      <c r="CS236" s="102">
        <f t="shared" ref="CS236:CS260" si="540">CP236+CQ236-CR236</f>
        <v>15000</v>
      </c>
      <c r="CT236" s="99">
        <v>800</v>
      </c>
      <c r="CU236" s="113"/>
      <c r="CV236" s="102">
        <f t="shared" ref="CV236:CV260" si="541">CS236+CT236-CU236</f>
        <v>15800</v>
      </c>
      <c r="CW236" s="99">
        <v>800</v>
      </c>
      <c r="CX236" s="113"/>
      <c r="CY236" s="102">
        <f t="shared" ref="CY236:CY260" si="542">CV236+CW236-CX236</f>
        <v>16600</v>
      </c>
    </row>
    <row r="237" spans="1:103" ht="15" customHeight="1">
      <c r="A237" s="41">
        <f>VLOOKUP(B237,справочник!$B$2:$E$322,4,FALSE)</f>
        <v>134</v>
      </c>
      <c r="B237" t="str">
        <f t="shared" si="488"/>
        <v>141Рыбалкин Андрей Сергеевич</v>
      </c>
      <c r="C237" s="1">
        <v>141</v>
      </c>
      <c r="D237" s="2" t="s">
        <v>221</v>
      </c>
      <c r="E237" s="1" t="s">
        <v>534</v>
      </c>
      <c r="F237" s="16">
        <v>40893</v>
      </c>
      <c r="G237" s="16">
        <v>40878</v>
      </c>
      <c r="H237" s="17">
        <f t="shared" si="518"/>
        <v>49</v>
      </c>
      <c r="I237" s="1">
        <f t="shared" si="517"/>
        <v>49000</v>
      </c>
      <c r="J237" s="17">
        <f>37000</f>
        <v>37000</v>
      </c>
      <c r="K237" s="17"/>
      <c r="L237" s="18">
        <f t="shared" si="465"/>
        <v>12000</v>
      </c>
      <c r="M237" s="29">
        <v>12000</v>
      </c>
      <c r="N237" s="29">
        <v>4800</v>
      </c>
      <c r="O237" s="29"/>
      <c r="P237" s="29"/>
      <c r="Q237" s="29"/>
      <c r="R237" s="29"/>
      <c r="S237" s="29"/>
      <c r="T237" s="29"/>
      <c r="U237" s="29"/>
      <c r="V237" s="29">
        <v>4800</v>
      </c>
      <c r="W237" s="29"/>
      <c r="X237" s="29"/>
      <c r="Y237" s="18">
        <f t="shared" si="489"/>
        <v>21600</v>
      </c>
      <c r="Z237" s="96">
        <v>12</v>
      </c>
      <c r="AA237" s="96">
        <f t="shared" si="490"/>
        <v>9600</v>
      </c>
      <c r="AB237" s="96">
        <f t="shared" si="491"/>
        <v>0</v>
      </c>
      <c r="AC237" s="99">
        <v>800</v>
      </c>
      <c r="AD237" s="98"/>
      <c r="AE237" s="102">
        <f t="shared" si="492"/>
        <v>800</v>
      </c>
      <c r="AF237" s="99">
        <v>800</v>
      </c>
      <c r="AG237" s="98"/>
      <c r="AH237" s="102">
        <f t="shared" si="519"/>
        <v>1600</v>
      </c>
      <c r="AI237" s="99">
        <v>800</v>
      </c>
      <c r="AJ237" s="98"/>
      <c r="AK237" s="102">
        <f t="shared" si="520"/>
        <v>2400</v>
      </c>
      <c r="AL237" s="99">
        <v>800</v>
      </c>
      <c r="AM237" s="98"/>
      <c r="AN237" s="102">
        <f t="shared" ref="AN237:AN260" si="543">AK237+AL237-AM237</f>
        <v>3200</v>
      </c>
      <c r="AO237" s="99">
        <v>800</v>
      </c>
      <c r="AP237" s="113"/>
      <c r="AQ237" s="102">
        <f t="shared" ref="AQ237:AQ260" si="544">AN237+AO237-AP237</f>
        <v>4000</v>
      </c>
      <c r="AR237" s="99">
        <v>800</v>
      </c>
      <c r="AS237" s="113">
        <v>4800</v>
      </c>
      <c r="AT237" s="102">
        <f t="shared" ref="AT237:AT260" si="545">AQ237+AR237-AS237</f>
        <v>0</v>
      </c>
      <c r="AU237" s="99">
        <v>800</v>
      </c>
      <c r="AV237" s="113"/>
      <c r="AW237" s="102">
        <f t="shared" ref="AW237:AW246" si="546">AT237+AU237-AV237</f>
        <v>800</v>
      </c>
      <c r="AX237" s="99">
        <v>800</v>
      </c>
      <c r="AY237" s="113">
        <v>4800</v>
      </c>
      <c r="AZ237" s="102">
        <f t="shared" ref="AZ237:AZ246" si="547">AW237+AX237-AY237</f>
        <v>-3200</v>
      </c>
      <c r="BA237" s="99">
        <v>800</v>
      </c>
      <c r="BB237" s="113"/>
      <c r="BC237" s="102">
        <f t="shared" ref="BC237:BC246" si="548">AZ237+BA237-BB237</f>
        <v>-2400</v>
      </c>
      <c r="BD237" s="99">
        <v>800</v>
      </c>
      <c r="BE237" s="113"/>
      <c r="BF237" s="102">
        <f t="shared" ref="BF237:BF246" si="549">BC237+BD237-BE237</f>
        <v>-1600</v>
      </c>
      <c r="BG237" s="99">
        <v>800</v>
      </c>
      <c r="BH237" s="113"/>
      <c r="BI237" s="102">
        <f t="shared" ref="BI237" si="550">BF237+BG237-BH237</f>
        <v>-800</v>
      </c>
      <c r="BJ237" s="99">
        <v>800</v>
      </c>
      <c r="BK237" s="113"/>
      <c r="BL237" s="102">
        <f t="shared" ref="BL237" si="551">BI237+BJ237-BK237</f>
        <v>0</v>
      </c>
      <c r="BM237" s="99">
        <v>800</v>
      </c>
      <c r="BN237" s="113"/>
      <c r="BO237" s="102">
        <f t="shared" ref="BO237" si="552">BL237+BM237-BN237</f>
        <v>800</v>
      </c>
      <c r="BP237" s="99">
        <v>800</v>
      </c>
      <c r="BQ237" s="113"/>
      <c r="BR237" s="102">
        <f t="shared" ref="BR237" si="553">BO237+BP237-BQ237</f>
        <v>1600</v>
      </c>
      <c r="BS237" s="99">
        <v>800</v>
      </c>
      <c r="BT237" s="113"/>
      <c r="BU237" s="102">
        <f t="shared" ref="BU237" si="554">BR237+BS237-BT237</f>
        <v>2400</v>
      </c>
      <c r="BV237" s="99">
        <v>800</v>
      </c>
      <c r="BW237" s="113">
        <v>4800</v>
      </c>
      <c r="BX237" s="102">
        <f t="shared" ref="BX237" si="555">BU237+BV237-BW237</f>
        <v>-1600</v>
      </c>
      <c r="BY237" s="99">
        <v>800</v>
      </c>
      <c r="BZ237" s="113"/>
      <c r="CA237" s="102">
        <f t="shared" ref="CA237" si="556">BX237+BY237-BZ237</f>
        <v>-800</v>
      </c>
      <c r="CB237" s="99">
        <v>800</v>
      </c>
      <c r="CC237" s="113"/>
      <c r="CD237" s="102">
        <f t="shared" ref="CD237" si="557">CA237+CB237-CC237</f>
        <v>0</v>
      </c>
      <c r="CE237" s="99">
        <v>800</v>
      </c>
      <c r="CF237" s="113"/>
      <c r="CG237" s="102">
        <f t="shared" ref="CG237" si="558">CD237+CE237-CF237</f>
        <v>800</v>
      </c>
      <c r="CH237" s="99">
        <v>800</v>
      </c>
      <c r="CI237" s="113"/>
      <c r="CJ237" s="102">
        <f t="shared" ref="CJ237" si="559">CG237+CH237-CI237</f>
        <v>1600</v>
      </c>
      <c r="CK237" s="99">
        <v>800</v>
      </c>
      <c r="CL237" s="113">
        <v>4000</v>
      </c>
      <c r="CM237" s="102">
        <f t="shared" ref="CM237" si="560">CJ237+CK237-CL237</f>
        <v>-1600</v>
      </c>
      <c r="CN237" s="99">
        <v>800</v>
      </c>
      <c r="CO237" s="113"/>
      <c r="CP237" s="102">
        <f t="shared" ref="CP237" si="561">CM237+CN237-CO237</f>
        <v>-800</v>
      </c>
      <c r="CQ237" s="99">
        <v>800</v>
      </c>
      <c r="CR237" s="113"/>
      <c r="CS237" s="102">
        <f t="shared" si="540"/>
        <v>0</v>
      </c>
      <c r="CT237" s="99">
        <v>800</v>
      </c>
      <c r="CU237" s="113"/>
      <c r="CV237" s="102">
        <f t="shared" si="541"/>
        <v>800</v>
      </c>
      <c r="CW237" s="99">
        <v>800</v>
      </c>
      <c r="CX237" s="113"/>
      <c r="CY237" s="102">
        <f t="shared" si="542"/>
        <v>1600</v>
      </c>
    </row>
    <row r="238" spans="1:103" ht="38.25" customHeight="1">
      <c r="A238" s="41">
        <f>VLOOKUP(B238,справочник!$B$2:$E$322,4,FALSE)</f>
        <v>267</v>
      </c>
      <c r="B238" t="str">
        <f t="shared" si="488"/>
        <v>280Рыжов Андрей Николаевич</v>
      </c>
      <c r="C238" s="1">
        <v>280</v>
      </c>
      <c r="D238" s="2" t="s">
        <v>222</v>
      </c>
      <c r="E238" s="1" t="s">
        <v>535</v>
      </c>
      <c r="F238" s="16">
        <v>41023</v>
      </c>
      <c r="G238" s="16">
        <v>41000</v>
      </c>
      <c r="H238" s="17">
        <f t="shared" si="518"/>
        <v>45</v>
      </c>
      <c r="I238" s="1">
        <f t="shared" si="517"/>
        <v>45000</v>
      </c>
      <c r="J238" s="17">
        <f>41000</f>
        <v>41000</v>
      </c>
      <c r="K238" s="17"/>
      <c r="L238" s="18">
        <f t="shared" si="465"/>
        <v>4000</v>
      </c>
      <c r="M238" s="29"/>
      <c r="N238" s="29">
        <v>4000</v>
      </c>
      <c r="O238" s="29">
        <v>2000</v>
      </c>
      <c r="P238" s="29">
        <v>2000</v>
      </c>
      <c r="Q238" s="29"/>
      <c r="R238" s="29"/>
      <c r="S238" s="29"/>
      <c r="T238" s="29"/>
      <c r="U238" s="29">
        <v>2000</v>
      </c>
      <c r="V238" s="29">
        <v>2000</v>
      </c>
      <c r="W238" s="84">
        <v>2000</v>
      </c>
      <c r="X238" s="29"/>
      <c r="Y238" s="18">
        <f t="shared" si="489"/>
        <v>14000</v>
      </c>
      <c r="Z238" s="96">
        <v>12</v>
      </c>
      <c r="AA238" s="96">
        <f t="shared" si="490"/>
        <v>9600</v>
      </c>
      <c r="AB238" s="96">
        <f t="shared" si="491"/>
        <v>-400</v>
      </c>
      <c r="AC238" s="99">
        <v>800</v>
      </c>
      <c r="AD238" s="98"/>
      <c r="AE238" s="102">
        <f t="shared" si="492"/>
        <v>400</v>
      </c>
      <c r="AF238" s="99">
        <v>800</v>
      </c>
      <c r="AG238" s="98">
        <v>2000</v>
      </c>
      <c r="AH238" s="102">
        <f t="shared" si="519"/>
        <v>-800</v>
      </c>
      <c r="AI238" s="99">
        <v>800</v>
      </c>
      <c r="AJ238" s="98"/>
      <c r="AK238" s="102">
        <f t="shared" si="520"/>
        <v>0</v>
      </c>
      <c r="AL238" s="99">
        <v>800</v>
      </c>
      <c r="AM238" s="98"/>
      <c r="AN238" s="102">
        <f t="shared" si="543"/>
        <v>800</v>
      </c>
      <c r="AO238" s="99">
        <v>800</v>
      </c>
      <c r="AP238" s="113"/>
      <c r="AQ238" s="102">
        <f t="shared" si="544"/>
        <v>1600</v>
      </c>
      <c r="AR238" s="99">
        <v>800</v>
      </c>
      <c r="AS238" s="113"/>
      <c r="AT238" s="102">
        <f t="shared" si="545"/>
        <v>2400</v>
      </c>
      <c r="AU238" s="99">
        <v>800</v>
      </c>
      <c r="AV238" s="113"/>
      <c r="AW238" s="102">
        <f t="shared" si="546"/>
        <v>3200</v>
      </c>
      <c r="AX238" s="99">
        <v>800</v>
      </c>
      <c r="AY238" s="113"/>
      <c r="AZ238" s="102">
        <f t="shared" si="547"/>
        <v>4000</v>
      </c>
      <c r="BA238" s="99">
        <v>800</v>
      </c>
      <c r="BB238" s="113">
        <v>1200</v>
      </c>
      <c r="BC238" s="102">
        <f t="shared" si="548"/>
        <v>3600</v>
      </c>
      <c r="BD238" s="99">
        <v>800</v>
      </c>
      <c r="BE238" s="113">
        <f>1000+931.37</f>
        <v>1931.37</v>
      </c>
      <c r="BF238" s="102">
        <f>BC238+BD238-BE238</f>
        <v>2468.63</v>
      </c>
      <c r="BG238" s="99">
        <v>800</v>
      </c>
      <c r="BH238" s="113"/>
      <c r="BI238" s="102">
        <f>BF238+BG238-BH238</f>
        <v>3268.63</v>
      </c>
      <c r="BJ238" s="99">
        <v>800</v>
      </c>
      <c r="BK238" s="113"/>
      <c r="BL238" s="102">
        <f>BI238+BJ238-BK238</f>
        <v>4068.63</v>
      </c>
      <c r="BM238" s="99">
        <v>800</v>
      </c>
      <c r="BN238" s="113"/>
      <c r="BO238" s="102">
        <f>BL238+BM238-BN238</f>
        <v>4868.63</v>
      </c>
      <c r="BP238" s="99">
        <v>800</v>
      </c>
      <c r="BQ238" s="113">
        <v>2000</v>
      </c>
      <c r="BR238" s="102">
        <f>BO238+BP238-BQ238</f>
        <v>3668.63</v>
      </c>
      <c r="BS238" s="99">
        <v>800</v>
      </c>
      <c r="BT238" s="113">
        <v>1500</v>
      </c>
      <c r="BU238" s="102">
        <f>BR238+BS238-BT238</f>
        <v>2968.63</v>
      </c>
      <c r="BV238" s="99">
        <v>800</v>
      </c>
      <c r="BW238" s="113">
        <v>1500</v>
      </c>
      <c r="BX238" s="102">
        <f>BU238+BV238-BW238</f>
        <v>2268.63</v>
      </c>
      <c r="BY238" s="99">
        <v>800</v>
      </c>
      <c r="BZ238" s="113"/>
      <c r="CA238" s="102">
        <f>BX238+BY238-BZ238</f>
        <v>3068.63</v>
      </c>
      <c r="CB238" s="99">
        <v>800</v>
      </c>
      <c r="CC238" s="113">
        <v>2000</v>
      </c>
      <c r="CD238" s="102">
        <f>CA238+CB238-CC238</f>
        <v>1868.63</v>
      </c>
      <c r="CE238" s="99">
        <v>800</v>
      </c>
      <c r="CF238" s="113"/>
      <c r="CG238" s="102">
        <f>CD238+CE238-CF238</f>
        <v>2668.63</v>
      </c>
      <c r="CH238" s="99">
        <v>800</v>
      </c>
      <c r="CI238" s="113">
        <v>1600</v>
      </c>
      <c r="CJ238" s="102">
        <f>CG238+CH238-CI238</f>
        <v>1868.63</v>
      </c>
      <c r="CK238" s="99">
        <v>800</v>
      </c>
      <c r="CL238" s="113"/>
      <c r="CM238" s="102">
        <f>CJ238+CK238-CL238</f>
        <v>2668.63</v>
      </c>
      <c r="CN238" s="99">
        <v>800</v>
      </c>
      <c r="CO238" s="113"/>
      <c r="CP238" s="102">
        <f>CM238+CN238-CO238</f>
        <v>3468.63</v>
      </c>
      <c r="CQ238" s="99">
        <v>800</v>
      </c>
      <c r="CR238" s="113">
        <v>2000</v>
      </c>
      <c r="CS238" s="102">
        <f t="shared" si="540"/>
        <v>2268.63</v>
      </c>
      <c r="CT238" s="99">
        <v>800</v>
      </c>
      <c r="CU238" s="113">
        <v>2000</v>
      </c>
      <c r="CV238" s="102">
        <f t="shared" si="541"/>
        <v>1068.6300000000001</v>
      </c>
      <c r="CW238" s="99">
        <v>800</v>
      </c>
      <c r="CX238" s="113"/>
      <c r="CY238" s="102">
        <f t="shared" si="542"/>
        <v>1868.63</v>
      </c>
    </row>
    <row r="239" spans="1:103" ht="15" customHeight="1">
      <c r="A239" s="41">
        <f>VLOOKUP(B239,справочник!$B$2:$E$322,4,FALSE)</f>
        <v>258</v>
      </c>
      <c r="B239" t="str">
        <f t="shared" si="488"/>
        <v>271Савина Нина Ивановна</v>
      </c>
      <c r="C239" s="1">
        <v>271</v>
      </c>
      <c r="D239" s="2" t="s">
        <v>223</v>
      </c>
      <c r="E239" s="1" t="s">
        <v>536</v>
      </c>
      <c r="F239" s="16">
        <v>41039</v>
      </c>
      <c r="G239" s="16">
        <v>41030</v>
      </c>
      <c r="H239" s="17">
        <f t="shared" si="518"/>
        <v>44</v>
      </c>
      <c r="I239" s="1">
        <f t="shared" si="517"/>
        <v>44000</v>
      </c>
      <c r="J239" s="17">
        <v>44000</v>
      </c>
      <c r="K239" s="17"/>
      <c r="L239" s="18">
        <f t="shared" si="465"/>
        <v>0</v>
      </c>
      <c r="M239" s="29"/>
      <c r="N239" s="29"/>
      <c r="O239" s="29"/>
      <c r="P239" s="29"/>
      <c r="Q239" s="29"/>
      <c r="R239" s="29">
        <v>4800</v>
      </c>
      <c r="S239" s="29"/>
      <c r="T239" s="29"/>
      <c r="U239" s="29"/>
      <c r="V239" s="29"/>
      <c r="W239" s="29"/>
      <c r="X239" s="29"/>
      <c r="Y239" s="18">
        <f t="shared" si="489"/>
        <v>4800</v>
      </c>
      <c r="Z239" s="96">
        <v>12</v>
      </c>
      <c r="AA239" s="96">
        <f t="shared" si="490"/>
        <v>9600</v>
      </c>
      <c r="AB239" s="96">
        <f t="shared" si="491"/>
        <v>4800</v>
      </c>
      <c r="AC239" s="99">
        <v>800</v>
      </c>
      <c r="AD239" s="98"/>
      <c r="AE239" s="102">
        <f t="shared" si="492"/>
        <v>5600</v>
      </c>
      <c r="AF239" s="99">
        <v>800</v>
      </c>
      <c r="AG239" s="98"/>
      <c r="AH239" s="102">
        <f t="shared" si="519"/>
        <v>6400</v>
      </c>
      <c r="AI239" s="99">
        <v>800</v>
      </c>
      <c r="AJ239" s="98"/>
      <c r="AK239" s="102">
        <f t="shared" si="520"/>
        <v>7200</v>
      </c>
      <c r="AL239" s="99">
        <v>800</v>
      </c>
      <c r="AM239" s="98">
        <v>6800</v>
      </c>
      <c r="AN239" s="102">
        <f t="shared" si="543"/>
        <v>1200</v>
      </c>
      <c r="AO239" s="99">
        <v>800</v>
      </c>
      <c r="AP239" s="113"/>
      <c r="AQ239" s="102">
        <f t="shared" si="544"/>
        <v>2000</v>
      </c>
      <c r="AR239" s="99">
        <v>800</v>
      </c>
      <c r="AS239" s="113"/>
      <c r="AT239" s="102">
        <f t="shared" si="545"/>
        <v>2800</v>
      </c>
      <c r="AU239" s="99">
        <v>800</v>
      </c>
      <c r="AV239" s="113"/>
      <c r="AW239" s="102">
        <f t="shared" si="546"/>
        <v>3600</v>
      </c>
      <c r="AX239" s="99">
        <v>800</v>
      </c>
      <c r="AY239" s="113"/>
      <c r="AZ239" s="102">
        <f t="shared" si="547"/>
        <v>4400</v>
      </c>
      <c r="BA239" s="99">
        <v>800</v>
      </c>
      <c r="BB239" s="113">
        <v>6800</v>
      </c>
      <c r="BC239" s="102">
        <f t="shared" si="548"/>
        <v>-1600</v>
      </c>
      <c r="BD239" s="99">
        <v>800</v>
      </c>
      <c r="BE239" s="113"/>
      <c r="BF239" s="102">
        <f t="shared" si="549"/>
        <v>-800</v>
      </c>
      <c r="BG239" s="99">
        <v>800</v>
      </c>
      <c r="BH239" s="113"/>
      <c r="BI239" s="102">
        <f t="shared" ref="BI239:BI246" si="562">BF239+BG239-BH239</f>
        <v>0</v>
      </c>
      <c r="BJ239" s="99">
        <v>800</v>
      </c>
      <c r="BK239" s="113"/>
      <c r="BL239" s="102">
        <f t="shared" ref="BL239:BL246" si="563">BI239+BJ239-BK239</f>
        <v>800</v>
      </c>
      <c r="BM239" s="99">
        <v>800</v>
      </c>
      <c r="BN239" s="113"/>
      <c r="BO239" s="102">
        <f t="shared" ref="BO239:BO246" si="564">BL239+BM239-BN239</f>
        <v>1600</v>
      </c>
      <c r="BP239" s="99">
        <v>800</v>
      </c>
      <c r="BQ239" s="113"/>
      <c r="BR239" s="102">
        <f t="shared" ref="BR239:BR246" si="565">BO239+BP239-BQ239</f>
        <v>2400</v>
      </c>
      <c r="BS239" s="99">
        <v>800</v>
      </c>
      <c r="BT239" s="113"/>
      <c r="BU239" s="102">
        <f t="shared" ref="BU239:BU246" si="566">BR239+BS239-BT239</f>
        <v>3200</v>
      </c>
      <c r="BV239" s="99">
        <v>800</v>
      </c>
      <c r="BW239" s="113">
        <v>4000</v>
      </c>
      <c r="BX239" s="102">
        <f t="shared" ref="BX239:BX246" si="567">BU239+BV239-BW239</f>
        <v>0</v>
      </c>
      <c r="BY239" s="99">
        <v>800</v>
      </c>
      <c r="BZ239" s="113"/>
      <c r="CA239" s="102">
        <f t="shared" ref="CA239:CA246" si="568">BX239+BY239-BZ239</f>
        <v>800</v>
      </c>
      <c r="CB239" s="99">
        <v>800</v>
      </c>
      <c r="CC239" s="113"/>
      <c r="CD239" s="102">
        <f t="shared" ref="CD239:CD246" si="569">CA239+CB239-CC239</f>
        <v>1600</v>
      </c>
      <c r="CE239" s="99">
        <v>800</v>
      </c>
      <c r="CF239" s="113">
        <v>2400</v>
      </c>
      <c r="CG239" s="102">
        <f t="shared" ref="CG239:CG246" si="570">CD239+CE239-CF239</f>
        <v>0</v>
      </c>
      <c r="CH239" s="99">
        <v>800</v>
      </c>
      <c r="CI239" s="113"/>
      <c r="CJ239" s="102">
        <f t="shared" ref="CJ239:CJ246" si="571">CG239+CH239-CI239</f>
        <v>800</v>
      </c>
      <c r="CK239" s="99">
        <v>800</v>
      </c>
      <c r="CL239" s="113"/>
      <c r="CM239" s="102">
        <f t="shared" ref="CM239:CM246" si="572">CJ239+CK239-CL239</f>
        <v>1600</v>
      </c>
      <c r="CN239" s="99">
        <v>800</v>
      </c>
      <c r="CO239" s="113"/>
      <c r="CP239" s="102">
        <f t="shared" ref="CP239:CP246" si="573">CM239+CN239-CO239</f>
        <v>2400</v>
      </c>
      <c r="CQ239" s="99">
        <v>800</v>
      </c>
      <c r="CR239" s="113"/>
      <c r="CS239" s="102">
        <f t="shared" si="540"/>
        <v>3200</v>
      </c>
      <c r="CT239" s="99">
        <v>800</v>
      </c>
      <c r="CU239" s="113"/>
      <c r="CV239" s="102">
        <f t="shared" si="541"/>
        <v>4000</v>
      </c>
      <c r="CW239" s="99">
        <v>800</v>
      </c>
      <c r="CX239" s="113"/>
      <c r="CY239" s="102">
        <f t="shared" si="542"/>
        <v>4800</v>
      </c>
    </row>
    <row r="240" spans="1:103" ht="25.5" customHeight="1">
      <c r="A240" s="41" t="e">
        <f>VLOOKUP(B240,справочник!$B$2:$E$322,4,FALSE)</f>
        <v>#N/A</v>
      </c>
      <c r="B240" t="str">
        <f t="shared" si="488"/>
        <v>314Садовников Алексей Владимирович (новый собственник Рошка Александр Николаевич)</v>
      </c>
      <c r="C240" s="1">
        <v>314</v>
      </c>
      <c r="D240" s="2" t="s">
        <v>826</v>
      </c>
      <c r="E240" s="1"/>
      <c r="F240" s="16">
        <v>42017</v>
      </c>
      <c r="G240" s="16">
        <v>41275</v>
      </c>
      <c r="H240" s="17">
        <f t="shared" si="518"/>
        <v>36</v>
      </c>
      <c r="I240" s="1">
        <f t="shared" si="517"/>
        <v>36000</v>
      </c>
      <c r="J240" s="17">
        <f>1000</f>
        <v>1000</v>
      </c>
      <c r="K240" s="17">
        <v>3000</v>
      </c>
      <c r="L240" s="18">
        <f t="shared" si="465"/>
        <v>32000</v>
      </c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18">
        <f t="shared" si="489"/>
        <v>0</v>
      </c>
      <c r="Z240" s="96">
        <v>12</v>
      </c>
      <c r="AA240" s="96">
        <f t="shared" si="490"/>
        <v>9600</v>
      </c>
      <c r="AB240" s="96">
        <f t="shared" si="491"/>
        <v>41600</v>
      </c>
      <c r="AC240" s="99">
        <v>800</v>
      </c>
      <c r="AD240" s="98"/>
      <c r="AE240" s="102">
        <f t="shared" si="492"/>
        <v>42400</v>
      </c>
      <c r="AF240" s="99">
        <v>800</v>
      </c>
      <c r="AG240" s="98"/>
      <c r="AH240" s="102">
        <f t="shared" si="519"/>
        <v>43200</v>
      </c>
      <c r="AI240" s="99">
        <v>800</v>
      </c>
      <c r="AJ240" s="98"/>
      <c r="AK240" s="102">
        <f t="shared" si="520"/>
        <v>44000</v>
      </c>
      <c r="AL240" s="99">
        <v>800</v>
      </c>
      <c r="AM240" s="98"/>
      <c r="AN240" s="102">
        <f t="shared" si="543"/>
        <v>44800</v>
      </c>
      <c r="AO240" s="99">
        <v>800</v>
      </c>
      <c r="AP240" s="113"/>
      <c r="AQ240" s="102">
        <f t="shared" si="544"/>
        <v>45600</v>
      </c>
      <c r="AR240" s="99">
        <v>800</v>
      </c>
      <c r="AS240" s="113"/>
      <c r="AT240" s="102">
        <f t="shared" si="545"/>
        <v>46400</v>
      </c>
      <c r="AU240" s="99">
        <v>800</v>
      </c>
      <c r="AV240" s="113"/>
      <c r="AW240" s="102">
        <f t="shared" si="546"/>
        <v>47200</v>
      </c>
      <c r="AX240" s="99">
        <v>800</v>
      </c>
      <c r="AY240" s="113"/>
      <c r="AZ240" s="102">
        <f t="shared" si="547"/>
        <v>48000</v>
      </c>
      <c r="BA240" s="99">
        <v>800</v>
      </c>
      <c r="BB240" s="113"/>
      <c r="BC240" s="102">
        <f t="shared" si="548"/>
        <v>48800</v>
      </c>
      <c r="BD240" s="99">
        <v>800</v>
      </c>
      <c r="BE240" s="113"/>
      <c r="BF240" s="102">
        <f t="shared" si="549"/>
        <v>49600</v>
      </c>
      <c r="BG240" s="99">
        <v>800</v>
      </c>
      <c r="BH240" s="113"/>
      <c r="BI240" s="102">
        <f t="shared" si="562"/>
        <v>50400</v>
      </c>
      <c r="BJ240" s="99">
        <v>800</v>
      </c>
      <c r="BK240" s="113"/>
      <c r="BL240" s="102">
        <f t="shared" si="563"/>
        <v>51200</v>
      </c>
      <c r="BM240" s="99">
        <v>800</v>
      </c>
      <c r="BN240" s="113"/>
      <c r="BO240" s="102">
        <f t="shared" si="564"/>
        <v>52000</v>
      </c>
      <c r="BP240" s="99">
        <v>800</v>
      </c>
      <c r="BQ240" s="113"/>
      <c r="BR240" s="102">
        <f t="shared" si="565"/>
        <v>52800</v>
      </c>
      <c r="BS240" s="99">
        <v>800</v>
      </c>
      <c r="BT240" s="113"/>
      <c r="BU240" s="102">
        <f t="shared" si="566"/>
        <v>53600</v>
      </c>
      <c r="BV240" s="99">
        <v>800</v>
      </c>
      <c r="BW240" s="113"/>
      <c r="BX240" s="102">
        <f t="shared" si="567"/>
        <v>54400</v>
      </c>
      <c r="BY240" s="99">
        <v>800</v>
      </c>
      <c r="BZ240" s="113"/>
      <c r="CA240" s="102">
        <f t="shared" si="568"/>
        <v>55200</v>
      </c>
      <c r="CB240" s="99">
        <v>800</v>
      </c>
      <c r="CC240" s="113"/>
      <c r="CD240" s="102">
        <f t="shared" si="569"/>
        <v>56000</v>
      </c>
      <c r="CE240" s="99">
        <v>800</v>
      </c>
      <c r="CF240" s="113"/>
      <c r="CG240" s="102">
        <f t="shared" si="570"/>
        <v>56800</v>
      </c>
      <c r="CH240" s="99">
        <v>800</v>
      </c>
      <c r="CI240" s="113"/>
      <c r="CJ240" s="102">
        <f t="shared" si="571"/>
        <v>57600</v>
      </c>
      <c r="CK240" s="99">
        <v>800</v>
      </c>
      <c r="CL240" s="113"/>
      <c r="CM240" s="102">
        <f t="shared" si="572"/>
        <v>58400</v>
      </c>
      <c r="CN240" s="99">
        <v>800</v>
      </c>
      <c r="CO240" s="113"/>
      <c r="CP240" s="102">
        <f t="shared" si="573"/>
        <v>59200</v>
      </c>
      <c r="CQ240" s="99">
        <v>800</v>
      </c>
      <c r="CR240" s="113"/>
      <c r="CS240" s="102">
        <f t="shared" si="540"/>
        <v>60000</v>
      </c>
      <c r="CT240" s="99">
        <v>800</v>
      </c>
      <c r="CU240" s="113"/>
      <c r="CV240" s="102">
        <f t="shared" si="541"/>
        <v>60800</v>
      </c>
      <c r="CW240" s="99">
        <v>800</v>
      </c>
      <c r="CX240" s="113"/>
      <c r="CY240" s="102">
        <f t="shared" si="542"/>
        <v>61600</v>
      </c>
    </row>
    <row r="241" spans="1:103" ht="15" customHeight="1">
      <c r="A241" s="41">
        <f>VLOOKUP(B241,справочник!$B$2:$E$322,4,FALSE)</f>
        <v>239</v>
      </c>
      <c r="B241" t="str">
        <f t="shared" si="488"/>
        <v>250Салопаева Татьяна Сергеевна</v>
      </c>
      <c r="C241" s="1">
        <v>250</v>
      </c>
      <c r="D241" s="2" t="s">
        <v>226</v>
      </c>
      <c r="E241" s="1" t="s">
        <v>537</v>
      </c>
      <c r="F241" s="16">
        <v>40973</v>
      </c>
      <c r="G241" s="16">
        <v>40969</v>
      </c>
      <c r="H241" s="17">
        <f t="shared" si="518"/>
        <v>46</v>
      </c>
      <c r="I241" s="1">
        <f t="shared" si="517"/>
        <v>46000</v>
      </c>
      <c r="J241" s="17">
        <v>26000</v>
      </c>
      <c r="K241" s="17"/>
      <c r="L241" s="18">
        <f t="shared" si="465"/>
        <v>20000</v>
      </c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18">
        <f t="shared" si="489"/>
        <v>0</v>
      </c>
      <c r="Z241" s="96">
        <v>12</v>
      </c>
      <c r="AA241" s="96">
        <f t="shared" si="490"/>
        <v>9600</v>
      </c>
      <c r="AB241" s="96">
        <f t="shared" si="491"/>
        <v>29600</v>
      </c>
      <c r="AC241" s="99">
        <v>800</v>
      </c>
      <c r="AD241" s="98"/>
      <c r="AE241" s="102">
        <f t="shared" si="492"/>
        <v>30400</v>
      </c>
      <c r="AF241" s="99">
        <v>800</v>
      </c>
      <c r="AG241" s="98"/>
      <c r="AH241" s="102">
        <f t="shared" si="519"/>
        <v>31200</v>
      </c>
      <c r="AI241" s="99">
        <v>800</v>
      </c>
      <c r="AJ241" s="98"/>
      <c r="AK241" s="102">
        <f t="shared" si="520"/>
        <v>32000</v>
      </c>
      <c r="AL241" s="99">
        <v>800</v>
      </c>
      <c r="AM241" s="98"/>
      <c r="AN241" s="102">
        <f t="shared" si="543"/>
        <v>32800</v>
      </c>
      <c r="AO241" s="99">
        <v>800</v>
      </c>
      <c r="AP241" s="113"/>
      <c r="AQ241" s="102">
        <f t="shared" si="544"/>
        <v>33600</v>
      </c>
      <c r="AR241" s="99">
        <v>800</v>
      </c>
      <c r="AS241" s="113"/>
      <c r="AT241" s="102">
        <f t="shared" si="545"/>
        <v>34400</v>
      </c>
      <c r="AU241" s="99">
        <v>800</v>
      </c>
      <c r="AV241" s="113"/>
      <c r="AW241" s="102">
        <f t="shared" si="546"/>
        <v>35200</v>
      </c>
      <c r="AX241" s="99">
        <v>800</v>
      </c>
      <c r="AY241" s="113"/>
      <c r="AZ241" s="102">
        <f t="shared" si="547"/>
        <v>36000</v>
      </c>
      <c r="BA241" s="99">
        <v>800</v>
      </c>
      <c r="BB241" s="113"/>
      <c r="BC241" s="102">
        <f t="shared" si="548"/>
        <v>36800</v>
      </c>
      <c r="BD241" s="99">
        <v>800</v>
      </c>
      <c r="BE241" s="113"/>
      <c r="BF241" s="102">
        <f t="shared" si="549"/>
        <v>37600</v>
      </c>
      <c r="BG241" s="99">
        <v>800</v>
      </c>
      <c r="BH241" s="113"/>
      <c r="BI241" s="102">
        <f t="shared" si="562"/>
        <v>38400</v>
      </c>
      <c r="BJ241" s="99">
        <v>800</v>
      </c>
      <c r="BK241" s="113"/>
      <c r="BL241" s="102">
        <f t="shared" si="563"/>
        <v>39200</v>
      </c>
      <c r="BM241" s="99">
        <v>800</v>
      </c>
      <c r="BN241" s="113"/>
      <c r="BO241" s="102">
        <f t="shared" si="564"/>
        <v>40000</v>
      </c>
      <c r="BP241" s="99">
        <v>800</v>
      </c>
      <c r="BQ241" s="113">
        <v>3200</v>
      </c>
      <c r="BR241" s="102">
        <f t="shared" si="565"/>
        <v>37600</v>
      </c>
      <c r="BS241" s="99">
        <v>800</v>
      </c>
      <c r="BT241" s="113"/>
      <c r="BU241" s="102">
        <f t="shared" si="566"/>
        <v>38400</v>
      </c>
      <c r="BV241" s="99">
        <v>800</v>
      </c>
      <c r="BW241" s="113"/>
      <c r="BX241" s="102">
        <f t="shared" si="567"/>
        <v>39200</v>
      </c>
      <c r="BY241" s="99">
        <v>800</v>
      </c>
      <c r="BZ241" s="113"/>
      <c r="CA241" s="102">
        <f t="shared" si="568"/>
        <v>40000</v>
      </c>
      <c r="CB241" s="99">
        <v>800</v>
      </c>
      <c r="CC241" s="113">
        <v>5000</v>
      </c>
      <c r="CD241" s="102">
        <f t="shared" si="569"/>
        <v>35800</v>
      </c>
      <c r="CE241" s="99">
        <v>800</v>
      </c>
      <c r="CF241" s="113"/>
      <c r="CG241" s="102">
        <f t="shared" si="570"/>
        <v>36600</v>
      </c>
      <c r="CH241" s="99">
        <v>800</v>
      </c>
      <c r="CI241" s="113">
        <v>5000</v>
      </c>
      <c r="CJ241" s="102">
        <f t="shared" si="571"/>
        <v>32400</v>
      </c>
      <c r="CK241" s="99">
        <v>800</v>
      </c>
      <c r="CL241" s="113"/>
      <c r="CM241" s="102">
        <f t="shared" si="572"/>
        <v>33200</v>
      </c>
      <c r="CN241" s="99">
        <v>800</v>
      </c>
      <c r="CO241" s="113"/>
      <c r="CP241" s="102">
        <f t="shared" si="573"/>
        <v>34000</v>
      </c>
      <c r="CQ241" s="99">
        <v>800</v>
      </c>
      <c r="CR241" s="113"/>
      <c r="CS241" s="102">
        <f t="shared" si="540"/>
        <v>34800</v>
      </c>
      <c r="CT241" s="99">
        <v>800</v>
      </c>
      <c r="CU241" s="113"/>
      <c r="CV241" s="102">
        <f t="shared" si="541"/>
        <v>35600</v>
      </c>
      <c r="CW241" s="99">
        <v>800</v>
      </c>
      <c r="CX241" s="113">
        <v>15000</v>
      </c>
      <c r="CY241" s="102">
        <f t="shared" si="542"/>
        <v>21400</v>
      </c>
    </row>
    <row r="242" spans="1:103" ht="15" customHeight="1">
      <c r="A242" s="41">
        <f>VLOOKUP(B242,справочник!$B$2:$E$322,4,FALSE)</f>
        <v>238</v>
      </c>
      <c r="B242" t="str">
        <f t="shared" si="488"/>
        <v>249Самоволькина Ирина Владимировна</v>
      </c>
      <c r="C242" s="1">
        <v>249</v>
      </c>
      <c r="D242" s="2" t="s">
        <v>227</v>
      </c>
      <c r="E242" s="1" t="s">
        <v>538</v>
      </c>
      <c r="F242" s="16">
        <v>41079</v>
      </c>
      <c r="G242" s="16">
        <v>41061</v>
      </c>
      <c r="H242" s="17">
        <f t="shared" si="518"/>
        <v>43</v>
      </c>
      <c r="I242" s="1">
        <f t="shared" si="517"/>
        <v>43000</v>
      </c>
      <c r="J242" s="17"/>
      <c r="K242" s="17"/>
      <c r="L242" s="18">
        <f t="shared" si="465"/>
        <v>43000</v>
      </c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18">
        <f t="shared" si="489"/>
        <v>0</v>
      </c>
      <c r="Z242" s="96">
        <v>12</v>
      </c>
      <c r="AA242" s="96">
        <f t="shared" si="490"/>
        <v>9600</v>
      </c>
      <c r="AB242" s="96">
        <f t="shared" si="491"/>
        <v>52600</v>
      </c>
      <c r="AC242" s="99">
        <v>800</v>
      </c>
      <c r="AD242" s="98"/>
      <c r="AE242" s="102">
        <f t="shared" si="492"/>
        <v>53400</v>
      </c>
      <c r="AF242" s="99">
        <v>800</v>
      </c>
      <c r="AG242" s="98"/>
      <c r="AH242" s="102">
        <f t="shared" si="519"/>
        <v>54200</v>
      </c>
      <c r="AI242" s="99">
        <v>800</v>
      </c>
      <c r="AJ242" s="98"/>
      <c r="AK242" s="102">
        <f t="shared" si="520"/>
        <v>55000</v>
      </c>
      <c r="AL242" s="99">
        <v>800</v>
      </c>
      <c r="AM242" s="98"/>
      <c r="AN242" s="102">
        <f t="shared" si="543"/>
        <v>55800</v>
      </c>
      <c r="AO242" s="99">
        <v>800</v>
      </c>
      <c r="AP242" s="113"/>
      <c r="AQ242" s="102">
        <f t="shared" si="544"/>
        <v>56600</v>
      </c>
      <c r="AR242" s="99">
        <v>800</v>
      </c>
      <c r="AS242" s="113"/>
      <c r="AT242" s="102">
        <f t="shared" si="545"/>
        <v>57400</v>
      </c>
      <c r="AU242" s="99">
        <v>800</v>
      </c>
      <c r="AV242" s="113"/>
      <c r="AW242" s="102">
        <f t="shared" si="546"/>
        <v>58200</v>
      </c>
      <c r="AX242" s="99">
        <v>800</v>
      </c>
      <c r="AY242" s="113"/>
      <c r="AZ242" s="102">
        <f t="shared" si="547"/>
        <v>59000</v>
      </c>
      <c r="BA242" s="99">
        <v>800</v>
      </c>
      <c r="BB242" s="113"/>
      <c r="BC242" s="102">
        <f t="shared" si="548"/>
        <v>59800</v>
      </c>
      <c r="BD242" s="99">
        <v>800</v>
      </c>
      <c r="BE242" s="113"/>
      <c r="BF242" s="102">
        <f t="shared" si="549"/>
        <v>60600</v>
      </c>
      <c r="BG242" s="99">
        <v>800</v>
      </c>
      <c r="BH242" s="113"/>
      <c r="BI242" s="102">
        <f t="shared" si="562"/>
        <v>61400</v>
      </c>
      <c r="BJ242" s="99">
        <v>800</v>
      </c>
      <c r="BK242" s="113"/>
      <c r="BL242" s="102">
        <f t="shared" si="563"/>
        <v>62200</v>
      </c>
      <c r="BM242" s="99">
        <v>800</v>
      </c>
      <c r="BN242" s="113"/>
      <c r="BO242" s="102">
        <f t="shared" si="564"/>
        <v>63000</v>
      </c>
      <c r="BP242" s="99">
        <v>800</v>
      </c>
      <c r="BQ242" s="113"/>
      <c r="BR242" s="102">
        <f t="shared" si="565"/>
        <v>63800</v>
      </c>
      <c r="BS242" s="99">
        <v>800</v>
      </c>
      <c r="BT242" s="113"/>
      <c r="BU242" s="102">
        <f t="shared" si="566"/>
        <v>64600</v>
      </c>
      <c r="BV242" s="99">
        <v>800</v>
      </c>
      <c r="BW242" s="113"/>
      <c r="BX242" s="102">
        <f t="shared" si="567"/>
        <v>65400</v>
      </c>
      <c r="BY242" s="99">
        <v>800</v>
      </c>
      <c r="BZ242" s="113"/>
      <c r="CA242" s="102">
        <f t="shared" si="568"/>
        <v>66200</v>
      </c>
      <c r="CB242" s="99">
        <v>800</v>
      </c>
      <c r="CC242" s="113"/>
      <c r="CD242" s="102">
        <f t="shared" si="569"/>
        <v>67000</v>
      </c>
      <c r="CE242" s="99">
        <v>800</v>
      </c>
      <c r="CF242" s="113"/>
      <c r="CG242" s="102">
        <f t="shared" si="570"/>
        <v>67800</v>
      </c>
      <c r="CH242" s="99">
        <v>800</v>
      </c>
      <c r="CI242" s="113"/>
      <c r="CJ242" s="102">
        <f t="shared" si="571"/>
        <v>68600</v>
      </c>
      <c r="CK242" s="99">
        <v>800</v>
      </c>
      <c r="CL242" s="113"/>
      <c r="CM242" s="102">
        <f t="shared" si="572"/>
        <v>69400</v>
      </c>
      <c r="CN242" s="99">
        <v>800</v>
      </c>
      <c r="CO242" s="113"/>
      <c r="CP242" s="102">
        <f t="shared" si="573"/>
        <v>70200</v>
      </c>
      <c r="CQ242" s="99">
        <v>800</v>
      </c>
      <c r="CR242" s="113"/>
      <c r="CS242" s="102">
        <f t="shared" si="540"/>
        <v>71000</v>
      </c>
      <c r="CT242" s="99">
        <v>800</v>
      </c>
      <c r="CU242" s="113"/>
      <c r="CV242" s="102">
        <f t="shared" si="541"/>
        <v>71800</v>
      </c>
      <c r="CW242" s="99">
        <v>800</v>
      </c>
      <c r="CX242" s="113"/>
      <c r="CY242" s="102">
        <f t="shared" si="542"/>
        <v>72600</v>
      </c>
    </row>
    <row r="243" spans="1:103" ht="15" customHeight="1">
      <c r="A243" s="41">
        <f>VLOOKUP(B243,справочник!$B$2:$E$322,4,FALSE)</f>
        <v>297</v>
      </c>
      <c r="B243" t="str">
        <f t="shared" si="488"/>
        <v>312Саргсян Оганнес Ншанович</v>
      </c>
      <c r="C243" s="1">
        <v>312</v>
      </c>
      <c r="D243" s="2" t="s">
        <v>228</v>
      </c>
      <c r="E243" s="1" t="s">
        <v>539</v>
      </c>
      <c r="F243" s="16">
        <v>42004</v>
      </c>
      <c r="G243" s="16">
        <v>42005</v>
      </c>
      <c r="H243" s="17">
        <f t="shared" si="518"/>
        <v>12</v>
      </c>
      <c r="I243" s="1">
        <f t="shared" si="517"/>
        <v>12000</v>
      </c>
      <c r="J243" s="17"/>
      <c r="K243" s="17"/>
      <c r="L243" s="18">
        <f t="shared" si="465"/>
        <v>12000</v>
      </c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18">
        <f t="shared" si="489"/>
        <v>0</v>
      </c>
      <c r="Z243" s="96">
        <v>12</v>
      </c>
      <c r="AA243" s="96">
        <f t="shared" si="490"/>
        <v>9600</v>
      </c>
      <c r="AB243" s="96">
        <f t="shared" si="491"/>
        <v>21600</v>
      </c>
      <c r="AC243" s="99">
        <v>800</v>
      </c>
      <c r="AD243" s="98"/>
      <c r="AE243" s="102">
        <f t="shared" si="492"/>
        <v>22400</v>
      </c>
      <c r="AF243" s="99">
        <v>800</v>
      </c>
      <c r="AG243" s="98"/>
      <c r="AH243" s="102">
        <f t="shared" si="519"/>
        <v>23200</v>
      </c>
      <c r="AI243" s="99">
        <v>800</v>
      </c>
      <c r="AJ243" s="98"/>
      <c r="AK243" s="102">
        <f t="shared" si="520"/>
        <v>24000</v>
      </c>
      <c r="AL243" s="99">
        <v>800</v>
      </c>
      <c r="AM243" s="98"/>
      <c r="AN243" s="102">
        <f t="shared" si="543"/>
        <v>24800</v>
      </c>
      <c r="AO243" s="99">
        <v>800</v>
      </c>
      <c r="AP243" s="113"/>
      <c r="AQ243" s="102">
        <f t="shared" si="544"/>
        <v>25600</v>
      </c>
      <c r="AR243" s="99">
        <v>800</v>
      </c>
      <c r="AS243" s="113"/>
      <c r="AT243" s="102">
        <f t="shared" si="545"/>
        <v>26400</v>
      </c>
      <c r="AU243" s="99">
        <v>800</v>
      </c>
      <c r="AV243" s="113"/>
      <c r="AW243" s="102">
        <f t="shared" si="546"/>
        <v>27200</v>
      </c>
      <c r="AX243" s="99">
        <v>800</v>
      </c>
      <c r="AY243" s="113"/>
      <c r="AZ243" s="102">
        <f t="shared" si="547"/>
        <v>28000</v>
      </c>
      <c r="BA243" s="99">
        <v>800</v>
      </c>
      <c r="BB243" s="113"/>
      <c r="BC243" s="102">
        <f t="shared" si="548"/>
        <v>28800</v>
      </c>
      <c r="BD243" s="99">
        <v>800</v>
      </c>
      <c r="BE243" s="113"/>
      <c r="BF243" s="102">
        <f t="shared" si="549"/>
        <v>29600</v>
      </c>
      <c r="BG243" s="99">
        <v>800</v>
      </c>
      <c r="BH243" s="113"/>
      <c r="BI243" s="102">
        <f t="shared" si="562"/>
        <v>30400</v>
      </c>
      <c r="BJ243" s="99">
        <v>800</v>
      </c>
      <c r="BK243" s="113"/>
      <c r="BL243" s="102">
        <f t="shared" si="563"/>
        <v>31200</v>
      </c>
      <c r="BM243" s="99">
        <v>800</v>
      </c>
      <c r="BN243" s="113"/>
      <c r="BO243" s="102">
        <f t="shared" si="564"/>
        <v>32000</v>
      </c>
      <c r="BP243" s="99">
        <v>800</v>
      </c>
      <c r="BQ243" s="113"/>
      <c r="BR243" s="102">
        <f t="shared" si="565"/>
        <v>32800</v>
      </c>
      <c r="BS243" s="99">
        <v>800</v>
      </c>
      <c r="BT243" s="113"/>
      <c r="BU243" s="102">
        <f t="shared" si="566"/>
        <v>33600</v>
      </c>
      <c r="BV243" s="99">
        <v>800</v>
      </c>
      <c r="BW243" s="113"/>
      <c r="BX243" s="102">
        <f t="shared" si="567"/>
        <v>34400</v>
      </c>
      <c r="BY243" s="99">
        <v>800</v>
      </c>
      <c r="BZ243" s="113"/>
      <c r="CA243" s="102">
        <f t="shared" si="568"/>
        <v>35200</v>
      </c>
      <c r="CB243" s="99">
        <v>800</v>
      </c>
      <c r="CC243" s="113"/>
      <c r="CD243" s="102">
        <f t="shared" si="569"/>
        <v>36000</v>
      </c>
      <c r="CE243" s="99">
        <v>800</v>
      </c>
      <c r="CF243" s="113"/>
      <c r="CG243" s="102">
        <f t="shared" si="570"/>
        <v>36800</v>
      </c>
      <c r="CH243" s="99">
        <v>800</v>
      </c>
      <c r="CI243" s="113"/>
      <c r="CJ243" s="102">
        <f t="shared" si="571"/>
        <v>37600</v>
      </c>
      <c r="CK243" s="99">
        <v>800</v>
      </c>
      <c r="CL243" s="113"/>
      <c r="CM243" s="102">
        <f t="shared" si="572"/>
        <v>38400</v>
      </c>
      <c r="CN243" s="99">
        <v>800</v>
      </c>
      <c r="CO243" s="113"/>
      <c r="CP243" s="102">
        <f t="shared" si="573"/>
        <v>39200</v>
      </c>
      <c r="CQ243" s="99">
        <v>800</v>
      </c>
      <c r="CR243" s="113"/>
      <c r="CS243" s="102">
        <f t="shared" si="540"/>
        <v>40000</v>
      </c>
      <c r="CT243" s="99">
        <v>800</v>
      </c>
      <c r="CU243" s="113"/>
      <c r="CV243" s="102">
        <f t="shared" si="541"/>
        <v>40800</v>
      </c>
      <c r="CW243" s="99">
        <v>800</v>
      </c>
      <c r="CX243" s="113"/>
      <c r="CY243" s="102">
        <f t="shared" si="542"/>
        <v>41600</v>
      </c>
    </row>
    <row r="244" spans="1:103" ht="25.5" customHeight="1">
      <c r="A244" s="41" t="e">
        <f>VLOOKUP(B244,справочник!$B$2:$E$322,4,FALSE)</f>
        <v>#N/A</v>
      </c>
      <c r="B244" t="str">
        <f t="shared" si="488"/>
        <v>135Дедков Илья Егорьевич (новый собственник Сафронова Наталья Михайловна)</v>
      </c>
      <c r="C244" s="1">
        <v>135</v>
      </c>
      <c r="D244" s="2" t="s">
        <v>830</v>
      </c>
      <c r="E244" s="134" t="s">
        <v>540</v>
      </c>
      <c r="F244" s="16">
        <v>41358</v>
      </c>
      <c r="G244" s="16">
        <v>41365</v>
      </c>
      <c r="H244" s="17">
        <f t="shared" si="518"/>
        <v>33</v>
      </c>
      <c r="I244" s="1">
        <f t="shared" si="517"/>
        <v>33000</v>
      </c>
      <c r="J244" s="17">
        <v>26000</v>
      </c>
      <c r="K244" s="17"/>
      <c r="L244" s="18">
        <f t="shared" si="465"/>
        <v>7000</v>
      </c>
      <c r="M244" s="29">
        <v>4000</v>
      </c>
      <c r="N244" s="29"/>
      <c r="O244" s="29"/>
      <c r="P244" s="29"/>
      <c r="Q244" s="29"/>
      <c r="R244" s="29"/>
      <c r="S244" s="29"/>
      <c r="T244" s="29"/>
      <c r="U244" s="29">
        <v>3200</v>
      </c>
      <c r="V244" s="29"/>
      <c r="W244" s="29">
        <v>2400</v>
      </c>
      <c r="X244" s="29"/>
      <c r="Y244" s="18">
        <f t="shared" si="489"/>
        <v>9600</v>
      </c>
      <c r="Z244" s="96">
        <v>12</v>
      </c>
      <c r="AA244" s="96">
        <f t="shared" si="490"/>
        <v>9600</v>
      </c>
      <c r="AB244" s="96">
        <f t="shared" si="491"/>
        <v>7000</v>
      </c>
      <c r="AC244" s="99">
        <v>800</v>
      </c>
      <c r="AD244" s="98"/>
      <c r="AE244" s="102">
        <f t="shared" si="492"/>
        <v>7800</v>
      </c>
      <c r="AF244" s="99">
        <v>800</v>
      </c>
      <c r="AG244" s="98"/>
      <c r="AH244" s="102">
        <f t="shared" si="519"/>
        <v>8600</v>
      </c>
      <c r="AI244" s="99">
        <v>800</v>
      </c>
      <c r="AJ244" s="98"/>
      <c r="AK244" s="102">
        <f t="shared" si="520"/>
        <v>9400</v>
      </c>
      <c r="AL244" s="99">
        <v>800</v>
      </c>
      <c r="AM244" s="98">
        <v>5433.38</v>
      </c>
      <c r="AN244" s="102">
        <f t="shared" si="543"/>
        <v>4766.62</v>
      </c>
      <c r="AO244" s="99">
        <v>800</v>
      </c>
      <c r="AP244" s="113">
        <v>4767</v>
      </c>
      <c r="AQ244" s="102">
        <f t="shared" si="544"/>
        <v>799.61999999999989</v>
      </c>
      <c r="AR244" s="99">
        <v>800</v>
      </c>
      <c r="AS244" s="113"/>
      <c r="AT244" s="102">
        <f t="shared" si="545"/>
        <v>1599.62</v>
      </c>
      <c r="AU244" s="99">
        <v>800</v>
      </c>
      <c r="AV244" s="113"/>
      <c r="AW244" s="102">
        <f t="shared" si="546"/>
        <v>2399.62</v>
      </c>
      <c r="AX244" s="99">
        <v>800</v>
      </c>
      <c r="AY244" s="113">
        <v>2400</v>
      </c>
      <c r="AZ244" s="102">
        <f t="shared" si="547"/>
        <v>799.61999999999989</v>
      </c>
      <c r="BA244" s="99">
        <v>800</v>
      </c>
      <c r="BB244" s="113"/>
      <c r="BC244" s="102">
        <f t="shared" si="548"/>
        <v>1599.62</v>
      </c>
      <c r="BD244" s="99">
        <v>800</v>
      </c>
      <c r="BE244" s="113"/>
      <c r="BF244" s="102">
        <f t="shared" si="549"/>
        <v>2399.62</v>
      </c>
      <c r="BG244" s="99">
        <v>800</v>
      </c>
      <c r="BH244" s="113"/>
      <c r="BI244" s="102">
        <f t="shared" si="562"/>
        <v>3199.62</v>
      </c>
      <c r="BJ244" s="99">
        <v>800</v>
      </c>
      <c r="BK244" s="113">
        <v>2600</v>
      </c>
      <c r="BL244" s="102">
        <f t="shared" si="563"/>
        <v>1399.62</v>
      </c>
      <c r="BM244" s="99">
        <v>800</v>
      </c>
      <c r="BN244" s="113"/>
      <c r="BO244" s="102">
        <f t="shared" si="564"/>
        <v>2199.62</v>
      </c>
      <c r="BP244" s="99">
        <v>800</v>
      </c>
      <c r="BQ244" s="113"/>
      <c r="BR244" s="102">
        <f t="shared" si="565"/>
        <v>2999.62</v>
      </c>
      <c r="BS244" s="99">
        <v>800</v>
      </c>
      <c r="BT244" s="113">
        <v>3000</v>
      </c>
      <c r="BU244" s="102">
        <f t="shared" si="566"/>
        <v>799.61999999999989</v>
      </c>
      <c r="BV244" s="99">
        <v>800</v>
      </c>
      <c r="BW244" s="113"/>
      <c r="BX244" s="102">
        <f t="shared" si="567"/>
        <v>1599.62</v>
      </c>
      <c r="BY244" s="99">
        <v>800</v>
      </c>
      <c r="BZ244" s="113"/>
      <c r="CA244" s="102">
        <f t="shared" si="568"/>
        <v>2399.62</v>
      </c>
      <c r="CB244" s="99">
        <v>800</v>
      </c>
      <c r="CC244" s="113">
        <v>4000</v>
      </c>
      <c r="CD244" s="102">
        <f t="shared" si="569"/>
        <v>-800.38000000000011</v>
      </c>
      <c r="CE244" s="99">
        <v>800</v>
      </c>
      <c r="CF244" s="113"/>
      <c r="CG244" s="102">
        <f t="shared" si="570"/>
        <v>-0.38000000000010914</v>
      </c>
      <c r="CH244" s="99">
        <v>800</v>
      </c>
      <c r="CI244" s="113"/>
      <c r="CJ244" s="102">
        <f t="shared" si="571"/>
        <v>799.61999999999989</v>
      </c>
      <c r="CK244" s="99">
        <v>800</v>
      </c>
      <c r="CL244" s="113"/>
      <c r="CM244" s="102">
        <f t="shared" si="572"/>
        <v>1599.62</v>
      </c>
      <c r="CN244" s="99">
        <v>800</v>
      </c>
      <c r="CO244" s="113"/>
      <c r="CP244" s="102">
        <f t="shared" si="573"/>
        <v>2399.62</v>
      </c>
      <c r="CQ244" s="99">
        <v>800</v>
      </c>
      <c r="CR244" s="113"/>
      <c r="CS244" s="102">
        <f t="shared" si="540"/>
        <v>3199.62</v>
      </c>
      <c r="CT244" s="99">
        <v>800</v>
      </c>
      <c r="CU244" s="113">
        <v>3200</v>
      </c>
      <c r="CV244" s="102">
        <f t="shared" si="541"/>
        <v>799.61999999999989</v>
      </c>
      <c r="CW244" s="99">
        <v>800</v>
      </c>
      <c r="CX244" s="113"/>
      <c r="CY244" s="102">
        <f t="shared" si="542"/>
        <v>1599.62</v>
      </c>
    </row>
    <row r="245" spans="1:103" ht="15" customHeight="1">
      <c r="A245" s="41">
        <f>VLOOKUP(B245,справочник!$B$2:$E$322,4,FALSE)</f>
        <v>67</v>
      </c>
      <c r="B245" t="str">
        <f t="shared" si="488"/>
        <v>69Сбитнева Юлия Сергеевна</v>
      </c>
      <c r="C245" s="1">
        <v>69</v>
      </c>
      <c r="D245" s="2" t="s">
        <v>230</v>
      </c>
      <c r="E245" s="1" t="s">
        <v>541</v>
      </c>
      <c r="F245" s="16">
        <v>41012</v>
      </c>
      <c r="G245" s="16">
        <v>41000</v>
      </c>
      <c r="H245" s="17">
        <f t="shared" si="518"/>
        <v>45</v>
      </c>
      <c r="I245" s="1">
        <f t="shared" si="517"/>
        <v>45000</v>
      </c>
      <c r="J245" s="17">
        <v>1000</v>
      </c>
      <c r="K245" s="17"/>
      <c r="L245" s="18">
        <f t="shared" si="465"/>
        <v>44000</v>
      </c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18">
        <f t="shared" si="489"/>
        <v>0</v>
      </c>
      <c r="Z245" s="96">
        <v>12</v>
      </c>
      <c r="AA245" s="96">
        <f t="shared" si="490"/>
        <v>9600</v>
      </c>
      <c r="AB245" s="96">
        <f t="shared" si="491"/>
        <v>53600</v>
      </c>
      <c r="AC245" s="99">
        <v>800</v>
      </c>
      <c r="AD245" s="98"/>
      <c r="AE245" s="102">
        <f t="shared" si="492"/>
        <v>54400</v>
      </c>
      <c r="AF245" s="99">
        <v>800</v>
      </c>
      <c r="AG245" s="98"/>
      <c r="AH245" s="102">
        <f t="shared" si="519"/>
        <v>55200</v>
      </c>
      <c r="AI245" s="99">
        <v>800</v>
      </c>
      <c r="AJ245" s="98"/>
      <c r="AK245" s="102">
        <f t="shared" si="520"/>
        <v>56000</v>
      </c>
      <c r="AL245" s="99">
        <v>800</v>
      </c>
      <c r="AM245" s="98"/>
      <c r="AN245" s="102">
        <f t="shared" si="543"/>
        <v>56800</v>
      </c>
      <c r="AO245" s="99">
        <v>800</v>
      </c>
      <c r="AP245" s="113"/>
      <c r="AQ245" s="102">
        <f t="shared" si="544"/>
        <v>57600</v>
      </c>
      <c r="AR245" s="99">
        <v>800</v>
      </c>
      <c r="AS245" s="113"/>
      <c r="AT245" s="102">
        <f t="shared" si="545"/>
        <v>58400</v>
      </c>
      <c r="AU245" s="99">
        <v>800</v>
      </c>
      <c r="AV245" s="113"/>
      <c r="AW245" s="102">
        <f t="shared" si="546"/>
        <v>59200</v>
      </c>
      <c r="AX245" s="99">
        <v>800</v>
      </c>
      <c r="AY245" s="113"/>
      <c r="AZ245" s="102">
        <f t="shared" si="547"/>
        <v>60000</v>
      </c>
      <c r="BA245" s="99">
        <v>800</v>
      </c>
      <c r="BB245" s="113"/>
      <c r="BC245" s="102">
        <f t="shared" si="548"/>
        <v>60800</v>
      </c>
      <c r="BD245" s="99">
        <v>800</v>
      </c>
      <c r="BE245" s="113"/>
      <c r="BF245" s="102">
        <f t="shared" si="549"/>
        <v>61600</v>
      </c>
      <c r="BG245" s="99">
        <v>800</v>
      </c>
      <c r="BH245" s="113"/>
      <c r="BI245" s="102">
        <f t="shared" si="562"/>
        <v>62400</v>
      </c>
      <c r="BJ245" s="99">
        <v>800</v>
      </c>
      <c r="BK245" s="113"/>
      <c r="BL245" s="102">
        <f t="shared" si="563"/>
        <v>63200</v>
      </c>
      <c r="BM245" s="99">
        <v>800</v>
      </c>
      <c r="BN245" s="113"/>
      <c r="BO245" s="102">
        <f t="shared" si="564"/>
        <v>64000</v>
      </c>
      <c r="BP245" s="99">
        <v>800</v>
      </c>
      <c r="BQ245" s="113"/>
      <c r="BR245" s="102">
        <f t="shared" si="565"/>
        <v>64800</v>
      </c>
      <c r="BS245" s="99">
        <v>800</v>
      </c>
      <c r="BT245" s="113"/>
      <c r="BU245" s="102">
        <f t="shared" si="566"/>
        <v>65600</v>
      </c>
      <c r="BV245" s="99">
        <v>800</v>
      </c>
      <c r="BW245" s="113"/>
      <c r="BX245" s="102">
        <f t="shared" si="567"/>
        <v>66400</v>
      </c>
      <c r="BY245" s="99">
        <v>800</v>
      </c>
      <c r="BZ245" s="113"/>
      <c r="CA245" s="102">
        <f t="shared" si="568"/>
        <v>67200</v>
      </c>
      <c r="CB245" s="99">
        <v>800</v>
      </c>
      <c r="CC245" s="113"/>
      <c r="CD245" s="102">
        <f t="shared" si="569"/>
        <v>68000</v>
      </c>
      <c r="CE245" s="99">
        <v>800</v>
      </c>
      <c r="CF245" s="113"/>
      <c r="CG245" s="102">
        <f t="shared" si="570"/>
        <v>68800</v>
      </c>
      <c r="CH245" s="99">
        <v>800</v>
      </c>
      <c r="CI245" s="113"/>
      <c r="CJ245" s="102">
        <f t="shared" si="571"/>
        <v>69600</v>
      </c>
      <c r="CK245" s="99">
        <v>800</v>
      </c>
      <c r="CL245" s="113"/>
      <c r="CM245" s="102">
        <f t="shared" si="572"/>
        <v>70400</v>
      </c>
      <c r="CN245" s="99">
        <v>800</v>
      </c>
      <c r="CO245" s="113"/>
      <c r="CP245" s="102">
        <f t="shared" si="573"/>
        <v>71200</v>
      </c>
      <c r="CQ245" s="99">
        <v>800</v>
      </c>
      <c r="CR245" s="113"/>
      <c r="CS245" s="102">
        <f t="shared" si="540"/>
        <v>72000</v>
      </c>
      <c r="CT245" s="99">
        <v>800</v>
      </c>
      <c r="CU245" s="113"/>
      <c r="CV245" s="102">
        <f t="shared" si="541"/>
        <v>72800</v>
      </c>
      <c r="CW245" s="99">
        <v>800</v>
      </c>
      <c r="CX245" s="113"/>
      <c r="CY245" s="102">
        <f t="shared" si="542"/>
        <v>73600</v>
      </c>
    </row>
    <row r="246" spans="1:103" ht="15" customHeight="1">
      <c r="A246" s="41" t="e">
        <f>VLOOKUP(B246,справочник!$B$2:$E$322,4,FALSE)</f>
        <v>#N/A</v>
      </c>
      <c r="B246" t="str">
        <f t="shared" si="488"/>
        <v>290___Севастьянов Михаил Григорьевич</v>
      </c>
      <c r="C246" s="1" t="s">
        <v>702</v>
      </c>
      <c r="D246" s="2" t="s">
        <v>231</v>
      </c>
      <c r="E246" s="1" t="s">
        <v>542</v>
      </c>
      <c r="F246" s="16">
        <v>40897</v>
      </c>
      <c r="G246" s="16">
        <v>40909</v>
      </c>
      <c r="H246" s="17">
        <v>30</v>
      </c>
      <c r="I246" s="1">
        <f t="shared" si="517"/>
        <v>30000</v>
      </c>
      <c r="J246" s="17">
        <v>1000</v>
      </c>
      <c r="K246" s="17"/>
      <c r="L246" s="18">
        <f t="shared" si="465"/>
        <v>29000</v>
      </c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18">
        <f>SUM(M246:X246)</f>
        <v>0</v>
      </c>
      <c r="Z246" s="96"/>
      <c r="AA246" s="96">
        <f t="shared" si="490"/>
        <v>0</v>
      </c>
      <c r="AB246" s="96">
        <f t="shared" si="491"/>
        <v>29000</v>
      </c>
      <c r="AC246" s="99"/>
      <c r="AD246" s="98"/>
      <c r="AE246" s="102">
        <f t="shared" si="492"/>
        <v>29000</v>
      </c>
      <c r="AF246" s="99"/>
      <c r="AG246" s="98"/>
      <c r="AH246" s="102">
        <f t="shared" si="519"/>
        <v>29000</v>
      </c>
      <c r="AI246" s="99"/>
      <c r="AJ246" s="98"/>
      <c r="AK246" s="102">
        <f t="shared" si="520"/>
        <v>29000</v>
      </c>
      <c r="AL246" s="99"/>
      <c r="AM246" s="98"/>
      <c r="AN246" s="102">
        <f t="shared" si="543"/>
        <v>29000</v>
      </c>
      <c r="AO246" s="99"/>
      <c r="AP246" s="113"/>
      <c r="AQ246" s="102">
        <f t="shared" si="544"/>
        <v>29000</v>
      </c>
      <c r="AR246" s="99"/>
      <c r="AS246" s="113"/>
      <c r="AT246" s="102">
        <f t="shared" si="545"/>
        <v>29000</v>
      </c>
      <c r="AU246" s="99"/>
      <c r="AV246" s="113"/>
      <c r="AW246" s="102">
        <f t="shared" si="546"/>
        <v>29000</v>
      </c>
      <c r="AX246" s="99"/>
      <c r="AY246" s="113"/>
      <c r="AZ246" s="102">
        <f t="shared" si="547"/>
        <v>29000</v>
      </c>
      <c r="BA246" s="99"/>
      <c r="BB246" s="113"/>
      <c r="BC246" s="102">
        <f t="shared" si="548"/>
        <v>29000</v>
      </c>
      <c r="BD246" s="99"/>
      <c r="BE246" s="113"/>
      <c r="BF246" s="102">
        <f t="shared" si="549"/>
        <v>29000</v>
      </c>
      <c r="BG246" s="99"/>
      <c r="BH246" s="113"/>
      <c r="BI246" s="102">
        <f t="shared" si="562"/>
        <v>29000</v>
      </c>
      <c r="BJ246" s="99"/>
      <c r="BK246" s="113"/>
      <c r="BL246" s="102">
        <f t="shared" si="563"/>
        <v>29000</v>
      </c>
      <c r="BM246" s="99"/>
      <c r="BN246" s="113"/>
      <c r="BO246" s="102">
        <f t="shared" si="564"/>
        <v>29000</v>
      </c>
      <c r="BP246" s="99"/>
      <c r="BQ246" s="113"/>
      <c r="BR246" s="102">
        <f t="shared" si="565"/>
        <v>29000</v>
      </c>
      <c r="BS246" s="99"/>
      <c r="BT246" s="113"/>
      <c r="BU246" s="102">
        <f t="shared" si="566"/>
        <v>29000</v>
      </c>
      <c r="BV246" s="99"/>
      <c r="BW246" s="113"/>
      <c r="BX246" s="102">
        <f t="shared" si="567"/>
        <v>29000</v>
      </c>
      <c r="BY246" s="99"/>
      <c r="BZ246" s="113"/>
      <c r="CA246" s="102">
        <f t="shared" si="568"/>
        <v>29000</v>
      </c>
      <c r="CB246" s="99"/>
      <c r="CC246" s="113"/>
      <c r="CD246" s="102">
        <f t="shared" si="569"/>
        <v>29000</v>
      </c>
      <c r="CE246" s="99"/>
      <c r="CF246" s="113"/>
      <c r="CG246" s="102">
        <f t="shared" si="570"/>
        <v>29000</v>
      </c>
      <c r="CH246" s="99"/>
      <c r="CI246" s="113"/>
      <c r="CJ246" s="102">
        <f t="shared" si="571"/>
        <v>29000</v>
      </c>
      <c r="CK246" s="99"/>
      <c r="CL246" s="113"/>
      <c r="CM246" s="102">
        <f t="shared" si="572"/>
        <v>29000</v>
      </c>
      <c r="CN246" s="99"/>
      <c r="CO246" s="113"/>
      <c r="CP246" s="102">
        <f t="shared" si="573"/>
        <v>29000</v>
      </c>
      <c r="CQ246" s="99"/>
      <c r="CR246" s="113"/>
      <c r="CS246" s="102">
        <f t="shared" si="540"/>
        <v>29000</v>
      </c>
      <c r="CT246" s="99"/>
      <c r="CU246" s="113"/>
      <c r="CV246" s="102">
        <f t="shared" si="541"/>
        <v>29000</v>
      </c>
      <c r="CW246" s="99"/>
      <c r="CX246" s="113"/>
      <c r="CY246" s="102">
        <f t="shared" si="542"/>
        <v>29000</v>
      </c>
    </row>
    <row r="247" spans="1:103" ht="25.5" customHeight="1">
      <c r="A247" s="41" t="e">
        <f>VLOOKUP(B247,справочник!$B$2:$E$322,4,FALSE)</f>
        <v>#N/A</v>
      </c>
      <c r="B247" t="str">
        <f t="shared" si="488"/>
        <v>292Севрюгина Ольга Викторовна (новый собственник Плесковский Анатолий Михайлович)</v>
      </c>
      <c r="C247" s="1">
        <v>292</v>
      </c>
      <c r="D247" s="2" t="s">
        <v>824</v>
      </c>
      <c r="E247" s="1" t="s">
        <v>543</v>
      </c>
      <c r="F247" s="16">
        <v>40897</v>
      </c>
      <c r="G247" s="16">
        <v>40878</v>
      </c>
      <c r="H247" s="17">
        <f t="shared" ref="H247:H261" si="574">INT(($H$326-G247)/30)</f>
        <v>49</v>
      </c>
      <c r="I247" s="1">
        <f t="shared" si="517"/>
        <v>49000</v>
      </c>
      <c r="J247" s="17">
        <f>43000+1000</f>
        <v>44000</v>
      </c>
      <c r="K247" s="17"/>
      <c r="L247" s="18">
        <f t="shared" si="465"/>
        <v>5000</v>
      </c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18">
        <f t="shared" si="489"/>
        <v>0</v>
      </c>
      <c r="Z247" s="96">
        <v>12</v>
      </c>
      <c r="AA247" s="96">
        <f t="shared" si="490"/>
        <v>9600</v>
      </c>
      <c r="AB247" s="96">
        <f t="shared" si="491"/>
        <v>14600</v>
      </c>
      <c r="AC247" s="99">
        <v>800</v>
      </c>
      <c r="AD247" s="98"/>
      <c r="AE247" s="102">
        <f t="shared" si="492"/>
        <v>15400</v>
      </c>
      <c r="AF247" s="99">
        <v>800</v>
      </c>
      <c r="AG247" s="98">
        <v>3000</v>
      </c>
      <c r="AH247" s="102">
        <f t="shared" si="519"/>
        <v>13200</v>
      </c>
      <c r="AI247" s="99">
        <v>800</v>
      </c>
      <c r="AJ247" s="98"/>
      <c r="AK247" s="102">
        <f t="shared" si="520"/>
        <v>14000</v>
      </c>
      <c r="AL247" s="99">
        <v>800</v>
      </c>
      <c r="AM247" s="98">
        <v>2000</v>
      </c>
      <c r="AN247" s="102">
        <f t="shared" si="543"/>
        <v>12800</v>
      </c>
      <c r="AO247" s="99">
        <v>800</v>
      </c>
      <c r="AP247" s="113"/>
      <c r="AQ247" s="102">
        <f t="shared" si="544"/>
        <v>13600</v>
      </c>
      <c r="AR247" s="99">
        <v>800</v>
      </c>
      <c r="AS247" s="113">
        <v>2000</v>
      </c>
      <c r="AT247" s="102">
        <f>AQ247+AR247-AS247</f>
        <v>12400</v>
      </c>
      <c r="AU247" s="99">
        <v>800</v>
      </c>
      <c r="AV247" s="113"/>
      <c r="AW247" s="102">
        <f>AT247+AU247-AV247</f>
        <v>13200</v>
      </c>
      <c r="AX247" s="99">
        <v>800</v>
      </c>
      <c r="AY247" s="113"/>
      <c r="AZ247" s="102">
        <f>AW247+AX247-AY247</f>
        <v>14000</v>
      </c>
      <c r="BA247" s="99">
        <v>800</v>
      </c>
      <c r="BB247" s="113"/>
      <c r="BC247" s="102">
        <f>AZ247+BA247-BB247</f>
        <v>14800</v>
      </c>
      <c r="BD247" s="99">
        <v>800</v>
      </c>
      <c r="BE247" s="113"/>
      <c r="BF247" s="102">
        <f>BC247+BD247-BE247</f>
        <v>15600</v>
      </c>
      <c r="BG247" s="99">
        <v>800</v>
      </c>
      <c r="BH247" s="113"/>
      <c r="BI247" s="102">
        <f>BF247+BG247-BH247</f>
        <v>16400</v>
      </c>
      <c r="BJ247" s="99">
        <v>800</v>
      </c>
      <c r="BK247" s="113"/>
      <c r="BL247" s="102">
        <f>BI247+BJ247-BK247</f>
        <v>17200</v>
      </c>
      <c r="BM247" s="99">
        <v>800</v>
      </c>
      <c r="BN247" s="113"/>
      <c r="BO247" s="102">
        <f>BL247+BM247-BN247</f>
        <v>18000</v>
      </c>
      <c r="BP247" s="99">
        <v>800</v>
      </c>
      <c r="BQ247" s="113"/>
      <c r="BR247" s="102">
        <f>BO247+BP247-BQ247</f>
        <v>18800</v>
      </c>
      <c r="BS247" s="99">
        <v>800</v>
      </c>
      <c r="BT247" s="113"/>
      <c r="BU247" s="102">
        <f>BR247+BS247-BT247</f>
        <v>19600</v>
      </c>
      <c r="BV247" s="99">
        <v>800</v>
      </c>
      <c r="BW247" s="113"/>
      <c r="BX247" s="102">
        <f>BU247+BV247-BW247</f>
        <v>20400</v>
      </c>
      <c r="BY247" s="99">
        <v>800</v>
      </c>
      <c r="BZ247" s="113"/>
      <c r="CA247" s="102">
        <f>BX247+BY247-BZ247</f>
        <v>21200</v>
      </c>
      <c r="CB247" s="99">
        <v>800</v>
      </c>
      <c r="CC247" s="113"/>
      <c r="CD247" s="102">
        <f>CA247+CB247-CC247</f>
        <v>22000</v>
      </c>
      <c r="CE247" s="99">
        <v>800</v>
      </c>
      <c r="CF247" s="113"/>
      <c r="CG247" s="102">
        <f>CD247+CE247-CF247</f>
        <v>22800</v>
      </c>
      <c r="CH247" s="99">
        <v>800</v>
      </c>
      <c r="CI247" s="113"/>
      <c r="CJ247" s="102">
        <f>CG247+CH247-CI247</f>
        <v>23600</v>
      </c>
      <c r="CK247" s="99">
        <v>800</v>
      </c>
      <c r="CL247" s="113"/>
      <c r="CM247" s="102">
        <f>CJ247+CK247-CL247</f>
        <v>24400</v>
      </c>
      <c r="CN247" s="99">
        <v>800</v>
      </c>
      <c r="CO247" s="113"/>
      <c r="CP247" s="102">
        <f>CM247+CN247-CO247</f>
        <v>25200</v>
      </c>
      <c r="CQ247" s="99">
        <v>800</v>
      </c>
      <c r="CR247" s="113"/>
      <c r="CS247" s="102">
        <f t="shared" si="540"/>
        <v>26000</v>
      </c>
      <c r="CT247" s="99">
        <v>800</v>
      </c>
      <c r="CU247" s="113"/>
      <c r="CV247" s="102">
        <f t="shared" si="541"/>
        <v>26800</v>
      </c>
      <c r="CW247" s="99">
        <v>800</v>
      </c>
      <c r="CX247" s="113"/>
      <c r="CY247" s="102">
        <f t="shared" si="542"/>
        <v>27600</v>
      </c>
    </row>
    <row r="248" spans="1:103" ht="15" customHeight="1">
      <c r="A248" s="41">
        <f>VLOOKUP(B248,справочник!$B$2:$E$322,4,FALSE)</f>
        <v>215</v>
      </c>
      <c r="B248" t="str">
        <f t="shared" si="488"/>
        <v xml:space="preserve">224Семенова Рима Прановна    </v>
      </c>
      <c r="C248" s="1">
        <v>224</v>
      </c>
      <c r="D248" s="2" t="s">
        <v>233</v>
      </c>
      <c r="E248" s="1" t="s">
        <v>544</v>
      </c>
      <c r="F248" s="16">
        <v>41772</v>
      </c>
      <c r="G248" s="16">
        <v>41791</v>
      </c>
      <c r="H248" s="17">
        <f t="shared" si="574"/>
        <v>19</v>
      </c>
      <c r="I248" s="1">
        <f t="shared" si="517"/>
        <v>19000</v>
      </c>
      <c r="J248" s="17">
        <v>16000</v>
      </c>
      <c r="K248" s="17"/>
      <c r="L248" s="18">
        <f t="shared" si="465"/>
        <v>3000</v>
      </c>
      <c r="M248" s="29"/>
      <c r="N248" s="29">
        <v>7000</v>
      </c>
      <c r="O248" s="29"/>
      <c r="P248" s="29"/>
      <c r="Q248" s="29"/>
      <c r="R248" s="29"/>
      <c r="S248" s="29"/>
      <c r="T248" s="29"/>
      <c r="U248" s="29"/>
      <c r="V248" s="29"/>
      <c r="W248" s="29"/>
      <c r="X248" s="29">
        <v>10000</v>
      </c>
      <c r="Y248" s="18">
        <f t="shared" si="489"/>
        <v>17000</v>
      </c>
      <c r="Z248" s="96">
        <v>12</v>
      </c>
      <c r="AA248" s="96">
        <f t="shared" si="490"/>
        <v>9600</v>
      </c>
      <c r="AB248" s="96">
        <f t="shared" si="491"/>
        <v>-4400</v>
      </c>
      <c r="AC248" s="99">
        <v>800</v>
      </c>
      <c r="AD248" s="98"/>
      <c r="AE248" s="102">
        <f t="shared" si="492"/>
        <v>-3600</v>
      </c>
      <c r="AF248" s="99">
        <v>800</v>
      </c>
      <c r="AG248" s="98"/>
      <c r="AH248" s="102">
        <f t="shared" si="519"/>
        <v>-2800</v>
      </c>
      <c r="AI248" s="99">
        <v>800</v>
      </c>
      <c r="AJ248" s="98"/>
      <c r="AK248" s="102">
        <f t="shared" si="520"/>
        <v>-2000</v>
      </c>
      <c r="AL248" s="99">
        <v>800</v>
      </c>
      <c r="AM248" s="98"/>
      <c r="AN248" s="102">
        <f t="shared" si="543"/>
        <v>-1200</v>
      </c>
      <c r="AO248" s="99">
        <v>800</v>
      </c>
      <c r="AP248" s="113"/>
      <c r="AQ248" s="102">
        <f t="shared" si="544"/>
        <v>-400</v>
      </c>
      <c r="AR248" s="99">
        <v>800</v>
      </c>
      <c r="AS248" s="113"/>
      <c r="AT248" s="102">
        <f t="shared" si="545"/>
        <v>400</v>
      </c>
      <c r="AU248" s="99">
        <v>800</v>
      </c>
      <c r="AV248" s="113"/>
      <c r="AW248" s="102">
        <f t="shared" ref="AW248:AW260" si="575">AT248+AU248-AV248</f>
        <v>1200</v>
      </c>
      <c r="AX248" s="99">
        <v>800</v>
      </c>
      <c r="AY248" s="113">
        <v>10000</v>
      </c>
      <c r="AZ248" s="102">
        <f t="shared" ref="AZ248:AZ259" si="576">AW248+AX248-AY248</f>
        <v>-8000</v>
      </c>
      <c r="BA248" s="99">
        <v>800</v>
      </c>
      <c r="BB248" s="113"/>
      <c r="BC248" s="102">
        <f t="shared" ref="BC248:BC260" si="577">AZ248+BA248-BB248</f>
        <v>-7200</v>
      </c>
      <c r="BD248" s="99">
        <v>800</v>
      </c>
      <c r="BE248" s="113"/>
      <c r="BF248" s="102">
        <f t="shared" ref="BF248:BF260" si="578">BC248+BD248-BE248</f>
        <v>-6400</v>
      </c>
      <c r="BG248" s="99">
        <v>800</v>
      </c>
      <c r="BH248" s="113"/>
      <c r="BI248" s="102">
        <f t="shared" ref="BI248:BI260" si="579">BF248+BG248-BH248</f>
        <v>-5600</v>
      </c>
      <c r="BJ248" s="99">
        <v>800</v>
      </c>
      <c r="BK248" s="113"/>
      <c r="BL248" s="102">
        <f t="shared" ref="BL248:BL260" si="580">BI248+BJ248-BK248</f>
        <v>-4800</v>
      </c>
      <c r="BM248" s="99">
        <v>800</v>
      </c>
      <c r="BN248" s="113"/>
      <c r="BO248" s="102">
        <f t="shared" ref="BO248:BO260" si="581">BL248+BM248-BN248</f>
        <v>-4000</v>
      </c>
      <c r="BP248" s="99">
        <v>800</v>
      </c>
      <c r="BQ248" s="113"/>
      <c r="BR248" s="102">
        <f t="shared" ref="BR248:BR260" si="582">BO248+BP248-BQ248</f>
        <v>-3200</v>
      </c>
      <c r="BS248" s="99">
        <v>800</v>
      </c>
      <c r="BT248" s="113"/>
      <c r="BU248" s="102">
        <f t="shared" ref="BU248:BU260" si="583">BR248+BS248-BT248</f>
        <v>-2400</v>
      </c>
      <c r="BV248" s="99">
        <v>800</v>
      </c>
      <c r="BW248" s="113"/>
      <c r="BX248" s="102">
        <f t="shared" ref="BX248:BX260" si="584">BU248+BV248-BW248</f>
        <v>-1600</v>
      </c>
      <c r="BY248" s="99">
        <v>800</v>
      </c>
      <c r="BZ248" s="113"/>
      <c r="CA248" s="102">
        <f t="shared" ref="CA248:CA260" si="585">BX248+BY248-BZ248</f>
        <v>-800</v>
      </c>
      <c r="CB248" s="99">
        <v>800</v>
      </c>
      <c r="CC248" s="113"/>
      <c r="CD248" s="102">
        <f t="shared" ref="CD248:CD260" si="586">CA248+CB248-CC248</f>
        <v>0</v>
      </c>
      <c r="CE248" s="99">
        <v>800</v>
      </c>
      <c r="CF248" s="113"/>
      <c r="CG248" s="102">
        <f t="shared" ref="CG248:CG260" si="587">CD248+CE248-CF248</f>
        <v>800</v>
      </c>
      <c r="CH248" s="99">
        <v>800</v>
      </c>
      <c r="CI248" s="113"/>
      <c r="CJ248" s="102">
        <f t="shared" ref="CJ248:CJ260" si="588">CG248+CH248-CI248</f>
        <v>1600</v>
      </c>
      <c r="CK248" s="99">
        <v>800</v>
      </c>
      <c r="CL248" s="113">
        <v>5000</v>
      </c>
      <c r="CM248" s="102">
        <f t="shared" ref="CM248:CM260" si="589">CJ248+CK248-CL248</f>
        <v>-2600</v>
      </c>
      <c r="CN248" s="99">
        <v>800</v>
      </c>
      <c r="CO248" s="113"/>
      <c r="CP248" s="102">
        <f t="shared" ref="CP248:CP260" si="590">CM248+CN248-CO248</f>
        <v>-1800</v>
      </c>
      <c r="CQ248" s="99">
        <v>800</v>
      </c>
      <c r="CR248" s="113"/>
      <c r="CS248" s="102">
        <f t="shared" si="540"/>
        <v>-1000</v>
      </c>
      <c r="CT248" s="99">
        <v>800</v>
      </c>
      <c r="CU248" s="113"/>
      <c r="CV248" s="102">
        <f t="shared" si="541"/>
        <v>-200</v>
      </c>
      <c r="CW248" s="99">
        <v>800</v>
      </c>
      <c r="CX248" s="113"/>
      <c r="CY248" s="102">
        <f t="shared" si="542"/>
        <v>600</v>
      </c>
    </row>
    <row r="249" spans="1:103" ht="15" customHeight="1">
      <c r="A249" s="41">
        <f>VLOOKUP(B249,справочник!$B$2:$E$322,4,FALSE)</f>
        <v>241</v>
      </c>
      <c r="B249" t="str">
        <f t="shared" si="488"/>
        <v>252Сёмин Александр Иванович</v>
      </c>
      <c r="C249" s="1">
        <v>252</v>
      </c>
      <c r="D249" s="2" t="s">
        <v>234</v>
      </c>
      <c r="E249" s="1" t="s">
        <v>545</v>
      </c>
      <c r="F249" s="16">
        <v>40677</v>
      </c>
      <c r="G249" s="16">
        <v>40695</v>
      </c>
      <c r="H249" s="17">
        <f t="shared" si="574"/>
        <v>55</v>
      </c>
      <c r="I249" s="1">
        <f t="shared" si="517"/>
        <v>55000</v>
      </c>
      <c r="J249" s="17">
        <f>7000+41000</f>
        <v>48000</v>
      </c>
      <c r="K249" s="17">
        <v>4800</v>
      </c>
      <c r="L249" s="18">
        <f t="shared" si="465"/>
        <v>2200</v>
      </c>
      <c r="M249" s="29">
        <v>3000</v>
      </c>
      <c r="N249" s="29">
        <v>800</v>
      </c>
      <c r="O249" s="29">
        <v>800</v>
      </c>
      <c r="P249" s="29"/>
      <c r="Q249" s="29"/>
      <c r="R249" s="29">
        <v>2400</v>
      </c>
      <c r="S249" s="29">
        <v>800</v>
      </c>
      <c r="T249">
        <v>800</v>
      </c>
      <c r="U249" s="29">
        <v>800</v>
      </c>
      <c r="V249" s="29">
        <v>800</v>
      </c>
      <c r="W249" s="29">
        <v>800</v>
      </c>
      <c r="X249" s="29">
        <v>800</v>
      </c>
      <c r="Y249" s="18">
        <f t="shared" si="489"/>
        <v>11800</v>
      </c>
      <c r="Z249" s="96">
        <v>12</v>
      </c>
      <c r="AA249" s="96">
        <f t="shared" si="490"/>
        <v>9600</v>
      </c>
      <c r="AB249" s="96">
        <f t="shared" si="491"/>
        <v>0</v>
      </c>
      <c r="AC249" s="99">
        <v>800</v>
      </c>
      <c r="AD249" s="97">
        <v>800</v>
      </c>
      <c r="AE249" s="102">
        <f t="shared" si="492"/>
        <v>0</v>
      </c>
      <c r="AF249" s="99">
        <v>800</v>
      </c>
      <c r="AG249" s="97">
        <v>800</v>
      </c>
      <c r="AH249" s="102">
        <f t="shared" si="519"/>
        <v>0</v>
      </c>
      <c r="AI249" s="99">
        <v>800</v>
      </c>
      <c r="AJ249" s="97">
        <f>800+800</f>
        <v>1600</v>
      </c>
      <c r="AK249" s="102">
        <f t="shared" si="520"/>
        <v>-800</v>
      </c>
      <c r="AL249" s="99">
        <v>800</v>
      </c>
      <c r="AM249" s="97"/>
      <c r="AN249" s="102">
        <f t="shared" si="543"/>
        <v>0</v>
      </c>
      <c r="AO249" s="99">
        <v>800</v>
      </c>
      <c r="AP249" s="97">
        <v>800</v>
      </c>
      <c r="AQ249" s="102">
        <f t="shared" si="544"/>
        <v>0</v>
      </c>
      <c r="AR249" s="99">
        <v>800</v>
      </c>
      <c r="AS249" s="97">
        <v>800</v>
      </c>
      <c r="AT249" s="102">
        <f t="shared" si="545"/>
        <v>0</v>
      </c>
      <c r="AU249" s="99">
        <v>800</v>
      </c>
      <c r="AV249" s="97">
        <v>800</v>
      </c>
      <c r="AW249" s="102">
        <f t="shared" si="575"/>
        <v>0</v>
      </c>
      <c r="AX249" s="99">
        <v>800</v>
      </c>
      <c r="AY249" s="97">
        <v>800</v>
      </c>
      <c r="AZ249" s="102">
        <f t="shared" si="576"/>
        <v>0</v>
      </c>
      <c r="BA249" s="99">
        <v>800</v>
      </c>
      <c r="BB249" s="97"/>
      <c r="BC249" s="102">
        <f t="shared" si="577"/>
        <v>800</v>
      </c>
      <c r="BD249" s="99">
        <v>800</v>
      </c>
      <c r="BE249" s="97"/>
      <c r="BF249" s="102">
        <f t="shared" si="578"/>
        <v>1600</v>
      </c>
      <c r="BG249" s="99">
        <v>800</v>
      </c>
      <c r="BH249" s="97">
        <v>2400</v>
      </c>
      <c r="BI249" s="102">
        <f t="shared" si="579"/>
        <v>0</v>
      </c>
      <c r="BJ249" s="99">
        <v>800</v>
      </c>
      <c r="BK249" s="97">
        <v>800</v>
      </c>
      <c r="BL249" s="102">
        <f t="shared" si="580"/>
        <v>0</v>
      </c>
      <c r="BM249" s="99">
        <v>800</v>
      </c>
      <c r="BN249" s="97">
        <f>800+800</f>
        <v>1600</v>
      </c>
      <c r="BO249" s="102">
        <f t="shared" si="581"/>
        <v>-800</v>
      </c>
      <c r="BP249" s="99">
        <v>800</v>
      </c>
      <c r="BQ249" s="97"/>
      <c r="BR249" s="102">
        <f t="shared" si="582"/>
        <v>0</v>
      </c>
      <c r="BS249" s="99">
        <v>800</v>
      </c>
      <c r="BT249" s="97">
        <v>800</v>
      </c>
      <c r="BU249" s="102">
        <f t="shared" si="583"/>
        <v>0</v>
      </c>
      <c r="BV249" s="99">
        <v>800</v>
      </c>
      <c r="BW249" s="97">
        <v>800</v>
      </c>
      <c r="BX249" s="102">
        <f t="shared" si="584"/>
        <v>0</v>
      </c>
      <c r="BY249" s="99">
        <v>800</v>
      </c>
      <c r="BZ249" s="97">
        <v>800</v>
      </c>
      <c r="CA249" s="102">
        <f t="shared" si="585"/>
        <v>0</v>
      </c>
      <c r="CB249" s="99">
        <v>800</v>
      </c>
      <c r="CC249" s="97">
        <v>800</v>
      </c>
      <c r="CD249" s="102">
        <f t="shared" si="586"/>
        <v>0</v>
      </c>
      <c r="CE249" s="99">
        <v>800</v>
      </c>
      <c r="CF249" s="97">
        <v>800</v>
      </c>
      <c r="CG249" s="102">
        <f t="shared" si="587"/>
        <v>0</v>
      </c>
      <c r="CH249" s="99">
        <v>800</v>
      </c>
      <c r="CI249" s="97">
        <v>1000</v>
      </c>
      <c r="CJ249" s="102">
        <f t="shared" si="588"/>
        <v>-200</v>
      </c>
      <c r="CK249" s="99">
        <v>800</v>
      </c>
      <c r="CL249" s="97">
        <v>1000</v>
      </c>
      <c r="CM249" s="102">
        <f t="shared" si="589"/>
        <v>-400</v>
      </c>
      <c r="CN249" s="99">
        <v>800</v>
      </c>
      <c r="CO249" s="97">
        <v>1000</v>
      </c>
      <c r="CP249" s="102">
        <f t="shared" si="590"/>
        <v>-600</v>
      </c>
      <c r="CQ249" s="99">
        <v>800</v>
      </c>
      <c r="CR249" s="97">
        <v>1000</v>
      </c>
      <c r="CS249" s="102">
        <f t="shared" si="540"/>
        <v>-800</v>
      </c>
      <c r="CT249" s="99">
        <v>800</v>
      </c>
      <c r="CU249" s="97">
        <v>1000</v>
      </c>
      <c r="CV249" s="102">
        <f t="shared" si="541"/>
        <v>-1000</v>
      </c>
      <c r="CW249" s="99">
        <v>800</v>
      </c>
      <c r="CX249" s="97"/>
      <c r="CY249" s="102">
        <f t="shared" si="542"/>
        <v>-200</v>
      </c>
    </row>
    <row r="250" spans="1:103" ht="15" customHeight="1">
      <c r="A250" s="41">
        <f>VLOOKUP(B250,справочник!$B$2:$E$322,4,FALSE)</f>
        <v>161</v>
      </c>
      <c r="B250" t="str">
        <f t="shared" si="488"/>
        <v>169Сергиенко Николай Михайлович</v>
      </c>
      <c r="C250" s="1">
        <v>169</v>
      </c>
      <c r="D250" s="2" t="s">
        <v>235</v>
      </c>
      <c r="E250" s="1" t="s">
        <v>546</v>
      </c>
      <c r="F250" s="16">
        <v>41039</v>
      </c>
      <c r="G250" s="16">
        <v>41030</v>
      </c>
      <c r="H250" s="17">
        <f t="shared" si="574"/>
        <v>44</v>
      </c>
      <c r="I250" s="1">
        <f t="shared" si="517"/>
        <v>44000</v>
      </c>
      <c r="J250" s="17">
        <v>38000</v>
      </c>
      <c r="K250" s="17"/>
      <c r="L250" s="18">
        <f t="shared" si="465"/>
        <v>6000</v>
      </c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18">
        <f t="shared" si="489"/>
        <v>0</v>
      </c>
      <c r="Z250" s="96">
        <v>12</v>
      </c>
      <c r="AA250" s="96">
        <f t="shared" si="490"/>
        <v>9600</v>
      </c>
      <c r="AB250" s="96">
        <f t="shared" si="491"/>
        <v>15600</v>
      </c>
      <c r="AC250" s="99">
        <v>800</v>
      </c>
      <c r="AD250" s="98"/>
      <c r="AE250" s="102">
        <f t="shared" si="492"/>
        <v>16400</v>
      </c>
      <c r="AF250" s="99">
        <v>800</v>
      </c>
      <c r="AG250" s="98"/>
      <c r="AH250" s="102">
        <f t="shared" si="519"/>
        <v>17200</v>
      </c>
      <c r="AI250" s="99">
        <v>800</v>
      </c>
      <c r="AJ250" s="98"/>
      <c r="AK250" s="102">
        <f t="shared" si="520"/>
        <v>18000</v>
      </c>
      <c r="AL250" s="99">
        <v>800</v>
      </c>
      <c r="AM250" s="98"/>
      <c r="AN250" s="102">
        <f t="shared" si="543"/>
        <v>18800</v>
      </c>
      <c r="AO250" s="99">
        <v>800</v>
      </c>
      <c r="AP250" s="113"/>
      <c r="AQ250" s="102">
        <f t="shared" si="544"/>
        <v>19600</v>
      </c>
      <c r="AR250" s="99">
        <v>800</v>
      </c>
      <c r="AS250" s="113"/>
      <c r="AT250" s="102">
        <f t="shared" si="545"/>
        <v>20400</v>
      </c>
      <c r="AU250" s="99">
        <v>800</v>
      </c>
      <c r="AV250" s="113"/>
      <c r="AW250" s="102">
        <f t="shared" si="575"/>
        <v>21200</v>
      </c>
      <c r="AX250" s="99">
        <v>800</v>
      </c>
      <c r="AY250" s="113"/>
      <c r="AZ250" s="102">
        <f t="shared" si="576"/>
        <v>22000</v>
      </c>
      <c r="BA250" s="99">
        <v>800</v>
      </c>
      <c r="BB250" s="113"/>
      <c r="BC250" s="102">
        <f t="shared" si="577"/>
        <v>22800</v>
      </c>
      <c r="BD250" s="99">
        <v>800</v>
      </c>
      <c r="BE250" s="113"/>
      <c r="BF250" s="102">
        <f t="shared" si="578"/>
        <v>23600</v>
      </c>
      <c r="BG250" s="99">
        <v>800</v>
      </c>
      <c r="BH250" s="113"/>
      <c r="BI250" s="102">
        <f t="shared" si="579"/>
        <v>24400</v>
      </c>
      <c r="BJ250" s="99">
        <v>800</v>
      </c>
      <c r="BK250" s="113"/>
      <c r="BL250" s="102">
        <f t="shared" si="580"/>
        <v>25200</v>
      </c>
      <c r="BM250" s="99">
        <v>800</v>
      </c>
      <c r="BN250" s="113"/>
      <c r="BO250" s="102">
        <f t="shared" si="581"/>
        <v>26000</v>
      </c>
      <c r="BP250" s="99">
        <v>800</v>
      </c>
      <c r="BQ250" s="113"/>
      <c r="BR250" s="102">
        <f t="shared" si="582"/>
        <v>26800</v>
      </c>
      <c r="BS250" s="99">
        <v>800</v>
      </c>
      <c r="BT250" s="113"/>
      <c r="BU250" s="102">
        <f t="shared" si="583"/>
        <v>27600</v>
      </c>
      <c r="BV250" s="99">
        <v>800</v>
      </c>
      <c r="BW250" s="113"/>
      <c r="BX250" s="102">
        <f t="shared" si="584"/>
        <v>28400</v>
      </c>
      <c r="BY250" s="99">
        <v>800</v>
      </c>
      <c r="BZ250" s="113">
        <v>29200</v>
      </c>
      <c r="CA250" s="102">
        <f t="shared" si="585"/>
        <v>0</v>
      </c>
      <c r="CB250" s="99">
        <v>800</v>
      </c>
      <c r="CC250" s="113"/>
      <c r="CD250" s="102">
        <f t="shared" si="586"/>
        <v>800</v>
      </c>
      <c r="CE250" s="99">
        <v>800</v>
      </c>
      <c r="CF250" s="113"/>
      <c r="CG250" s="102">
        <f t="shared" si="587"/>
        <v>1600</v>
      </c>
      <c r="CH250" s="99">
        <v>800</v>
      </c>
      <c r="CI250" s="113"/>
      <c r="CJ250" s="102">
        <f t="shared" si="588"/>
        <v>2400</v>
      </c>
      <c r="CK250" s="99">
        <v>800</v>
      </c>
      <c r="CL250" s="113"/>
      <c r="CM250" s="102">
        <f t="shared" si="589"/>
        <v>3200</v>
      </c>
      <c r="CN250" s="99">
        <v>800</v>
      </c>
      <c r="CO250" s="113"/>
      <c r="CP250" s="102">
        <f t="shared" si="590"/>
        <v>4000</v>
      </c>
      <c r="CQ250" s="99">
        <v>800</v>
      </c>
      <c r="CR250" s="113"/>
      <c r="CS250" s="102">
        <f t="shared" si="540"/>
        <v>4800</v>
      </c>
      <c r="CT250" s="99">
        <v>800</v>
      </c>
      <c r="CU250" s="113"/>
      <c r="CV250" s="102">
        <f t="shared" si="541"/>
        <v>5600</v>
      </c>
      <c r="CW250" s="99">
        <v>800</v>
      </c>
      <c r="CX250" s="113"/>
      <c r="CY250" s="102">
        <f t="shared" si="542"/>
        <v>6400</v>
      </c>
    </row>
    <row r="251" spans="1:103" ht="15" customHeight="1">
      <c r="A251" s="41">
        <f>VLOOKUP(B251,справочник!$B$2:$E$322,4,FALSE)</f>
        <v>272</v>
      </c>
      <c r="B251" t="str">
        <f t="shared" si="488"/>
        <v>285Серебряков Игорь Васильевич</v>
      </c>
      <c r="C251" s="1">
        <v>285</v>
      </c>
      <c r="D251" s="2" t="s">
        <v>236</v>
      </c>
      <c r="E251" s="1" t="s">
        <v>547</v>
      </c>
      <c r="F251" s="16">
        <v>42044</v>
      </c>
      <c r="G251" s="16">
        <v>42064</v>
      </c>
      <c r="H251" s="17">
        <f t="shared" si="574"/>
        <v>10</v>
      </c>
      <c r="I251" s="1">
        <f t="shared" si="517"/>
        <v>10000</v>
      </c>
      <c r="J251" s="17">
        <v>5000</v>
      </c>
      <c r="K251" s="17"/>
      <c r="L251" s="18">
        <f t="shared" ref="L251:L309" si="591">I251-J251-K251</f>
        <v>5000</v>
      </c>
      <c r="M251" s="29"/>
      <c r="N251" s="29"/>
      <c r="O251" s="29"/>
      <c r="P251" s="29"/>
      <c r="Q251" s="29"/>
      <c r="R251" s="29"/>
      <c r="S251" s="29">
        <v>12000</v>
      </c>
      <c r="T251" s="29"/>
      <c r="U251" s="29"/>
      <c r="V251" s="29"/>
      <c r="W251" s="29"/>
      <c r="X251" s="29"/>
      <c r="Y251" s="18">
        <f t="shared" si="489"/>
        <v>12000</v>
      </c>
      <c r="Z251" s="96">
        <v>12</v>
      </c>
      <c r="AA251" s="96">
        <f t="shared" si="490"/>
        <v>9600</v>
      </c>
      <c r="AB251" s="96">
        <f t="shared" si="491"/>
        <v>2600</v>
      </c>
      <c r="AC251" s="99">
        <v>800</v>
      </c>
      <c r="AD251" s="98"/>
      <c r="AE251" s="102">
        <f t="shared" si="492"/>
        <v>3400</v>
      </c>
      <c r="AF251" s="99">
        <v>800</v>
      </c>
      <c r="AG251" s="98"/>
      <c r="AH251" s="102">
        <f t="shared" si="519"/>
        <v>4200</v>
      </c>
      <c r="AI251" s="99">
        <v>800</v>
      </c>
      <c r="AJ251" s="98">
        <v>1600</v>
      </c>
      <c r="AK251" s="102">
        <f t="shared" si="520"/>
        <v>3400</v>
      </c>
      <c r="AL251" s="99">
        <v>800</v>
      </c>
      <c r="AM251" s="98"/>
      <c r="AN251" s="102">
        <f t="shared" si="543"/>
        <v>4200</v>
      </c>
      <c r="AO251" s="99">
        <v>800</v>
      </c>
      <c r="AP251" s="113"/>
      <c r="AQ251" s="102">
        <f t="shared" si="544"/>
        <v>5000</v>
      </c>
      <c r="AR251" s="99">
        <v>800</v>
      </c>
      <c r="AS251" s="113"/>
      <c r="AT251" s="102">
        <f t="shared" si="545"/>
        <v>5800</v>
      </c>
      <c r="AU251" s="99">
        <v>800</v>
      </c>
      <c r="AV251" s="113"/>
      <c r="AW251" s="102">
        <f t="shared" si="575"/>
        <v>6600</v>
      </c>
      <c r="AX251" s="99">
        <v>800</v>
      </c>
      <c r="AY251" s="113"/>
      <c r="AZ251" s="102">
        <f t="shared" si="576"/>
        <v>7400</v>
      </c>
      <c r="BA251" s="99">
        <v>800</v>
      </c>
      <c r="BB251" s="113"/>
      <c r="BC251" s="102">
        <f t="shared" si="577"/>
        <v>8200</v>
      </c>
      <c r="BD251" s="99">
        <v>800</v>
      </c>
      <c r="BE251" s="113"/>
      <c r="BF251" s="102">
        <f t="shared" si="578"/>
        <v>9000</v>
      </c>
      <c r="BG251" s="99">
        <v>800</v>
      </c>
      <c r="BH251" s="113">
        <v>1600</v>
      </c>
      <c r="BI251" s="102">
        <f t="shared" si="579"/>
        <v>8200</v>
      </c>
      <c r="BJ251" s="99">
        <v>800</v>
      </c>
      <c r="BK251" s="113"/>
      <c r="BL251" s="102">
        <f t="shared" si="580"/>
        <v>9000</v>
      </c>
      <c r="BM251" s="99">
        <v>800</v>
      </c>
      <c r="BN251" s="113"/>
      <c r="BO251" s="102">
        <f t="shared" si="581"/>
        <v>9800</v>
      </c>
      <c r="BP251" s="99">
        <v>800</v>
      </c>
      <c r="BQ251" s="113"/>
      <c r="BR251" s="102">
        <f t="shared" si="582"/>
        <v>10600</v>
      </c>
      <c r="BS251" s="99">
        <v>800</v>
      </c>
      <c r="BT251" s="113"/>
      <c r="BU251" s="102">
        <f t="shared" si="583"/>
        <v>11400</v>
      </c>
      <c r="BV251" s="99">
        <v>800</v>
      </c>
      <c r="BW251" s="113">
        <v>800</v>
      </c>
      <c r="BX251" s="102">
        <f t="shared" si="584"/>
        <v>11400</v>
      </c>
      <c r="BY251" s="99">
        <v>800</v>
      </c>
      <c r="BZ251" s="113">
        <v>800</v>
      </c>
      <c r="CA251" s="102">
        <f t="shared" si="585"/>
        <v>11400</v>
      </c>
      <c r="CB251" s="99">
        <v>800</v>
      </c>
      <c r="CC251" s="113"/>
      <c r="CD251" s="102">
        <f t="shared" si="586"/>
        <v>12200</v>
      </c>
      <c r="CE251" s="99">
        <v>800</v>
      </c>
      <c r="CF251" s="113"/>
      <c r="CG251" s="102">
        <f t="shared" si="587"/>
        <v>13000</v>
      </c>
      <c r="CH251" s="99">
        <v>800</v>
      </c>
      <c r="CI251" s="113">
        <v>2400</v>
      </c>
      <c r="CJ251" s="102">
        <f t="shared" si="588"/>
        <v>11400</v>
      </c>
      <c r="CK251" s="99">
        <v>800</v>
      </c>
      <c r="CL251" s="113"/>
      <c r="CM251" s="102">
        <f t="shared" si="589"/>
        <v>12200</v>
      </c>
      <c r="CN251" s="99">
        <v>800</v>
      </c>
      <c r="CO251" s="113"/>
      <c r="CP251" s="102">
        <f t="shared" si="590"/>
        <v>13000</v>
      </c>
      <c r="CQ251" s="99">
        <v>800</v>
      </c>
      <c r="CR251" s="113">
        <v>800</v>
      </c>
      <c r="CS251" s="102">
        <f t="shared" si="540"/>
        <v>13000</v>
      </c>
      <c r="CT251" s="99">
        <v>800</v>
      </c>
      <c r="CU251" s="113"/>
      <c r="CV251" s="102">
        <f t="shared" si="541"/>
        <v>13800</v>
      </c>
      <c r="CW251" s="99">
        <v>800</v>
      </c>
      <c r="CX251" s="113">
        <v>1600</v>
      </c>
      <c r="CY251" s="102">
        <f t="shared" si="542"/>
        <v>13000</v>
      </c>
    </row>
    <row r="252" spans="1:103" ht="15" customHeight="1">
      <c r="A252" s="41" t="e">
        <f>VLOOKUP(B252,справочник!$B$2:$E$322,4,FALSE)</f>
        <v>#N/A</v>
      </c>
      <c r="B252" t="str">
        <f t="shared" si="488"/>
        <v>19Серкин Сергей Львович</v>
      </c>
      <c r="C252" s="1">
        <v>19</v>
      </c>
      <c r="D252" s="2" t="s">
        <v>767</v>
      </c>
      <c r="E252" s="1" t="s">
        <v>548</v>
      </c>
      <c r="F252" s="16">
        <v>41421</v>
      </c>
      <c r="G252" s="16">
        <v>41456</v>
      </c>
      <c r="H252" s="17">
        <f t="shared" si="574"/>
        <v>30</v>
      </c>
      <c r="I252" s="1">
        <f t="shared" si="517"/>
        <v>30000</v>
      </c>
      <c r="J252" s="17">
        <v>30000</v>
      </c>
      <c r="K252" s="17"/>
      <c r="L252" s="18">
        <f t="shared" si="591"/>
        <v>0</v>
      </c>
      <c r="M252" s="29"/>
      <c r="N252" s="29"/>
      <c r="O252" s="29"/>
      <c r="P252" s="29"/>
      <c r="Q252" s="29"/>
      <c r="R252" s="29">
        <v>4000</v>
      </c>
      <c r="S252" s="29"/>
      <c r="T252" s="29"/>
      <c r="U252" s="29"/>
      <c r="V252" s="29">
        <v>5600</v>
      </c>
      <c r="W252" s="29"/>
      <c r="X252" s="29"/>
      <c r="Y252" s="18">
        <f t="shared" si="489"/>
        <v>9600</v>
      </c>
      <c r="Z252" s="96">
        <v>12</v>
      </c>
      <c r="AA252" s="96">
        <f t="shared" si="490"/>
        <v>9600</v>
      </c>
      <c r="AB252" s="96">
        <f t="shared" si="491"/>
        <v>0</v>
      </c>
      <c r="AC252" s="99">
        <v>800</v>
      </c>
      <c r="AD252" s="98"/>
      <c r="AE252" s="102">
        <f t="shared" si="492"/>
        <v>800</v>
      </c>
      <c r="AF252" s="99">
        <v>800</v>
      </c>
      <c r="AG252" s="98"/>
      <c r="AH252" s="102">
        <f t="shared" si="519"/>
        <v>1600</v>
      </c>
      <c r="AI252" s="99">
        <v>800</v>
      </c>
      <c r="AJ252" s="98">
        <v>4000</v>
      </c>
      <c r="AK252" s="102">
        <f t="shared" si="520"/>
        <v>-1600</v>
      </c>
      <c r="AL252" s="99">
        <v>800</v>
      </c>
      <c r="AM252" s="98"/>
      <c r="AN252" s="102">
        <f t="shared" si="543"/>
        <v>-800</v>
      </c>
      <c r="AO252" s="99">
        <v>800</v>
      </c>
      <c r="AP252" s="113"/>
      <c r="AQ252" s="102">
        <f t="shared" si="544"/>
        <v>0</v>
      </c>
      <c r="AR252" s="99">
        <v>800</v>
      </c>
      <c r="AS252" s="113"/>
      <c r="AT252" s="102">
        <f t="shared" si="545"/>
        <v>800</v>
      </c>
      <c r="AU252" s="99">
        <v>800</v>
      </c>
      <c r="AV252" s="113"/>
      <c r="AW252" s="102">
        <f t="shared" si="575"/>
        <v>1600</v>
      </c>
      <c r="AX252" s="99">
        <v>800</v>
      </c>
      <c r="AY252" s="113"/>
      <c r="AZ252" s="102">
        <f t="shared" si="576"/>
        <v>2400</v>
      </c>
      <c r="BA252" s="99">
        <v>800</v>
      </c>
      <c r="BB252" s="113"/>
      <c r="BC252" s="102">
        <f t="shared" si="577"/>
        <v>3200</v>
      </c>
      <c r="BD252" s="99">
        <v>800</v>
      </c>
      <c r="BE252" s="113"/>
      <c r="BF252" s="102">
        <f t="shared" si="578"/>
        <v>4000</v>
      </c>
      <c r="BG252" s="99">
        <v>800</v>
      </c>
      <c r="BH252" s="113"/>
      <c r="BI252" s="102">
        <f t="shared" si="579"/>
        <v>4800</v>
      </c>
      <c r="BJ252" s="99">
        <v>800</v>
      </c>
      <c r="BK252" s="113"/>
      <c r="BL252" s="102">
        <f t="shared" si="580"/>
        <v>5600</v>
      </c>
      <c r="BM252" s="99">
        <v>800</v>
      </c>
      <c r="BN252" s="113">
        <v>6463.82</v>
      </c>
      <c r="BO252" s="102">
        <f t="shared" si="581"/>
        <v>-63.819999999999709</v>
      </c>
      <c r="BP252" s="99">
        <v>800</v>
      </c>
      <c r="BQ252" s="113"/>
      <c r="BR252" s="102">
        <f t="shared" si="582"/>
        <v>736.18000000000029</v>
      </c>
      <c r="BS252" s="99">
        <v>800</v>
      </c>
      <c r="BT252" s="113"/>
      <c r="BU252" s="102">
        <f t="shared" si="583"/>
        <v>1536.1800000000003</v>
      </c>
      <c r="BV252" s="99">
        <v>800</v>
      </c>
      <c r="BW252" s="113"/>
      <c r="BX252" s="102">
        <f t="shared" si="584"/>
        <v>2336.1800000000003</v>
      </c>
      <c r="BY252" s="99">
        <v>800</v>
      </c>
      <c r="BZ252" s="113"/>
      <c r="CA252" s="102">
        <f t="shared" si="585"/>
        <v>3136.1800000000003</v>
      </c>
      <c r="CB252" s="99">
        <v>800</v>
      </c>
      <c r="CC252" s="113"/>
      <c r="CD252" s="102">
        <f t="shared" si="586"/>
        <v>3936.1800000000003</v>
      </c>
      <c r="CE252" s="99">
        <v>800</v>
      </c>
      <c r="CF252" s="113"/>
      <c r="CG252" s="102">
        <f t="shared" si="587"/>
        <v>4736.18</v>
      </c>
      <c r="CH252" s="99">
        <v>800</v>
      </c>
      <c r="CI252" s="113"/>
      <c r="CJ252" s="102">
        <f t="shared" si="588"/>
        <v>5536.18</v>
      </c>
      <c r="CK252" s="99">
        <v>800</v>
      </c>
      <c r="CL252" s="113"/>
      <c r="CM252" s="102">
        <f t="shared" si="589"/>
        <v>6336.18</v>
      </c>
      <c r="CN252" s="99">
        <v>800</v>
      </c>
      <c r="CO252" s="113">
        <v>8800</v>
      </c>
      <c r="CP252" s="102">
        <f t="shared" si="590"/>
        <v>-1663.8199999999997</v>
      </c>
      <c r="CQ252" s="99">
        <v>800</v>
      </c>
      <c r="CR252" s="113"/>
      <c r="CS252" s="102">
        <f t="shared" si="540"/>
        <v>-863.81999999999971</v>
      </c>
      <c r="CT252" s="99">
        <v>800</v>
      </c>
      <c r="CU252" s="113"/>
      <c r="CV252" s="102">
        <f t="shared" si="541"/>
        <v>-63.819999999999709</v>
      </c>
      <c r="CW252" s="99">
        <v>800</v>
      </c>
      <c r="CX252" s="113"/>
      <c r="CY252" s="102">
        <f t="shared" si="542"/>
        <v>736.18000000000029</v>
      </c>
    </row>
    <row r="253" spans="1:103" ht="25.5" customHeight="1">
      <c r="A253" s="41">
        <f>VLOOKUP(B253,справочник!$B$2:$E$322,4,FALSE)</f>
        <v>310</v>
      </c>
      <c r="B253" t="str">
        <f t="shared" si="488"/>
        <v>133-134Сидельникова Ольга Петровна</v>
      </c>
      <c r="C253" s="1" t="s">
        <v>238</v>
      </c>
      <c r="D253" s="2" t="s">
        <v>239</v>
      </c>
      <c r="E253" s="1" t="s">
        <v>549</v>
      </c>
      <c r="F253" s="19">
        <v>40778</v>
      </c>
      <c r="G253" s="19">
        <v>40787</v>
      </c>
      <c r="H253" s="20">
        <f t="shared" si="574"/>
        <v>52</v>
      </c>
      <c r="I253" s="5">
        <f t="shared" si="517"/>
        <v>52000</v>
      </c>
      <c r="J253" s="20">
        <v>12000</v>
      </c>
      <c r="K253" s="20"/>
      <c r="L253" s="21">
        <f t="shared" si="591"/>
        <v>40000</v>
      </c>
      <c r="M253" s="29">
        <v>5000</v>
      </c>
      <c r="N253" s="29"/>
      <c r="O253" s="29">
        <v>5000</v>
      </c>
      <c r="P253" s="29">
        <v>4950</v>
      </c>
      <c r="Q253" s="29">
        <v>5000</v>
      </c>
      <c r="R253" s="29"/>
      <c r="S253" s="29">
        <v>800</v>
      </c>
      <c r="T253">
        <v>3975</v>
      </c>
      <c r="U253" s="29">
        <v>800</v>
      </c>
      <c r="V253" s="29">
        <v>800</v>
      </c>
      <c r="W253" s="29"/>
      <c r="X253" s="29"/>
      <c r="Y253" s="18">
        <f t="shared" si="489"/>
        <v>26325</v>
      </c>
      <c r="Z253" s="96">
        <v>12</v>
      </c>
      <c r="AA253" s="96">
        <f t="shared" si="490"/>
        <v>9600</v>
      </c>
      <c r="AB253" s="96">
        <f t="shared" si="491"/>
        <v>23275</v>
      </c>
      <c r="AC253" s="99">
        <v>800</v>
      </c>
      <c r="AD253" s="98"/>
      <c r="AE253" s="102">
        <f t="shared" si="492"/>
        <v>24075</v>
      </c>
      <c r="AF253" s="99">
        <v>800</v>
      </c>
      <c r="AG253" s="98"/>
      <c r="AH253" s="102">
        <f t="shared" si="519"/>
        <v>24875</v>
      </c>
      <c r="AI253" s="99">
        <v>800</v>
      </c>
      <c r="AJ253" s="98"/>
      <c r="AK253" s="102">
        <f t="shared" si="520"/>
        <v>25675</v>
      </c>
      <c r="AL253" s="99">
        <v>800</v>
      </c>
      <c r="AM253" s="98"/>
      <c r="AN253" s="102">
        <f t="shared" si="543"/>
        <v>26475</v>
      </c>
      <c r="AO253" s="99">
        <v>800</v>
      </c>
      <c r="AP253" s="113"/>
      <c r="AQ253" s="102">
        <f t="shared" si="544"/>
        <v>27275</v>
      </c>
      <c r="AR253" s="99">
        <v>800</v>
      </c>
      <c r="AS253" s="113"/>
      <c r="AT253" s="102">
        <f t="shared" si="545"/>
        <v>28075</v>
      </c>
      <c r="AU253" s="99">
        <v>800</v>
      </c>
      <c r="AV253" s="113"/>
      <c r="AW253" s="102">
        <f t="shared" si="575"/>
        <v>28875</v>
      </c>
      <c r="AX253" s="99">
        <v>800</v>
      </c>
      <c r="AY253" s="113"/>
      <c r="AZ253" s="102">
        <f t="shared" si="576"/>
        <v>29675</v>
      </c>
      <c r="BA253" s="99">
        <v>800</v>
      </c>
      <c r="BB253" s="113"/>
      <c r="BC253" s="102">
        <f t="shared" si="577"/>
        <v>30475</v>
      </c>
      <c r="BD253" s="99">
        <v>800</v>
      </c>
      <c r="BE253" s="113"/>
      <c r="BF253" s="102">
        <f t="shared" si="578"/>
        <v>31275</v>
      </c>
      <c r="BG253" s="99">
        <v>800</v>
      </c>
      <c r="BH253" s="113"/>
      <c r="BI253" s="102">
        <f t="shared" si="579"/>
        <v>32075</v>
      </c>
      <c r="BJ253" s="99">
        <v>800</v>
      </c>
      <c r="BK253" s="113"/>
      <c r="BL253" s="102">
        <f t="shared" si="580"/>
        <v>32875</v>
      </c>
      <c r="BM253" s="99">
        <v>800</v>
      </c>
      <c r="BN253" s="113"/>
      <c r="BO253" s="102">
        <f t="shared" si="581"/>
        <v>33675</v>
      </c>
      <c r="BP253" s="99">
        <v>800</v>
      </c>
      <c r="BQ253" s="113"/>
      <c r="BR253" s="102">
        <f t="shared" si="582"/>
        <v>34475</v>
      </c>
      <c r="BS253" s="99">
        <v>800</v>
      </c>
      <c r="BT253" s="113"/>
      <c r="BU253" s="102">
        <f t="shared" si="583"/>
        <v>35275</v>
      </c>
      <c r="BV253" s="99">
        <v>800</v>
      </c>
      <c r="BW253" s="113"/>
      <c r="BX253" s="102">
        <f t="shared" si="584"/>
        <v>36075</v>
      </c>
      <c r="BY253" s="99">
        <v>800</v>
      </c>
      <c r="BZ253" s="113"/>
      <c r="CA253" s="102">
        <f t="shared" si="585"/>
        <v>36875</v>
      </c>
      <c r="CB253" s="99">
        <v>800</v>
      </c>
      <c r="CC253" s="113"/>
      <c r="CD253" s="102">
        <f t="shared" si="586"/>
        <v>37675</v>
      </c>
      <c r="CE253" s="99">
        <v>800</v>
      </c>
      <c r="CF253" s="113"/>
      <c r="CG253" s="102">
        <f t="shared" si="587"/>
        <v>38475</v>
      </c>
      <c r="CH253" s="99">
        <v>800</v>
      </c>
      <c r="CI253" s="113"/>
      <c r="CJ253" s="102">
        <f t="shared" si="588"/>
        <v>39275</v>
      </c>
      <c r="CK253" s="99">
        <v>800</v>
      </c>
      <c r="CL253" s="113"/>
      <c r="CM253" s="102">
        <f t="shared" si="589"/>
        <v>40075</v>
      </c>
      <c r="CN253" s="99">
        <v>800</v>
      </c>
      <c r="CO253" s="113"/>
      <c r="CP253" s="102">
        <f t="shared" si="590"/>
        <v>40875</v>
      </c>
      <c r="CQ253" s="99">
        <v>800</v>
      </c>
      <c r="CR253" s="113"/>
      <c r="CS253" s="102">
        <f t="shared" si="540"/>
        <v>41675</v>
      </c>
      <c r="CT253" s="99">
        <v>800</v>
      </c>
      <c r="CU253" s="113"/>
      <c r="CV253" s="102">
        <f t="shared" si="541"/>
        <v>42475</v>
      </c>
      <c r="CW253" s="99">
        <v>800</v>
      </c>
      <c r="CX253" s="113"/>
      <c r="CY253" s="102">
        <f t="shared" si="542"/>
        <v>43275</v>
      </c>
    </row>
    <row r="254" spans="1:103" ht="15" customHeight="1">
      <c r="A254" s="41">
        <f>VLOOKUP(B254,справочник!$B$2:$E$322,4,FALSE)</f>
        <v>205</v>
      </c>
      <c r="B254" t="str">
        <f t="shared" si="488"/>
        <v>215Сидоров Александр Юрьевич</v>
      </c>
      <c r="C254" s="1">
        <v>215</v>
      </c>
      <c r="D254" s="2" t="s">
        <v>240</v>
      </c>
      <c r="E254" s="1" t="s">
        <v>550</v>
      </c>
      <c r="F254" s="16">
        <v>41023</v>
      </c>
      <c r="G254" s="16">
        <v>41000</v>
      </c>
      <c r="H254" s="17">
        <f t="shared" si="574"/>
        <v>45</v>
      </c>
      <c r="I254" s="1">
        <f t="shared" si="517"/>
        <v>45000</v>
      </c>
      <c r="J254" s="17">
        <v>33000</v>
      </c>
      <c r="K254" s="17"/>
      <c r="L254" s="18">
        <f t="shared" si="591"/>
        <v>12000</v>
      </c>
      <c r="M254" s="29"/>
      <c r="N254" s="29"/>
      <c r="O254" s="29"/>
      <c r="P254" s="29"/>
      <c r="Q254" s="29"/>
      <c r="R254" s="29"/>
      <c r="S254" s="29">
        <v>12000</v>
      </c>
      <c r="T254" s="29"/>
      <c r="U254" s="29"/>
      <c r="V254" s="29"/>
      <c r="W254" s="29"/>
      <c r="X254" s="29"/>
      <c r="Y254" s="18">
        <f t="shared" si="489"/>
        <v>12000</v>
      </c>
      <c r="Z254" s="96">
        <v>12</v>
      </c>
      <c r="AA254" s="96">
        <f t="shared" si="490"/>
        <v>9600</v>
      </c>
      <c r="AB254" s="96">
        <f t="shared" si="491"/>
        <v>9600</v>
      </c>
      <c r="AC254" s="99">
        <v>800</v>
      </c>
      <c r="AD254" s="98"/>
      <c r="AE254" s="102">
        <f t="shared" si="492"/>
        <v>10400</v>
      </c>
      <c r="AF254" s="99">
        <v>800</v>
      </c>
      <c r="AG254" s="98"/>
      <c r="AH254" s="102">
        <f t="shared" si="519"/>
        <v>11200</v>
      </c>
      <c r="AI254" s="99">
        <v>800</v>
      </c>
      <c r="AJ254" s="98"/>
      <c r="AK254" s="102">
        <f t="shared" si="520"/>
        <v>12000</v>
      </c>
      <c r="AL254" s="99">
        <v>800</v>
      </c>
      <c r="AM254" s="98"/>
      <c r="AN254" s="102">
        <f t="shared" si="543"/>
        <v>12800</v>
      </c>
      <c r="AO254" s="99">
        <v>800</v>
      </c>
      <c r="AP254" s="113"/>
      <c r="AQ254" s="102">
        <f t="shared" si="544"/>
        <v>13600</v>
      </c>
      <c r="AR254" s="99">
        <v>800</v>
      </c>
      <c r="AS254" s="113"/>
      <c r="AT254" s="102">
        <f t="shared" si="545"/>
        <v>14400</v>
      </c>
      <c r="AU254" s="99">
        <v>800</v>
      </c>
      <c r="AV254" s="113"/>
      <c r="AW254" s="102">
        <f t="shared" si="575"/>
        <v>15200</v>
      </c>
      <c r="AX254" s="99">
        <v>800</v>
      </c>
      <c r="AY254" s="113"/>
      <c r="AZ254" s="102">
        <f t="shared" si="576"/>
        <v>16000</v>
      </c>
      <c r="BA254" s="99">
        <v>800</v>
      </c>
      <c r="BB254" s="113"/>
      <c r="BC254" s="102">
        <f t="shared" si="577"/>
        <v>16800</v>
      </c>
      <c r="BD254" s="99">
        <v>800</v>
      </c>
      <c r="BE254" s="113"/>
      <c r="BF254" s="102">
        <f t="shared" si="578"/>
        <v>17600</v>
      </c>
      <c r="BG254" s="99">
        <v>800</v>
      </c>
      <c r="BH254" s="113"/>
      <c r="BI254" s="102">
        <f t="shared" si="579"/>
        <v>18400</v>
      </c>
      <c r="BJ254" s="99">
        <v>800</v>
      </c>
      <c r="BK254" s="113"/>
      <c r="BL254" s="102">
        <f t="shared" si="580"/>
        <v>19200</v>
      </c>
      <c r="BM254" s="99">
        <v>800</v>
      </c>
      <c r="BN254" s="113"/>
      <c r="BO254" s="102">
        <f t="shared" si="581"/>
        <v>20000</v>
      </c>
      <c r="BP254" s="99">
        <v>800</v>
      </c>
      <c r="BQ254" s="113"/>
      <c r="BR254" s="102">
        <f t="shared" si="582"/>
        <v>20800</v>
      </c>
      <c r="BS254" s="99">
        <v>800</v>
      </c>
      <c r="BT254" s="113"/>
      <c r="BU254" s="102">
        <f t="shared" si="583"/>
        <v>21600</v>
      </c>
      <c r="BV254" s="99">
        <v>800</v>
      </c>
      <c r="BW254" s="113"/>
      <c r="BX254" s="102">
        <f t="shared" si="584"/>
        <v>22400</v>
      </c>
      <c r="BY254" s="99">
        <v>800</v>
      </c>
      <c r="BZ254" s="113"/>
      <c r="CA254" s="102">
        <f t="shared" si="585"/>
        <v>23200</v>
      </c>
      <c r="CB254" s="99">
        <v>800</v>
      </c>
      <c r="CC254" s="113"/>
      <c r="CD254" s="102">
        <f t="shared" si="586"/>
        <v>24000</v>
      </c>
      <c r="CE254" s="99">
        <v>800</v>
      </c>
      <c r="CF254" s="113">
        <v>16000</v>
      </c>
      <c r="CG254" s="102">
        <f t="shared" si="587"/>
        <v>8800</v>
      </c>
      <c r="CH254" s="99">
        <v>800</v>
      </c>
      <c r="CI254" s="113"/>
      <c r="CJ254" s="102">
        <f t="shared" si="588"/>
        <v>9600</v>
      </c>
      <c r="CK254" s="99">
        <v>800</v>
      </c>
      <c r="CL254" s="113"/>
      <c r="CM254" s="102">
        <f t="shared" si="589"/>
        <v>10400</v>
      </c>
      <c r="CN254" s="99">
        <v>800</v>
      </c>
      <c r="CO254" s="113"/>
      <c r="CP254" s="102">
        <f t="shared" si="590"/>
        <v>11200</v>
      </c>
      <c r="CQ254" s="99">
        <v>800</v>
      </c>
      <c r="CR254" s="113"/>
      <c r="CS254" s="102">
        <f t="shared" si="540"/>
        <v>12000</v>
      </c>
      <c r="CT254" s="99">
        <v>800</v>
      </c>
      <c r="CU254" s="113"/>
      <c r="CV254" s="102">
        <f t="shared" si="541"/>
        <v>12800</v>
      </c>
      <c r="CW254" s="99">
        <v>800</v>
      </c>
      <c r="CX254" s="113"/>
      <c r="CY254" s="102">
        <f t="shared" si="542"/>
        <v>13600</v>
      </c>
    </row>
    <row r="255" spans="1:103" ht="25.5" customHeight="1">
      <c r="A255" s="41" t="e">
        <f>VLOOKUP(B255,справочник!$B$2:$E$322,4,FALSE)</f>
        <v>#N/A</v>
      </c>
      <c r="B255" t="str">
        <f t="shared" si="488"/>
        <v>112Присталова Ольга Валерьевна (новый собственник Сиротин Дмитрий Борисович)</v>
      </c>
      <c r="C255" s="1">
        <v>112</v>
      </c>
      <c r="D255" s="2" t="s">
        <v>812</v>
      </c>
      <c r="E255" s="1" t="s">
        <v>551</v>
      </c>
      <c r="F255" s="16">
        <v>40932</v>
      </c>
      <c r="G255" s="16">
        <v>40909</v>
      </c>
      <c r="H255" s="17">
        <f t="shared" si="574"/>
        <v>48</v>
      </c>
      <c r="I255" s="1">
        <f t="shared" si="517"/>
        <v>48000</v>
      </c>
      <c r="J255" s="17">
        <v>40000</v>
      </c>
      <c r="K255" s="17">
        <v>4000</v>
      </c>
      <c r="L255" s="18">
        <f t="shared" si="591"/>
        <v>4000</v>
      </c>
      <c r="M255" s="29"/>
      <c r="N255" s="29">
        <v>2000</v>
      </c>
      <c r="O255" s="29">
        <v>3600</v>
      </c>
      <c r="P255" s="29">
        <v>1600</v>
      </c>
      <c r="Q255" s="29"/>
      <c r="R255" s="29">
        <v>800</v>
      </c>
      <c r="S255" s="29">
        <v>1600</v>
      </c>
      <c r="T255">
        <v>800</v>
      </c>
      <c r="U255" s="29"/>
      <c r="V255" s="29">
        <v>800</v>
      </c>
      <c r="W255" s="29">
        <v>800</v>
      </c>
      <c r="X255" s="29"/>
      <c r="Y255" s="18">
        <f t="shared" si="489"/>
        <v>12000</v>
      </c>
      <c r="Z255" s="96">
        <v>12</v>
      </c>
      <c r="AA255" s="96">
        <f t="shared" si="490"/>
        <v>9600</v>
      </c>
      <c r="AB255" s="96">
        <f t="shared" si="491"/>
        <v>1600</v>
      </c>
      <c r="AC255" s="99">
        <v>800</v>
      </c>
      <c r="AD255" s="98"/>
      <c r="AE255" s="102">
        <f t="shared" si="492"/>
        <v>2400</v>
      </c>
      <c r="AF255" s="99">
        <v>800</v>
      </c>
      <c r="AG255" s="98">
        <f>1600+1600</f>
        <v>3200</v>
      </c>
      <c r="AH255" s="102">
        <f t="shared" si="519"/>
        <v>0</v>
      </c>
      <c r="AI255" s="99">
        <v>800</v>
      </c>
      <c r="AJ255" s="98">
        <v>800</v>
      </c>
      <c r="AK255" s="102">
        <f t="shared" si="520"/>
        <v>0</v>
      </c>
      <c r="AL255" s="99">
        <v>800</v>
      </c>
      <c r="AM255" s="98"/>
      <c r="AN255" s="102">
        <f t="shared" si="543"/>
        <v>800</v>
      </c>
      <c r="AO255" s="99">
        <v>800</v>
      </c>
      <c r="AP255" s="113">
        <v>1600</v>
      </c>
      <c r="AQ255" s="102">
        <f t="shared" si="544"/>
        <v>0</v>
      </c>
      <c r="AR255" s="99">
        <v>800</v>
      </c>
      <c r="AS255" s="113"/>
      <c r="AT255" s="102">
        <f t="shared" si="545"/>
        <v>800</v>
      </c>
      <c r="AU255" s="99">
        <v>800</v>
      </c>
      <c r="AV255" s="113"/>
      <c r="AW255" s="102">
        <f t="shared" si="575"/>
        <v>1600</v>
      </c>
      <c r="AX255" s="99">
        <v>800</v>
      </c>
      <c r="AY255" s="113"/>
      <c r="AZ255" s="102">
        <f t="shared" si="576"/>
        <v>2400</v>
      </c>
      <c r="BA255" s="99">
        <v>800</v>
      </c>
      <c r="BB255" s="113">
        <v>2400</v>
      </c>
      <c r="BC255" s="102">
        <f t="shared" si="577"/>
        <v>800</v>
      </c>
      <c r="BD255" s="99">
        <v>800</v>
      </c>
      <c r="BE255" s="113"/>
      <c r="BF255" s="102">
        <f t="shared" si="578"/>
        <v>1600</v>
      </c>
      <c r="BG255" s="99">
        <v>800</v>
      </c>
      <c r="BH255" s="113">
        <v>1600</v>
      </c>
      <c r="BI255" s="102">
        <f t="shared" si="579"/>
        <v>800</v>
      </c>
      <c r="BJ255" s="99">
        <v>800</v>
      </c>
      <c r="BK255" s="113"/>
      <c r="BL255" s="102">
        <f t="shared" si="580"/>
        <v>1600</v>
      </c>
      <c r="BM255" s="99">
        <v>800</v>
      </c>
      <c r="BN255" s="113">
        <v>1600</v>
      </c>
      <c r="BO255" s="102">
        <f t="shared" si="581"/>
        <v>800</v>
      </c>
      <c r="BP255" s="99">
        <v>800</v>
      </c>
      <c r="BQ255" s="113"/>
      <c r="BR255" s="102">
        <f t="shared" si="582"/>
        <v>1600</v>
      </c>
      <c r="BS255" s="99">
        <v>800</v>
      </c>
      <c r="BT255" s="113"/>
      <c r="BU255" s="102">
        <f t="shared" si="583"/>
        <v>2400</v>
      </c>
      <c r="BV255" s="99">
        <v>800</v>
      </c>
      <c r="BW255" s="113">
        <v>2400</v>
      </c>
      <c r="BX255" s="102">
        <f t="shared" si="584"/>
        <v>800</v>
      </c>
      <c r="BY255" s="99">
        <v>800</v>
      </c>
      <c r="BZ255" s="113"/>
      <c r="CA255" s="102">
        <f t="shared" si="585"/>
        <v>1600</v>
      </c>
      <c r="CB255" s="99">
        <v>800</v>
      </c>
      <c r="CC255" s="113">
        <v>2500</v>
      </c>
      <c r="CD255" s="102">
        <f t="shared" si="586"/>
        <v>-100</v>
      </c>
      <c r="CE255" s="99">
        <v>800</v>
      </c>
      <c r="CF255" s="113"/>
      <c r="CG255" s="102">
        <f t="shared" si="587"/>
        <v>700</v>
      </c>
      <c r="CH255" s="99">
        <v>800</v>
      </c>
      <c r="CI255" s="113"/>
      <c r="CJ255" s="102">
        <f t="shared" si="588"/>
        <v>1500</v>
      </c>
      <c r="CK255" s="99">
        <v>800</v>
      </c>
      <c r="CL255" s="113"/>
      <c r="CM255" s="102">
        <f t="shared" si="589"/>
        <v>2300</v>
      </c>
      <c r="CN255" s="99">
        <v>800</v>
      </c>
      <c r="CO255" s="113"/>
      <c r="CP255" s="102">
        <f t="shared" si="590"/>
        <v>3100</v>
      </c>
      <c r="CQ255" s="99">
        <v>800</v>
      </c>
      <c r="CR255" s="113">
        <v>3100</v>
      </c>
      <c r="CS255" s="102">
        <f t="shared" si="540"/>
        <v>800</v>
      </c>
      <c r="CT255" s="99">
        <v>800</v>
      </c>
      <c r="CU255" s="113">
        <v>1600</v>
      </c>
      <c r="CV255" s="102">
        <f t="shared" si="541"/>
        <v>0</v>
      </c>
      <c r="CW255" s="99">
        <v>800</v>
      </c>
      <c r="CX255" s="113"/>
      <c r="CY255" s="102">
        <f t="shared" si="542"/>
        <v>800</v>
      </c>
    </row>
    <row r="256" spans="1:103" ht="35.25" customHeight="1">
      <c r="A256" s="41" t="e">
        <f>VLOOKUP(B256,справочник!$B$2:$E$322,4,FALSE)</f>
        <v>#N/A</v>
      </c>
      <c r="B256" t="str">
        <f t="shared" si="488"/>
        <v>48Сломов Константин Витальевич (новый собственник  Желтов Евгений Александрович)</v>
      </c>
      <c r="C256" s="1">
        <v>48</v>
      </c>
      <c r="D256" s="2" t="s">
        <v>811</v>
      </c>
      <c r="E256" s="1" t="s">
        <v>552</v>
      </c>
      <c r="F256" s="16">
        <v>40786</v>
      </c>
      <c r="G256" s="16">
        <v>40787</v>
      </c>
      <c r="H256" s="17">
        <f t="shared" si="574"/>
        <v>52</v>
      </c>
      <c r="I256" s="1">
        <f t="shared" si="517"/>
        <v>52000</v>
      </c>
      <c r="J256" s="17">
        <f>1000+22000</f>
        <v>23000</v>
      </c>
      <c r="K256" s="17"/>
      <c r="L256" s="18">
        <f t="shared" si="591"/>
        <v>29000</v>
      </c>
      <c r="M256" s="29"/>
      <c r="N256" s="29"/>
      <c r="O256" s="29"/>
      <c r="P256" s="29"/>
      <c r="Q256" s="29"/>
      <c r="R256" s="29"/>
      <c r="S256" s="29">
        <v>33800</v>
      </c>
      <c r="T256">
        <v>1600</v>
      </c>
      <c r="U256" s="29">
        <v>1600</v>
      </c>
      <c r="V256" s="29"/>
      <c r="W256" s="29">
        <v>1600</v>
      </c>
      <c r="X256" s="29"/>
      <c r="Y256" s="18">
        <f t="shared" si="489"/>
        <v>38600</v>
      </c>
      <c r="Z256" s="96">
        <v>12</v>
      </c>
      <c r="AA256" s="96">
        <f t="shared" si="490"/>
        <v>9600</v>
      </c>
      <c r="AB256" s="96">
        <f t="shared" si="491"/>
        <v>0</v>
      </c>
      <c r="AC256" s="99">
        <v>800</v>
      </c>
      <c r="AD256" s="98">
        <v>1600</v>
      </c>
      <c r="AE256" s="102">
        <f t="shared" si="492"/>
        <v>-800</v>
      </c>
      <c r="AF256" s="99">
        <v>800</v>
      </c>
      <c r="AG256" s="98"/>
      <c r="AH256" s="102">
        <f t="shared" si="519"/>
        <v>0</v>
      </c>
      <c r="AI256" s="99">
        <v>800</v>
      </c>
      <c r="AJ256" s="98">
        <v>1600</v>
      </c>
      <c r="AK256" s="102">
        <f t="shared" si="520"/>
        <v>-800</v>
      </c>
      <c r="AL256" s="99">
        <v>800</v>
      </c>
      <c r="AM256" s="98"/>
      <c r="AN256" s="102">
        <f t="shared" si="543"/>
        <v>0</v>
      </c>
      <c r="AO256" s="99">
        <v>800</v>
      </c>
      <c r="AP256" s="113">
        <v>1600</v>
      </c>
      <c r="AQ256" s="102">
        <f t="shared" si="544"/>
        <v>-800</v>
      </c>
      <c r="AR256" s="99">
        <v>800</v>
      </c>
      <c r="AS256" s="113"/>
      <c r="AT256" s="102">
        <f t="shared" si="545"/>
        <v>0</v>
      </c>
      <c r="AU256" s="99">
        <v>800</v>
      </c>
      <c r="AV256" s="113">
        <v>1600</v>
      </c>
      <c r="AW256" s="102">
        <f t="shared" si="575"/>
        <v>-800</v>
      </c>
      <c r="AX256" s="99">
        <v>800</v>
      </c>
      <c r="AY256" s="113"/>
      <c r="AZ256" s="102">
        <f t="shared" si="576"/>
        <v>0</v>
      </c>
      <c r="BA256" s="99">
        <v>800</v>
      </c>
      <c r="BB256" s="113">
        <v>1600</v>
      </c>
      <c r="BC256" s="102">
        <f t="shared" si="577"/>
        <v>-800</v>
      </c>
      <c r="BD256" s="99">
        <v>800</v>
      </c>
      <c r="BE256" s="113"/>
      <c r="BF256" s="102">
        <f t="shared" si="578"/>
        <v>0</v>
      </c>
      <c r="BG256" s="99">
        <v>800</v>
      </c>
      <c r="BH256" s="113">
        <v>1600</v>
      </c>
      <c r="BI256" s="102">
        <f t="shared" si="579"/>
        <v>-800</v>
      </c>
      <c r="BJ256" s="99">
        <v>800</v>
      </c>
      <c r="BK256" s="113"/>
      <c r="BL256" s="102">
        <f t="shared" si="580"/>
        <v>0</v>
      </c>
      <c r="BM256" s="99">
        <v>800</v>
      </c>
      <c r="BN256" s="113"/>
      <c r="BO256" s="102">
        <f t="shared" si="581"/>
        <v>800</v>
      </c>
      <c r="BP256" s="99">
        <v>800</v>
      </c>
      <c r="BQ256" s="113">
        <v>3200</v>
      </c>
      <c r="BR256" s="102">
        <f t="shared" si="582"/>
        <v>-1600</v>
      </c>
      <c r="BS256" s="99">
        <v>800</v>
      </c>
      <c r="BT256" s="113"/>
      <c r="BU256" s="102">
        <f t="shared" si="583"/>
        <v>-800</v>
      </c>
      <c r="BV256" s="99">
        <v>800</v>
      </c>
      <c r="BW256" s="113">
        <v>1600</v>
      </c>
      <c r="BX256" s="102">
        <f t="shared" si="584"/>
        <v>-1600</v>
      </c>
      <c r="BY256" s="99">
        <v>800</v>
      </c>
      <c r="BZ256" s="113"/>
      <c r="CA256" s="102">
        <f t="shared" si="585"/>
        <v>-800</v>
      </c>
      <c r="CB256" s="99">
        <v>800</v>
      </c>
      <c r="CC256" s="113"/>
      <c r="CD256" s="102">
        <f t="shared" si="586"/>
        <v>0</v>
      </c>
      <c r="CE256" s="99">
        <v>800</v>
      </c>
      <c r="CF256" s="113"/>
      <c r="CG256" s="102">
        <f t="shared" si="587"/>
        <v>800</v>
      </c>
      <c r="CH256" s="99">
        <v>800</v>
      </c>
      <c r="CI256" s="113"/>
      <c r="CJ256" s="102">
        <f t="shared" si="588"/>
        <v>1600</v>
      </c>
      <c r="CK256" s="99">
        <v>800</v>
      </c>
      <c r="CL256" s="113"/>
      <c r="CM256" s="102">
        <f t="shared" si="589"/>
        <v>2400</v>
      </c>
      <c r="CN256" s="99">
        <v>800</v>
      </c>
      <c r="CO256" s="113">
        <v>4800</v>
      </c>
      <c r="CP256" s="102">
        <f t="shared" si="590"/>
        <v>-1600</v>
      </c>
      <c r="CQ256" s="99">
        <v>800</v>
      </c>
      <c r="CR256" s="113"/>
      <c r="CS256" s="102">
        <f t="shared" si="540"/>
        <v>-800</v>
      </c>
      <c r="CT256" s="99">
        <v>800</v>
      </c>
      <c r="CU256" s="113"/>
      <c r="CV256" s="102">
        <f t="shared" si="541"/>
        <v>0</v>
      </c>
      <c r="CW256" s="99">
        <v>800</v>
      </c>
      <c r="CX256" s="113"/>
      <c r="CY256" s="102">
        <f t="shared" si="542"/>
        <v>800</v>
      </c>
    </row>
    <row r="257" spans="1:103" ht="15" customHeight="1">
      <c r="A257" s="41" t="e">
        <f>VLOOKUP(B257,справочник!$B$2:$E$322,4,FALSE)</f>
        <v>#N/A</v>
      </c>
      <c r="B257" t="str">
        <f t="shared" si="488"/>
        <v>248Смирнов Максим Анатольевич</v>
      </c>
      <c r="C257" s="1">
        <v>248</v>
      </c>
      <c r="D257" s="2" t="s">
        <v>798</v>
      </c>
      <c r="E257" s="1" t="s">
        <v>553</v>
      </c>
      <c r="F257" s="16">
        <v>41036</v>
      </c>
      <c r="G257" s="16">
        <v>41030</v>
      </c>
      <c r="H257" s="17">
        <f t="shared" si="574"/>
        <v>44</v>
      </c>
      <c r="I257" s="1">
        <f t="shared" si="517"/>
        <v>44000</v>
      </c>
      <c r="J257" s="17">
        <v>13000</v>
      </c>
      <c r="K257" s="17"/>
      <c r="L257" s="18">
        <f t="shared" si="591"/>
        <v>31000</v>
      </c>
      <c r="M257" s="29">
        <v>31000</v>
      </c>
      <c r="N257" s="29"/>
      <c r="O257" s="29">
        <v>2000</v>
      </c>
      <c r="P257" s="29"/>
      <c r="Q257" s="29"/>
      <c r="R257" s="29"/>
      <c r="S257" s="29"/>
      <c r="T257" s="29"/>
      <c r="U257" s="29"/>
      <c r="V257" s="29"/>
      <c r="W257" s="29"/>
      <c r="X257" s="29"/>
      <c r="Y257" s="18">
        <f t="shared" si="489"/>
        <v>33000</v>
      </c>
      <c r="Z257" s="96">
        <v>12</v>
      </c>
      <c r="AA257" s="96">
        <f t="shared" si="490"/>
        <v>9600</v>
      </c>
      <c r="AB257" s="96">
        <f t="shared" si="491"/>
        <v>7600</v>
      </c>
      <c r="AC257" s="99">
        <v>800</v>
      </c>
      <c r="AD257" s="98"/>
      <c r="AE257" s="102">
        <f t="shared" si="492"/>
        <v>8400</v>
      </c>
      <c r="AF257" s="99">
        <v>800</v>
      </c>
      <c r="AG257" s="98"/>
      <c r="AH257" s="102">
        <f t="shared" si="519"/>
        <v>9200</v>
      </c>
      <c r="AI257" s="99">
        <v>800</v>
      </c>
      <c r="AJ257" s="98"/>
      <c r="AK257" s="102">
        <f t="shared" si="520"/>
        <v>10000</v>
      </c>
      <c r="AL257" s="99">
        <v>800</v>
      </c>
      <c r="AM257" s="98"/>
      <c r="AN257" s="102">
        <f t="shared" si="543"/>
        <v>10800</v>
      </c>
      <c r="AO257" s="99">
        <v>800</v>
      </c>
      <c r="AP257" s="113"/>
      <c r="AQ257" s="102">
        <f t="shared" si="544"/>
        <v>11600</v>
      </c>
      <c r="AR257" s="99">
        <v>800</v>
      </c>
      <c r="AS257" s="113"/>
      <c r="AT257" s="102">
        <f t="shared" si="545"/>
        <v>12400</v>
      </c>
      <c r="AU257" s="99">
        <v>800</v>
      </c>
      <c r="AV257" s="113"/>
      <c r="AW257" s="102">
        <f t="shared" si="575"/>
        <v>13200</v>
      </c>
      <c r="AX257" s="99">
        <v>800</v>
      </c>
      <c r="AY257" s="113"/>
      <c r="AZ257" s="102">
        <f t="shared" si="576"/>
        <v>14000</v>
      </c>
      <c r="BA257" s="99">
        <v>800</v>
      </c>
      <c r="BB257" s="113"/>
      <c r="BC257" s="102">
        <f t="shared" si="577"/>
        <v>14800</v>
      </c>
      <c r="BD257" s="99">
        <v>800</v>
      </c>
      <c r="BE257" s="113"/>
      <c r="BF257" s="102">
        <f t="shared" si="578"/>
        <v>15600</v>
      </c>
      <c r="BG257" s="99">
        <v>800</v>
      </c>
      <c r="BH257" s="113"/>
      <c r="BI257" s="102">
        <f t="shared" si="579"/>
        <v>16400</v>
      </c>
      <c r="BJ257" s="99">
        <v>800</v>
      </c>
      <c r="BK257" s="113">
        <v>16400</v>
      </c>
      <c r="BL257" s="102">
        <f t="shared" si="580"/>
        <v>800</v>
      </c>
      <c r="BM257" s="99">
        <v>800</v>
      </c>
      <c r="BN257" s="113">
        <v>1600</v>
      </c>
      <c r="BO257" s="102">
        <f t="shared" si="581"/>
        <v>0</v>
      </c>
      <c r="BP257" s="99">
        <v>800</v>
      </c>
      <c r="BQ257" s="113"/>
      <c r="BR257" s="102">
        <f t="shared" si="582"/>
        <v>800</v>
      </c>
      <c r="BS257" s="99">
        <v>800</v>
      </c>
      <c r="BT257" s="113"/>
      <c r="BU257" s="102">
        <f t="shared" si="583"/>
        <v>1600</v>
      </c>
      <c r="BV257" s="99">
        <v>800</v>
      </c>
      <c r="BW257" s="113">
        <v>1600</v>
      </c>
      <c r="BX257" s="102">
        <f t="shared" si="584"/>
        <v>800</v>
      </c>
      <c r="BY257" s="99">
        <v>800</v>
      </c>
      <c r="BZ257" s="113"/>
      <c r="CA257" s="102">
        <f t="shared" si="585"/>
        <v>1600</v>
      </c>
      <c r="CB257" s="99">
        <v>800</v>
      </c>
      <c r="CC257" s="113">
        <v>4000</v>
      </c>
      <c r="CD257" s="102">
        <f t="shared" si="586"/>
        <v>-1600</v>
      </c>
      <c r="CE257" s="99">
        <v>800</v>
      </c>
      <c r="CF257" s="113"/>
      <c r="CG257" s="102">
        <f t="shared" si="587"/>
        <v>-800</v>
      </c>
      <c r="CH257" s="99">
        <v>800</v>
      </c>
      <c r="CI257" s="113"/>
      <c r="CJ257" s="102">
        <f t="shared" si="588"/>
        <v>0</v>
      </c>
      <c r="CK257" s="99">
        <v>800</v>
      </c>
      <c r="CL257" s="113"/>
      <c r="CM257" s="102">
        <f t="shared" si="589"/>
        <v>800</v>
      </c>
      <c r="CN257" s="99">
        <v>800</v>
      </c>
      <c r="CO257" s="113">
        <v>3200</v>
      </c>
      <c r="CP257" s="102">
        <f t="shared" si="590"/>
        <v>-1600</v>
      </c>
      <c r="CQ257" s="99">
        <v>800</v>
      </c>
      <c r="CR257" s="113"/>
      <c r="CS257" s="102">
        <f t="shared" si="540"/>
        <v>-800</v>
      </c>
      <c r="CT257" s="99">
        <v>800</v>
      </c>
      <c r="CU257" s="113"/>
      <c r="CV257" s="102">
        <f t="shared" si="541"/>
        <v>0</v>
      </c>
      <c r="CW257" s="99">
        <v>800</v>
      </c>
      <c r="CX257" s="113"/>
      <c r="CY257" s="102">
        <f t="shared" si="542"/>
        <v>800</v>
      </c>
    </row>
    <row r="258" spans="1:103" ht="15" customHeight="1">
      <c r="A258" s="41">
        <f>VLOOKUP(B258,справочник!$B$2:$E$322,4,FALSE)</f>
        <v>263</v>
      </c>
      <c r="B258" t="str">
        <f t="shared" si="488"/>
        <v>276Соколова Ирина Анатольевна</v>
      </c>
      <c r="C258" s="1">
        <v>276</v>
      </c>
      <c r="D258" s="2" t="s">
        <v>244</v>
      </c>
      <c r="E258" s="1" t="s">
        <v>554</v>
      </c>
      <c r="F258" s="16">
        <v>41289</v>
      </c>
      <c r="G258" s="16">
        <v>41306</v>
      </c>
      <c r="H258" s="17">
        <f t="shared" si="574"/>
        <v>35</v>
      </c>
      <c r="I258" s="1">
        <f t="shared" si="517"/>
        <v>35000</v>
      </c>
      <c r="J258" s="17">
        <v>32000</v>
      </c>
      <c r="K258" s="17"/>
      <c r="L258" s="18">
        <f t="shared" si="591"/>
        <v>3000</v>
      </c>
      <c r="M258" s="29"/>
      <c r="N258" s="29">
        <v>2600</v>
      </c>
      <c r="O258" s="29">
        <v>800</v>
      </c>
      <c r="P258" s="29"/>
      <c r="Q258" s="29"/>
      <c r="R258" s="29"/>
      <c r="S258" s="29"/>
      <c r="T258" s="29"/>
      <c r="U258" s="29">
        <v>2400</v>
      </c>
      <c r="V258" s="29"/>
      <c r="W258" s="29"/>
      <c r="X258" s="29">
        <v>2400</v>
      </c>
      <c r="Y258" s="18">
        <f t="shared" si="489"/>
        <v>8200</v>
      </c>
      <c r="Z258" s="96">
        <v>12</v>
      </c>
      <c r="AA258" s="96">
        <f t="shared" si="490"/>
        <v>9600</v>
      </c>
      <c r="AB258" s="96">
        <f t="shared" si="491"/>
        <v>4400</v>
      </c>
      <c r="AC258" s="99">
        <v>800</v>
      </c>
      <c r="AD258" s="98"/>
      <c r="AE258" s="102">
        <f t="shared" si="492"/>
        <v>5200</v>
      </c>
      <c r="AF258" s="99">
        <v>800</v>
      </c>
      <c r="AG258" s="98">
        <f>1600+2400</f>
        <v>4000</v>
      </c>
      <c r="AH258" s="102">
        <f t="shared" si="519"/>
        <v>2000</v>
      </c>
      <c r="AI258" s="99">
        <v>800</v>
      </c>
      <c r="AJ258" s="98"/>
      <c r="AK258" s="102">
        <f t="shared" si="520"/>
        <v>2800</v>
      </c>
      <c r="AL258" s="99">
        <v>800</v>
      </c>
      <c r="AM258" s="98"/>
      <c r="AN258" s="102">
        <f t="shared" si="543"/>
        <v>3600</v>
      </c>
      <c r="AO258" s="99">
        <v>800</v>
      </c>
      <c r="AP258" s="113">
        <v>1600</v>
      </c>
      <c r="AQ258" s="102">
        <f t="shared" si="544"/>
        <v>2800</v>
      </c>
      <c r="AR258" s="99">
        <v>800</v>
      </c>
      <c r="AS258" s="113">
        <v>800</v>
      </c>
      <c r="AT258" s="102">
        <f t="shared" si="545"/>
        <v>2800</v>
      </c>
      <c r="AU258" s="99">
        <v>800</v>
      </c>
      <c r="AV258" s="113"/>
      <c r="AW258" s="102">
        <f t="shared" si="575"/>
        <v>3600</v>
      </c>
      <c r="AX258" s="99">
        <v>800</v>
      </c>
      <c r="AY258" s="113">
        <v>1600</v>
      </c>
      <c r="AZ258" s="102">
        <f t="shared" si="576"/>
        <v>2800</v>
      </c>
      <c r="BA258" s="99">
        <v>800</v>
      </c>
      <c r="BB258" s="113"/>
      <c r="BC258" s="102">
        <f t="shared" si="577"/>
        <v>3600</v>
      </c>
      <c r="BD258" s="99">
        <v>800</v>
      </c>
      <c r="BE258" s="113">
        <v>6000</v>
      </c>
      <c r="BF258" s="102">
        <f t="shared" si="578"/>
        <v>-1600</v>
      </c>
      <c r="BG258" s="99">
        <v>800</v>
      </c>
      <c r="BH258" s="113"/>
      <c r="BI258" s="102">
        <f t="shared" si="579"/>
        <v>-800</v>
      </c>
      <c r="BJ258" s="99">
        <v>800</v>
      </c>
      <c r="BK258" s="113"/>
      <c r="BL258" s="102">
        <f t="shared" si="580"/>
        <v>0</v>
      </c>
      <c r="BM258" s="99">
        <v>800</v>
      </c>
      <c r="BN258" s="113"/>
      <c r="BO258" s="102">
        <f t="shared" si="581"/>
        <v>800</v>
      </c>
      <c r="BP258" s="99">
        <v>800</v>
      </c>
      <c r="BQ258" s="113"/>
      <c r="BR258" s="102">
        <f t="shared" si="582"/>
        <v>1600</v>
      </c>
      <c r="BS258" s="99">
        <v>800</v>
      </c>
      <c r="BT258" s="113"/>
      <c r="BU258" s="102">
        <f t="shared" si="583"/>
        <v>2400</v>
      </c>
      <c r="BV258" s="99">
        <v>800</v>
      </c>
      <c r="BW258" s="113"/>
      <c r="BX258" s="102">
        <f t="shared" si="584"/>
        <v>3200</v>
      </c>
      <c r="BY258" s="99">
        <v>800</v>
      </c>
      <c r="BZ258" s="113">
        <v>4800</v>
      </c>
      <c r="CA258" s="102">
        <f t="shared" si="585"/>
        <v>-800</v>
      </c>
      <c r="CB258" s="99">
        <v>800</v>
      </c>
      <c r="CC258" s="113"/>
      <c r="CD258" s="102">
        <f t="shared" si="586"/>
        <v>0</v>
      </c>
      <c r="CE258" s="99">
        <v>800</v>
      </c>
      <c r="CF258" s="113"/>
      <c r="CG258" s="102">
        <f t="shared" si="587"/>
        <v>800</v>
      </c>
      <c r="CH258" s="99">
        <v>800</v>
      </c>
      <c r="CI258" s="113"/>
      <c r="CJ258" s="102">
        <f t="shared" si="588"/>
        <v>1600</v>
      </c>
      <c r="CK258" s="99">
        <v>800</v>
      </c>
      <c r="CL258" s="113"/>
      <c r="CM258" s="102">
        <f t="shared" si="589"/>
        <v>2400</v>
      </c>
      <c r="CN258" s="99">
        <v>800</v>
      </c>
      <c r="CO258" s="113"/>
      <c r="CP258" s="102">
        <f t="shared" si="590"/>
        <v>3200</v>
      </c>
      <c r="CQ258" s="99">
        <v>800</v>
      </c>
      <c r="CR258" s="113"/>
      <c r="CS258" s="102">
        <f t="shared" si="540"/>
        <v>4000</v>
      </c>
      <c r="CT258" s="99">
        <v>800</v>
      </c>
      <c r="CU258" s="113"/>
      <c r="CV258" s="102">
        <f t="shared" si="541"/>
        <v>4800</v>
      </c>
      <c r="CW258" s="99">
        <v>800</v>
      </c>
      <c r="CX258" s="113"/>
      <c r="CY258" s="102">
        <f t="shared" si="542"/>
        <v>5600</v>
      </c>
    </row>
    <row r="259" spans="1:103" ht="15" customHeight="1">
      <c r="A259" s="41">
        <f>VLOOKUP(B259,справочник!$B$2:$E$322,4,FALSE)</f>
        <v>100</v>
      </c>
      <c r="B259" t="str">
        <f t="shared" si="488"/>
        <v>105Солодкий Дмитрий Павлович</v>
      </c>
      <c r="C259" s="1">
        <v>105</v>
      </c>
      <c r="D259" s="2" t="s">
        <v>245</v>
      </c>
      <c r="E259" s="1" t="s">
        <v>555</v>
      </c>
      <c r="F259" s="16">
        <v>41065</v>
      </c>
      <c r="G259" s="16">
        <v>41061</v>
      </c>
      <c r="H259" s="17">
        <f t="shared" si="574"/>
        <v>43</v>
      </c>
      <c r="I259" s="1">
        <f t="shared" si="517"/>
        <v>43000</v>
      </c>
      <c r="J259" s="17">
        <v>28000</v>
      </c>
      <c r="K259" s="17"/>
      <c r="L259" s="18">
        <f t="shared" si="591"/>
        <v>15000</v>
      </c>
      <c r="M259" s="29">
        <v>5050.3</v>
      </c>
      <c r="N259" s="29"/>
      <c r="O259" s="29"/>
      <c r="P259" s="29"/>
      <c r="Q259" s="29"/>
      <c r="R259" s="29"/>
      <c r="S259" s="29">
        <v>2800</v>
      </c>
      <c r="T259">
        <v>2000</v>
      </c>
      <c r="U259" s="29"/>
      <c r="V259" s="29"/>
      <c r="W259" s="29"/>
      <c r="X259" s="29"/>
      <c r="Y259" s="18">
        <f t="shared" si="489"/>
        <v>9850.2999999999993</v>
      </c>
      <c r="Z259" s="96">
        <v>12</v>
      </c>
      <c r="AA259" s="96">
        <f t="shared" si="490"/>
        <v>9600</v>
      </c>
      <c r="AB259" s="96">
        <f t="shared" si="491"/>
        <v>14749.7</v>
      </c>
      <c r="AC259" s="99">
        <v>800</v>
      </c>
      <c r="AD259" s="98"/>
      <c r="AE259" s="102">
        <f t="shared" si="492"/>
        <v>15549.7</v>
      </c>
      <c r="AF259" s="99">
        <v>800</v>
      </c>
      <c r="AG259" s="98"/>
      <c r="AH259" s="102">
        <f t="shared" si="519"/>
        <v>16349.7</v>
      </c>
      <c r="AI259" s="99">
        <v>800</v>
      </c>
      <c r="AJ259" s="98"/>
      <c r="AK259" s="102">
        <f t="shared" si="520"/>
        <v>17149.7</v>
      </c>
      <c r="AL259" s="99">
        <v>800</v>
      </c>
      <c r="AM259" s="98"/>
      <c r="AN259" s="102">
        <f t="shared" si="543"/>
        <v>17949.7</v>
      </c>
      <c r="AO259" s="99">
        <v>800</v>
      </c>
      <c r="AP259" s="113"/>
      <c r="AQ259" s="102">
        <f t="shared" si="544"/>
        <v>18749.7</v>
      </c>
      <c r="AR259" s="99">
        <v>800</v>
      </c>
      <c r="AS259" s="113"/>
      <c r="AT259" s="102">
        <f t="shared" si="545"/>
        <v>19549.7</v>
      </c>
      <c r="AU259" s="99">
        <v>800</v>
      </c>
      <c r="AV259" s="113"/>
      <c r="AW259" s="102">
        <f t="shared" si="575"/>
        <v>20349.7</v>
      </c>
      <c r="AX259" s="99">
        <v>800</v>
      </c>
      <c r="AY259" s="113"/>
      <c r="AZ259" s="102">
        <f t="shared" si="576"/>
        <v>21149.7</v>
      </c>
      <c r="BA259" s="99">
        <v>800</v>
      </c>
      <c r="BB259" s="113"/>
      <c r="BC259" s="102">
        <f t="shared" si="577"/>
        <v>21949.7</v>
      </c>
      <c r="BD259" s="99">
        <v>800</v>
      </c>
      <c r="BE259" s="113"/>
      <c r="BF259" s="102">
        <f t="shared" si="578"/>
        <v>22749.7</v>
      </c>
      <c r="BG259" s="99">
        <v>800</v>
      </c>
      <c r="BH259" s="113"/>
      <c r="BI259" s="102">
        <f t="shared" si="579"/>
        <v>23549.7</v>
      </c>
      <c r="BJ259" s="99">
        <v>800</v>
      </c>
      <c r="BK259" s="113"/>
      <c r="BL259" s="102">
        <f t="shared" si="580"/>
        <v>24349.7</v>
      </c>
      <c r="BM259" s="99">
        <v>800</v>
      </c>
      <c r="BN259" s="113">
        <v>2800</v>
      </c>
      <c r="BO259" s="102">
        <f t="shared" si="581"/>
        <v>22349.7</v>
      </c>
      <c r="BP259" s="99">
        <v>800</v>
      </c>
      <c r="BQ259" s="113">
        <v>2800</v>
      </c>
      <c r="BR259" s="102">
        <f t="shared" si="582"/>
        <v>20349.7</v>
      </c>
      <c r="BS259" s="99">
        <v>800</v>
      </c>
      <c r="BT259" s="113">
        <v>2800</v>
      </c>
      <c r="BU259" s="102">
        <f t="shared" si="583"/>
        <v>18349.7</v>
      </c>
      <c r="BV259" s="99">
        <v>800</v>
      </c>
      <c r="BW259" s="113">
        <v>2800</v>
      </c>
      <c r="BX259" s="102">
        <f t="shared" si="584"/>
        <v>16349.7</v>
      </c>
      <c r="BY259" s="99">
        <v>800</v>
      </c>
      <c r="BZ259" s="113">
        <v>2800</v>
      </c>
      <c r="CA259" s="102">
        <f t="shared" si="585"/>
        <v>14349.7</v>
      </c>
      <c r="CB259" s="99">
        <v>800</v>
      </c>
      <c r="CC259" s="113">
        <v>2800</v>
      </c>
      <c r="CD259" s="102">
        <f t="shared" si="586"/>
        <v>12349.7</v>
      </c>
      <c r="CE259" s="99">
        <v>800</v>
      </c>
      <c r="CF259" s="113">
        <v>2800</v>
      </c>
      <c r="CG259" s="102">
        <f t="shared" si="587"/>
        <v>10349.700000000001</v>
      </c>
      <c r="CH259" s="99">
        <v>800</v>
      </c>
      <c r="CI259" s="113">
        <v>2800</v>
      </c>
      <c r="CJ259" s="102">
        <f t="shared" si="588"/>
        <v>8349.7000000000007</v>
      </c>
      <c r="CK259" s="99">
        <v>800</v>
      </c>
      <c r="CL259" s="113">
        <v>2800</v>
      </c>
      <c r="CM259" s="102">
        <f t="shared" si="589"/>
        <v>6349.7000000000007</v>
      </c>
      <c r="CN259" s="99">
        <v>800</v>
      </c>
      <c r="CO259" s="113">
        <v>2800</v>
      </c>
      <c r="CP259" s="102">
        <f t="shared" si="590"/>
        <v>4349.7000000000007</v>
      </c>
      <c r="CQ259" s="99">
        <v>800</v>
      </c>
      <c r="CR259" s="113">
        <v>2800</v>
      </c>
      <c r="CS259" s="102">
        <f t="shared" si="540"/>
        <v>2349.7000000000007</v>
      </c>
      <c r="CT259" s="99">
        <v>800</v>
      </c>
      <c r="CU259" s="113">
        <v>2800</v>
      </c>
      <c r="CV259" s="102">
        <f t="shared" si="541"/>
        <v>349.70000000000073</v>
      </c>
      <c r="CW259" s="99">
        <v>800</v>
      </c>
      <c r="CX259" s="113"/>
      <c r="CY259" s="102">
        <f t="shared" si="542"/>
        <v>1149.7000000000007</v>
      </c>
    </row>
    <row r="260" spans="1:103" ht="15" customHeight="1">
      <c r="A260" s="41">
        <f>VLOOKUP(B260,справочник!$B$2:$E$322,4,FALSE)</f>
        <v>131</v>
      </c>
      <c r="B260" t="str">
        <f t="shared" si="488"/>
        <v>138Спивак Сергей Николаевич</v>
      </c>
      <c r="C260" s="1">
        <v>138</v>
      </c>
      <c r="D260" s="2" t="s">
        <v>246</v>
      </c>
      <c r="E260" s="1" t="s">
        <v>556</v>
      </c>
      <c r="F260" s="16">
        <v>41114</v>
      </c>
      <c r="G260" s="16">
        <v>41122</v>
      </c>
      <c r="H260" s="17">
        <f t="shared" si="574"/>
        <v>41</v>
      </c>
      <c r="I260" s="1">
        <f t="shared" si="517"/>
        <v>41000</v>
      </c>
      <c r="J260" s="17">
        <v>23000</v>
      </c>
      <c r="K260" s="17">
        <v>6000</v>
      </c>
      <c r="L260" s="18">
        <f t="shared" si="591"/>
        <v>12000</v>
      </c>
      <c r="M260" s="29"/>
      <c r="N260" s="29"/>
      <c r="O260" s="29"/>
      <c r="P260" s="29">
        <v>14400</v>
      </c>
      <c r="Q260" s="29"/>
      <c r="R260" s="29"/>
      <c r="S260" s="29"/>
      <c r="T260" s="29"/>
      <c r="U260" s="29"/>
      <c r="V260" s="29">
        <v>5600</v>
      </c>
      <c r="W260" s="29"/>
      <c r="X260" s="29">
        <v>1600</v>
      </c>
      <c r="Y260" s="18">
        <f t="shared" si="489"/>
        <v>21600</v>
      </c>
      <c r="Z260" s="96">
        <v>12</v>
      </c>
      <c r="AA260" s="96">
        <f t="shared" si="490"/>
        <v>9600</v>
      </c>
      <c r="AB260" s="96">
        <f t="shared" si="491"/>
        <v>0</v>
      </c>
      <c r="AC260" s="99">
        <v>800</v>
      </c>
      <c r="AD260" s="98"/>
      <c r="AE260" s="102">
        <f t="shared" si="492"/>
        <v>800</v>
      </c>
      <c r="AF260" s="99">
        <v>800</v>
      </c>
      <c r="AG260" s="98"/>
      <c r="AH260" s="102">
        <f t="shared" si="519"/>
        <v>1600</v>
      </c>
      <c r="AI260" s="99">
        <v>800</v>
      </c>
      <c r="AJ260" s="98"/>
      <c r="AK260" s="102">
        <f t="shared" si="520"/>
        <v>2400</v>
      </c>
      <c r="AL260" s="99">
        <v>800</v>
      </c>
      <c r="AM260" s="98"/>
      <c r="AN260" s="102">
        <f t="shared" si="543"/>
        <v>3200</v>
      </c>
      <c r="AO260" s="99">
        <v>800</v>
      </c>
      <c r="AP260" s="113"/>
      <c r="AQ260" s="102">
        <f t="shared" si="544"/>
        <v>4000</v>
      </c>
      <c r="AR260" s="99">
        <v>800</v>
      </c>
      <c r="AS260" s="113"/>
      <c r="AT260" s="102">
        <f t="shared" si="545"/>
        <v>4800</v>
      </c>
      <c r="AU260" s="99">
        <v>800</v>
      </c>
      <c r="AV260" s="113"/>
      <c r="AW260" s="102">
        <f t="shared" si="575"/>
        <v>5600</v>
      </c>
      <c r="AX260" s="99">
        <v>800</v>
      </c>
      <c r="AY260" s="113">
        <v>7200</v>
      </c>
      <c r="AZ260" s="102">
        <f>AW260+AX260-AY260</f>
        <v>-800</v>
      </c>
      <c r="BA260" s="99">
        <v>800</v>
      </c>
      <c r="BB260" s="113"/>
      <c r="BC260" s="102">
        <f t="shared" si="577"/>
        <v>0</v>
      </c>
      <c r="BD260" s="99">
        <v>800</v>
      </c>
      <c r="BE260" s="113"/>
      <c r="BF260" s="102">
        <f t="shared" si="578"/>
        <v>800</v>
      </c>
      <c r="BG260" s="99">
        <v>800</v>
      </c>
      <c r="BH260" s="113"/>
      <c r="BI260" s="102">
        <f t="shared" si="579"/>
        <v>1600</v>
      </c>
      <c r="BJ260" s="99">
        <v>800</v>
      </c>
      <c r="BK260" s="113"/>
      <c r="BL260" s="102">
        <f t="shared" si="580"/>
        <v>2400</v>
      </c>
      <c r="BM260" s="99">
        <v>800</v>
      </c>
      <c r="BN260" s="113"/>
      <c r="BO260" s="102">
        <f t="shared" si="581"/>
        <v>3200</v>
      </c>
      <c r="BP260" s="99">
        <v>800</v>
      </c>
      <c r="BQ260" s="113"/>
      <c r="BR260" s="102">
        <f t="shared" si="582"/>
        <v>4000</v>
      </c>
      <c r="BS260" s="99">
        <v>800</v>
      </c>
      <c r="BT260" s="113"/>
      <c r="BU260" s="102">
        <f t="shared" si="583"/>
        <v>4800</v>
      </c>
      <c r="BV260" s="99">
        <v>800</v>
      </c>
      <c r="BW260" s="113"/>
      <c r="BX260" s="102">
        <f t="shared" si="584"/>
        <v>5600</v>
      </c>
      <c r="BY260" s="99">
        <v>800</v>
      </c>
      <c r="BZ260" s="113"/>
      <c r="CA260" s="102">
        <f t="shared" si="585"/>
        <v>6400</v>
      </c>
      <c r="CB260" s="99">
        <v>800</v>
      </c>
      <c r="CC260" s="113"/>
      <c r="CD260" s="102">
        <f t="shared" si="586"/>
        <v>7200</v>
      </c>
      <c r="CE260" s="99">
        <v>800</v>
      </c>
      <c r="CF260" s="113">
        <v>8000</v>
      </c>
      <c r="CG260" s="102">
        <f t="shared" si="587"/>
        <v>0</v>
      </c>
      <c r="CH260" s="99">
        <v>800</v>
      </c>
      <c r="CI260" s="113"/>
      <c r="CJ260" s="102">
        <f t="shared" si="588"/>
        <v>800</v>
      </c>
      <c r="CK260" s="99">
        <v>800</v>
      </c>
      <c r="CL260" s="113"/>
      <c r="CM260" s="102">
        <f t="shared" si="589"/>
        <v>1600</v>
      </c>
      <c r="CN260" s="99">
        <v>800</v>
      </c>
      <c r="CO260" s="113"/>
      <c r="CP260" s="102">
        <f t="shared" si="590"/>
        <v>2400</v>
      </c>
      <c r="CQ260" s="99">
        <v>800</v>
      </c>
      <c r="CR260" s="113"/>
      <c r="CS260" s="102">
        <f t="shared" si="540"/>
        <v>3200</v>
      </c>
      <c r="CT260" s="99">
        <v>800</v>
      </c>
      <c r="CU260" s="113"/>
      <c r="CV260" s="102">
        <f t="shared" si="541"/>
        <v>4000</v>
      </c>
      <c r="CW260" s="99">
        <v>800</v>
      </c>
      <c r="CX260" s="113"/>
      <c r="CY260" s="102">
        <f t="shared" si="542"/>
        <v>4800</v>
      </c>
    </row>
    <row r="261" spans="1:103" s="80" customFormat="1" ht="15" customHeight="1">
      <c r="A261" s="103">
        <f>VLOOKUP(B261,справочник!$B$2:$E$322,4,FALSE)</f>
        <v>183</v>
      </c>
      <c r="B261" s="80" t="str">
        <f t="shared" ref="B261:B324" si="592">CONCATENATE(C261,D261)</f>
        <v>191Спиридонов Андрей Владимирович</v>
      </c>
      <c r="C261" s="5">
        <v>191</v>
      </c>
      <c r="D261" s="7" t="s">
        <v>247</v>
      </c>
      <c r="E261" s="5" t="s">
        <v>557</v>
      </c>
      <c r="F261" s="19">
        <v>41505</v>
      </c>
      <c r="G261" s="19">
        <v>41518</v>
      </c>
      <c r="H261" s="20">
        <f t="shared" si="574"/>
        <v>28</v>
      </c>
      <c r="I261" s="5">
        <f t="shared" si="517"/>
        <v>28000</v>
      </c>
      <c r="J261" s="20">
        <v>1000</v>
      </c>
      <c r="K261" s="20"/>
      <c r="L261" s="21">
        <f t="shared" si="591"/>
        <v>27000</v>
      </c>
      <c r="M261" s="109">
        <v>20000</v>
      </c>
      <c r="N261" s="109"/>
      <c r="O261" s="109"/>
      <c r="P261" s="109"/>
      <c r="Q261" s="109"/>
      <c r="R261" s="109"/>
      <c r="S261" s="109"/>
      <c r="T261" s="109">
        <f>15393+2250+15000+5000</f>
        <v>37643</v>
      </c>
      <c r="U261" s="109">
        <v>6000</v>
      </c>
      <c r="V261" s="109"/>
      <c r="W261" s="109"/>
      <c r="X261" s="109"/>
      <c r="Y261" s="21">
        <f t="shared" ref="Y261:Y324" si="593">SUM(M261:X261)</f>
        <v>63643</v>
      </c>
      <c r="Z261" s="104">
        <v>12</v>
      </c>
      <c r="AA261" s="104">
        <f t="shared" ref="AA261:AA324" si="594">Z261*800</f>
        <v>9600</v>
      </c>
      <c r="AB261" s="104">
        <f t="shared" ref="AB261:AB324" si="595">L261+AA261-Y261</f>
        <v>-27043</v>
      </c>
      <c r="AC261" s="104">
        <v>800</v>
      </c>
      <c r="AD261" s="105"/>
      <c r="AE261" s="210">
        <f>SUM(AB261:AB262)+SUM(AC261:AC262)-SUM(AD261:AD262)</f>
        <v>-1243</v>
      </c>
      <c r="AF261" s="104">
        <v>800</v>
      </c>
      <c r="AG261" s="105"/>
      <c r="AH261" s="210">
        <f>SUM(AE261:AE262)+SUM(AF261:AF262)-SUM(AG261:AG262)</f>
        <v>-443</v>
      </c>
      <c r="AI261" s="104">
        <v>800</v>
      </c>
      <c r="AJ261" s="105"/>
      <c r="AK261" s="210">
        <f>SUM(AH261:AH262)+SUM(AI261:AI262)-SUM(AJ261:AJ262)</f>
        <v>-2000</v>
      </c>
      <c r="AL261" s="104">
        <v>800</v>
      </c>
      <c r="AM261" s="105"/>
      <c r="AN261" s="210">
        <f>SUM(AK261:AK262)+SUM(AL261:AL262)-SUM(AM261:AM262)</f>
        <v>-1200</v>
      </c>
      <c r="AO261" s="104">
        <v>800</v>
      </c>
      <c r="AP261" s="105"/>
      <c r="AQ261" s="210">
        <f>SUM(AN261:AN262)+SUM(AO261:AO262)-SUM(AP261:AP262)</f>
        <v>-400</v>
      </c>
      <c r="AR261" s="104">
        <v>800</v>
      </c>
      <c r="AS261" s="105"/>
      <c r="AT261" s="210">
        <f>SUM(AQ261:AQ262)+SUM(AR261:AR262)-SUM(AS261:AS262)</f>
        <v>400</v>
      </c>
      <c r="AU261" s="104">
        <v>800</v>
      </c>
      <c r="AV261" s="105"/>
      <c r="AW261" s="216">
        <f>SUM(AT261:AT262)+SUM(AU261:AU262)-SUM(AV261:AV262)</f>
        <v>1200</v>
      </c>
      <c r="AX261" s="104">
        <v>800</v>
      </c>
      <c r="AY261" s="105"/>
      <c r="AZ261" s="216">
        <f>SUM(AW261:AW262)+SUM(AX261:AX262)-SUM(AY261:AY262)</f>
        <v>2000</v>
      </c>
      <c r="BA261" s="104">
        <v>800</v>
      </c>
      <c r="BB261" s="105"/>
      <c r="BC261" s="216">
        <f>SUM(AZ261:AZ262)+SUM(BA261:BA262)-SUM(BB261:BB262)</f>
        <v>2800</v>
      </c>
      <c r="BD261" s="104">
        <v>800</v>
      </c>
      <c r="BE261" s="105"/>
      <c r="BF261" s="122">
        <f>SUM(BC261:BC262)+SUM(BD261:BD262)-SUM(BE261:BE262)</f>
        <v>3600</v>
      </c>
      <c r="BG261" s="104">
        <v>800</v>
      </c>
      <c r="BH261" s="105">
        <v>5200</v>
      </c>
      <c r="BI261" s="131">
        <f>SUM(BF261:BF262)+SUM(BG261:BG262)-SUM(BH261:BH262)</f>
        <v>-800</v>
      </c>
      <c r="BJ261" s="104">
        <v>800</v>
      </c>
      <c r="BK261" s="105"/>
      <c r="BL261" s="135">
        <f>SUM(BI261:BI262)+SUM(BJ261:BJ262)-SUM(BK261:BK262)</f>
        <v>0</v>
      </c>
      <c r="BM261" s="104">
        <v>800</v>
      </c>
      <c r="BN261" s="105"/>
      <c r="BO261" s="141">
        <f>SUM(BL261:BL262)+SUM(BM261:BM262)-SUM(BN261:BN262)</f>
        <v>800</v>
      </c>
      <c r="BP261" s="104">
        <v>800</v>
      </c>
      <c r="BQ261" s="105"/>
      <c r="BR261" s="143">
        <f>SUM(BO261:BO262)+SUM(BP261:BP262)-SUM(BQ261:BQ262)</f>
        <v>1600</v>
      </c>
      <c r="BS261" s="104">
        <v>800</v>
      </c>
      <c r="BT261" s="105"/>
      <c r="BU261" s="149">
        <f>SUM(BR261:BR262)+SUM(BS261:BS262)-SUM(BT261:BT262)</f>
        <v>2400</v>
      </c>
      <c r="BV261" s="104">
        <v>800</v>
      </c>
      <c r="BW261" s="105"/>
      <c r="BX261" s="151">
        <f>SUM(BU261:BU262)+SUM(BV261:BV262)-SUM(BW261:BW262)</f>
        <v>3200</v>
      </c>
      <c r="BY261" s="104">
        <v>800</v>
      </c>
      <c r="BZ261" s="105"/>
      <c r="CA261" s="157">
        <f>SUM(BX261:BX262)+SUM(BY261:BY262)-SUM(BZ261:BZ262)</f>
        <v>4000</v>
      </c>
      <c r="CB261" s="104">
        <v>800</v>
      </c>
      <c r="CC261" s="105"/>
      <c r="CD261" s="159">
        <f>SUM(CA261:CA262)+SUM(CB261:CB262)-SUM(CC261:CC262)</f>
        <v>4800</v>
      </c>
      <c r="CE261" s="104">
        <v>800</v>
      </c>
      <c r="CF261" s="105"/>
      <c r="CG261" s="165">
        <f>SUM(CD261:CD262)+SUM(CE261:CE262)-SUM(CF261:CF262)</f>
        <v>5600</v>
      </c>
      <c r="CH261" s="104">
        <v>800</v>
      </c>
      <c r="CI261" s="105"/>
      <c r="CJ261" s="169">
        <f>SUM(CG261:CG262)+SUM(CH261:CH262)-SUM(CI261:CI262)</f>
        <v>6400</v>
      </c>
      <c r="CK261" s="104">
        <v>800</v>
      </c>
      <c r="CL261" s="105"/>
      <c r="CM261" s="173">
        <f>SUM(CJ261:CJ262)+SUM(CK261:CK262)-SUM(CL261:CL262)</f>
        <v>7200</v>
      </c>
      <c r="CN261" s="104">
        <v>800</v>
      </c>
      <c r="CO261" s="105"/>
      <c r="CP261" s="177">
        <f>SUM(CM261:CM262)+SUM(CN261:CN262)-SUM(CO261:CO262)</f>
        <v>8000</v>
      </c>
      <c r="CQ261" s="104">
        <v>800</v>
      </c>
      <c r="CR261" s="105"/>
      <c r="CS261" s="210">
        <f>CP261+CQ261-CR261</f>
        <v>8800</v>
      </c>
      <c r="CT261" s="104">
        <v>800</v>
      </c>
      <c r="CU261" s="105"/>
      <c r="CV261" s="210">
        <f>CS261+CT261-CU261</f>
        <v>9600</v>
      </c>
      <c r="CW261" s="104">
        <v>800</v>
      </c>
      <c r="CX261" s="105"/>
      <c r="CY261" s="210">
        <f>CV261+CW261-CX261</f>
        <v>10400</v>
      </c>
    </row>
    <row r="262" spans="1:103" s="80" customFormat="1" ht="15" customHeight="1">
      <c r="A262" s="103">
        <f>VLOOKUP(B262,справочник!$B$2:$E$322,4,FALSE)</f>
        <v>183</v>
      </c>
      <c r="B262" s="80" t="str">
        <f t="shared" si="592"/>
        <v>192Спиридонов Андрей Владимирович</v>
      </c>
      <c r="C262" s="5">
        <v>192</v>
      </c>
      <c r="D262" s="7" t="s">
        <v>247</v>
      </c>
      <c r="E262" s="5" t="s">
        <v>558</v>
      </c>
      <c r="F262" s="19">
        <v>41505</v>
      </c>
      <c r="G262" s="19">
        <v>41518</v>
      </c>
      <c r="H262" s="20">
        <v>26</v>
      </c>
      <c r="I262" s="5">
        <f t="shared" si="517"/>
        <v>26000</v>
      </c>
      <c r="J262" s="20">
        <v>1000</v>
      </c>
      <c r="K262" s="20"/>
      <c r="L262" s="21">
        <f t="shared" si="591"/>
        <v>25000</v>
      </c>
      <c r="M262" s="109"/>
      <c r="N262" s="109"/>
      <c r="O262" s="109"/>
      <c r="P262" s="109"/>
      <c r="Q262" s="109"/>
      <c r="R262" s="109"/>
      <c r="S262" s="109"/>
      <c r="T262" s="109"/>
      <c r="U262" s="109"/>
      <c r="V262" s="109"/>
      <c r="W262" s="109"/>
      <c r="X262" s="109"/>
      <c r="Y262" s="21">
        <f t="shared" si="593"/>
        <v>0</v>
      </c>
      <c r="Z262" s="104">
        <v>0</v>
      </c>
      <c r="AA262" s="104">
        <f t="shared" si="594"/>
        <v>0</v>
      </c>
      <c r="AB262" s="104">
        <f t="shared" si="595"/>
        <v>25000</v>
      </c>
      <c r="AC262" s="104">
        <v>0</v>
      </c>
      <c r="AD262" s="105"/>
      <c r="AE262" s="211"/>
      <c r="AF262" s="104">
        <v>0</v>
      </c>
      <c r="AG262" s="105"/>
      <c r="AH262" s="211"/>
      <c r="AI262" s="104">
        <v>0</v>
      </c>
      <c r="AJ262" s="105">
        <v>2357</v>
      </c>
      <c r="AK262" s="211"/>
      <c r="AL262" s="104">
        <v>0</v>
      </c>
      <c r="AM262" s="105"/>
      <c r="AN262" s="211"/>
      <c r="AO262" s="104">
        <v>0</v>
      </c>
      <c r="AP262" s="105"/>
      <c r="AQ262" s="211"/>
      <c r="AR262" s="104">
        <v>0</v>
      </c>
      <c r="AS262" s="105"/>
      <c r="AT262" s="211"/>
      <c r="AU262" s="104">
        <v>0</v>
      </c>
      <c r="AV262" s="105"/>
      <c r="AW262" s="217"/>
      <c r="AX262" s="104">
        <v>0</v>
      </c>
      <c r="AY262" s="105"/>
      <c r="AZ262" s="217"/>
      <c r="BA262" s="104">
        <v>0</v>
      </c>
      <c r="BB262" s="105"/>
      <c r="BC262" s="217"/>
      <c r="BD262" s="104">
        <v>0</v>
      </c>
      <c r="BE262" s="105"/>
      <c r="BF262" s="123"/>
      <c r="BG262" s="104">
        <v>0</v>
      </c>
      <c r="BH262" s="105"/>
      <c r="BI262" s="132"/>
      <c r="BJ262" s="104">
        <v>0</v>
      </c>
      <c r="BK262" s="105"/>
      <c r="BL262" s="136"/>
      <c r="BM262" s="104">
        <v>0</v>
      </c>
      <c r="BN262" s="105"/>
      <c r="BO262" s="142"/>
      <c r="BP262" s="104">
        <v>0</v>
      </c>
      <c r="BQ262" s="105"/>
      <c r="BR262" s="144"/>
      <c r="BS262" s="104">
        <v>0</v>
      </c>
      <c r="BT262" s="105"/>
      <c r="BU262" s="150"/>
      <c r="BV262" s="104">
        <v>0</v>
      </c>
      <c r="BW262" s="105"/>
      <c r="BX262" s="152"/>
      <c r="BY262" s="104">
        <v>0</v>
      </c>
      <c r="BZ262" s="105"/>
      <c r="CA262" s="158"/>
      <c r="CB262" s="104">
        <v>0</v>
      </c>
      <c r="CC262" s="105"/>
      <c r="CD262" s="160"/>
      <c r="CE262" s="104">
        <v>0</v>
      </c>
      <c r="CF262" s="105"/>
      <c r="CG262" s="166"/>
      <c r="CH262" s="104">
        <v>0</v>
      </c>
      <c r="CI262" s="105"/>
      <c r="CJ262" s="170"/>
      <c r="CK262" s="104">
        <v>0</v>
      </c>
      <c r="CL262" s="105"/>
      <c r="CM262" s="174"/>
      <c r="CN262" s="104">
        <v>0</v>
      </c>
      <c r="CO262" s="105"/>
      <c r="CP262" s="178"/>
      <c r="CQ262" s="104">
        <v>0</v>
      </c>
      <c r="CR262" s="105"/>
      <c r="CS262" s="211"/>
      <c r="CT262" s="104">
        <v>0</v>
      </c>
      <c r="CU262" s="105"/>
      <c r="CV262" s="211"/>
      <c r="CW262" s="104">
        <v>0</v>
      </c>
      <c r="CX262" s="105"/>
      <c r="CY262" s="211"/>
    </row>
    <row r="263" spans="1:103" ht="25.5" customHeight="1">
      <c r="A263" s="41">
        <f>VLOOKUP(B263,справочник!$B$2:$E$322,4,FALSE)</f>
        <v>21</v>
      </c>
      <c r="B263" t="str">
        <f t="shared" si="592"/>
        <v>21Старостин Виктор Вячеславович</v>
      </c>
      <c r="C263" s="1">
        <v>21</v>
      </c>
      <c r="D263" s="2" t="s">
        <v>248</v>
      </c>
      <c r="E263" s="1" t="s">
        <v>559</v>
      </c>
      <c r="F263" s="16">
        <v>41107</v>
      </c>
      <c r="G263" s="16">
        <v>41091</v>
      </c>
      <c r="H263" s="17">
        <f>INT(($H$326-G263)/30)</f>
        <v>42</v>
      </c>
      <c r="I263" s="1">
        <f t="shared" si="517"/>
        <v>42000</v>
      </c>
      <c r="J263" s="17">
        <v>40000</v>
      </c>
      <c r="K263" s="17"/>
      <c r="L263" s="18">
        <f t="shared" si="591"/>
        <v>2000</v>
      </c>
      <c r="M263" s="29"/>
      <c r="N263" s="29"/>
      <c r="O263" s="29"/>
      <c r="P263" s="29"/>
      <c r="Q263" s="29"/>
      <c r="R263" s="29"/>
      <c r="S263" s="29"/>
      <c r="T263" s="29"/>
      <c r="U263" s="29">
        <v>10000</v>
      </c>
      <c r="V263" s="29"/>
      <c r="W263" s="29"/>
      <c r="X263" s="29"/>
      <c r="Y263" s="18">
        <f t="shared" si="593"/>
        <v>10000</v>
      </c>
      <c r="Z263" s="96">
        <v>12</v>
      </c>
      <c r="AA263" s="96">
        <f t="shared" si="594"/>
        <v>9600</v>
      </c>
      <c r="AB263" s="96">
        <f t="shared" si="595"/>
        <v>1600</v>
      </c>
      <c r="AC263" s="99">
        <v>800</v>
      </c>
      <c r="AD263" s="98">
        <v>4000</v>
      </c>
      <c r="AE263" s="102">
        <f t="shared" ref="AE263:AE324" si="596">AB263+AC263-AD263</f>
        <v>-1600</v>
      </c>
      <c r="AF263" s="99">
        <v>800</v>
      </c>
      <c r="AG263" s="98"/>
      <c r="AH263" s="102">
        <f t="shared" ref="AH263:AH274" si="597">AE263+AF263-AG263</f>
        <v>-800</v>
      </c>
      <c r="AI263" s="99">
        <v>800</v>
      </c>
      <c r="AJ263" s="98"/>
      <c r="AK263" s="102">
        <f t="shared" ref="AK263:AK274" si="598">AH263+AI263-AJ263</f>
        <v>0</v>
      </c>
      <c r="AL263" s="99">
        <v>800</v>
      </c>
      <c r="AM263" s="98"/>
      <c r="AN263" s="102">
        <f t="shared" ref="AN263:AN274" si="599">AK263+AL263-AM263</f>
        <v>800</v>
      </c>
      <c r="AO263" s="99">
        <v>800</v>
      </c>
      <c r="AP263" s="113"/>
      <c r="AQ263" s="102">
        <f t="shared" ref="AQ263:AQ274" si="600">AN263+AO263-AP263</f>
        <v>1600</v>
      </c>
      <c r="AR263" s="99">
        <v>800</v>
      </c>
      <c r="AS263" s="113">
        <v>5000</v>
      </c>
      <c r="AT263" s="102">
        <f t="shared" ref="AT263:AT274" si="601">AQ263+AR263-AS263</f>
        <v>-2600</v>
      </c>
      <c r="AU263" s="99">
        <v>800</v>
      </c>
      <c r="AV263" s="113"/>
      <c r="AW263" s="102">
        <f t="shared" ref="AW263:AW274" si="602">AT263+AU263-AV263</f>
        <v>-1800</v>
      </c>
      <c r="AX263" s="99">
        <v>800</v>
      </c>
      <c r="AY263" s="113"/>
      <c r="AZ263" s="102">
        <f t="shared" ref="AZ263:AZ274" si="603">AW263+AX263-AY263</f>
        <v>-1000</v>
      </c>
      <c r="BA263" s="99">
        <v>800</v>
      </c>
      <c r="BB263" s="113"/>
      <c r="BC263" s="102">
        <f t="shared" ref="BC263:BC274" si="604">AZ263+BA263-BB263</f>
        <v>-200</v>
      </c>
      <c r="BD263" s="99">
        <v>800</v>
      </c>
      <c r="BE263" s="113"/>
      <c r="BF263" s="102">
        <f t="shared" ref="BF263:BF274" si="605">BC263+BD263-BE263</f>
        <v>600</v>
      </c>
      <c r="BG263" s="99">
        <v>800</v>
      </c>
      <c r="BH263" s="113"/>
      <c r="BI263" s="102">
        <f t="shared" ref="BI263:BI274" si="606">BF263+BG263-BH263</f>
        <v>1400</v>
      </c>
      <c r="BJ263" s="99">
        <v>800</v>
      </c>
      <c r="BK263" s="113"/>
      <c r="BL263" s="102">
        <f t="shared" ref="BL263:BL274" si="607">BI263+BJ263-BK263</f>
        <v>2200</v>
      </c>
      <c r="BM263" s="99">
        <v>800</v>
      </c>
      <c r="BN263" s="113"/>
      <c r="BO263" s="102">
        <f t="shared" ref="BO263:BO274" si="608">BL263+BM263-BN263</f>
        <v>3000</v>
      </c>
      <c r="BP263" s="99">
        <v>800</v>
      </c>
      <c r="BQ263" s="113"/>
      <c r="BR263" s="102">
        <f t="shared" ref="BR263:BR274" si="609">BO263+BP263-BQ263</f>
        <v>3800</v>
      </c>
      <c r="BS263" s="99">
        <v>800</v>
      </c>
      <c r="BT263" s="113"/>
      <c r="BU263" s="102">
        <f t="shared" ref="BU263:BU274" si="610">BR263+BS263-BT263</f>
        <v>4600</v>
      </c>
      <c r="BV263" s="99">
        <v>800</v>
      </c>
      <c r="BW263" s="113"/>
      <c r="BX263" s="102">
        <f t="shared" ref="BX263:BX274" si="611">BU263+BV263-BW263</f>
        <v>5400</v>
      </c>
      <c r="BY263" s="99">
        <v>800</v>
      </c>
      <c r="BZ263" s="113"/>
      <c r="CA263" s="102">
        <f t="shared" ref="CA263:CA274" si="612">BX263+BY263-BZ263</f>
        <v>6200</v>
      </c>
      <c r="CB263" s="99">
        <v>800</v>
      </c>
      <c r="CC263" s="113"/>
      <c r="CD263" s="102">
        <f t="shared" ref="CD263:CD274" si="613">CA263+CB263-CC263</f>
        <v>7000</v>
      </c>
      <c r="CE263" s="99">
        <v>800</v>
      </c>
      <c r="CF263" s="113"/>
      <c r="CG263" s="102">
        <f t="shared" ref="CG263:CG274" si="614">CD263+CE263-CF263</f>
        <v>7800</v>
      </c>
      <c r="CH263" s="99">
        <v>800</v>
      </c>
      <c r="CI263" s="113"/>
      <c r="CJ263" s="102">
        <f t="shared" ref="CJ263:CJ274" si="615">CG263+CH263-CI263</f>
        <v>8600</v>
      </c>
      <c r="CK263" s="99">
        <v>800</v>
      </c>
      <c r="CL263" s="113"/>
      <c r="CM263" s="102">
        <f t="shared" ref="CM263:CM274" si="616">CJ263+CK263-CL263</f>
        <v>9400</v>
      </c>
      <c r="CN263" s="99">
        <v>800</v>
      </c>
      <c r="CO263" s="113"/>
      <c r="CP263" s="102">
        <f t="shared" ref="CP263:CP274" si="617">CM263+CN263-CO263</f>
        <v>10200</v>
      </c>
      <c r="CQ263" s="99">
        <v>800</v>
      </c>
      <c r="CR263" s="113">
        <v>9400</v>
      </c>
      <c r="CS263" s="102">
        <f>CP263+CQ263-CR263</f>
        <v>1600</v>
      </c>
      <c r="CT263" s="99">
        <v>800</v>
      </c>
      <c r="CU263" s="113"/>
      <c r="CV263" s="102">
        <f>CS263+CT263-CU263</f>
        <v>2400</v>
      </c>
      <c r="CW263" s="99">
        <v>800</v>
      </c>
      <c r="CX263" s="113"/>
      <c r="CY263" s="102">
        <f>CV263+CW263-CX263</f>
        <v>3200</v>
      </c>
    </row>
    <row r="264" spans="1:103" ht="15" customHeight="1">
      <c r="A264" s="41">
        <f>VLOOKUP(B264,справочник!$B$2:$E$322,4,FALSE)</f>
        <v>298</v>
      </c>
      <c r="B264" t="str">
        <f t="shared" si="592"/>
        <v>313Степанов Валерий Владимирович</v>
      </c>
      <c r="C264" s="1">
        <v>313</v>
      </c>
      <c r="D264" s="2" t="s">
        <v>249</v>
      </c>
      <c r="E264" s="1" t="s">
        <v>560</v>
      </c>
      <c r="F264" s="16">
        <v>41994</v>
      </c>
      <c r="G264" s="16">
        <v>42005</v>
      </c>
      <c r="H264" s="17">
        <f>INT(($H$326-G264)/30)</f>
        <v>12</v>
      </c>
      <c r="I264" s="1">
        <f t="shared" si="517"/>
        <v>12000</v>
      </c>
      <c r="J264" s="17">
        <v>12000</v>
      </c>
      <c r="K264" s="17"/>
      <c r="L264" s="18">
        <f t="shared" si="591"/>
        <v>0</v>
      </c>
      <c r="M264" s="29"/>
      <c r="N264" s="29">
        <v>4800</v>
      </c>
      <c r="O264" s="29"/>
      <c r="P264" s="29"/>
      <c r="Q264" s="29"/>
      <c r="R264" s="29"/>
      <c r="S264" s="29"/>
      <c r="T264" s="29"/>
      <c r="U264" s="29">
        <v>5000</v>
      </c>
      <c r="V264" s="29"/>
      <c r="W264" s="29"/>
      <c r="X264" s="29"/>
      <c r="Y264" s="18">
        <f t="shared" si="593"/>
        <v>9800</v>
      </c>
      <c r="Z264" s="96">
        <v>12</v>
      </c>
      <c r="AA264" s="96">
        <f t="shared" si="594"/>
        <v>9600</v>
      </c>
      <c r="AB264" s="96">
        <f t="shared" si="595"/>
        <v>-200</v>
      </c>
      <c r="AC264" s="99">
        <v>800</v>
      </c>
      <c r="AD264" s="98"/>
      <c r="AE264" s="102">
        <f t="shared" si="596"/>
        <v>600</v>
      </c>
      <c r="AF264" s="99">
        <v>800</v>
      </c>
      <c r="AG264" s="98"/>
      <c r="AH264" s="102">
        <f t="shared" si="597"/>
        <v>1400</v>
      </c>
      <c r="AI264" s="99">
        <v>800</v>
      </c>
      <c r="AJ264" s="98"/>
      <c r="AK264" s="102">
        <f t="shared" si="598"/>
        <v>2200</v>
      </c>
      <c r="AL264" s="99">
        <v>800</v>
      </c>
      <c r="AM264" s="98"/>
      <c r="AN264" s="102">
        <f t="shared" si="599"/>
        <v>3000</v>
      </c>
      <c r="AO264" s="99">
        <v>800</v>
      </c>
      <c r="AP264" s="113"/>
      <c r="AQ264" s="102">
        <f t="shared" si="600"/>
        <v>3800</v>
      </c>
      <c r="AR264" s="99">
        <v>800</v>
      </c>
      <c r="AS264" s="113">
        <v>3000</v>
      </c>
      <c r="AT264" s="102">
        <f t="shared" si="601"/>
        <v>1600</v>
      </c>
      <c r="AU264" s="99">
        <v>800</v>
      </c>
      <c r="AV264" s="113"/>
      <c r="AW264" s="102">
        <f t="shared" si="602"/>
        <v>2400</v>
      </c>
      <c r="AX264" s="99">
        <v>800</v>
      </c>
      <c r="AY264" s="113">
        <v>5000</v>
      </c>
      <c r="AZ264" s="102">
        <f t="shared" si="603"/>
        <v>-1800</v>
      </c>
      <c r="BA264" s="99">
        <v>800</v>
      </c>
      <c r="BB264" s="113"/>
      <c r="BC264" s="102">
        <f t="shared" si="604"/>
        <v>-1000</v>
      </c>
      <c r="BD264" s="99">
        <v>800</v>
      </c>
      <c r="BE264" s="113"/>
      <c r="BF264" s="102">
        <f t="shared" si="605"/>
        <v>-200</v>
      </c>
      <c r="BG264" s="99">
        <v>800</v>
      </c>
      <c r="BH264" s="113">
        <v>2000</v>
      </c>
      <c r="BI264" s="102">
        <f t="shared" si="606"/>
        <v>-1400</v>
      </c>
      <c r="BJ264" s="99">
        <v>800</v>
      </c>
      <c r="BK264" s="113"/>
      <c r="BL264" s="102">
        <f t="shared" si="607"/>
        <v>-600</v>
      </c>
      <c r="BM264" s="99">
        <v>800</v>
      </c>
      <c r="BN264" s="113"/>
      <c r="BO264" s="102">
        <f t="shared" si="608"/>
        <v>200</v>
      </c>
      <c r="BP264" s="99">
        <v>800</v>
      </c>
      <c r="BQ264" s="113"/>
      <c r="BR264" s="102">
        <f t="shared" si="609"/>
        <v>1000</v>
      </c>
      <c r="BS264" s="99">
        <v>800</v>
      </c>
      <c r="BT264" s="113"/>
      <c r="BU264" s="102">
        <f t="shared" si="610"/>
        <v>1800</v>
      </c>
      <c r="BV264" s="99">
        <v>800</v>
      </c>
      <c r="BW264" s="113">
        <v>3000</v>
      </c>
      <c r="BX264" s="102">
        <f t="shared" si="611"/>
        <v>-400</v>
      </c>
      <c r="BY264" s="99">
        <v>800</v>
      </c>
      <c r="BZ264" s="113"/>
      <c r="CA264" s="102">
        <f t="shared" si="612"/>
        <v>400</v>
      </c>
      <c r="CB264" s="99">
        <v>800</v>
      </c>
      <c r="CC264" s="113"/>
      <c r="CD264" s="102">
        <f t="shared" si="613"/>
        <v>1200</v>
      </c>
      <c r="CE264" s="99">
        <v>800</v>
      </c>
      <c r="CF264" s="113"/>
      <c r="CG264" s="102">
        <f t="shared" si="614"/>
        <v>2000</v>
      </c>
      <c r="CH264" s="99">
        <v>800</v>
      </c>
      <c r="CI264" s="113"/>
      <c r="CJ264" s="102">
        <f t="shared" si="615"/>
        <v>2800</v>
      </c>
      <c r="CK264" s="99">
        <v>800</v>
      </c>
      <c r="CL264" s="113"/>
      <c r="CM264" s="102">
        <f t="shared" si="616"/>
        <v>3600</v>
      </c>
      <c r="CN264" s="99">
        <v>800</v>
      </c>
      <c r="CO264" s="113"/>
      <c r="CP264" s="102">
        <f t="shared" si="617"/>
        <v>4400</v>
      </c>
      <c r="CQ264" s="99">
        <v>800</v>
      </c>
      <c r="CR264" s="113"/>
      <c r="CS264" s="102">
        <f t="shared" ref="CS264:CS265" si="618">CP264+CQ264-CR264</f>
        <v>5200</v>
      </c>
      <c r="CT264" s="99">
        <v>800</v>
      </c>
      <c r="CU264" s="113">
        <v>6000</v>
      </c>
      <c r="CV264" s="102">
        <f t="shared" ref="CV264:CV265" si="619">CS264+CT264-CU264</f>
        <v>0</v>
      </c>
      <c r="CW264" s="99">
        <v>800</v>
      </c>
      <c r="CX264" s="113"/>
      <c r="CY264" s="102">
        <f t="shared" ref="CY264:CY265" si="620">CV264+CW264-CX264</f>
        <v>800</v>
      </c>
    </row>
    <row r="265" spans="1:103" ht="15" customHeight="1">
      <c r="A265" s="41" t="e">
        <f>VLOOKUP(B265,справочник!$B$2:$E$322,4,FALSE)</f>
        <v>#N/A</v>
      </c>
      <c r="B265" t="str">
        <f t="shared" si="592"/>
        <v>96Степанова Марина Николаевна</v>
      </c>
      <c r="C265" s="1">
        <v>96</v>
      </c>
      <c r="D265" s="2" t="s">
        <v>758</v>
      </c>
      <c r="E265" s="1" t="s">
        <v>561</v>
      </c>
      <c r="F265" s="16">
        <v>41070</v>
      </c>
      <c r="G265" s="16">
        <v>41061</v>
      </c>
      <c r="H265" s="17">
        <f>INT(($H$326-G265)/30)</f>
        <v>43</v>
      </c>
      <c r="I265" s="1">
        <f t="shared" si="517"/>
        <v>43000</v>
      </c>
      <c r="J265" s="17">
        <v>12000</v>
      </c>
      <c r="K265" s="17"/>
      <c r="L265" s="18">
        <f t="shared" si="591"/>
        <v>31000</v>
      </c>
      <c r="M265" s="29"/>
      <c r="N265" s="29"/>
      <c r="O265" s="29"/>
      <c r="P265" s="29"/>
      <c r="Q265" s="29"/>
      <c r="R265" s="29"/>
      <c r="S265" s="29">
        <v>15000</v>
      </c>
      <c r="T265" s="29"/>
      <c r="U265" s="29"/>
      <c r="V265" s="29"/>
      <c r="W265" s="29"/>
      <c r="X265" s="29"/>
      <c r="Y265" s="18">
        <f t="shared" si="593"/>
        <v>15000</v>
      </c>
      <c r="Z265" s="96">
        <v>12</v>
      </c>
      <c r="AA265" s="96">
        <f t="shared" si="594"/>
        <v>9600</v>
      </c>
      <c r="AB265" s="96">
        <f t="shared" si="595"/>
        <v>25600</v>
      </c>
      <c r="AC265" s="99">
        <v>800</v>
      </c>
      <c r="AD265" s="98"/>
      <c r="AE265" s="102">
        <f t="shared" si="596"/>
        <v>26400</v>
      </c>
      <c r="AF265" s="99">
        <v>800</v>
      </c>
      <c r="AG265" s="98"/>
      <c r="AH265" s="102">
        <f t="shared" si="597"/>
        <v>27200</v>
      </c>
      <c r="AI265" s="99">
        <v>800</v>
      </c>
      <c r="AJ265" s="98"/>
      <c r="AK265" s="102">
        <f t="shared" si="598"/>
        <v>28000</v>
      </c>
      <c r="AL265" s="99">
        <v>800</v>
      </c>
      <c r="AM265" s="98"/>
      <c r="AN265" s="102">
        <f t="shared" si="599"/>
        <v>28800</v>
      </c>
      <c r="AO265" s="99">
        <v>800</v>
      </c>
      <c r="AP265" s="113"/>
      <c r="AQ265" s="102">
        <f t="shared" si="600"/>
        <v>29600</v>
      </c>
      <c r="AR265" s="99">
        <v>800</v>
      </c>
      <c r="AS265" s="113"/>
      <c r="AT265" s="102">
        <f t="shared" si="601"/>
        <v>30400</v>
      </c>
      <c r="AU265" s="99">
        <v>800</v>
      </c>
      <c r="AV265" s="113"/>
      <c r="AW265" s="102">
        <f t="shared" si="602"/>
        <v>31200</v>
      </c>
      <c r="AX265" s="99">
        <v>800</v>
      </c>
      <c r="AY265" s="113">
        <v>10000</v>
      </c>
      <c r="AZ265" s="102">
        <f t="shared" si="603"/>
        <v>22000</v>
      </c>
      <c r="BA265" s="99">
        <v>800</v>
      </c>
      <c r="BB265" s="113"/>
      <c r="BC265" s="102">
        <f t="shared" si="604"/>
        <v>22800</v>
      </c>
      <c r="BD265" s="99">
        <v>800</v>
      </c>
      <c r="BE265" s="113">
        <v>5000</v>
      </c>
      <c r="BF265" s="102">
        <f t="shared" si="605"/>
        <v>18600</v>
      </c>
      <c r="BG265" s="99">
        <v>800</v>
      </c>
      <c r="BH265" s="113"/>
      <c r="BI265" s="102">
        <f t="shared" si="606"/>
        <v>19400</v>
      </c>
      <c r="BJ265" s="99">
        <v>800</v>
      </c>
      <c r="BK265" s="113"/>
      <c r="BL265" s="102">
        <f t="shared" si="607"/>
        <v>20200</v>
      </c>
      <c r="BM265" s="99">
        <v>800</v>
      </c>
      <c r="BN265" s="113">
        <v>5000</v>
      </c>
      <c r="BO265" s="102">
        <f t="shared" si="608"/>
        <v>16000</v>
      </c>
      <c r="BP265" s="99">
        <v>800</v>
      </c>
      <c r="BQ265" s="113"/>
      <c r="BR265" s="102">
        <f t="shared" si="609"/>
        <v>16800</v>
      </c>
      <c r="BS265" s="99">
        <v>800</v>
      </c>
      <c r="BT265" s="113"/>
      <c r="BU265" s="102">
        <f t="shared" si="610"/>
        <v>17600</v>
      </c>
      <c r="BV265" s="99">
        <v>800</v>
      </c>
      <c r="BW265" s="113"/>
      <c r="BX265" s="102">
        <f t="shared" si="611"/>
        <v>18400</v>
      </c>
      <c r="BY265" s="99">
        <v>800</v>
      </c>
      <c r="BZ265" s="113">
        <f>4000+2000</f>
        <v>6000</v>
      </c>
      <c r="CA265" s="102">
        <f t="shared" si="612"/>
        <v>13200</v>
      </c>
      <c r="CB265" s="99">
        <v>800</v>
      </c>
      <c r="CC265" s="113">
        <v>5000</v>
      </c>
      <c r="CD265" s="102">
        <f t="shared" si="613"/>
        <v>9000</v>
      </c>
      <c r="CE265" s="99">
        <v>800</v>
      </c>
      <c r="CF265" s="113"/>
      <c r="CG265" s="102">
        <f t="shared" si="614"/>
        <v>9800</v>
      </c>
      <c r="CH265" s="99">
        <v>800</v>
      </c>
      <c r="CI265" s="113"/>
      <c r="CJ265" s="102">
        <f t="shared" si="615"/>
        <v>10600</v>
      </c>
      <c r="CK265" s="99">
        <v>800</v>
      </c>
      <c r="CL265" s="113"/>
      <c r="CM265" s="102">
        <f t="shared" si="616"/>
        <v>11400</v>
      </c>
      <c r="CN265" s="99">
        <v>800</v>
      </c>
      <c r="CO265" s="113"/>
      <c r="CP265" s="102">
        <f t="shared" si="617"/>
        <v>12200</v>
      </c>
      <c r="CQ265" s="99">
        <v>800</v>
      </c>
      <c r="CR265" s="113"/>
      <c r="CS265" s="102">
        <f t="shared" si="618"/>
        <v>13000</v>
      </c>
      <c r="CT265" s="99">
        <v>800</v>
      </c>
      <c r="CU265" s="113"/>
      <c r="CV265" s="102">
        <f t="shared" si="619"/>
        <v>13800</v>
      </c>
      <c r="CW265" s="99">
        <v>800</v>
      </c>
      <c r="CX265" s="113"/>
      <c r="CY265" s="102">
        <f t="shared" si="620"/>
        <v>14600</v>
      </c>
    </row>
    <row r="266" spans="1:103" s="80" customFormat="1" ht="15" customHeight="1">
      <c r="A266" s="103">
        <f>VLOOKUP(B266,справочник!$B$2:$E$322,4,FALSE)</f>
        <v>54</v>
      </c>
      <c r="B266" s="80" t="str">
        <f t="shared" si="592"/>
        <v>56Стрелков Андрей Вячеславович</v>
      </c>
      <c r="C266" s="5">
        <v>56</v>
      </c>
      <c r="D266" s="7" t="s">
        <v>251</v>
      </c>
      <c r="E266" s="5" t="s">
        <v>562</v>
      </c>
      <c r="F266" s="19">
        <v>41184</v>
      </c>
      <c r="G266" s="19">
        <v>41214</v>
      </c>
      <c r="H266" s="20">
        <f>INT(($H$326-G266)/30)</f>
        <v>38</v>
      </c>
      <c r="I266" s="5">
        <f t="shared" si="517"/>
        <v>38000</v>
      </c>
      <c r="J266" s="20">
        <v>38000</v>
      </c>
      <c r="K266" s="20"/>
      <c r="L266" s="21">
        <f t="shared" si="591"/>
        <v>0</v>
      </c>
      <c r="M266" s="109"/>
      <c r="N266" s="109"/>
      <c r="O266" s="109"/>
      <c r="P266" s="109"/>
      <c r="Q266" s="109"/>
      <c r="R266" s="109"/>
      <c r="S266" s="109"/>
      <c r="T266" s="109"/>
      <c r="U266" s="109"/>
      <c r="V266" s="109"/>
      <c r="W266" s="109"/>
      <c r="X266" s="109"/>
      <c r="Y266" s="21">
        <f t="shared" si="593"/>
        <v>0</v>
      </c>
      <c r="Z266" s="104">
        <v>0</v>
      </c>
      <c r="AA266" s="104">
        <f t="shared" si="594"/>
        <v>0</v>
      </c>
      <c r="AB266" s="104">
        <f t="shared" si="595"/>
        <v>0</v>
      </c>
      <c r="AC266" s="104">
        <v>0</v>
      </c>
      <c r="AD266" s="105"/>
      <c r="AE266" s="106">
        <f t="shared" si="596"/>
        <v>0</v>
      </c>
      <c r="AF266" s="104">
        <v>0</v>
      </c>
      <c r="AG266" s="105"/>
      <c r="AH266" s="106">
        <f t="shared" si="597"/>
        <v>0</v>
      </c>
      <c r="AI266" s="104">
        <v>0</v>
      </c>
      <c r="AJ266" s="105"/>
      <c r="AK266" s="106">
        <f t="shared" si="598"/>
        <v>0</v>
      </c>
      <c r="AL266" s="104">
        <v>0</v>
      </c>
      <c r="AM266" s="105"/>
      <c r="AN266" s="106">
        <f t="shared" si="599"/>
        <v>0</v>
      </c>
      <c r="AO266" s="104">
        <v>0</v>
      </c>
      <c r="AP266" s="105"/>
      <c r="AQ266" s="106">
        <f t="shared" si="600"/>
        <v>0</v>
      </c>
      <c r="AR266" s="104">
        <v>0</v>
      </c>
      <c r="AS266" s="105"/>
      <c r="AT266" s="106">
        <f t="shared" si="601"/>
        <v>0</v>
      </c>
      <c r="AU266" s="104">
        <v>0</v>
      </c>
      <c r="AV266" s="105"/>
      <c r="AW266" s="119">
        <f t="shared" si="602"/>
        <v>0</v>
      </c>
      <c r="AX266" s="104">
        <v>0</v>
      </c>
      <c r="AY266" s="105"/>
      <c r="AZ266" s="119">
        <f t="shared" si="603"/>
        <v>0</v>
      </c>
      <c r="BA266" s="104">
        <v>0</v>
      </c>
      <c r="BB266" s="105"/>
      <c r="BC266" s="119">
        <f t="shared" si="604"/>
        <v>0</v>
      </c>
      <c r="BD266" s="104">
        <v>0</v>
      </c>
      <c r="BE266" s="105"/>
      <c r="BF266" s="119">
        <f t="shared" si="605"/>
        <v>0</v>
      </c>
      <c r="BG266" s="104">
        <v>0</v>
      </c>
      <c r="BH266" s="105"/>
      <c r="BI266" s="119">
        <f t="shared" si="606"/>
        <v>0</v>
      </c>
      <c r="BJ266" s="104">
        <v>0</v>
      </c>
      <c r="BK266" s="105"/>
      <c r="BL266" s="119">
        <f>BI266+BJ266-BK266</f>
        <v>0</v>
      </c>
      <c r="BM266" s="104">
        <v>0</v>
      </c>
      <c r="BN266" s="105"/>
      <c r="BO266" s="119">
        <f t="shared" si="608"/>
        <v>0</v>
      </c>
      <c r="BP266" s="104">
        <v>0</v>
      </c>
      <c r="BQ266" s="105"/>
      <c r="BR266" s="119">
        <f t="shared" si="609"/>
        <v>0</v>
      </c>
      <c r="BS266" s="104">
        <v>0</v>
      </c>
      <c r="BT266" s="105"/>
      <c r="BU266" s="119">
        <f t="shared" si="610"/>
        <v>0</v>
      </c>
      <c r="BV266" s="104">
        <v>0</v>
      </c>
      <c r="BW266" s="105"/>
      <c r="BX266" s="119">
        <f t="shared" si="611"/>
        <v>0</v>
      </c>
      <c r="BY266" s="104">
        <v>0</v>
      </c>
      <c r="BZ266" s="105"/>
      <c r="CA266" s="119">
        <f t="shared" si="612"/>
        <v>0</v>
      </c>
      <c r="CB266" s="104">
        <v>0</v>
      </c>
      <c r="CC266" s="105"/>
      <c r="CD266" s="119">
        <f t="shared" si="613"/>
        <v>0</v>
      </c>
      <c r="CE266" s="104">
        <v>0</v>
      </c>
      <c r="CF266" s="105"/>
      <c r="CG266" s="119">
        <f t="shared" si="614"/>
        <v>0</v>
      </c>
      <c r="CH266" s="104">
        <v>0</v>
      </c>
      <c r="CI266" s="105"/>
      <c r="CJ266" s="119">
        <f t="shared" si="615"/>
        <v>0</v>
      </c>
      <c r="CK266" s="104">
        <v>0</v>
      </c>
      <c r="CL266" s="105"/>
      <c r="CM266" s="119">
        <f t="shared" si="616"/>
        <v>0</v>
      </c>
      <c r="CN266" s="104">
        <v>0</v>
      </c>
      <c r="CO266" s="105"/>
      <c r="CP266" s="119">
        <f t="shared" si="617"/>
        <v>0</v>
      </c>
      <c r="CQ266" s="104">
        <v>0</v>
      </c>
      <c r="CR266" s="105"/>
      <c r="CS266" s="119">
        <f t="shared" ref="CS266" si="621">CO266+CP266-CR266</f>
        <v>0</v>
      </c>
      <c r="CT266" s="104">
        <v>0</v>
      </c>
      <c r="CU266" s="105"/>
      <c r="CV266" s="119">
        <f t="shared" ref="CV266" si="622">CR266+CS266-CU266</f>
        <v>0</v>
      </c>
      <c r="CW266" s="104">
        <v>0</v>
      </c>
      <c r="CX266" s="105"/>
      <c r="CY266" s="119">
        <f t="shared" ref="CY266" si="623">CU266+CV266-CX266</f>
        <v>0</v>
      </c>
    </row>
    <row r="267" spans="1:103" s="80" customFormat="1" ht="15" customHeight="1">
      <c r="A267" s="103">
        <f>VLOOKUP(B267,справочник!$B$2:$E$322,4,FALSE)</f>
        <v>317</v>
      </c>
      <c r="B267" s="80" t="str">
        <f t="shared" si="592"/>
        <v xml:space="preserve">51-52Стрелков Андрей Вячеславович  </v>
      </c>
      <c r="C267" s="5" t="s">
        <v>252</v>
      </c>
      <c r="D267" s="7" t="s">
        <v>253</v>
      </c>
      <c r="E267" s="5" t="s">
        <v>563</v>
      </c>
      <c r="F267" s="19">
        <v>41184</v>
      </c>
      <c r="G267" s="19">
        <v>41214</v>
      </c>
      <c r="H267" s="20">
        <v>74</v>
      </c>
      <c r="I267" s="5">
        <v>89000</v>
      </c>
      <c r="J267" s="20">
        <v>89000</v>
      </c>
      <c r="K267" s="20"/>
      <c r="L267" s="21">
        <f t="shared" si="591"/>
        <v>0</v>
      </c>
      <c r="M267" s="109"/>
      <c r="N267" s="109"/>
      <c r="O267" s="109"/>
      <c r="P267" s="109"/>
      <c r="Q267" s="109"/>
      <c r="R267" s="109"/>
      <c r="S267" s="109"/>
      <c r="T267" s="109"/>
      <c r="U267" s="109">
        <v>6400</v>
      </c>
      <c r="V267" s="109"/>
      <c r="W267" s="109"/>
      <c r="X267" s="109"/>
      <c r="Y267" s="21">
        <f t="shared" si="593"/>
        <v>6400</v>
      </c>
      <c r="Z267" s="104">
        <v>12</v>
      </c>
      <c r="AA267" s="104">
        <f t="shared" si="594"/>
        <v>9600</v>
      </c>
      <c r="AB267" s="104">
        <f t="shared" si="595"/>
        <v>3200</v>
      </c>
      <c r="AC267" s="104">
        <v>800</v>
      </c>
      <c r="AD267" s="105"/>
      <c r="AE267" s="106">
        <f t="shared" si="596"/>
        <v>4000</v>
      </c>
      <c r="AF267" s="104">
        <v>800</v>
      </c>
      <c r="AG267" s="105">
        <v>4800</v>
      </c>
      <c r="AH267" s="106">
        <f t="shared" si="597"/>
        <v>0</v>
      </c>
      <c r="AI267" s="104">
        <v>800</v>
      </c>
      <c r="AJ267" s="105">
        <v>800</v>
      </c>
      <c r="AK267" s="106">
        <f t="shared" si="598"/>
        <v>0</v>
      </c>
      <c r="AL267" s="104">
        <v>800</v>
      </c>
      <c r="AM267" s="105"/>
      <c r="AN267" s="106">
        <f t="shared" si="599"/>
        <v>800</v>
      </c>
      <c r="AO267" s="104">
        <v>800</v>
      </c>
      <c r="AP267" s="105"/>
      <c r="AQ267" s="106">
        <f t="shared" si="600"/>
        <v>1600</v>
      </c>
      <c r="AR267" s="104">
        <v>800</v>
      </c>
      <c r="AS267" s="105">
        <v>2400</v>
      </c>
      <c r="AT267" s="106">
        <f t="shared" si="601"/>
        <v>0</v>
      </c>
      <c r="AU267" s="104">
        <v>800</v>
      </c>
      <c r="AV267" s="105"/>
      <c r="AW267" s="119">
        <f t="shared" si="602"/>
        <v>800</v>
      </c>
      <c r="AX267" s="104">
        <v>800</v>
      </c>
      <c r="AY267" s="105"/>
      <c r="AZ267" s="119">
        <f t="shared" si="603"/>
        <v>1600</v>
      </c>
      <c r="BA267" s="104">
        <v>800</v>
      </c>
      <c r="BB267" s="105"/>
      <c r="BC267" s="119">
        <f t="shared" si="604"/>
        <v>2400</v>
      </c>
      <c r="BD267" s="104">
        <v>800</v>
      </c>
      <c r="BE267" s="105"/>
      <c r="BF267" s="119">
        <f t="shared" si="605"/>
        <v>3200</v>
      </c>
      <c r="BG267" s="104">
        <v>800</v>
      </c>
      <c r="BH267" s="105">
        <v>4000</v>
      </c>
      <c r="BI267" s="119">
        <f t="shared" si="606"/>
        <v>0</v>
      </c>
      <c r="BJ267" s="104">
        <v>800</v>
      </c>
      <c r="BK267" s="105"/>
      <c r="BL267" s="119">
        <f>BI267+BJ267-BK267</f>
        <v>800</v>
      </c>
      <c r="BM267" s="104">
        <v>800</v>
      </c>
      <c r="BN267" s="105"/>
      <c r="BO267" s="119">
        <f t="shared" si="608"/>
        <v>1600</v>
      </c>
      <c r="BP267" s="104">
        <v>800</v>
      </c>
      <c r="BQ267" s="105"/>
      <c r="BR267" s="119">
        <f t="shared" si="609"/>
        <v>2400</v>
      </c>
      <c r="BS267" s="104">
        <v>800</v>
      </c>
      <c r="BT267" s="105"/>
      <c r="BU267" s="119">
        <f t="shared" si="610"/>
        <v>3200</v>
      </c>
      <c r="BV267" s="104">
        <v>800</v>
      </c>
      <c r="BW267" s="105"/>
      <c r="BX267" s="119">
        <f t="shared" si="611"/>
        <v>4000</v>
      </c>
      <c r="BY267" s="104">
        <v>800</v>
      </c>
      <c r="BZ267" s="105">
        <v>6400</v>
      </c>
      <c r="CA267" s="119">
        <f t="shared" si="612"/>
        <v>-1600</v>
      </c>
      <c r="CB267" s="104">
        <v>800</v>
      </c>
      <c r="CC267" s="105"/>
      <c r="CD267" s="119">
        <f t="shared" si="613"/>
        <v>-800</v>
      </c>
      <c r="CE267" s="104">
        <v>800</v>
      </c>
      <c r="CF267" s="105"/>
      <c r="CG267" s="119">
        <f t="shared" si="614"/>
        <v>0</v>
      </c>
      <c r="CH267" s="104">
        <v>800</v>
      </c>
      <c r="CI267" s="105"/>
      <c r="CJ267" s="119">
        <f t="shared" si="615"/>
        <v>800</v>
      </c>
      <c r="CK267" s="104">
        <v>800</v>
      </c>
      <c r="CL267" s="105"/>
      <c r="CM267" s="119">
        <f t="shared" si="616"/>
        <v>1600</v>
      </c>
      <c r="CN267" s="104">
        <v>800</v>
      </c>
      <c r="CO267" s="105"/>
      <c r="CP267" s="119">
        <f t="shared" si="617"/>
        <v>2400</v>
      </c>
      <c r="CQ267" s="104">
        <v>800</v>
      </c>
      <c r="CR267" s="105">
        <f>4000+3000</f>
        <v>7000</v>
      </c>
      <c r="CS267" s="119">
        <f>CP267+CQ267-CR267</f>
        <v>-3800</v>
      </c>
      <c r="CT267" s="104">
        <v>800</v>
      </c>
      <c r="CU267" s="105"/>
      <c r="CV267" s="119">
        <f>CS267+CT267-CU267</f>
        <v>-3000</v>
      </c>
      <c r="CW267" s="104">
        <v>800</v>
      </c>
      <c r="CX267" s="105"/>
      <c r="CY267" s="119">
        <f>CV267+CW267-CX267</f>
        <v>-2200</v>
      </c>
    </row>
    <row r="268" spans="1:103" ht="15" customHeight="1">
      <c r="A268" s="41">
        <f>VLOOKUP(B268,справочник!$B$2:$E$322,4,FALSE)</f>
        <v>268</v>
      </c>
      <c r="B268" t="str">
        <f t="shared" si="592"/>
        <v>281Стрелков Николай Валентинович</v>
      </c>
      <c r="C268" s="1">
        <v>281</v>
      </c>
      <c r="D268" s="2" t="s">
        <v>254</v>
      </c>
      <c r="E268" s="1" t="s">
        <v>564</v>
      </c>
      <c r="F268" s="16">
        <v>41184</v>
      </c>
      <c r="G268" s="16">
        <v>41518</v>
      </c>
      <c r="H268" s="17">
        <f t="shared" ref="H268:H275" si="624">INT(($H$326-G268)/30)</f>
        <v>28</v>
      </c>
      <c r="I268" s="1">
        <f t="shared" ref="I268:I277" si="625">H268*1000</f>
        <v>28000</v>
      </c>
      <c r="J268" s="17">
        <v>28000</v>
      </c>
      <c r="K268" s="17"/>
      <c r="L268" s="18">
        <f t="shared" si="591"/>
        <v>0</v>
      </c>
      <c r="M268" s="29">
        <v>3000</v>
      </c>
      <c r="N268" s="29"/>
      <c r="O268" s="29"/>
      <c r="P268" s="29">
        <v>3000</v>
      </c>
      <c r="Q268" s="29"/>
      <c r="R268" s="29">
        <v>3000</v>
      </c>
      <c r="S268" s="29"/>
      <c r="T268" s="29"/>
      <c r="U268" s="29">
        <v>3000</v>
      </c>
      <c r="V268" s="29"/>
      <c r="W268" s="29"/>
      <c r="X268" s="29"/>
      <c r="Y268" s="18">
        <f t="shared" si="593"/>
        <v>12000</v>
      </c>
      <c r="Z268" s="96">
        <v>12</v>
      </c>
      <c r="AA268" s="96">
        <f t="shared" si="594"/>
        <v>9600</v>
      </c>
      <c r="AB268" s="96">
        <f t="shared" si="595"/>
        <v>-2400</v>
      </c>
      <c r="AC268" s="99">
        <v>800</v>
      </c>
      <c r="AD268" s="98"/>
      <c r="AE268" s="102">
        <f t="shared" si="596"/>
        <v>-1600</v>
      </c>
      <c r="AF268" s="99">
        <v>800</v>
      </c>
      <c r="AG268" s="98">
        <v>3000</v>
      </c>
      <c r="AH268" s="102">
        <f t="shared" si="597"/>
        <v>-3800</v>
      </c>
      <c r="AI268" s="99">
        <v>800</v>
      </c>
      <c r="AJ268" s="98"/>
      <c r="AK268" s="102">
        <f t="shared" si="598"/>
        <v>-3000</v>
      </c>
      <c r="AL268" s="99">
        <v>800</v>
      </c>
      <c r="AM268" s="98"/>
      <c r="AN268" s="102">
        <f t="shared" si="599"/>
        <v>-2200</v>
      </c>
      <c r="AO268" s="99">
        <v>800</v>
      </c>
      <c r="AP268" s="113">
        <v>3000</v>
      </c>
      <c r="AQ268" s="102">
        <f t="shared" si="600"/>
        <v>-4400</v>
      </c>
      <c r="AR268" s="99">
        <v>800</v>
      </c>
      <c r="AS268" s="113"/>
      <c r="AT268" s="102">
        <f t="shared" si="601"/>
        <v>-3600</v>
      </c>
      <c r="AU268" s="99">
        <v>800</v>
      </c>
      <c r="AV268" s="113">
        <v>3000</v>
      </c>
      <c r="AW268" s="102">
        <f t="shared" si="602"/>
        <v>-5800</v>
      </c>
      <c r="AX268" s="99">
        <v>800</v>
      </c>
      <c r="AY268" s="113"/>
      <c r="AZ268" s="102">
        <f t="shared" si="603"/>
        <v>-5000</v>
      </c>
      <c r="BA268" s="99">
        <v>800</v>
      </c>
      <c r="BB268" s="113"/>
      <c r="BC268" s="102">
        <f t="shared" si="604"/>
        <v>-4200</v>
      </c>
      <c r="BD268" s="99">
        <v>800</v>
      </c>
      <c r="BE268" s="113"/>
      <c r="BF268" s="102">
        <f t="shared" si="605"/>
        <v>-3400</v>
      </c>
      <c r="BG268" s="99">
        <v>800</v>
      </c>
      <c r="BH268" s="113">
        <v>3000</v>
      </c>
      <c r="BI268" s="102">
        <f t="shared" si="606"/>
        <v>-5600</v>
      </c>
      <c r="BJ268" s="99">
        <v>800</v>
      </c>
      <c r="BK268" s="113"/>
      <c r="BL268" s="102">
        <f t="shared" si="607"/>
        <v>-4800</v>
      </c>
      <c r="BM268" s="99">
        <v>800</v>
      </c>
      <c r="BN268" s="113"/>
      <c r="BO268" s="102">
        <f t="shared" si="608"/>
        <v>-4000</v>
      </c>
      <c r="BP268" s="99">
        <v>800</v>
      </c>
      <c r="BQ268" s="113"/>
      <c r="BR268" s="102">
        <f t="shared" si="609"/>
        <v>-3200</v>
      </c>
      <c r="BS268" s="99">
        <v>800</v>
      </c>
      <c r="BT268" s="113">
        <v>3000</v>
      </c>
      <c r="BU268" s="102">
        <f t="shared" si="610"/>
        <v>-5400</v>
      </c>
      <c r="BV268" s="99">
        <v>800</v>
      </c>
      <c r="BW268" s="113"/>
      <c r="BX268" s="102">
        <f t="shared" si="611"/>
        <v>-4600</v>
      </c>
      <c r="BY268" s="99">
        <v>800</v>
      </c>
      <c r="BZ268" s="113"/>
      <c r="CA268" s="102">
        <f t="shared" si="612"/>
        <v>-3800</v>
      </c>
      <c r="CB268" s="99">
        <v>800</v>
      </c>
      <c r="CC268" s="113">
        <v>3000</v>
      </c>
      <c r="CD268" s="102">
        <f t="shared" si="613"/>
        <v>-6000</v>
      </c>
      <c r="CE268" s="99">
        <v>800</v>
      </c>
      <c r="CF268" s="113"/>
      <c r="CG268" s="102">
        <f t="shared" si="614"/>
        <v>-5200</v>
      </c>
      <c r="CH268" s="99">
        <v>800</v>
      </c>
      <c r="CI268" s="113">
        <v>3000</v>
      </c>
      <c r="CJ268" s="102">
        <f t="shared" si="615"/>
        <v>-7400</v>
      </c>
      <c r="CK268" s="99">
        <v>800</v>
      </c>
      <c r="CL268" s="113"/>
      <c r="CM268" s="102">
        <f t="shared" si="616"/>
        <v>-6600</v>
      </c>
      <c r="CN268" s="99">
        <v>800</v>
      </c>
      <c r="CO268" s="113"/>
      <c r="CP268" s="102">
        <f t="shared" si="617"/>
        <v>-5800</v>
      </c>
      <c r="CQ268" s="99">
        <v>800</v>
      </c>
      <c r="CR268" s="113"/>
      <c r="CS268" s="185">
        <f>CP268+CQ268-CR268</f>
        <v>-5000</v>
      </c>
      <c r="CT268" s="99">
        <v>800</v>
      </c>
      <c r="CU268" s="113"/>
      <c r="CV268" s="185">
        <f>CS268+CT268-CU268</f>
        <v>-4200</v>
      </c>
      <c r="CW268" s="99">
        <v>800</v>
      </c>
      <c r="CX268" s="113"/>
      <c r="CY268" s="185">
        <f>CV268+CW268-CX268</f>
        <v>-3400</v>
      </c>
    </row>
    <row r="269" spans="1:103" ht="15" customHeight="1">
      <c r="A269" s="41" t="e">
        <f>VLOOKUP(B269,справочник!$B$2:$E$322,4,FALSE)</f>
        <v>#N/A</v>
      </c>
      <c r="B269" t="str">
        <f t="shared" si="592"/>
        <v>180Ступнев Евгений Романович</v>
      </c>
      <c r="C269" s="1">
        <v>180</v>
      </c>
      <c r="D269" s="2" t="s">
        <v>850</v>
      </c>
      <c r="E269" s="1" t="s">
        <v>565</v>
      </c>
      <c r="F269" s="16">
        <v>40809</v>
      </c>
      <c r="G269" s="16">
        <v>40787</v>
      </c>
      <c r="H269" s="17">
        <f t="shared" si="624"/>
        <v>52</v>
      </c>
      <c r="I269" s="1">
        <f t="shared" si="625"/>
        <v>52000</v>
      </c>
      <c r="J269" s="17">
        <f>13000+1000</f>
        <v>14000</v>
      </c>
      <c r="K269" s="17"/>
      <c r="L269" s="18">
        <f t="shared" si="591"/>
        <v>38000</v>
      </c>
      <c r="M269" s="29"/>
      <c r="N269" s="29"/>
      <c r="O269" s="29"/>
      <c r="P269" s="29"/>
      <c r="Q269" s="29"/>
      <c r="R269" s="29"/>
      <c r="S269" s="29"/>
      <c r="T269" s="29"/>
      <c r="U269" s="29"/>
      <c r="V269" s="29">
        <v>10200</v>
      </c>
      <c r="W269" s="29"/>
      <c r="X269" s="29"/>
      <c r="Y269" s="18">
        <f t="shared" si="593"/>
        <v>10200</v>
      </c>
      <c r="Z269" s="96">
        <v>12</v>
      </c>
      <c r="AA269" s="96">
        <f t="shared" si="594"/>
        <v>9600</v>
      </c>
      <c r="AB269" s="96">
        <f t="shared" si="595"/>
        <v>37400</v>
      </c>
      <c r="AC269" s="99">
        <v>800</v>
      </c>
      <c r="AD269" s="98"/>
      <c r="AE269" s="102">
        <f t="shared" si="596"/>
        <v>38200</v>
      </c>
      <c r="AF269" s="99">
        <v>800</v>
      </c>
      <c r="AG269" s="98"/>
      <c r="AH269" s="102">
        <f t="shared" si="597"/>
        <v>39000</v>
      </c>
      <c r="AI269" s="99">
        <v>800</v>
      </c>
      <c r="AJ269" s="98"/>
      <c r="AK269" s="102">
        <f t="shared" si="598"/>
        <v>39800</v>
      </c>
      <c r="AL269" s="99">
        <v>800</v>
      </c>
      <c r="AM269" s="98"/>
      <c r="AN269" s="102">
        <f t="shared" si="599"/>
        <v>40600</v>
      </c>
      <c r="AO269" s="99">
        <v>800</v>
      </c>
      <c r="AP269" s="113"/>
      <c r="AQ269" s="102">
        <f t="shared" si="600"/>
        <v>41400</v>
      </c>
      <c r="AR269" s="99">
        <v>800</v>
      </c>
      <c r="AS269" s="113"/>
      <c r="AT269" s="102">
        <f t="shared" si="601"/>
        <v>42200</v>
      </c>
      <c r="AU269" s="99">
        <v>800</v>
      </c>
      <c r="AV269" s="113"/>
      <c r="AW269" s="102">
        <f t="shared" si="602"/>
        <v>43000</v>
      </c>
      <c r="AX269" s="99">
        <v>800</v>
      </c>
      <c r="AY269" s="113"/>
      <c r="AZ269" s="102">
        <f t="shared" si="603"/>
        <v>43800</v>
      </c>
      <c r="BA269" s="99">
        <v>800</v>
      </c>
      <c r="BB269" s="113"/>
      <c r="BC269" s="102">
        <f t="shared" si="604"/>
        <v>44600</v>
      </c>
      <c r="BD269" s="99">
        <v>800</v>
      </c>
      <c r="BE269" s="113"/>
      <c r="BF269" s="102">
        <f t="shared" si="605"/>
        <v>45400</v>
      </c>
      <c r="BG269" s="99">
        <v>800</v>
      </c>
      <c r="BH269" s="113"/>
      <c r="BI269" s="102">
        <f t="shared" si="606"/>
        <v>46200</v>
      </c>
      <c r="BJ269" s="99">
        <v>800</v>
      </c>
      <c r="BK269" s="113">
        <v>12000</v>
      </c>
      <c r="BL269" s="102">
        <f t="shared" si="607"/>
        <v>35000</v>
      </c>
      <c r="BM269" s="99">
        <v>800</v>
      </c>
      <c r="BN269" s="113"/>
      <c r="BO269" s="102">
        <f t="shared" si="608"/>
        <v>35800</v>
      </c>
      <c r="BP269" s="99">
        <v>800</v>
      </c>
      <c r="BQ269" s="113"/>
      <c r="BR269" s="102">
        <f t="shared" si="609"/>
        <v>36600</v>
      </c>
      <c r="BS269" s="99">
        <v>800</v>
      </c>
      <c r="BT269" s="113"/>
      <c r="BU269" s="102">
        <f t="shared" si="610"/>
        <v>37400</v>
      </c>
      <c r="BV269" s="99">
        <v>800</v>
      </c>
      <c r="BW269" s="113"/>
      <c r="BX269" s="102">
        <f t="shared" si="611"/>
        <v>38200</v>
      </c>
      <c r="BY269" s="99">
        <v>800</v>
      </c>
      <c r="BZ269" s="113"/>
      <c r="CA269" s="102">
        <f t="shared" si="612"/>
        <v>39000</v>
      </c>
      <c r="CB269" s="99">
        <v>800</v>
      </c>
      <c r="CC269" s="113"/>
      <c r="CD269" s="102">
        <f t="shared" si="613"/>
        <v>39800</v>
      </c>
      <c r="CE269" s="99">
        <v>800</v>
      </c>
      <c r="CF269" s="113"/>
      <c r="CG269" s="102">
        <f t="shared" si="614"/>
        <v>40600</v>
      </c>
      <c r="CH269" s="99">
        <v>800</v>
      </c>
      <c r="CI269" s="113"/>
      <c r="CJ269" s="102">
        <f t="shared" si="615"/>
        <v>41400</v>
      </c>
      <c r="CK269" s="99">
        <v>800</v>
      </c>
      <c r="CL269" s="113"/>
      <c r="CM269" s="102">
        <f t="shared" si="616"/>
        <v>42200</v>
      </c>
      <c r="CN269" s="99">
        <v>800</v>
      </c>
      <c r="CO269" s="113"/>
      <c r="CP269" s="102">
        <f t="shared" si="617"/>
        <v>43000</v>
      </c>
      <c r="CQ269" s="99">
        <v>800</v>
      </c>
      <c r="CR269" s="113">
        <v>12000</v>
      </c>
      <c r="CS269" s="185">
        <f t="shared" ref="CS269:CS274" si="626">CP269+CQ269-CR269</f>
        <v>31800</v>
      </c>
      <c r="CT269" s="99">
        <v>800</v>
      </c>
      <c r="CU269" s="113"/>
      <c r="CV269" s="185">
        <f t="shared" ref="CV269:CV274" si="627">CS269+CT269-CU269</f>
        <v>32600</v>
      </c>
      <c r="CW269" s="99">
        <v>800</v>
      </c>
      <c r="CX269" s="113"/>
      <c r="CY269" s="185">
        <f t="shared" ref="CY269:CY274" si="628">CV269+CW269-CX269</f>
        <v>33400</v>
      </c>
    </row>
    <row r="270" spans="1:103" ht="15" customHeight="1">
      <c r="A270" s="41">
        <f>VLOOKUP(B270,справочник!$B$2:$E$322,4,FALSE)</f>
        <v>116</v>
      </c>
      <c r="B270" t="str">
        <f t="shared" si="592"/>
        <v>121Суворов Сергей Анатольевич</v>
      </c>
      <c r="C270" s="1">
        <v>121</v>
      </c>
      <c r="D270" s="2" t="s">
        <v>256</v>
      </c>
      <c r="E270" s="1" t="s">
        <v>566</v>
      </c>
      <c r="F270" s="16">
        <v>41531</v>
      </c>
      <c r="G270" s="16">
        <v>41518</v>
      </c>
      <c r="H270" s="17">
        <f t="shared" si="624"/>
        <v>28</v>
      </c>
      <c r="I270" s="1">
        <f t="shared" si="625"/>
        <v>28000</v>
      </c>
      <c r="J270" s="17">
        <v>20000</v>
      </c>
      <c r="K270" s="17"/>
      <c r="L270" s="18">
        <f t="shared" si="591"/>
        <v>8000</v>
      </c>
      <c r="M270" s="29"/>
      <c r="N270" s="29"/>
      <c r="O270" s="29">
        <v>10000</v>
      </c>
      <c r="P270" s="29"/>
      <c r="Q270" s="29"/>
      <c r="R270" s="29"/>
      <c r="S270" s="29"/>
      <c r="T270" s="29"/>
      <c r="U270" s="29"/>
      <c r="V270" s="29"/>
      <c r="W270" s="29"/>
      <c r="X270" s="29"/>
      <c r="Y270" s="18">
        <f t="shared" si="593"/>
        <v>10000</v>
      </c>
      <c r="Z270" s="96">
        <v>12</v>
      </c>
      <c r="AA270" s="96">
        <f t="shared" si="594"/>
        <v>9600</v>
      </c>
      <c r="AB270" s="96">
        <f t="shared" si="595"/>
        <v>7600</v>
      </c>
      <c r="AC270" s="99">
        <v>800</v>
      </c>
      <c r="AD270" s="98"/>
      <c r="AE270" s="102">
        <f t="shared" si="596"/>
        <v>8400</v>
      </c>
      <c r="AF270" s="99">
        <v>800</v>
      </c>
      <c r="AG270" s="98"/>
      <c r="AH270" s="102">
        <f t="shared" si="597"/>
        <v>9200</v>
      </c>
      <c r="AI270" s="99">
        <v>800</v>
      </c>
      <c r="AJ270" s="98"/>
      <c r="AK270" s="102">
        <f t="shared" si="598"/>
        <v>10000</v>
      </c>
      <c r="AL270" s="99">
        <v>800</v>
      </c>
      <c r="AM270" s="98"/>
      <c r="AN270" s="102">
        <f t="shared" si="599"/>
        <v>10800</v>
      </c>
      <c r="AO270" s="99">
        <v>800</v>
      </c>
      <c r="AP270" s="113"/>
      <c r="AQ270" s="102">
        <f t="shared" si="600"/>
        <v>11600</v>
      </c>
      <c r="AR270" s="99">
        <v>800</v>
      </c>
      <c r="AS270" s="113"/>
      <c r="AT270" s="102">
        <f t="shared" si="601"/>
        <v>12400</v>
      </c>
      <c r="AU270" s="99">
        <v>800</v>
      </c>
      <c r="AV270" s="113"/>
      <c r="AW270" s="102">
        <f t="shared" si="602"/>
        <v>13200</v>
      </c>
      <c r="AX270" s="99">
        <v>800</v>
      </c>
      <c r="AY270" s="113"/>
      <c r="AZ270" s="102">
        <f t="shared" si="603"/>
        <v>14000</v>
      </c>
      <c r="BA270" s="99">
        <v>800</v>
      </c>
      <c r="BB270" s="113"/>
      <c r="BC270" s="102">
        <f t="shared" si="604"/>
        <v>14800</v>
      </c>
      <c r="BD270" s="99">
        <v>800</v>
      </c>
      <c r="BE270" s="113"/>
      <c r="BF270" s="102">
        <f t="shared" si="605"/>
        <v>15600</v>
      </c>
      <c r="BG270" s="99">
        <v>800</v>
      </c>
      <c r="BH270" s="113"/>
      <c r="BI270" s="102">
        <f t="shared" si="606"/>
        <v>16400</v>
      </c>
      <c r="BJ270" s="99">
        <v>800</v>
      </c>
      <c r="BK270" s="113">
        <v>2400</v>
      </c>
      <c r="BL270" s="102">
        <f t="shared" si="607"/>
        <v>14800</v>
      </c>
      <c r="BM270" s="99">
        <v>800</v>
      </c>
      <c r="BN270" s="113"/>
      <c r="BO270" s="102">
        <f t="shared" si="608"/>
        <v>15600</v>
      </c>
      <c r="BP270" s="99">
        <v>800</v>
      </c>
      <c r="BQ270" s="113"/>
      <c r="BR270" s="102">
        <f t="shared" si="609"/>
        <v>16400</v>
      </c>
      <c r="BS270" s="99">
        <v>800</v>
      </c>
      <c r="BT270" s="113"/>
      <c r="BU270" s="102">
        <f t="shared" si="610"/>
        <v>17200</v>
      </c>
      <c r="BV270" s="99">
        <v>800</v>
      </c>
      <c r="BW270" s="113">
        <v>6800</v>
      </c>
      <c r="BX270" s="102">
        <f t="shared" si="611"/>
        <v>11200</v>
      </c>
      <c r="BY270" s="99">
        <v>800</v>
      </c>
      <c r="BZ270" s="113"/>
      <c r="CA270" s="102">
        <f t="shared" si="612"/>
        <v>12000</v>
      </c>
      <c r="CB270" s="99">
        <v>800</v>
      </c>
      <c r="CC270" s="113"/>
      <c r="CD270" s="102">
        <f t="shared" si="613"/>
        <v>12800</v>
      </c>
      <c r="CE270" s="99">
        <v>800</v>
      </c>
      <c r="CF270" s="113"/>
      <c r="CG270" s="102">
        <f t="shared" si="614"/>
        <v>13600</v>
      </c>
      <c r="CH270" s="99">
        <v>800</v>
      </c>
      <c r="CI270" s="113">
        <v>3000</v>
      </c>
      <c r="CJ270" s="102">
        <f t="shared" si="615"/>
        <v>11400</v>
      </c>
      <c r="CK270" s="99">
        <v>800</v>
      </c>
      <c r="CL270" s="113"/>
      <c r="CM270" s="102">
        <f t="shared" si="616"/>
        <v>12200</v>
      </c>
      <c r="CN270" s="99">
        <v>800</v>
      </c>
      <c r="CO270" s="113"/>
      <c r="CP270" s="102">
        <f t="shared" si="617"/>
        <v>13000</v>
      </c>
      <c r="CQ270" s="99">
        <v>800</v>
      </c>
      <c r="CR270" s="113"/>
      <c r="CS270" s="185">
        <f t="shared" si="626"/>
        <v>13800</v>
      </c>
      <c r="CT270" s="99">
        <v>800</v>
      </c>
      <c r="CU270" s="113">
        <v>5000</v>
      </c>
      <c r="CV270" s="185">
        <f t="shared" si="627"/>
        <v>9600</v>
      </c>
      <c r="CW270" s="99">
        <v>800</v>
      </c>
      <c r="CX270" s="113"/>
      <c r="CY270" s="185">
        <f t="shared" si="628"/>
        <v>10400</v>
      </c>
    </row>
    <row r="271" spans="1:103" ht="30.75" customHeight="1">
      <c r="A271" s="41" t="e">
        <f>VLOOKUP(B271,справочник!$B$2:$E$322,4,FALSE)</f>
        <v>#N/A</v>
      </c>
      <c r="B271" t="str">
        <f t="shared" si="592"/>
        <v>59 Суркова Татьяна Александровна (новый собственник Милоянин Алексей Леонидович)</v>
      </c>
      <c r="C271" s="1">
        <v>59</v>
      </c>
      <c r="D271" s="2" t="s">
        <v>840</v>
      </c>
      <c r="E271" s="1" t="s">
        <v>567</v>
      </c>
      <c r="F271" s="16">
        <v>41044</v>
      </c>
      <c r="G271" s="16">
        <v>41030</v>
      </c>
      <c r="H271" s="17">
        <f t="shared" si="624"/>
        <v>44</v>
      </c>
      <c r="I271" s="1">
        <f t="shared" si="625"/>
        <v>44000</v>
      </c>
      <c r="J271" s="17">
        <v>34000</v>
      </c>
      <c r="K271" s="17"/>
      <c r="L271" s="18">
        <f t="shared" si="591"/>
        <v>10000</v>
      </c>
      <c r="M271" s="29"/>
      <c r="N271" s="29"/>
      <c r="O271" s="29"/>
      <c r="P271" s="29">
        <v>10000</v>
      </c>
      <c r="Q271" s="29"/>
      <c r="R271" s="29"/>
      <c r="S271" s="29"/>
      <c r="T271" s="29"/>
      <c r="U271" s="29"/>
      <c r="V271" s="29"/>
      <c r="W271" s="29"/>
      <c r="X271" s="29"/>
      <c r="Y271" s="18">
        <f t="shared" si="593"/>
        <v>10000</v>
      </c>
      <c r="Z271" s="96">
        <v>12</v>
      </c>
      <c r="AA271" s="96">
        <f t="shared" si="594"/>
        <v>9600</v>
      </c>
      <c r="AB271" s="96">
        <f t="shared" si="595"/>
        <v>9600</v>
      </c>
      <c r="AC271" s="99">
        <v>8000</v>
      </c>
      <c r="AD271" s="98"/>
      <c r="AE271" s="102">
        <f t="shared" si="596"/>
        <v>17600</v>
      </c>
      <c r="AF271" s="99">
        <v>800</v>
      </c>
      <c r="AG271" s="98"/>
      <c r="AH271" s="102">
        <f t="shared" si="597"/>
        <v>18400</v>
      </c>
      <c r="AI271" s="99">
        <v>800</v>
      </c>
      <c r="AJ271" s="98"/>
      <c r="AK271" s="102">
        <f t="shared" si="598"/>
        <v>19200</v>
      </c>
      <c r="AL271" s="99">
        <v>800</v>
      </c>
      <c r="AM271" s="98"/>
      <c r="AN271" s="102">
        <f t="shared" si="599"/>
        <v>20000</v>
      </c>
      <c r="AO271" s="99">
        <v>800</v>
      </c>
      <c r="AP271" s="113"/>
      <c r="AQ271" s="102">
        <f t="shared" si="600"/>
        <v>20800</v>
      </c>
      <c r="AR271" s="99">
        <v>800</v>
      </c>
      <c r="AS271" s="113"/>
      <c r="AT271" s="102">
        <f t="shared" si="601"/>
        <v>21600</v>
      </c>
      <c r="AU271" s="99">
        <v>800</v>
      </c>
      <c r="AV271" s="113"/>
      <c r="AW271" s="102">
        <f t="shared" si="602"/>
        <v>22400</v>
      </c>
      <c r="AX271" s="99">
        <v>800</v>
      </c>
      <c r="AY271" s="113"/>
      <c r="AZ271" s="102">
        <f t="shared" si="603"/>
        <v>23200</v>
      </c>
      <c r="BA271" s="99">
        <v>800</v>
      </c>
      <c r="BB271" s="113"/>
      <c r="BC271" s="102">
        <f t="shared" si="604"/>
        <v>24000</v>
      </c>
      <c r="BD271" s="99">
        <v>800</v>
      </c>
      <c r="BE271" s="113"/>
      <c r="BF271" s="102">
        <f t="shared" si="605"/>
        <v>24800</v>
      </c>
      <c r="BG271" s="99">
        <v>800</v>
      </c>
      <c r="BH271" s="113"/>
      <c r="BI271" s="102">
        <f t="shared" si="606"/>
        <v>25600</v>
      </c>
      <c r="BJ271" s="99">
        <v>800</v>
      </c>
      <c r="BK271" s="113"/>
      <c r="BL271" s="102">
        <f t="shared" si="607"/>
        <v>26400</v>
      </c>
      <c r="BM271" s="99">
        <v>800</v>
      </c>
      <c r="BN271" s="113"/>
      <c r="BO271" s="102">
        <f t="shared" si="608"/>
        <v>27200</v>
      </c>
      <c r="BP271" s="99">
        <v>800</v>
      </c>
      <c r="BQ271" s="113"/>
      <c r="BR271" s="102">
        <f t="shared" si="609"/>
        <v>28000</v>
      </c>
      <c r="BS271" s="99">
        <v>800</v>
      </c>
      <c r="BT271" s="113"/>
      <c r="BU271" s="102">
        <f t="shared" si="610"/>
        <v>28800</v>
      </c>
      <c r="BV271" s="99">
        <v>800</v>
      </c>
      <c r="BW271" s="113"/>
      <c r="BX271" s="102">
        <f t="shared" si="611"/>
        <v>29600</v>
      </c>
      <c r="BY271" s="99">
        <v>800</v>
      </c>
      <c r="BZ271" s="113"/>
      <c r="CA271" s="102">
        <f t="shared" si="612"/>
        <v>30400</v>
      </c>
      <c r="CB271" s="99">
        <v>800</v>
      </c>
      <c r="CC271" s="113"/>
      <c r="CD271" s="102">
        <f t="shared" si="613"/>
        <v>31200</v>
      </c>
      <c r="CE271" s="99">
        <v>800</v>
      </c>
      <c r="CF271" s="113"/>
      <c r="CG271" s="102">
        <f t="shared" si="614"/>
        <v>32000</v>
      </c>
      <c r="CH271" s="99">
        <v>800</v>
      </c>
      <c r="CI271" s="113"/>
      <c r="CJ271" s="102">
        <f t="shared" si="615"/>
        <v>32800</v>
      </c>
      <c r="CK271" s="99">
        <v>800</v>
      </c>
      <c r="CL271" s="113"/>
      <c r="CM271" s="102">
        <f t="shared" si="616"/>
        <v>33600</v>
      </c>
      <c r="CN271" s="99">
        <v>800</v>
      </c>
      <c r="CO271" s="113"/>
      <c r="CP271" s="102">
        <f t="shared" si="617"/>
        <v>34400</v>
      </c>
      <c r="CQ271" s="99">
        <v>800</v>
      </c>
      <c r="CR271" s="113"/>
      <c r="CS271" s="185">
        <f t="shared" si="626"/>
        <v>35200</v>
      </c>
      <c r="CT271" s="99">
        <v>800</v>
      </c>
      <c r="CU271" s="113"/>
      <c r="CV271" s="185">
        <f t="shared" si="627"/>
        <v>36000</v>
      </c>
      <c r="CW271" s="99">
        <v>800</v>
      </c>
      <c r="CX271" s="113"/>
      <c r="CY271" s="185">
        <f t="shared" si="628"/>
        <v>36800</v>
      </c>
    </row>
    <row r="272" spans="1:103" ht="15" customHeight="1">
      <c r="A272" s="41">
        <f>VLOOKUP(B272,справочник!$B$2:$E$322,4,FALSE)</f>
        <v>46</v>
      </c>
      <c r="B272" t="str">
        <f t="shared" si="592"/>
        <v>46Сысоев Евгений Анатольевич</v>
      </c>
      <c r="C272" s="1">
        <v>46</v>
      </c>
      <c r="D272" s="2" t="s">
        <v>258</v>
      </c>
      <c r="E272" s="1" t="s">
        <v>568</v>
      </c>
      <c r="F272" s="16">
        <v>41382</v>
      </c>
      <c r="G272" s="16">
        <v>41395</v>
      </c>
      <c r="H272" s="17">
        <f t="shared" si="624"/>
        <v>32</v>
      </c>
      <c r="I272" s="1">
        <f t="shared" si="625"/>
        <v>32000</v>
      </c>
      <c r="J272" s="17">
        <v>17000</v>
      </c>
      <c r="K272" s="17"/>
      <c r="L272" s="18">
        <f t="shared" si="591"/>
        <v>15000</v>
      </c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18">
        <f t="shared" si="593"/>
        <v>0</v>
      </c>
      <c r="Z272" s="96">
        <v>12</v>
      </c>
      <c r="AA272" s="96">
        <f t="shared" si="594"/>
        <v>9600</v>
      </c>
      <c r="AB272" s="96">
        <f t="shared" si="595"/>
        <v>24600</v>
      </c>
      <c r="AC272" s="99">
        <v>800</v>
      </c>
      <c r="AD272" s="98"/>
      <c r="AE272" s="102">
        <f t="shared" si="596"/>
        <v>25400</v>
      </c>
      <c r="AF272" s="99">
        <v>800</v>
      </c>
      <c r="AG272" s="98"/>
      <c r="AH272" s="102">
        <f t="shared" si="597"/>
        <v>26200</v>
      </c>
      <c r="AI272" s="99">
        <v>800</v>
      </c>
      <c r="AJ272" s="98"/>
      <c r="AK272" s="102">
        <f t="shared" si="598"/>
        <v>27000</v>
      </c>
      <c r="AL272" s="99">
        <v>800</v>
      </c>
      <c r="AM272" s="98"/>
      <c r="AN272" s="102">
        <f t="shared" si="599"/>
        <v>27800</v>
      </c>
      <c r="AO272" s="99">
        <v>800</v>
      </c>
      <c r="AP272" s="113"/>
      <c r="AQ272" s="102">
        <f t="shared" si="600"/>
        <v>28600</v>
      </c>
      <c r="AR272" s="99">
        <v>800</v>
      </c>
      <c r="AS272" s="113"/>
      <c r="AT272" s="102">
        <f t="shared" si="601"/>
        <v>29400</v>
      </c>
      <c r="AU272" s="99">
        <v>800</v>
      </c>
      <c r="AV272" s="113"/>
      <c r="AW272" s="102">
        <f t="shared" si="602"/>
        <v>30200</v>
      </c>
      <c r="AX272" s="99">
        <v>800</v>
      </c>
      <c r="AY272" s="113"/>
      <c r="AZ272" s="102">
        <f t="shared" si="603"/>
        <v>31000</v>
      </c>
      <c r="BA272" s="99">
        <v>800</v>
      </c>
      <c r="BB272" s="113"/>
      <c r="BC272" s="102">
        <f t="shared" si="604"/>
        <v>31800</v>
      </c>
      <c r="BD272" s="99">
        <v>800</v>
      </c>
      <c r="BE272" s="113"/>
      <c r="BF272" s="102">
        <f t="shared" si="605"/>
        <v>32600</v>
      </c>
      <c r="BG272" s="99">
        <v>800</v>
      </c>
      <c r="BH272" s="113"/>
      <c r="BI272" s="102">
        <f t="shared" si="606"/>
        <v>33400</v>
      </c>
      <c r="BJ272" s="99">
        <v>800</v>
      </c>
      <c r="BK272" s="113"/>
      <c r="BL272" s="102">
        <f t="shared" si="607"/>
        <v>34200</v>
      </c>
      <c r="BM272" s="99">
        <v>800</v>
      </c>
      <c r="BN272" s="113"/>
      <c r="BO272" s="102">
        <f t="shared" si="608"/>
        <v>35000</v>
      </c>
      <c r="BP272" s="99">
        <v>800</v>
      </c>
      <c r="BQ272" s="113"/>
      <c r="BR272" s="102">
        <f t="shared" si="609"/>
        <v>35800</v>
      </c>
      <c r="BS272" s="99">
        <v>800</v>
      </c>
      <c r="BT272" s="113">
        <v>10000</v>
      </c>
      <c r="BU272" s="102">
        <f t="shared" si="610"/>
        <v>26600</v>
      </c>
      <c r="BV272" s="99">
        <v>800</v>
      </c>
      <c r="BW272" s="113"/>
      <c r="BX272" s="102">
        <f t="shared" si="611"/>
        <v>27400</v>
      </c>
      <c r="BY272" s="99">
        <v>800</v>
      </c>
      <c r="BZ272" s="113"/>
      <c r="CA272" s="102">
        <f t="shared" si="612"/>
        <v>28200</v>
      </c>
      <c r="CB272" s="99">
        <v>800</v>
      </c>
      <c r="CC272" s="113"/>
      <c r="CD272" s="102">
        <f t="shared" si="613"/>
        <v>29000</v>
      </c>
      <c r="CE272" s="99">
        <v>800</v>
      </c>
      <c r="CF272" s="113"/>
      <c r="CG272" s="102">
        <f t="shared" si="614"/>
        <v>29800</v>
      </c>
      <c r="CH272" s="99">
        <v>800</v>
      </c>
      <c r="CI272" s="113"/>
      <c r="CJ272" s="102">
        <f t="shared" si="615"/>
        <v>30600</v>
      </c>
      <c r="CK272" s="99">
        <v>800</v>
      </c>
      <c r="CL272" s="113"/>
      <c r="CM272" s="102">
        <f t="shared" si="616"/>
        <v>31400</v>
      </c>
      <c r="CN272" s="99">
        <v>800</v>
      </c>
      <c r="CO272" s="113"/>
      <c r="CP272" s="102">
        <f t="shared" si="617"/>
        <v>32200</v>
      </c>
      <c r="CQ272" s="99">
        <v>800</v>
      </c>
      <c r="CR272" s="113"/>
      <c r="CS272" s="185">
        <f t="shared" si="626"/>
        <v>33000</v>
      </c>
      <c r="CT272" s="99">
        <v>800</v>
      </c>
      <c r="CU272" s="113"/>
      <c r="CV272" s="185">
        <f t="shared" si="627"/>
        <v>33800</v>
      </c>
      <c r="CW272" s="99">
        <v>800</v>
      </c>
      <c r="CX272" s="113"/>
      <c r="CY272" s="185">
        <f t="shared" si="628"/>
        <v>34600</v>
      </c>
    </row>
    <row r="273" spans="1:103" ht="15" customHeight="1">
      <c r="A273" s="41">
        <f>VLOOKUP(B273,справочник!$B$2:$E$322,4,FALSE)</f>
        <v>73</v>
      </c>
      <c r="B273" t="str">
        <f t="shared" si="592"/>
        <v>79Сысоев Семен Евгеньевич</v>
      </c>
      <c r="C273" s="1">
        <v>79</v>
      </c>
      <c r="D273" s="2" t="s">
        <v>259</v>
      </c>
      <c r="E273" s="1" t="s">
        <v>569</v>
      </c>
      <c r="F273" s="16">
        <v>41382</v>
      </c>
      <c r="G273" s="16">
        <v>41395</v>
      </c>
      <c r="H273" s="17">
        <f t="shared" si="624"/>
        <v>32</v>
      </c>
      <c r="I273" s="1">
        <f t="shared" si="625"/>
        <v>32000</v>
      </c>
      <c r="J273" s="17">
        <v>21000</v>
      </c>
      <c r="K273" s="17"/>
      <c r="L273" s="18">
        <f t="shared" si="591"/>
        <v>11000</v>
      </c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18">
        <f t="shared" si="593"/>
        <v>0</v>
      </c>
      <c r="Z273" s="96">
        <v>12</v>
      </c>
      <c r="AA273" s="96">
        <f t="shared" si="594"/>
        <v>9600</v>
      </c>
      <c r="AB273" s="96">
        <f t="shared" si="595"/>
        <v>20600</v>
      </c>
      <c r="AC273" s="99">
        <v>800</v>
      </c>
      <c r="AD273" s="98"/>
      <c r="AE273" s="102">
        <f t="shared" si="596"/>
        <v>21400</v>
      </c>
      <c r="AF273" s="99">
        <v>800</v>
      </c>
      <c r="AG273" s="98"/>
      <c r="AH273" s="102">
        <f t="shared" si="597"/>
        <v>22200</v>
      </c>
      <c r="AI273" s="99">
        <v>800</v>
      </c>
      <c r="AJ273" s="98"/>
      <c r="AK273" s="102">
        <f t="shared" si="598"/>
        <v>23000</v>
      </c>
      <c r="AL273" s="99">
        <v>800</v>
      </c>
      <c r="AM273" s="98"/>
      <c r="AN273" s="102">
        <f t="shared" si="599"/>
        <v>23800</v>
      </c>
      <c r="AO273" s="99">
        <v>800</v>
      </c>
      <c r="AP273" s="113"/>
      <c r="AQ273" s="102">
        <f t="shared" si="600"/>
        <v>24600</v>
      </c>
      <c r="AR273" s="99">
        <v>800</v>
      </c>
      <c r="AS273" s="113"/>
      <c r="AT273" s="102">
        <f t="shared" si="601"/>
        <v>25400</v>
      </c>
      <c r="AU273" s="99">
        <v>800</v>
      </c>
      <c r="AV273" s="113"/>
      <c r="AW273" s="102">
        <f t="shared" si="602"/>
        <v>26200</v>
      </c>
      <c r="AX273" s="99">
        <v>800</v>
      </c>
      <c r="AY273" s="113"/>
      <c r="AZ273" s="102">
        <f t="shared" si="603"/>
        <v>27000</v>
      </c>
      <c r="BA273" s="99">
        <v>800</v>
      </c>
      <c r="BB273" s="113"/>
      <c r="BC273" s="102">
        <f t="shared" si="604"/>
        <v>27800</v>
      </c>
      <c r="BD273" s="99">
        <v>800</v>
      </c>
      <c r="BE273" s="113"/>
      <c r="BF273" s="102">
        <f t="shared" si="605"/>
        <v>28600</v>
      </c>
      <c r="BG273" s="99">
        <v>800</v>
      </c>
      <c r="BH273" s="113"/>
      <c r="BI273" s="102">
        <f t="shared" si="606"/>
        <v>29400</v>
      </c>
      <c r="BJ273" s="99">
        <v>800</v>
      </c>
      <c r="BK273" s="113"/>
      <c r="BL273" s="102">
        <f t="shared" si="607"/>
        <v>30200</v>
      </c>
      <c r="BM273" s="99">
        <v>800</v>
      </c>
      <c r="BN273" s="113">
        <v>4800</v>
      </c>
      <c r="BO273" s="102">
        <f t="shared" si="608"/>
        <v>26200</v>
      </c>
      <c r="BP273" s="99">
        <v>800</v>
      </c>
      <c r="BQ273" s="113"/>
      <c r="BR273" s="102">
        <f t="shared" si="609"/>
        <v>27000</v>
      </c>
      <c r="BS273" s="99">
        <v>800</v>
      </c>
      <c r="BT273" s="113">
        <v>10000</v>
      </c>
      <c r="BU273" s="102">
        <f t="shared" si="610"/>
        <v>17800</v>
      </c>
      <c r="BV273" s="99">
        <v>800</v>
      </c>
      <c r="BW273" s="113"/>
      <c r="BX273" s="102">
        <f t="shared" si="611"/>
        <v>18600</v>
      </c>
      <c r="BY273" s="99">
        <v>800</v>
      </c>
      <c r="BZ273" s="113"/>
      <c r="CA273" s="102">
        <f t="shared" si="612"/>
        <v>19400</v>
      </c>
      <c r="CB273" s="99">
        <v>800</v>
      </c>
      <c r="CC273" s="113"/>
      <c r="CD273" s="102">
        <f t="shared" si="613"/>
        <v>20200</v>
      </c>
      <c r="CE273" s="99">
        <v>800</v>
      </c>
      <c r="CF273" s="113"/>
      <c r="CG273" s="102">
        <f t="shared" si="614"/>
        <v>21000</v>
      </c>
      <c r="CH273" s="99">
        <v>800</v>
      </c>
      <c r="CI273" s="113"/>
      <c r="CJ273" s="102">
        <f t="shared" si="615"/>
        <v>21800</v>
      </c>
      <c r="CK273" s="99">
        <v>800</v>
      </c>
      <c r="CL273" s="113">
        <v>26600</v>
      </c>
      <c r="CM273" s="102">
        <f t="shared" si="616"/>
        <v>-4000</v>
      </c>
      <c r="CN273" s="99">
        <v>800</v>
      </c>
      <c r="CO273" s="113"/>
      <c r="CP273" s="102">
        <f t="shared" si="617"/>
        <v>-3200</v>
      </c>
      <c r="CQ273" s="99">
        <v>800</v>
      </c>
      <c r="CR273" s="113"/>
      <c r="CS273" s="185">
        <f t="shared" si="626"/>
        <v>-2400</v>
      </c>
      <c r="CT273" s="99">
        <v>800</v>
      </c>
      <c r="CU273" s="113"/>
      <c r="CV273" s="185">
        <f t="shared" si="627"/>
        <v>-1600</v>
      </c>
      <c r="CW273" s="99">
        <v>800</v>
      </c>
      <c r="CX273" s="113"/>
      <c r="CY273" s="185">
        <f t="shared" si="628"/>
        <v>-800</v>
      </c>
    </row>
    <row r="274" spans="1:103" ht="15" customHeight="1">
      <c r="A274" s="41">
        <f>VLOOKUP(B274,справочник!$B$2:$E$322,4,FALSE)</f>
        <v>162</v>
      </c>
      <c r="B274" t="str">
        <f t="shared" si="592"/>
        <v>170Тадлов Виталий Петрович</v>
      </c>
      <c r="C274" s="1">
        <v>170</v>
      </c>
      <c r="D274" s="2" t="s">
        <v>260</v>
      </c>
      <c r="E274" s="1" t="s">
        <v>570</v>
      </c>
      <c r="F274" s="16">
        <v>41800</v>
      </c>
      <c r="G274" s="16">
        <v>41821</v>
      </c>
      <c r="H274" s="17">
        <f t="shared" si="624"/>
        <v>18</v>
      </c>
      <c r="I274" s="1">
        <f t="shared" si="625"/>
        <v>18000</v>
      </c>
      <c r="J274" s="17">
        <v>12000</v>
      </c>
      <c r="K274" s="17"/>
      <c r="L274" s="18">
        <f t="shared" si="591"/>
        <v>6000</v>
      </c>
      <c r="M274" s="29"/>
      <c r="N274" s="29"/>
      <c r="O274" s="29"/>
      <c r="P274" s="29"/>
      <c r="Q274" s="29">
        <v>12000</v>
      </c>
      <c r="R274" s="29"/>
      <c r="S274" s="29"/>
      <c r="T274" s="29"/>
      <c r="U274" s="29"/>
      <c r="V274" s="29"/>
      <c r="W274" s="29"/>
      <c r="X274" s="29"/>
      <c r="Y274" s="18">
        <f t="shared" si="593"/>
        <v>12000</v>
      </c>
      <c r="Z274" s="96">
        <v>12</v>
      </c>
      <c r="AA274" s="96">
        <f t="shared" si="594"/>
        <v>9600</v>
      </c>
      <c r="AB274" s="96">
        <f t="shared" si="595"/>
        <v>3600</v>
      </c>
      <c r="AC274" s="99">
        <v>800</v>
      </c>
      <c r="AD274" s="98"/>
      <c r="AE274" s="102">
        <f t="shared" si="596"/>
        <v>4400</v>
      </c>
      <c r="AF274" s="99">
        <v>800</v>
      </c>
      <c r="AG274" s="98"/>
      <c r="AH274" s="102">
        <f t="shared" si="597"/>
        <v>5200</v>
      </c>
      <c r="AI274" s="99">
        <v>800</v>
      </c>
      <c r="AJ274" s="98"/>
      <c r="AK274" s="102">
        <f t="shared" si="598"/>
        <v>6000</v>
      </c>
      <c r="AL274" s="99">
        <v>800</v>
      </c>
      <c r="AM274" s="98"/>
      <c r="AN274" s="102">
        <f t="shared" si="599"/>
        <v>6800</v>
      </c>
      <c r="AO274" s="99">
        <v>800</v>
      </c>
      <c r="AP274" s="113"/>
      <c r="AQ274" s="102">
        <f t="shared" si="600"/>
        <v>7600</v>
      </c>
      <c r="AR274" s="99">
        <v>800</v>
      </c>
      <c r="AS274" s="113">
        <f>2500+8000</f>
        <v>10500</v>
      </c>
      <c r="AT274" s="102">
        <f t="shared" si="601"/>
        <v>-2100</v>
      </c>
      <c r="AU274" s="99">
        <v>800</v>
      </c>
      <c r="AV274" s="113"/>
      <c r="AW274" s="102">
        <f t="shared" si="602"/>
        <v>-1300</v>
      </c>
      <c r="AX274" s="99">
        <v>800</v>
      </c>
      <c r="AY274" s="113"/>
      <c r="AZ274" s="102">
        <f t="shared" si="603"/>
        <v>-500</v>
      </c>
      <c r="BA274" s="99">
        <v>800</v>
      </c>
      <c r="BB274" s="113"/>
      <c r="BC274" s="102">
        <f t="shared" si="604"/>
        <v>300</v>
      </c>
      <c r="BD274" s="99">
        <v>800</v>
      </c>
      <c r="BE274" s="113"/>
      <c r="BF274" s="102">
        <f t="shared" si="605"/>
        <v>1100</v>
      </c>
      <c r="BG274" s="99">
        <v>800</v>
      </c>
      <c r="BH274" s="113"/>
      <c r="BI274" s="102">
        <f t="shared" si="606"/>
        <v>1900</v>
      </c>
      <c r="BJ274" s="99">
        <v>800</v>
      </c>
      <c r="BK274" s="113"/>
      <c r="BL274" s="102">
        <f t="shared" si="607"/>
        <v>2700</v>
      </c>
      <c r="BM274" s="99">
        <v>800</v>
      </c>
      <c r="BN274" s="113"/>
      <c r="BO274" s="102">
        <f t="shared" si="608"/>
        <v>3500</v>
      </c>
      <c r="BP274" s="99">
        <v>800</v>
      </c>
      <c r="BQ274" s="113"/>
      <c r="BR274" s="102">
        <f t="shared" si="609"/>
        <v>4300</v>
      </c>
      <c r="BS274" s="99">
        <v>800</v>
      </c>
      <c r="BT274" s="113"/>
      <c r="BU274" s="102">
        <f t="shared" si="610"/>
        <v>5100</v>
      </c>
      <c r="BV274" s="99">
        <v>800</v>
      </c>
      <c r="BW274" s="113">
        <v>5000</v>
      </c>
      <c r="BX274" s="102">
        <f t="shared" si="611"/>
        <v>900</v>
      </c>
      <c r="BY274" s="99">
        <v>800</v>
      </c>
      <c r="BZ274" s="113"/>
      <c r="CA274" s="102">
        <f t="shared" si="612"/>
        <v>1700</v>
      </c>
      <c r="CB274" s="99">
        <v>800</v>
      </c>
      <c r="CC274" s="113"/>
      <c r="CD274" s="102">
        <f t="shared" si="613"/>
        <v>2500</v>
      </c>
      <c r="CE274" s="99">
        <v>800</v>
      </c>
      <c r="CF274" s="113"/>
      <c r="CG274" s="102">
        <f t="shared" si="614"/>
        <v>3300</v>
      </c>
      <c r="CH274" s="99">
        <v>800</v>
      </c>
      <c r="CI274" s="113"/>
      <c r="CJ274" s="102">
        <f t="shared" si="615"/>
        <v>4100</v>
      </c>
      <c r="CK274" s="99">
        <v>800</v>
      </c>
      <c r="CL274" s="113"/>
      <c r="CM274" s="102">
        <f t="shared" si="616"/>
        <v>4900</v>
      </c>
      <c r="CN274" s="99">
        <v>800</v>
      </c>
      <c r="CO274" s="113"/>
      <c r="CP274" s="102">
        <f t="shared" si="617"/>
        <v>5700</v>
      </c>
      <c r="CQ274" s="99">
        <v>800</v>
      </c>
      <c r="CR274" s="113"/>
      <c r="CS274" s="185">
        <f t="shared" si="626"/>
        <v>6500</v>
      </c>
      <c r="CT274" s="99">
        <v>800</v>
      </c>
      <c r="CU274" s="113"/>
      <c r="CV274" s="185">
        <f t="shared" si="627"/>
        <v>7300</v>
      </c>
      <c r="CW274" s="99">
        <v>800</v>
      </c>
      <c r="CX274" s="113"/>
      <c r="CY274" s="185">
        <f t="shared" si="628"/>
        <v>8100</v>
      </c>
    </row>
    <row r="275" spans="1:103" s="80" customFormat="1" ht="15" customHeight="1">
      <c r="A275" s="103">
        <f>VLOOKUP(B275,справочник!$B$2:$E$322,4,FALSE)</f>
        <v>252</v>
      </c>
      <c r="B275" s="80" t="str">
        <f t="shared" si="592"/>
        <v>263Тарасенко Анатолий Семенович</v>
      </c>
      <c r="C275" s="5">
        <v>263</v>
      </c>
      <c r="D275" s="7" t="s">
        <v>261</v>
      </c>
      <c r="E275" s="5" t="s">
        <v>571</v>
      </c>
      <c r="F275" s="19">
        <v>42055</v>
      </c>
      <c r="G275" s="19">
        <v>42064</v>
      </c>
      <c r="H275" s="20">
        <f t="shared" si="624"/>
        <v>10</v>
      </c>
      <c r="I275" s="5">
        <f t="shared" si="625"/>
        <v>10000</v>
      </c>
      <c r="J275" s="20">
        <v>12000</v>
      </c>
      <c r="K275" s="20"/>
      <c r="L275" s="21">
        <f t="shared" si="591"/>
        <v>-2000</v>
      </c>
      <c r="M275" s="109"/>
      <c r="N275" s="109">
        <v>800</v>
      </c>
      <c r="O275" s="109">
        <v>1600</v>
      </c>
      <c r="P275" s="109"/>
      <c r="Q275" s="109">
        <v>1600</v>
      </c>
      <c r="R275" s="109"/>
      <c r="S275" s="109">
        <v>1600</v>
      </c>
      <c r="T275" s="80">
        <v>800</v>
      </c>
      <c r="U275" s="109">
        <v>800</v>
      </c>
      <c r="V275" s="109"/>
      <c r="W275" s="80">
        <v>800</v>
      </c>
      <c r="X275" s="109">
        <f>800+800</f>
        <v>1600</v>
      </c>
      <c r="Y275" s="21">
        <f t="shared" si="593"/>
        <v>9600</v>
      </c>
      <c r="Z275" s="104">
        <v>12</v>
      </c>
      <c r="AA275" s="104">
        <f t="shared" si="594"/>
        <v>9600</v>
      </c>
      <c r="AB275" s="104">
        <f t="shared" si="595"/>
        <v>-2000</v>
      </c>
      <c r="AC275" s="104">
        <v>800</v>
      </c>
      <c r="AD275" s="105"/>
      <c r="AE275" s="222">
        <f>SUM(AB275:AB276)+SUM(AC275:AC276)-SUM(AD275:AD276)</f>
        <v>-200</v>
      </c>
      <c r="AF275" s="104">
        <v>800</v>
      </c>
      <c r="AG275" s="105">
        <v>800</v>
      </c>
      <c r="AH275" s="222">
        <f>SUM(AE275:AE276)+SUM(AF275:AF276)-SUM(AG275:AG276)</f>
        <v>-200</v>
      </c>
      <c r="AI275" s="104">
        <v>800</v>
      </c>
      <c r="AJ275" s="105">
        <v>800</v>
      </c>
      <c r="AK275" s="222">
        <f>SUM(AH275:AH276)+SUM(AI275:AI276)-SUM(AJ275:AJ276)</f>
        <v>-200</v>
      </c>
      <c r="AL275" s="104">
        <v>800</v>
      </c>
      <c r="AM275" s="105"/>
      <c r="AN275" s="222">
        <f>SUM(AK275:AK276)+SUM(AL275:AL276)-SUM(AM275:AM276)</f>
        <v>-3965.4300000000003</v>
      </c>
      <c r="AO275" s="104">
        <v>800</v>
      </c>
      <c r="AP275" s="105"/>
      <c r="AQ275" s="222">
        <f>SUM(AN275:AN276)+SUM(AO275:AO276)-SUM(AP275:AP276)</f>
        <v>-3165.4300000000003</v>
      </c>
      <c r="AR275" s="104">
        <v>800</v>
      </c>
      <c r="AS275" s="105"/>
      <c r="AT275" s="222">
        <f>SUM(AQ275:AQ276)+SUM(AR275:AR276)-SUM(AS275:AS276)</f>
        <v>-2365.4300000000003</v>
      </c>
      <c r="AU275" s="104">
        <v>800</v>
      </c>
      <c r="AV275" s="105"/>
      <c r="AW275" s="216">
        <f>SUM(AT275:AT276)+SUM(AU275:AU276)-SUM(AV275:AV276)</f>
        <v>-1565.4300000000003</v>
      </c>
      <c r="AX275" s="104">
        <v>800</v>
      </c>
      <c r="AY275" s="105">
        <v>800</v>
      </c>
      <c r="AZ275" s="216">
        <f>SUM(AW275:AW276)+SUM(AX275:AX276)-SUM(AY275:AY276)</f>
        <v>-1565.4300000000003</v>
      </c>
      <c r="BA275" s="104">
        <v>800</v>
      </c>
      <c r="BB275" s="105"/>
      <c r="BC275" s="216">
        <f>SUM(AZ275:AZ276)+SUM(BA275:BA276)-SUM(BB275:BB276)</f>
        <v>-1565.4300000000003</v>
      </c>
      <c r="BD275" s="104">
        <v>800</v>
      </c>
      <c r="BE275" s="105">
        <v>800</v>
      </c>
      <c r="BF275" s="122">
        <f>SUM(BC275:BC276)+SUM(BD275:BD276)-SUM(BE275:BE276)</f>
        <v>-1565.4300000000003</v>
      </c>
      <c r="BG275" s="104">
        <v>800</v>
      </c>
      <c r="BH275" s="105">
        <v>800</v>
      </c>
      <c r="BI275" s="131">
        <f>SUM(BF275:BF276)+SUM(BG275:BG276)-SUM(BH275:BH276)</f>
        <v>-1565.4300000000003</v>
      </c>
      <c r="BJ275" s="104">
        <v>800</v>
      </c>
      <c r="BK275" s="105">
        <f>800+800</f>
        <v>1600</v>
      </c>
      <c r="BL275" s="135">
        <f>SUM(BI275:BI276)+SUM(BJ275:BJ276)-SUM(BK275:BK276)</f>
        <v>-2365.4300000000003</v>
      </c>
      <c r="BM275" s="104">
        <v>800</v>
      </c>
      <c r="BN275" s="105"/>
      <c r="BO275" s="141">
        <f>SUM(BL275:BL276)+SUM(BM275:BM276)-SUM(BN275:BN276)</f>
        <v>-1565.4300000000003</v>
      </c>
      <c r="BP275" s="104">
        <v>800</v>
      </c>
      <c r="BQ275" s="105">
        <v>800</v>
      </c>
      <c r="BR275" s="143">
        <f>SUM(BO275:BO276)+SUM(BP275:BP276)-SUM(BQ275:BQ276)</f>
        <v>-1565.4300000000003</v>
      </c>
      <c r="BS275" s="104">
        <v>800</v>
      </c>
      <c r="BT275" s="105">
        <v>800</v>
      </c>
      <c r="BU275" s="149">
        <f>SUM(BR275:BR276)+SUM(BS275:BS276)-SUM(BT275:BT276)</f>
        <v>-1565.4300000000003</v>
      </c>
      <c r="BV275" s="104">
        <v>800</v>
      </c>
      <c r="BW275" s="105">
        <v>800</v>
      </c>
      <c r="BX275" s="151">
        <f>SUM(BU275:BU276)+SUM(BV275:BV276)-SUM(BW275:BW276)</f>
        <v>-1565.4300000000003</v>
      </c>
      <c r="BY275" s="104">
        <v>800</v>
      </c>
      <c r="BZ275" s="105">
        <v>800</v>
      </c>
      <c r="CA275" s="157">
        <f>SUM(BX275:BX276)+SUM(BY275:BY276)-SUM(BZ275:BZ276)</f>
        <v>-2365.4300000000003</v>
      </c>
      <c r="CB275" s="104">
        <v>800</v>
      </c>
      <c r="CC275" s="105"/>
      <c r="CD275" s="159">
        <f>SUM(CA275:CA276)+SUM(CB275:CB276)-SUM(CC275:CC276)</f>
        <v>-1565.4300000000003</v>
      </c>
      <c r="CE275" s="104">
        <v>800</v>
      </c>
      <c r="CF275" s="105">
        <v>800</v>
      </c>
      <c r="CG275" s="165">
        <f>SUM(CD275:CD276)+SUM(CE275:CE276)-SUM(CF275:CF276)</f>
        <v>-1565.4300000000003</v>
      </c>
      <c r="CH275" s="104">
        <v>800</v>
      </c>
      <c r="CI275" s="105"/>
      <c r="CJ275" s="169">
        <f>SUM(CG275:CG276)+SUM(CH275:CH276)-SUM(CI275:CI276)</f>
        <v>-765.43000000000029</v>
      </c>
      <c r="CK275" s="104">
        <v>800</v>
      </c>
      <c r="CL275" s="105">
        <v>1600</v>
      </c>
      <c r="CM275" s="173">
        <f>SUM(CJ275:CJ276)+SUM(CK275:CK276)-SUM(CL275:CL276)</f>
        <v>-1565.4300000000003</v>
      </c>
      <c r="CN275" s="104">
        <v>800</v>
      </c>
      <c r="CO275" s="105">
        <v>800</v>
      </c>
      <c r="CP275" s="177">
        <f>SUM(CM275:CM276)+SUM(CN275:CN276)-SUM(CO275:CO276)</f>
        <v>-1565.4300000000003</v>
      </c>
      <c r="CQ275" s="104">
        <v>800</v>
      </c>
      <c r="CR275" s="105">
        <v>800</v>
      </c>
      <c r="CS275" s="210">
        <f>CP275+CQ275-CR275</f>
        <v>-1565.4300000000003</v>
      </c>
      <c r="CT275" s="104">
        <v>800</v>
      </c>
      <c r="CU275" s="105">
        <f>800+800</f>
        <v>1600</v>
      </c>
      <c r="CV275" s="210">
        <f>CS275+CT275-CU275</f>
        <v>-2365.4300000000003</v>
      </c>
      <c r="CW275" s="104">
        <v>800</v>
      </c>
      <c r="CX275" s="105"/>
      <c r="CY275" s="210">
        <f>CV275+CW275-CX275</f>
        <v>-1565.4300000000003</v>
      </c>
    </row>
    <row r="276" spans="1:103" s="80" customFormat="1" ht="15" customHeight="1">
      <c r="A276" s="103">
        <f>VLOOKUP(B276,справочник!$B$2:$E$322,4,FALSE)</f>
        <v>252</v>
      </c>
      <c r="B276" s="80" t="str">
        <f t="shared" si="592"/>
        <v>264Тарасенко Анатолий Семенович</v>
      </c>
      <c r="C276" s="5">
        <v>264</v>
      </c>
      <c r="D276" s="7" t="s">
        <v>261</v>
      </c>
      <c r="E276" s="5" t="s">
        <v>572</v>
      </c>
      <c r="F276" s="19">
        <v>42083</v>
      </c>
      <c r="G276" s="19">
        <v>42095</v>
      </c>
      <c r="H276" s="20">
        <v>9</v>
      </c>
      <c r="I276" s="5">
        <f t="shared" si="625"/>
        <v>9000</v>
      </c>
      <c r="J276" s="20">
        <v>8000</v>
      </c>
      <c r="K276" s="20"/>
      <c r="L276" s="21">
        <f t="shared" si="591"/>
        <v>1000</v>
      </c>
      <c r="M276" s="109"/>
      <c r="N276" s="109"/>
      <c r="O276" s="109"/>
      <c r="P276" s="109"/>
      <c r="Q276" s="109"/>
      <c r="R276" s="109"/>
      <c r="S276" s="109"/>
      <c r="T276" s="109"/>
      <c r="U276" s="109"/>
      <c r="V276" s="109"/>
      <c r="W276" s="109"/>
      <c r="X276" s="109"/>
      <c r="Y276" s="21">
        <f t="shared" si="593"/>
        <v>0</v>
      </c>
      <c r="Z276" s="104">
        <v>0</v>
      </c>
      <c r="AA276" s="104">
        <f t="shared" si="594"/>
        <v>0</v>
      </c>
      <c r="AB276" s="104">
        <f t="shared" si="595"/>
        <v>1000</v>
      </c>
      <c r="AC276" s="104">
        <v>0</v>
      </c>
      <c r="AD276" s="105"/>
      <c r="AE276" s="223"/>
      <c r="AF276" s="104">
        <v>0</v>
      </c>
      <c r="AG276" s="105"/>
      <c r="AH276" s="223"/>
      <c r="AI276" s="104">
        <v>0</v>
      </c>
      <c r="AJ276" s="105"/>
      <c r="AK276" s="223"/>
      <c r="AL276" s="104">
        <v>0</v>
      </c>
      <c r="AM276" s="105">
        <v>4565.43</v>
      </c>
      <c r="AN276" s="223"/>
      <c r="AO276" s="104">
        <v>0</v>
      </c>
      <c r="AP276" s="105"/>
      <c r="AQ276" s="223"/>
      <c r="AR276" s="104">
        <v>0</v>
      </c>
      <c r="AS276" s="105"/>
      <c r="AT276" s="223"/>
      <c r="AU276" s="104">
        <v>0</v>
      </c>
      <c r="AV276" s="105"/>
      <c r="AW276" s="217"/>
      <c r="AX276" s="104">
        <v>0</v>
      </c>
      <c r="AY276" s="105"/>
      <c r="AZ276" s="217"/>
      <c r="BA276" s="104">
        <v>0</v>
      </c>
      <c r="BB276" s="105">
        <v>800</v>
      </c>
      <c r="BC276" s="217"/>
      <c r="BD276" s="104">
        <v>0</v>
      </c>
      <c r="BE276" s="105"/>
      <c r="BF276" s="123"/>
      <c r="BG276" s="104">
        <v>0</v>
      </c>
      <c r="BH276" s="105"/>
      <c r="BI276" s="132"/>
      <c r="BJ276" s="104">
        <v>0</v>
      </c>
      <c r="BK276" s="105"/>
      <c r="BL276" s="136"/>
      <c r="BM276" s="104">
        <v>0</v>
      </c>
      <c r="BN276" s="105"/>
      <c r="BO276" s="142"/>
      <c r="BP276" s="104">
        <v>0</v>
      </c>
      <c r="BQ276" s="105"/>
      <c r="BR276" s="144"/>
      <c r="BS276" s="104">
        <v>0</v>
      </c>
      <c r="BT276" s="105"/>
      <c r="BU276" s="150"/>
      <c r="BV276" s="104">
        <v>0</v>
      </c>
      <c r="BW276" s="105"/>
      <c r="BX276" s="152"/>
      <c r="BY276" s="104">
        <v>0</v>
      </c>
      <c r="BZ276" s="105">
        <v>800</v>
      </c>
      <c r="CA276" s="158"/>
      <c r="CB276" s="104">
        <v>0</v>
      </c>
      <c r="CC276" s="105"/>
      <c r="CD276" s="160"/>
      <c r="CE276" s="104">
        <v>0</v>
      </c>
      <c r="CF276" s="105"/>
      <c r="CG276" s="166"/>
      <c r="CH276" s="104">
        <v>0</v>
      </c>
      <c r="CI276" s="105"/>
      <c r="CJ276" s="170"/>
      <c r="CK276" s="104">
        <v>0</v>
      </c>
      <c r="CL276" s="105"/>
      <c r="CM276" s="174"/>
      <c r="CN276" s="104">
        <v>0</v>
      </c>
      <c r="CO276" s="105"/>
      <c r="CP276" s="178"/>
      <c r="CQ276" s="104">
        <v>0</v>
      </c>
      <c r="CR276" s="105"/>
      <c r="CS276" s="211"/>
      <c r="CT276" s="104">
        <v>0</v>
      </c>
      <c r="CU276" s="105"/>
      <c r="CV276" s="211"/>
      <c r="CW276" s="104">
        <v>0</v>
      </c>
      <c r="CX276" s="105"/>
      <c r="CY276" s="211"/>
    </row>
    <row r="277" spans="1:103" ht="25.5" customHeight="1">
      <c r="A277" s="41">
        <f>VLOOKUP(B277,справочник!$B$2:$E$322,4,FALSE)</f>
        <v>45</v>
      </c>
      <c r="B277" t="str">
        <f t="shared" si="592"/>
        <v>45Темникова Елена Станиславовна</v>
      </c>
      <c r="C277" s="1">
        <v>45</v>
      </c>
      <c r="D277" s="2" t="s">
        <v>262</v>
      </c>
      <c r="E277" s="1" t="s">
        <v>573</v>
      </c>
      <c r="F277" s="16">
        <v>41044</v>
      </c>
      <c r="G277" s="16">
        <v>41030</v>
      </c>
      <c r="H277" s="17">
        <f t="shared" ref="H277:H286" si="629">INT(($H$326-G277)/30)</f>
        <v>44</v>
      </c>
      <c r="I277" s="1">
        <f t="shared" si="625"/>
        <v>44000</v>
      </c>
      <c r="J277" s="17">
        <f>27000+8000</f>
        <v>35000</v>
      </c>
      <c r="K277" s="17">
        <v>9000</v>
      </c>
      <c r="L277" s="18">
        <f t="shared" si="591"/>
        <v>0</v>
      </c>
      <c r="M277" s="29">
        <v>800</v>
      </c>
      <c r="N277" s="29">
        <v>800</v>
      </c>
      <c r="O277" s="29">
        <v>800</v>
      </c>
      <c r="P277" s="29">
        <v>800</v>
      </c>
      <c r="Q277" s="29">
        <v>800</v>
      </c>
      <c r="R277" s="29">
        <v>800</v>
      </c>
      <c r="S277" s="29">
        <v>800</v>
      </c>
      <c r="T277">
        <v>800</v>
      </c>
      <c r="U277" s="29">
        <v>3200</v>
      </c>
      <c r="V277" s="29">
        <v>2600</v>
      </c>
      <c r="W277" s="29"/>
      <c r="X277" s="29"/>
      <c r="Y277" s="18">
        <f t="shared" si="593"/>
        <v>12200</v>
      </c>
      <c r="Z277" s="96">
        <v>12</v>
      </c>
      <c r="AA277" s="96">
        <f t="shared" si="594"/>
        <v>9600</v>
      </c>
      <c r="AB277" s="96">
        <f t="shared" si="595"/>
        <v>-2600</v>
      </c>
      <c r="AC277" s="99">
        <v>800</v>
      </c>
      <c r="AD277" s="98"/>
      <c r="AE277" s="102">
        <f t="shared" si="596"/>
        <v>-1800</v>
      </c>
      <c r="AF277" s="99">
        <v>800</v>
      </c>
      <c r="AG277" s="98">
        <v>1600</v>
      </c>
      <c r="AH277" s="102">
        <f>AE277+AF277-AG277</f>
        <v>-2600</v>
      </c>
      <c r="AI277" s="99">
        <v>800</v>
      </c>
      <c r="AJ277" s="98"/>
      <c r="AK277" s="102">
        <f>AH277+AI277-AJ277</f>
        <v>-1800</v>
      </c>
      <c r="AL277" s="99">
        <v>800</v>
      </c>
      <c r="AM277" s="98">
        <v>2400</v>
      </c>
      <c r="AN277" s="102">
        <f>AK277+AL277-AM277</f>
        <v>-3400</v>
      </c>
      <c r="AO277" s="99">
        <v>800</v>
      </c>
      <c r="AP277" s="113"/>
      <c r="AQ277" s="102">
        <f>AN277+AO277-AP277</f>
        <v>-2600</v>
      </c>
      <c r="AR277" s="99">
        <v>800</v>
      </c>
      <c r="AS277" s="113">
        <v>5000</v>
      </c>
      <c r="AT277" s="102">
        <f>AQ277+AR277-AS277</f>
        <v>-6800</v>
      </c>
      <c r="AU277" s="99">
        <v>800</v>
      </c>
      <c r="AV277" s="113"/>
      <c r="AW277" s="102">
        <f>AT277+AU277-AV277</f>
        <v>-6000</v>
      </c>
      <c r="AX277" s="99">
        <v>800</v>
      </c>
      <c r="AY277" s="113"/>
      <c r="AZ277" s="102">
        <f>AW277+AX277-AY277</f>
        <v>-5200</v>
      </c>
      <c r="BA277" s="99">
        <v>800</v>
      </c>
      <c r="BB277" s="113"/>
      <c r="BC277" s="102">
        <f>AZ277+BA277-BB277</f>
        <v>-4400</v>
      </c>
      <c r="BD277" s="99">
        <v>800</v>
      </c>
      <c r="BE277" s="113"/>
      <c r="BF277" s="102">
        <f>BC277+BD277-BE277</f>
        <v>-3600</v>
      </c>
      <c r="BG277" s="99">
        <v>800</v>
      </c>
      <c r="BH277" s="113"/>
      <c r="BI277" s="102">
        <f>BF277+BG277-BH277</f>
        <v>-2800</v>
      </c>
      <c r="BJ277" s="99">
        <v>800</v>
      </c>
      <c r="BK277" s="113"/>
      <c r="BL277" s="102">
        <f>BI277+BJ277-BK277</f>
        <v>-2000</v>
      </c>
      <c r="BM277" s="99">
        <v>800</v>
      </c>
      <c r="BN277" s="113"/>
      <c r="BO277" s="102">
        <f>BL277+BM277-BN277</f>
        <v>-1200</v>
      </c>
      <c r="BP277" s="99">
        <v>800</v>
      </c>
      <c r="BQ277" s="113">
        <v>2400</v>
      </c>
      <c r="BR277" s="102">
        <f>BO277+BP277-BQ277</f>
        <v>-2800</v>
      </c>
      <c r="BS277" s="99">
        <v>800</v>
      </c>
      <c r="BT277" s="113"/>
      <c r="BU277" s="102">
        <f>BR277+BS277-BT277</f>
        <v>-2000</v>
      </c>
      <c r="BV277" s="99">
        <v>800</v>
      </c>
      <c r="BW277" s="113"/>
      <c r="BX277" s="102">
        <f>BU277+BV277-BW277</f>
        <v>-1200</v>
      </c>
      <c r="BY277" s="99">
        <v>800</v>
      </c>
      <c r="BZ277" s="113"/>
      <c r="CA277" s="102">
        <f>BX277+BY277-BZ277</f>
        <v>-400</v>
      </c>
      <c r="CB277" s="99">
        <v>800</v>
      </c>
      <c r="CC277" s="113">
        <v>3000</v>
      </c>
      <c r="CD277" s="102">
        <f>CA277+CB277-CC277</f>
        <v>-2600</v>
      </c>
      <c r="CE277" s="99">
        <v>800</v>
      </c>
      <c r="CF277" s="113"/>
      <c r="CG277" s="102">
        <f>CD277+CE277-CF277</f>
        <v>-1800</v>
      </c>
      <c r="CH277" s="99">
        <v>800</v>
      </c>
      <c r="CI277" s="113"/>
      <c r="CJ277" s="102">
        <f>CG277+CH277-CI277</f>
        <v>-1000</v>
      </c>
      <c r="CK277" s="99">
        <v>800</v>
      </c>
      <c r="CL277" s="113"/>
      <c r="CM277" s="102">
        <f>CJ277+CK277-CL277</f>
        <v>-200</v>
      </c>
      <c r="CN277" s="99">
        <v>800</v>
      </c>
      <c r="CO277" s="113"/>
      <c r="CP277" s="102">
        <f>CM277+CN277-CO277</f>
        <v>600</v>
      </c>
      <c r="CQ277" s="99">
        <v>800</v>
      </c>
      <c r="CR277" s="113"/>
      <c r="CS277" s="102">
        <f>CP277+CQ277-CR277</f>
        <v>1400</v>
      </c>
      <c r="CT277" s="99">
        <v>800</v>
      </c>
      <c r="CU277" s="113">
        <v>10000</v>
      </c>
      <c r="CV277" s="102">
        <f>CS277+CT277-CU277</f>
        <v>-7800</v>
      </c>
      <c r="CW277" s="99">
        <v>800</v>
      </c>
      <c r="CX277" s="113"/>
      <c r="CY277" s="102">
        <f>CV277+CW277-CX277</f>
        <v>-7000</v>
      </c>
    </row>
    <row r="278" spans="1:103" ht="15" customHeight="1">
      <c r="A278" s="41">
        <f>VLOOKUP(B278,справочник!$B$2:$E$322,4,FALSE)</f>
        <v>319</v>
      </c>
      <c r="B278" t="str">
        <f t="shared" si="592"/>
        <v>73-74Тимофеева Лариса Викторовна</v>
      </c>
      <c r="C278" s="1" t="s">
        <v>263</v>
      </c>
      <c r="D278" s="2" t="s">
        <v>264</v>
      </c>
      <c r="E278" s="1" t="s">
        <v>574</v>
      </c>
      <c r="F278" s="16">
        <v>40774</v>
      </c>
      <c r="G278" s="16">
        <v>40787</v>
      </c>
      <c r="H278" s="17">
        <f t="shared" si="629"/>
        <v>52</v>
      </c>
      <c r="I278" s="1">
        <v>76000</v>
      </c>
      <c r="J278" s="17">
        <f>8000+68000</f>
        <v>76000</v>
      </c>
      <c r="K278" s="17"/>
      <c r="L278" s="18">
        <f t="shared" si="591"/>
        <v>0</v>
      </c>
      <c r="M278" s="29"/>
      <c r="N278" s="29">
        <v>2000</v>
      </c>
      <c r="O278" s="29"/>
      <c r="P278" s="29">
        <v>4000</v>
      </c>
      <c r="Q278" s="29">
        <v>4000</v>
      </c>
      <c r="R278" s="29"/>
      <c r="S278" s="29"/>
      <c r="T278">
        <v>4000</v>
      </c>
      <c r="U278" s="29"/>
      <c r="V278" s="29">
        <v>4000</v>
      </c>
      <c r="W278" s="84">
        <v>4000</v>
      </c>
      <c r="X278" s="29"/>
      <c r="Y278" s="18">
        <f t="shared" si="593"/>
        <v>22000</v>
      </c>
      <c r="Z278" s="96">
        <v>12</v>
      </c>
      <c r="AA278" s="96">
        <f t="shared" si="594"/>
        <v>9600</v>
      </c>
      <c r="AB278" s="96">
        <f t="shared" si="595"/>
        <v>-12400</v>
      </c>
      <c r="AC278" s="99">
        <v>800</v>
      </c>
      <c r="AD278" s="98"/>
      <c r="AE278" s="102">
        <f t="shared" si="596"/>
        <v>-11600</v>
      </c>
      <c r="AF278" s="99">
        <v>800</v>
      </c>
      <c r="AG278" s="98">
        <v>4000</v>
      </c>
      <c r="AH278" s="102">
        <f t="shared" ref="AH278:AH286" si="630">AE278+AF278-AG278</f>
        <v>-14800</v>
      </c>
      <c r="AI278" s="99">
        <v>800</v>
      </c>
      <c r="AJ278" s="98"/>
      <c r="AK278" s="102">
        <f t="shared" ref="AK278:AK286" si="631">AH278+AI278-AJ278</f>
        <v>-14000</v>
      </c>
      <c r="AL278" s="99">
        <v>800</v>
      </c>
      <c r="AM278" s="98"/>
      <c r="AN278" s="102">
        <f t="shared" ref="AN278:AN286" si="632">AK278+AL278-AM278</f>
        <v>-13200</v>
      </c>
      <c r="AO278" s="99">
        <v>800</v>
      </c>
      <c r="AP278" s="113"/>
      <c r="AQ278" s="102">
        <f t="shared" ref="AQ278:AQ286" si="633">AN278+AO278-AP278</f>
        <v>-12400</v>
      </c>
      <c r="AR278" s="99">
        <v>800</v>
      </c>
      <c r="AS278" s="113"/>
      <c r="AT278" s="102">
        <f t="shared" ref="AT278:AT286" si="634">AQ278+AR278-AS278</f>
        <v>-11600</v>
      </c>
      <c r="AU278" s="99">
        <v>800</v>
      </c>
      <c r="AV278" s="113"/>
      <c r="AW278" s="102">
        <f t="shared" ref="AW278:AW286" si="635">AT278+AU278-AV278</f>
        <v>-10800</v>
      </c>
      <c r="AX278" s="99">
        <v>800</v>
      </c>
      <c r="AY278" s="113"/>
      <c r="AZ278" s="102">
        <f t="shared" ref="AZ278:AZ286" si="636">AW278+AX278-AY278</f>
        <v>-10000</v>
      </c>
      <c r="BA278" s="99">
        <v>800</v>
      </c>
      <c r="BB278" s="113"/>
      <c r="BC278" s="102">
        <f t="shared" ref="BC278:BC286" si="637">AZ278+BA278-BB278</f>
        <v>-9200</v>
      </c>
      <c r="BD278" s="99">
        <v>800</v>
      </c>
      <c r="BE278" s="113"/>
      <c r="BF278" s="102">
        <f t="shared" ref="BF278:BF285" si="638">BC278+BD278-BE278</f>
        <v>-8400</v>
      </c>
      <c r="BG278" s="99">
        <v>800</v>
      </c>
      <c r="BH278" s="113"/>
      <c r="BI278" s="102">
        <f t="shared" ref="BI278:BI285" si="639">BF278+BG278-BH278</f>
        <v>-7600</v>
      </c>
      <c r="BJ278" s="99">
        <v>800</v>
      </c>
      <c r="BK278" s="113"/>
      <c r="BL278" s="102">
        <f t="shared" ref="BL278:BL285" si="640">BI278+BJ278-BK278</f>
        <v>-6800</v>
      </c>
      <c r="BM278" s="99">
        <v>800</v>
      </c>
      <c r="BN278" s="113"/>
      <c r="BO278" s="102">
        <f t="shared" ref="BO278:BO285" si="641">BL278+BM278-BN278</f>
        <v>-6000</v>
      </c>
      <c r="BP278" s="99">
        <v>800</v>
      </c>
      <c r="BQ278" s="113"/>
      <c r="BR278" s="102">
        <f t="shared" ref="BR278" si="642">BO278+BP278-BQ278</f>
        <v>-5200</v>
      </c>
      <c r="BS278" s="99">
        <v>800</v>
      </c>
      <c r="BT278" s="113"/>
      <c r="BU278" s="102">
        <f t="shared" ref="BU278" si="643">BR278+BS278-BT278</f>
        <v>-4400</v>
      </c>
      <c r="BV278" s="99">
        <v>800</v>
      </c>
      <c r="BW278" s="113"/>
      <c r="BX278" s="102">
        <f t="shared" ref="BX278" si="644">BU278+BV278-BW278</f>
        <v>-3600</v>
      </c>
      <c r="BY278" s="99">
        <v>800</v>
      </c>
      <c r="BZ278" s="113"/>
      <c r="CA278" s="102">
        <f t="shared" ref="CA278" si="645">BX278+BY278-BZ278</f>
        <v>-2800</v>
      </c>
      <c r="CB278" s="99">
        <v>800</v>
      </c>
      <c r="CC278" s="113">
        <v>2000</v>
      </c>
      <c r="CD278" s="102">
        <f t="shared" ref="CD278" si="646">CA278+CB278-CC278</f>
        <v>-4000</v>
      </c>
      <c r="CE278" s="99">
        <v>800</v>
      </c>
      <c r="CF278" s="113"/>
      <c r="CG278" s="102">
        <f t="shared" ref="CG278" si="647">CD278+CE278-CF278</f>
        <v>-3200</v>
      </c>
      <c r="CH278" s="99">
        <v>800</v>
      </c>
      <c r="CI278" s="113"/>
      <c r="CJ278" s="102">
        <f t="shared" ref="CJ278" si="648">CG278+CH278-CI278</f>
        <v>-2400</v>
      </c>
      <c r="CK278" s="99">
        <v>800</v>
      </c>
      <c r="CL278" s="113"/>
      <c r="CM278" s="102">
        <f t="shared" ref="CM278" si="649">CJ278+CK278-CL278</f>
        <v>-1600</v>
      </c>
      <c r="CN278" s="99">
        <v>800</v>
      </c>
      <c r="CO278" s="113"/>
      <c r="CP278" s="102">
        <f t="shared" ref="CP278" si="650">CM278+CN278-CO278</f>
        <v>-800</v>
      </c>
      <c r="CQ278" s="99">
        <v>800</v>
      </c>
      <c r="CR278" s="113"/>
      <c r="CS278" s="102">
        <f t="shared" ref="CS278:CS285" si="651">CP278+CQ278-CR278</f>
        <v>0</v>
      </c>
      <c r="CT278" s="99">
        <v>800</v>
      </c>
      <c r="CU278" s="113"/>
      <c r="CV278" s="102">
        <f t="shared" ref="CV278:CV285" si="652">CS278+CT278-CU278</f>
        <v>800</v>
      </c>
      <c r="CW278" s="99">
        <v>800</v>
      </c>
      <c r="CX278" s="113"/>
      <c r="CY278" s="102">
        <f t="shared" ref="CY278:CY285" si="653">CV278+CW278-CX278</f>
        <v>1600</v>
      </c>
    </row>
    <row r="279" spans="1:103" ht="25.5" customHeight="1">
      <c r="A279" s="41" t="e">
        <f>VLOOKUP(B279,справочник!$B$2:$E$322,4,FALSE)</f>
        <v>#N/A</v>
      </c>
      <c r="B279" t="str">
        <f t="shared" si="592"/>
        <v>98Тимофеева Татьяна Александровна (новый собствнник Архипова Алена Сергеевна)</v>
      </c>
      <c r="C279" s="1">
        <v>98</v>
      </c>
      <c r="D279" s="2" t="s">
        <v>774</v>
      </c>
      <c r="E279" s="1" t="s">
        <v>575</v>
      </c>
      <c r="F279" s="16">
        <v>40774</v>
      </c>
      <c r="G279" s="16">
        <v>40787</v>
      </c>
      <c r="H279" s="17">
        <f t="shared" si="629"/>
        <v>52</v>
      </c>
      <c r="I279" s="1">
        <f t="shared" ref="I279:I309" si="654">H279*1000</f>
        <v>52000</v>
      </c>
      <c r="J279" s="17">
        <f>4000+30000</f>
        <v>34000</v>
      </c>
      <c r="K279" s="17"/>
      <c r="L279" s="18">
        <f t="shared" si="591"/>
        <v>18000</v>
      </c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18">
        <f t="shared" si="593"/>
        <v>0</v>
      </c>
      <c r="Z279" s="96">
        <v>12</v>
      </c>
      <c r="AA279" s="96">
        <f t="shared" si="594"/>
        <v>9600</v>
      </c>
      <c r="AB279" s="96">
        <f t="shared" si="595"/>
        <v>27600</v>
      </c>
      <c r="AC279" s="99">
        <v>800</v>
      </c>
      <c r="AD279" s="98"/>
      <c r="AE279" s="102">
        <f t="shared" si="596"/>
        <v>28400</v>
      </c>
      <c r="AF279" s="99">
        <v>800</v>
      </c>
      <c r="AG279" s="98"/>
      <c r="AH279" s="102">
        <f t="shared" si="630"/>
        <v>29200</v>
      </c>
      <c r="AI279" s="99">
        <v>800</v>
      </c>
      <c r="AJ279" s="98"/>
      <c r="AK279" s="102">
        <f t="shared" si="631"/>
        <v>30000</v>
      </c>
      <c r="AL279" s="99"/>
      <c r="AM279" s="98"/>
      <c r="AN279" s="102">
        <f t="shared" si="632"/>
        <v>30000</v>
      </c>
      <c r="AO279" s="99"/>
      <c r="AP279" s="113"/>
      <c r="AQ279" s="102">
        <f t="shared" si="633"/>
        <v>30000</v>
      </c>
      <c r="AR279" s="99"/>
      <c r="AS279" s="113">
        <v>3000</v>
      </c>
      <c r="AT279" s="102">
        <f t="shared" si="634"/>
        <v>27000</v>
      </c>
      <c r="AU279" s="99"/>
      <c r="AV279" s="113"/>
      <c r="AW279" s="102">
        <f t="shared" si="635"/>
        <v>27000</v>
      </c>
      <c r="AX279" s="99"/>
      <c r="AY279" s="113"/>
      <c r="AZ279" s="102">
        <f t="shared" si="636"/>
        <v>27000</v>
      </c>
      <c r="BA279" s="99"/>
      <c r="BB279" s="113">
        <v>1000</v>
      </c>
      <c r="BC279" s="102">
        <f t="shared" si="637"/>
        <v>26000</v>
      </c>
      <c r="BD279" s="99"/>
      <c r="BE279" s="113"/>
      <c r="BF279" s="102">
        <f t="shared" si="638"/>
        <v>26000</v>
      </c>
      <c r="BG279" s="99"/>
      <c r="BH279" s="113"/>
      <c r="BI279" s="102">
        <f t="shared" si="639"/>
        <v>26000</v>
      </c>
      <c r="BJ279" s="99"/>
      <c r="BK279" s="113">
        <v>5000</v>
      </c>
      <c r="BL279" s="102">
        <f t="shared" si="640"/>
        <v>21000</v>
      </c>
      <c r="BM279" s="99"/>
      <c r="BN279" s="113">
        <v>7000</v>
      </c>
      <c r="BO279" s="102">
        <f>BL279+BM279-BN279</f>
        <v>14000</v>
      </c>
      <c r="BP279" s="99"/>
      <c r="BQ279" s="113"/>
      <c r="BR279" s="102">
        <f>BO279+BP279-BQ279</f>
        <v>14000</v>
      </c>
      <c r="BS279" s="99"/>
      <c r="BT279" s="113">
        <v>800</v>
      </c>
      <c r="BU279" s="102">
        <f>BR279+BS279-BT279</f>
        <v>13200</v>
      </c>
      <c r="BV279" s="99"/>
      <c r="BW279" s="113"/>
      <c r="BX279" s="102">
        <f>BU279+BV279-BW279</f>
        <v>13200</v>
      </c>
      <c r="BY279" s="99"/>
      <c r="BZ279" s="113"/>
      <c r="CA279" s="102">
        <f>BX279+BY279-BZ279</f>
        <v>13200</v>
      </c>
      <c r="CB279" s="99"/>
      <c r="CC279" s="113"/>
      <c r="CD279" s="102">
        <f>CA279+CB279-CC279</f>
        <v>13200</v>
      </c>
      <c r="CE279" s="99"/>
      <c r="CF279" s="113">
        <v>3000</v>
      </c>
      <c r="CG279" s="102">
        <f>CD279+CE279-CF279</f>
        <v>10200</v>
      </c>
      <c r="CH279" s="99"/>
      <c r="CI279" s="113"/>
      <c r="CJ279" s="102">
        <f>CG279+CH279-CI279</f>
        <v>10200</v>
      </c>
      <c r="CK279" s="99"/>
      <c r="CL279" s="113"/>
      <c r="CM279" s="102">
        <f>CJ279+CK279-CL279</f>
        <v>10200</v>
      </c>
      <c r="CN279" s="99"/>
      <c r="CO279" s="113"/>
      <c r="CP279" s="102">
        <f>CM279+CN279-CO279</f>
        <v>10200</v>
      </c>
      <c r="CQ279" s="99"/>
      <c r="CR279" s="113">
        <v>5000</v>
      </c>
      <c r="CS279" s="102">
        <f t="shared" si="651"/>
        <v>5200</v>
      </c>
      <c r="CT279" s="99"/>
      <c r="CU279" s="113"/>
      <c r="CV279" s="102">
        <f t="shared" si="652"/>
        <v>5200</v>
      </c>
      <c r="CW279" s="99"/>
      <c r="CX279" s="113"/>
      <c r="CY279" s="102">
        <f t="shared" si="653"/>
        <v>5200</v>
      </c>
    </row>
    <row r="280" spans="1:103" ht="15" customHeight="1">
      <c r="A280" s="41" t="e">
        <f>VLOOKUP(B280,справочник!$B$2:$E$322,4,FALSE)</f>
        <v>#N/A</v>
      </c>
      <c r="B280" t="str">
        <f t="shared" si="592"/>
        <v>268Толкова Елена Анатольевна</v>
      </c>
      <c r="C280" s="1">
        <v>268</v>
      </c>
      <c r="D280" s="2" t="s">
        <v>800</v>
      </c>
      <c r="E280" s="1" t="s">
        <v>576</v>
      </c>
      <c r="F280" s="16">
        <v>40959</v>
      </c>
      <c r="G280" s="16">
        <v>40969</v>
      </c>
      <c r="H280" s="17">
        <f t="shared" si="629"/>
        <v>46</v>
      </c>
      <c r="I280" s="1">
        <f t="shared" si="654"/>
        <v>46000</v>
      </c>
      <c r="J280" s="17">
        <f>37000+9000</f>
        <v>46000</v>
      </c>
      <c r="K280" s="17"/>
      <c r="L280" s="18">
        <f t="shared" si="591"/>
        <v>0</v>
      </c>
      <c r="M280" s="29"/>
      <c r="N280" s="29"/>
      <c r="O280" s="29">
        <v>3200</v>
      </c>
      <c r="P280" s="29"/>
      <c r="Q280" s="29">
        <v>3200</v>
      </c>
      <c r="R280" s="29"/>
      <c r="S280" s="29"/>
      <c r="T280" s="29"/>
      <c r="U280" s="29"/>
      <c r="V280" s="29"/>
      <c r="W280" s="29">
        <v>3200</v>
      </c>
      <c r="X280" s="29"/>
      <c r="Y280" s="18">
        <f t="shared" si="593"/>
        <v>9600</v>
      </c>
      <c r="Z280" s="96">
        <v>12</v>
      </c>
      <c r="AA280" s="96">
        <f t="shared" si="594"/>
        <v>9600</v>
      </c>
      <c r="AB280" s="96">
        <f t="shared" si="595"/>
        <v>0</v>
      </c>
      <c r="AC280" s="99">
        <v>800</v>
      </c>
      <c r="AD280" s="98"/>
      <c r="AE280" s="102">
        <f t="shared" si="596"/>
        <v>800</v>
      </c>
      <c r="AF280" s="99">
        <v>800</v>
      </c>
      <c r="AG280" s="98"/>
      <c r="AH280" s="102">
        <f t="shared" si="630"/>
        <v>1600</v>
      </c>
      <c r="AI280" s="99">
        <v>800</v>
      </c>
      <c r="AJ280" s="98">
        <v>4800</v>
      </c>
      <c r="AK280" s="102">
        <f t="shared" si="631"/>
        <v>-2400</v>
      </c>
      <c r="AL280" s="99">
        <v>800</v>
      </c>
      <c r="AM280" s="98"/>
      <c r="AN280" s="102">
        <f t="shared" si="632"/>
        <v>-1600</v>
      </c>
      <c r="AO280" s="99">
        <v>800</v>
      </c>
      <c r="AP280" s="113"/>
      <c r="AQ280" s="102">
        <f t="shared" si="633"/>
        <v>-800</v>
      </c>
      <c r="AR280" s="99">
        <v>800</v>
      </c>
      <c r="AS280" s="113"/>
      <c r="AT280" s="102">
        <f t="shared" si="634"/>
        <v>0</v>
      </c>
      <c r="AU280" s="99">
        <v>800</v>
      </c>
      <c r="AV280" s="113">
        <v>4800</v>
      </c>
      <c r="AW280" s="102">
        <f t="shared" si="635"/>
        <v>-4000</v>
      </c>
      <c r="AX280" s="99">
        <v>800</v>
      </c>
      <c r="AY280" s="113"/>
      <c r="AZ280" s="102">
        <f t="shared" si="636"/>
        <v>-3200</v>
      </c>
      <c r="BA280" s="99">
        <v>800</v>
      </c>
      <c r="BB280" s="113"/>
      <c r="BC280" s="102">
        <f t="shared" si="637"/>
        <v>-2400</v>
      </c>
      <c r="BD280" s="99">
        <v>800</v>
      </c>
      <c r="BE280" s="113"/>
      <c r="BF280" s="102">
        <f t="shared" si="638"/>
        <v>-1600</v>
      </c>
      <c r="BG280" s="99">
        <v>800</v>
      </c>
      <c r="BH280" s="113"/>
      <c r="BI280" s="102">
        <f t="shared" si="639"/>
        <v>-800</v>
      </c>
      <c r="BJ280" s="99">
        <v>800</v>
      </c>
      <c r="BK280" s="113"/>
      <c r="BL280" s="102">
        <f t="shared" si="640"/>
        <v>0</v>
      </c>
      <c r="BM280" s="99">
        <v>800</v>
      </c>
      <c r="BN280" s="113"/>
      <c r="BO280" s="102">
        <f t="shared" si="641"/>
        <v>800</v>
      </c>
      <c r="BP280" s="99">
        <v>800</v>
      </c>
      <c r="BQ280" s="113">
        <v>2400</v>
      </c>
      <c r="BR280" s="102">
        <f t="shared" ref="BR280:BR281" si="655">BO280+BP280-BQ280</f>
        <v>-800</v>
      </c>
      <c r="BS280" s="99">
        <v>800</v>
      </c>
      <c r="BT280" s="113"/>
      <c r="BU280" s="102">
        <f t="shared" ref="BU280:BU281" si="656">BR280+BS280-BT280</f>
        <v>0</v>
      </c>
      <c r="BV280" s="99">
        <v>800</v>
      </c>
      <c r="BW280" s="113">
        <v>2400</v>
      </c>
      <c r="BX280" s="102">
        <f t="shared" ref="BX280:BX281" si="657">BU280+BV280-BW280</f>
        <v>-1600</v>
      </c>
      <c r="BY280" s="99">
        <v>800</v>
      </c>
      <c r="BZ280" s="113"/>
      <c r="CA280" s="102">
        <f t="shared" ref="CA280:CA281" si="658">BX280+BY280-BZ280</f>
        <v>-800</v>
      </c>
      <c r="CB280" s="99">
        <v>800</v>
      </c>
      <c r="CC280" s="113">
        <v>2400</v>
      </c>
      <c r="CD280" s="102">
        <f t="shared" ref="CD280:CD281" si="659">CA280+CB280-CC280</f>
        <v>-2400</v>
      </c>
      <c r="CE280" s="99">
        <v>800</v>
      </c>
      <c r="CF280" s="113"/>
      <c r="CG280" s="102">
        <f t="shared" ref="CG280:CG281" si="660">CD280+CE280-CF280</f>
        <v>-1600</v>
      </c>
      <c r="CH280" s="99">
        <v>800</v>
      </c>
      <c r="CI280" s="113"/>
      <c r="CJ280" s="102">
        <f t="shared" ref="CJ280:CJ281" si="661">CG280+CH280-CI280</f>
        <v>-800</v>
      </c>
      <c r="CK280" s="99">
        <v>800</v>
      </c>
      <c r="CL280" s="113"/>
      <c r="CM280" s="102">
        <f t="shared" ref="CM280:CM281" si="662">CJ280+CK280-CL280</f>
        <v>0</v>
      </c>
      <c r="CN280" s="99">
        <v>800</v>
      </c>
      <c r="CO280" s="113">
        <v>2500</v>
      </c>
      <c r="CP280" s="102">
        <f t="shared" ref="CP280:CP281" si="663">CM280+CN280-CO280</f>
        <v>-1700</v>
      </c>
      <c r="CQ280" s="99">
        <v>800</v>
      </c>
      <c r="CR280" s="113"/>
      <c r="CS280" s="102">
        <f t="shared" si="651"/>
        <v>-900</v>
      </c>
      <c r="CT280" s="99">
        <v>800</v>
      </c>
      <c r="CU280" s="113"/>
      <c r="CV280" s="102">
        <f t="shared" si="652"/>
        <v>-100</v>
      </c>
      <c r="CW280" s="99">
        <v>800</v>
      </c>
      <c r="CX280" s="113"/>
      <c r="CY280" s="102">
        <f t="shared" si="653"/>
        <v>700</v>
      </c>
    </row>
    <row r="281" spans="1:103" ht="15" customHeight="1">
      <c r="A281" s="41">
        <f>VLOOKUP(B281,справочник!$B$2:$E$322,4,FALSE)</f>
        <v>167</v>
      </c>
      <c r="B281" t="str">
        <f t="shared" si="592"/>
        <v>175Трубченко Петр Александрович</v>
      </c>
      <c r="C281" s="1">
        <v>175</v>
      </c>
      <c r="D281" s="2" t="s">
        <v>267</v>
      </c>
      <c r="E281" s="1" t="s">
        <v>577</v>
      </c>
      <c r="F281" s="16">
        <v>41613</v>
      </c>
      <c r="G281" s="16">
        <v>41640</v>
      </c>
      <c r="H281" s="17">
        <f t="shared" si="629"/>
        <v>24</v>
      </c>
      <c r="I281" s="1">
        <f t="shared" si="654"/>
        <v>24000</v>
      </c>
      <c r="J281" s="17">
        <v>12000</v>
      </c>
      <c r="K281" s="17"/>
      <c r="L281" s="18">
        <f t="shared" si="591"/>
        <v>12000</v>
      </c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18">
        <f t="shared" si="593"/>
        <v>0</v>
      </c>
      <c r="Z281" s="96">
        <v>12</v>
      </c>
      <c r="AA281" s="96">
        <f t="shared" si="594"/>
        <v>9600</v>
      </c>
      <c r="AB281" s="96">
        <f t="shared" si="595"/>
        <v>21600</v>
      </c>
      <c r="AC281" s="99">
        <v>800</v>
      </c>
      <c r="AD281" s="98"/>
      <c r="AE281" s="102">
        <f t="shared" si="596"/>
        <v>22400</v>
      </c>
      <c r="AF281" s="99">
        <v>800</v>
      </c>
      <c r="AG281" s="98"/>
      <c r="AH281" s="102">
        <f t="shared" si="630"/>
        <v>23200</v>
      </c>
      <c r="AI281" s="99">
        <v>800</v>
      </c>
      <c r="AJ281" s="98"/>
      <c r="AK281" s="102">
        <f t="shared" si="631"/>
        <v>24000</v>
      </c>
      <c r="AL281" s="99">
        <v>800</v>
      </c>
      <c r="AM281" s="98"/>
      <c r="AN281" s="102">
        <f t="shared" si="632"/>
        <v>24800</v>
      </c>
      <c r="AO281" s="99">
        <v>800</v>
      </c>
      <c r="AP281" s="113"/>
      <c r="AQ281" s="102">
        <f t="shared" si="633"/>
        <v>25600</v>
      </c>
      <c r="AR281" s="99">
        <v>800</v>
      </c>
      <c r="AS281" s="113"/>
      <c r="AT281" s="102">
        <f t="shared" si="634"/>
        <v>26400</v>
      </c>
      <c r="AU281" s="99">
        <v>800</v>
      </c>
      <c r="AV281" s="113"/>
      <c r="AW281" s="102">
        <f t="shared" si="635"/>
        <v>27200</v>
      </c>
      <c r="AX281" s="99">
        <v>800</v>
      </c>
      <c r="AY281" s="113"/>
      <c r="AZ281" s="102">
        <f t="shared" si="636"/>
        <v>28000</v>
      </c>
      <c r="BA281" s="99">
        <v>800</v>
      </c>
      <c r="BB281" s="113"/>
      <c r="BC281" s="102">
        <f t="shared" si="637"/>
        <v>28800</v>
      </c>
      <c r="BD281" s="99">
        <v>800</v>
      </c>
      <c r="BE281" s="113"/>
      <c r="BF281" s="102">
        <f t="shared" si="638"/>
        <v>29600</v>
      </c>
      <c r="BG281" s="99">
        <v>800</v>
      </c>
      <c r="BH281" s="113"/>
      <c r="BI281" s="102">
        <f t="shared" si="639"/>
        <v>30400</v>
      </c>
      <c r="BJ281" s="99">
        <v>800</v>
      </c>
      <c r="BK281" s="113"/>
      <c r="BL281" s="102">
        <f t="shared" si="640"/>
        <v>31200</v>
      </c>
      <c r="BM281" s="99">
        <v>800</v>
      </c>
      <c r="BN281" s="113"/>
      <c r="BO281" s="102">
        <f t="shared" si="641"/>
        <v>32000</v>
      </c>
      <c r="BP281" s="99">
        <v>800</v>
      </c>
      <c r="BQ281" s="113"/>
      <c r="BR281" s="102">
        <f t="shared" si="655"/>
        <v>32800</v>
      </c>
      <c r="BS281" s="99">
        <v>800</v>
      </c>
      <c r="BT281" s="113"/>
      <c r="BU281" s="102">
        <f t="shared" si="656"/>
        <v>33600</v>
      </c>
      <c r="BV281" s="99">
        <v>800</v>
      </c>
      <c r="BW281" s="113"/>
      <c r="BX281" s="102">
        <f t="shared" si="657"/>
        <v>34400</v>
      </c>
      <c r="BY281" s="99">
        <v>800</v>
      </c>
      <c r="BZ281" s="113"/>
      <c r="CA281" s="102">
        <f t="shared" si="658"/>
        <v>35200</v>
      </c>
      <c r="CB281" s="99">
        <v>800</v>
      </c>
      <c r="CC281" s="113"/>
      <c r="CD281" s="102">
        <f t="shared" si="659"/>
        <v>36000</v>
      </c>
      <c r="CE281" s="99">
        <v>800</v>
      </c>
      <c r="CF281" s="113"/>
      <c r="CG281" s="102">
        <f t="shared" si="660"/>
        <v>36800</v>
      </c>
      <c r="CH281" s="99">
        <v>800</v>
      </c>
      <c r="CI281" s="113"/>
      <c r="CJ281" s="102">
        <f t="shared" si="661"/>
        <v>37600</v>
      </c>
      <c r="CK281" s="99">
        <v>800</v>
      </c>
      <c r="CL281" s="113"/>
      <c r="CM281" s="102">
        <f t="shared" si="662"/>
        <v>38400</v>
      </c>
      <c r="CN281" s="99">
        <v>800</v>
      </c>
      <c r="CO281" s="113"/>
      <c r="CP281" s="102">
        <f t="shared" si="663"/>
        <v>39200</v>
      </c>
      <c r="CQ281" s="99">
        <v>800</v>
      </c>
      <c r="CR281" s="113"/>
      <c r="CS281" s="102">
        <f t="shared" si="651"/>
        <v>40000</v>
      </c>
      <c r="CT281" s="99">
        <v>800</v>
      </c>
      <c r="CU281" s="113"/>
      <c r="CV281" s="102">
        <f t="shared" si="652"/>
        <v>40800</v>
      </c>
      <c r="CW281" s="99">
        <v>800</v>
      </c>
      <c r="CX281" s="113"/>
      <c r="CY281" s="102">
        <f t="shared" si="653"/>
        <v>41600</v>
      </c>
    </row>
    <row r="282" spans="1:103" ht="25.5" customHeight="1">
      <c r="A282" s="41">
        <f>VLOOKUP(B282,справочник!$B$2:$E$322,4,FALSE)</f>
        <v>99</v>
      </c>
      <c r="B282" t="str">
        <f t="shared" si="592"/>
        <v>104Трыкин Евгений Викторович</v>
      </c>
      <c r="C282" s="1">
        <v>104</v>
      </c>
      <c r="D282" s="2" t="s">
        <v>268</v>
      </c>
      <c r="E282" s="1" t="s">
        <v>578</v>
      </c>
      <c r="F282" s="16">
        <v>41104</v>
      </c>
      <c r="G282" s="16">
        <v>41091</v>
      </c>
      <c r="H282" s="17">
        <f t="shared" si="629"/>
        <v>42</v>
      </c>
      <c r="I282" s="1">
        <f t="shared" si="654"/>
        <v>42000</v>
      </c>
      <c r="J282" s="17">
        <v>13000</v>
      </c>
      <c r="K282" s="17"/>
      <c r="L282" s="18">
        <f t="shared" si="591"/>
        <v>29000</v>
      </c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18">
        <f t="shared" si="593"/>
        <v>0</v>
      </c>
      <c r="Z282" s="96">
        <v>12</v>
      </c>
      <c r="AA282" s="96">
        <f t="shared" si="594"/>
        <v>9600</v>
      </c>
      <c r="AB282" s="96">
        <f t="shared" si="595"/>
        <v>38600</v>
      </c>
      <c r="AC282" s="99">
        <v>800</v>
      </c>
      <c r="AD282" s="98"/>
      <c r="AE282" s="102">
        <f t="shared" si="596"/>
        <v>39400</v>
      </c>
      <c r="AF282" s="99">
        <v>800</v>
      </c>
      <c r="AG282" s="98"/>
      <c r="AH282" s="102">
        <f t="shared" si="630"/>
        <v>40200</v>
      </c>
      <c r="AI282" s="99">
        <v>800</v>
      </c>
      <c r="AJ282" s="98"/>
      <c r="AK282" s="102">
        <f t="shared" si="631"/>
        <v>41000</v>
      </c>
      <c r="AL282" s="99">
        <v>800</v>
      </c>
      <c r="AM282" s="98"/>
      <c r="AN282" s="102">
        <f t="shared" si="632"/>
        <v>41800</v>
      </c>
      <c r="AO282" s="99">
        <v>800</v>
      </c>
      <c r="AP282" s="113"/>
      <c r="AQ282" s="102">
        <f t="shared" si="633"/>
        <v>42600</v>
      </c>
      <c r="AR282" s="99">
        <v>800</v>
      </c>
      <c r="AS282" s="113"/>
      <c r="AT282" s="102">
        <f t="shared" si="634"/>
        <v>43400</v>
      </c>
      <c r="AU282" s="99">
        <v>800</v>
      </c>
      <c r="AV282" s="113"/>
      <c r="AW282" s="102">
        <f t="shared" si="635"/>
        <v>44200</v>
      </c>
      <c r="AX282" s="99">
        <v>800</v>
      </c>
      <c r="AY282" s="113"/>
      <c r="AZ282" s="102">
        <f t="shared" si="636"/>
        <v>45000</v>
      </c>
      <c r="BA282" s="99">
        <v>800</v>
      </c>
      <c r="BB282" s="113"/>
      <c r="BC282" s="102">
        <f t="shared" si="637"/>
        <v>45800</v>
      </c>
      <c r="BD282" s="99">
        <v>800</v>
      </c>
      <c r="BE282" s="113"/>
      <c r="BF282" s="102">
        <f t="shared" si="638"/>
        <v>46600</v>
      </c>
      <c r="BG282" s="99">
        <v>800</v>
      </c>
      <c r="BH282" s="113"/>
      <c r="BI282" s="102">
        <f t="shared" si="639"/>
        <v>47400</v>
      </c>
      <c r="BJ282" s="99">
        <v>800</v>
      </c>
      <c r="BK282" s="113"/>
      <c r="BL282" s="102">
        <f t="shared" si="640"/>
        <v>48200</v>
      </c>
      <c r="BM282" s="99">
        <v>800</v>
      </c>
      <c r="BN282" s="113"/>
      <c r="BO282" s="102">
        <f>BL282+BM282-BN282</f>
        <v>49000</v>
      </c>
      <c r="BP282" s="99">
        <v>800</v>
      </c>
      <c r="BQ282" s="113"/>
      <c r="BR282" s="102">
        <f>BO282+BP282-BQ282</f>
        <v>49800</v>
      </c>
      <c r="BS282" s="99">
        <v>800</v>
      </c>
      <c r="BT282" s="113"/>
      <c r="BU282" s="102">
        <f>BR282+BS282-BT282</f>
        <v>50600</v>
      </c>
      <c r="BV282" s="99">
        <v>800</v>
      </c>
      <c r="BW282" s="113"/>
      <c r="BX282" s="102">
        <f>BU282+BV282-BW282</f>
        <v>51400</v>
      </c>
      <c r="BY282" s="99">
        <v>800</v>
      </c>
      <c r="BZ282" s="113"/>
      <c r="CA282" s="102">
        <f>BX282+BY282-BZ282</f>
        <v>52200</v>
      </c>
      <c r="CB282" s="99">
        <v>800</v>
      </c>
      <c r="CC282" s="113">
        <v>52400</v>
      </c>
      <c r="CD282" s="102">
        <f>CA282+CB282-CC282</f>
        <v>600</v>
      </c>
      <c r="CE282" s="99">
        <v>800</v>
      </c>
      <c r="CF282" s="113"/>
      <c r="CG282" s="102">
        <f>CD282+CE282-CF282</f>
        <v>1400</v>
      </c>
      <c r="CH282" s="99">
        <v>800</v>
      </c>
      <c r="CI282" s="113"/>
      <c r="CJ282" s="102">
        <f>CG282+CH282-CI282</f>
        <v>2200</v>
      </c>
      <c r="CK282" s="99">
        <v>800</v>
      </c>
      <c r="CL282" s="113"/>
      <c r="CM282" s="102">
        <f>CJ282+CK282-CL282</f>
        <v>3000</v>
      </c>
      <c r="CN282" s="99">
        <v>800</v>
      </c>
      <c r="CO282" s="113"/>
      <c r="CP282" s="102">
        <f>CM282+CN282-CO282</f>
        <v>3800</v>
      </c>
      <c r="CQ282" s="99">
        <v>800</v>
      </c>
      <c r="CR282" s="113"/>
      <c r="CS282" s="102">
        <f t="shared" si="651"/>
        <v>4600</v>
      </c>
      <c r="CT282" s="99">
        <v>800</v>
      </c>
      <c r="CU282" s="113"/>
      <c r="CV282" s="102">
        <f t="shared" si="652"/>
        <v>5400</v>
      </c>
      <c r="CW282" s="99">
        <v>800</v>
      </c>
      <c r="CX282" s="113"/>
      <c r="CY282" s="102">
        <f t="shared" si="653"/>
        <v>6200</v>
      </c>
    </row>
    <row r="283" spans="1:103" ht="15" customHeight="1">
      <c r="A283" s="41">
        <f>VLOOKUP(B283,справочник!$B$2:$E$322,4,FALSE)</f>
        <v>146</v>
      </c>
      <c r="B283" t="str">
        <f t="shared" si="592"/>
        <v>154Тюленев Вячеслав Рудольфович</v>
      </c>
      <c r="C283" s="1">
        <v>154</v>
      </c>
      <c r="D283" s="2" t="s">
        <v>269</v>
      </c>
      <c r="E283" s="1" t="s">
        <v>579</v>
      </c>
      <c r="F283" s="16">
        <v>40757</v>
      </c>
      <c r="G283" s="16">
        <v>40756</v>
      </c>
      <c r="H283" s="17">
        <f t="shared" si="629"/>
        <v>53</v>
      </c>
      <c r="I283" s="1">
        <f t="shared" si="654"/>
        <v>53000</v>
      </c>
      <c r="J283" s="17">
        <f>31000</f>
        <v>31000</v>
      </c>
      <c r="K283" s="17"/>
      <c r="L283" s="18">
        <f t="shared" si="591"/>
        <v>22000</v>
      </c>
      <c r="M283" s="29"/>
      <c r="N283" s="29"/>
      <c r="O283" s="29"/>
      <c r="P283" s="29"/>
      <c r="Q283" s="29"/>
      <c r="R283" s="29">
        <v>26000</v>
      </c>
      <c r="S283" s="29"/>
      <c r="T283" s="29"/>
      <c r="U283" s="29"/>
      <c r="V283" s="29"/>
      <c r="W283" s="29"/>
      <c r="X283" s="29"/>
      <c r="Y283" s="18">
        <f t="shared" si="593"/>
        <v>26000</v>
      </c>
      <c r="Z283" s="96">
        <v>12</v>
      </c>
      <c r="AA283" s="96">
        <f t="shared" si="594"/>
        <v>9600</v>
      </c>
      <c r="AB283" s="96">
        <f t="shared" si="595"/>
        <v>5600</v>
      </c>
      <c r="AC283" s="99">
        <v>800</v>
      </c>
      <c r="AD283" s="98"/>
      <c r="AE283" s="102">
        <f t="shared" si="596"/>
        <v>6400</v>
      </c>
      <c r="AF283" s="99">
        <v>800</v>
      </c>
      <c r="AG283" s="98"/>
      <c r="AH283" s="102">
        <f t="shared" si="630"/>
        <v>7200</v>
      </c>
      <c r="AI283" s="99">
        <v>800</v>
      </c>
      <c r="AJ283" s="98"/>
      <c r="AK283" s="102">
        <f t="shared" si="631"/>
        <v>8000</v>
      </c>
      <c r="AL283" s="99">
        <v>800</v>
      </c>
      <c r="AM283" s="98"/>
      <c r="AN283" s="102">
        <f t="shared" si="632"/>
        <v>8800</v>
      </c>
      <c r="AO283" s="99">
        <v>800</v>
      </c>
      <c r="AP283" s="113"/>
      <c r="AQ283" s="102">
        <f t="shared" si="633"/>
        <v>9600</v>
      </c>
      <c r="AR283" s="99">
        <v>800</v>
      </c>
      <c r="AS283" s="113"/>
      <c r="AT283" s="102">
        <f t="shared" si="634"/>
        <v>10400</v>
      </c>
      <c r="AU283" s="99">
        <v>800</v>
      </c>
      <c r="AV283" s="113"/>
      <c r="AW283" s="102">
        <f t="shared" si="635"/>
        <v>11200</v>
      </c>
      <c r="AX283" s="99">
        <v>800</v>
      </c>
      <c r="AY283" s="113">
        <v>10400</v>
      </c>
      <c r="AZ283" s="102">
        <f t="shared" si="636"/>
        <v>1600</v>
      </c>
      <c r="BA283" s="99">
        <v>800</v>
      </c>
      <c r="BB283" s="113"/>
      <c r="BC283" s="102">
        <f t="shared" si="637"/>
        <v>2400</v>
      </c>
      <c r="BD283" s="99">
        <v>800</v>
      </c>
      <c r="BE283" s="113"/>
      <c r="BF283" s="102">
        <f t="shared" si="638"/>
        <v>3200</v>
      </c>
      <c r="BG283" s="99">
        <v>800</v>
      </c>
      <c r="BH283" s="113"/>
      <c r="BI283" s="102">
        <f t="shared" si="639"/>
        <v>4000</v>
      </c>
      <c r="BJ283" s="99">
        <v>800</v>
      </c>
      <c r="BK283" s="113"/>
      <c r="BL283" s="102">
        <f t="shared" si="640"/>
        <v>4800</v>
      </c>
      <c r="BM283" s="99">
        <v>800</v>
      </c>
      <c r="BN283" s="113"/>
      <c r="BO283" s="102">
        <f>BL283+BM283-BN283</f>
        <v>5600</v>
      </c>
      <c r="BP283" s="99">
        <v>800</v>
      </c>
      <c r="BQ283" s="113"/>
      <c r="BR283" s="102">
        <f>BO283+BP283-BQ283</f>
        <v>6400</v>
      </c>
      <c r="BS283" s="99">
        <v>800</v>
      </c>
      <c r="BT283" s="113"/>
      <c r="BU283" s="102">
        <f>BR283+BS283-BT283</f>
        <v>7200</v>
      </c>
      <c r="BV283" s="99">
        <v>800</v>
      </c>
      <c r="BW283" s="113"/>
      <c r="BX283" s="102">
        <f>BU283+BV283-BW283</f>
        <v>8000</v>
      </c>
      <c r="BY283" s="99">
        <v>800</v>
      </c>
      <c r="BZ283" s="113"/>
      <c r="CA283" s="102">
        <f>BX283+BY283-BZ283</f>
        <v>8800</v>
      </c>
      <c r="CB283" s="99">
        <v>800</v>
      </c>
      <c r="CC283" s="113"/>
      <c r="CD283" s="102">
        <f>CA283+CB283-CC283</f>
        <v>9600</v>
      </c>
      <c r="CE283" s="99">
        <v>800</v>
      </c>
      <c r="CF283" s="113"/>
      <c r="CG283" s="102">
        <f>CD283+CE283-CF283</f>
        <v>10400</v>
      </c>
      <c r="CH283" s="99">
        <v>800</v>
      </c>
      <c r="CI283" s="113"/>
      <c r="CJ283" s="102">
        <f>CG283+CH283-CI283</f>
        <v>11200</v>
      </c>
      <c r="CK283" s="99">
        <v>800</v>
      </c>
      <c r="CL283" s="113"/>
      <c r="CM283" s="102">
        <f>CJ283+CK283-CL283</f>
        <v>12000</v>
      </c>
      <c r="CN283" s="99">
        <v>800</v>
      </c>
      <c r="CO283" s="113"/>
      <c r="CP283" s="102">
        <f>CM283+CN283-CO283</f>
        <v>12800</v>
      </c>
      <c r="CQ283" s="99">
        <v>800</v>
      </c>
      <c r="CR283" s="113"/>
      <c r="CS283" s="102">
        <f t="shared" si="651"/>
        <v>13600</v>
      </c>
      <c r="CT283" s="99">
        <v>800</v>
      </c>
      <c r="CU283" s="113"/>
      <c r="CV283" s="102">
        <f t="shared" si="652"/>
        <v>14400</v>
      </c>
      <c r="CW283" s="99">
        <v>800</v>
      </c>
      <c r="CX283" s="113"/>
      <c r="CY283" s="102">
        <f t="shared" si="653"/>
        <v>15200</v>
      </c>
    </row>
    <row r="284" spans="1:103" ht="26.25" customHeight="1">
      <c r="A284" s="41" t="e">
        <f>VLOOKUP(B284,справочник!$B$2:$E$322,4,FALSE)</f>
        <v>#N/A</v>
      </c>
      <c r="B284" t="str">
        <f t="shared" si="592"/>
        <v>29Петрик Наталья Вячеславовна (новый собственник Устинов Федор Валентинович)</v>
      </c>
      <c r="C284" s="1">
        <v>29</v>
      </c>
      <c r="D284" s="46" t="s">
        <v>809</v>
      </c>
      <c r="E284" s="1"/>
      <c r="F284" s="16">
        <v>41130</v>
      </c>
      <c r="G284" s="16">
        <v>41122</v>
      </c>
      <c r="H284" s="17">
        <f t="shared" si="629"/>
        <v>41</v>
      </c>
      <c r="I284" s="1">
        <f t="shared" si="654"/>
        <v>41000</v>
      </c>
      <c r="J284" s="17">
        <v>32000</v>
      </c>
      <c r="K284" s="17"/>
      <c r="L284" s="18">
        <f t="shared" si="591"/>
        <v>9000</v>
      </c>
      <c r="M284" s="29">
        <v>9000</v>
      </c>
      <c r="N284" s="29">
        <v>1600</v>
      </c>
      <c r="O284" s="29">
        <v>800</v>
      </c>
      <c r="P284" s="29">
        <v>1600</v>
      </c>
      <c r="Q284" s="29"/>
      <c r="R284" s="29"/>
      <c r="S284" s="29">
        <v>2400</v>
      </c>
      <c r="T284" s="29"/>
      <c r="U284" s="29">
        <v>800</v>
      </c>
      <c r="V284" s="29">
        <v>1600</v>
      </c>
      <c r="W284" s="29"/>
      <c r="X284" s="29">
        <v>1600</v>
      </c>
      <c r="Y284" s="18">
        <f t="shared" si="593"/>
        <v>19400</v>
      </c>
      <c r="Z284" s="96">
        <v>12</v>
      </c>
      <c r="AA284" s="96">
        <f t="shared" si="594"/>
        <v>9600</v>
      </c>
      <c r="AB284" s="96">
        <f t="shared" si="595"/>
        <v>-800</v>
      </c>
      <c r="AC284" s="99">
        <v>800</v>
      </c>
      <c r="AD284" s="98"/>
      <c r="AE284" s="102">
        <f t="shared" si="596"/>
        <v>0</v>
      </c>
      <c r="AF284" s="99">
        <v>800</v>
      </c>
      <c r="AG284" s="98"/>
      <c r="AH284" s="102">
        <f t="shared" si="630"/>
        <v>800</v>
      </c>
      <c r="AI284" s="99">
        <v>800</v>
      </c>
      <c r="AJ284" s="98">
        <v>1600</v>
      </c>
      <c r="AK284" s="102">
        <f t="shared" si="631"/>
        <v>0</v>
      </c>
      <c r="AL284" s="99">
        <v>800</v>
      </c>
      <c r="AM284" s="98">
        <v>800</v>
      </c>
      <c r="AN284" s="102">
        <f t="shared" si="632"/>
        <v>0</v>
      </c>
      <c r="AO284" s="99">
        <v>800</v>
      </c>
      <c r="AP284" s="113">
        <v>800</v>
      </c>
      <c r="AQ284" s="102">
        <f t="shared" si="633"/>
        <v>0</v>
      </c>
      <c r="AR284" s="99">
        <v>800</v>
      </c>
      <c r="AS284" s="113">
        <v>800</v>
      </c>
      <c r="AT284" s="102">
        <f t="shared" si="634"/>
        <v>0</v>
      </c>
      <c r="AU284" s="99">
        <v>800</v>
      </c>
      <c r="AV284" s="113">
        <v>800</v>
      </c>
      <c r="AW284" s="102">
        <f t="shared" si="635"/>
        <v>0</v>
      </c>
      <c r="AX284" s="99">
        <v>800</v>
      </c>
      <c r="AY284" s="113">
        <v>2000</v>
      </c>
      <c r="AZ284" s="102">
        <f t="shared" si="636"/>
        <v>-1200</v>
      </c>
      <c r="BA284" s="99">
        <v>800</v>
      </c>
      <c r="BB284" s="113"/>
      <c r="BC284" s="102">
        <f t="shared" si="637"/>
        <v>-400</v>
      </c>
      <c r="BD284" s="99">
        <v>800</v>
      </c>
      <c r="BE284" s="113"/>
      <c r="BF284" s="102">
        <f t="shared" si="638"/>
        <v>400</v>
      </c>
      <c r="BG284" s="99">
        <v>800</v>
      </c>
      <c r="BH284" s="113">
        <v>1200</v>
      </c>
      <c r="BI284" s="102">
        <f t="shared" si="639"/>
        <v>0</v>
      </c>
      <c r="BJ284" s="99">
        <v>800</v>
      </c>
      <c r="BK284" s="113"/>
      <c r="BL284" s="102">
        <f t="shared" si="640"/>
        <v>800</v>
      </c>
      <c r="BM284" s="99">
        <v>800</v>
      </c>
      <c r="BN284" s="113">
        <v>2400</v>
      </c>
      <c r="BO284" s="102">
        <f t="shared" si="641"/>
        <v>-800</v>
      </c>
      <c r="BP284" s="99">
        <v>800</v>
      </c>
      <c r="BQ284" s="113"/>
      <c r="BR284" s="102">
        <f t="shared" ref="BR284:BR285" si="664">BO284+BP284-BQ284</f>
        <v>0</v>
      </c>
      <c r="BS284" s="99">
        <v>800</v>
      </c>
      <c r="BT284" s="113"/>
      <c r="BU284" s="102">
        <f t="shared" ref="BU284:BU285" si="665">BR284+BS284-BT284</f>
        <v>800</v>
      </c>
      <c r="BV284" s="99">
        <v>800</v>
      </c>
      <c r="BW284" s="113"/>
      <c r="BX284" s="102">
        <f t="shared" ref="BX284:BX285" si="666">BU284+BV284-BW284</f>
        <v>1600</v>
      </c>
      <c r="BY284" s="99">
        <v>800</v>
      </c>
      <c r="BZ284" s="113"/>
      <c r="CA284" s="102">
        <f t="shared" ref="CA284:CA285" si="667">BX284+BY284-BZ284</f>
        <v>2400</v>
      </c>
      <c r="CB284" s="99">
        <v>800</v>
      </c>
      <c r="CC284" s="113">
        <v>3200</v>
      </c>
      <c r="CD284" s="102">
        <f t="shared" ref="CD284:CD285" si="668">CA284+CB284-CC284</f>
        <v>0</v>
      </c>
      <c r="CE284" s="99">
        <v>800</v>
      </c>
      <c r="CF284" s="113"/>
      <c r="CG284" s="102">
        <f t="shared" ref="CG284:CG285" si="669">CD284+CE284-CF284</f>
        <v>800</v>
      </c>
      <c r="CH284" s="99">
        <v>800</v>
      </c>
      <c r="CI284" s="113">
        <v>1600</v>
      </c>
      <c r="CJ284" s="102">
        <f t="shared" ref="CJ284:CJ285" si="670">CG284+CH284-CI284</f>
        <v>0</v>
      </c>
      <c r="CK284" s="99">
        <v>800</v>
      </c>
      <c r="CL284" s="113">
        <v>1600</v>
      </c>
      <c r="CM284" s="102">
        <f t="shared" ref="CM284:CM285" si="671">CJ284+CK284-CL284</f>
        <v>-800</v>
      </c>
      <c r="CN284" s="99">
        <v>800</v>
      </c>
      <c r="CO284" s="113"/>
      <c r="CP284" s="102">
        <f t="shared" ref="CP284:CP285" si="672">CM284+CN284-CO284</f>
        <v>0</v>
      </c>
      <c r="CQ284" s="99">
        <v>800</v>
      </c>
      <c r="CR284" s="113"/>
      <c r="CS284" s="102">
        <f t="shared" si="651"/>
        <v>800</v>
      </c>
      <c r="CT284" s="99">
        <v>800</v>
      </c>
      <c r="CU284" s="113"/>
      <c r="CV284" s="102">
        <f t="shared" si="652"/>
        <v>1600</v>
      </c>
      <c r="CW284" s="99">
        <v>800</v>
      </c>
      <c r="CX284" s="113"/>
      <c r="CY284" s="102">
        <f t="shared" si="653"/>
        <v>2400</v>
      </c>
    </row>
    <row r="285" spans="1:103" ht="15" customHeight="1">
      <c r="A285" s="41">
        <f>VLOOKUP(B285,справочник!$B$2:$E$322,4,FALSE)</f>
        <v>28</v>
      </c>
      <c r="B285" t="str">
        <f t="shared" si="592"/>
        <v>28Федорова Наталья Владимировна</v>
      </c>
      <c r="C285" s="1">
        <v>28</v>
      </c>
      <c r="D285" s="2" t="s">
        <v>271</v>
      </c>
      <c r="E285" s="1" t="s">
        <v>580</v>
      </c>
      <c r="F285" s="16">
        <v>41039</v>
      </c>
      <c r="G285" s="16">
        <v>41030</v>
      </c>
      <c r="H285" s="17">
        <f t="shared" si="629"/>
        <v>44</v>
      </c>
      <c r="I285" s="1">
        <f t="shared" si="654"/>
        <v>44000</v>
      </c>
      <c r="J285" s="17">
        <f>33000+8000</f>
        <v>41000</v>
      </c>
      <c r="K285" s="17"/>
      <c r="L285" s="18">
        <f t="shared" si="591"/>
        <v>3000</v>
      </c>
      <c r="M285" s="29"/>
      <c r="N285" s="29">
        <v>4000</v>
      </c>
      <c r="O285" s="29"/>
      <c r="P285" s="29">
        <v>2400</v>
      </c>
      <c r="Q285" s="29"/>
      <c r="R285" s="29"/>
      <c r="S285" s="29"/>
      <c r="T285" s="29"/>
      <c r="U285" s="29">
        <v>5600</v>
      </c>
      <c r="V285" s="29"/>
      <c r="W285" s="29"/>
      <c r="X285" s="29"/>
      <c r="Y285" s="18">
        <f t="shared" si="593"/>
        <v>12000</v>
      </c>
      <c r="Z285" s="96">
        <v>12</v>
      </c>
      <c r="AA285" s="96">
        <f t="shared" si="594"/>
        <v>9600</v>
      </c>
      <c r="AB285" s="96">
        <f t="shared" si="595"/>
        <v>600</v>
      </c>
      <c r="AC285" s="99">
        <v>800</v>
      </c>
      <c r="AD285" s="98"/>
      <c r="AE285" s="102">
        <f t="shared" si="596"/>
        <v>1400</v>
      </c>
      <c r="AF285" s="99">
        <v>800</v>
      </c>
      <c r="AG285" s="98"/>
      <c r="AH285" s="102">
        <f t="shared" si="630"/>
        <v>2200</v>
      </c>
      <c r="AI285" s="99">
        <v>800</v>
      </c>
      <c r="AJ285" s="98"/>
      <c r="AK285" s="102">
        <f t="shared" si="631"/>
        <v>3000</v>
      </c>
      <c r="AL285" s="99">
        <v>800</v>
      </c>
      <c r="AM285" s="98">
        <v>4800</v>
      </c>
      <c r="AN285" s="102">
        <f t="shared" si="632"/>
        <v>-1000</v>
      </c>
      <c r="AO285" s="99">
        <v>800</v>
      </c>
      <c r="AP285" s="113"/>
      <c r="AQ285" s="102">
        <f t="shared" si="633"/>
        <v>-200</v>
      </c>
      <c r="AR285" s="99">
        <v>800</v>
      </c>
      <c r="AS285" s="113"/>
      <c r="AT285" s="102">
        <f t="shared" si="634"/>
        <v>600</v>
      </c>
      <c r="AU285" s="99">
        <v>800</v>
      </c>
      <c r="AV285" s="113"/>
      <c r="AW285" s="102">
        <f t="shared" si="635"/>
        <v>1400</v>
      </c>
      <c r="AX285" s="99">
        <v>800</v>
      </c>
      <c r="AY285" s="113">
        <v>4800</v>
      </c>
      <c r="AZ285" s="102">
        <f t="shared" si="636"/>
        <v>-2600</v>
      </c>
      <c r="BA285" s="99">
        <v>800</v>
      </c>
      <c r="BB285" s="113"/>
      <c r="BC285" s="102">
        <f t="shared" si="637"/>
        <v>-1800</v>
      </c>
      <c r="BD285" s="99">
        <v>800</v>
      </c>
      <c r="BE285" s="113"/>
      <c r="BF285" s="102">
        <f t="shared" si="638"/>
        <v>-1000</v>
      </c>
      <c r="BG285" s="99">
        <v>800</v>
      </c>
      <c r="BH285" s="113"/>
      <c r="BI285" s="102">
        <f t="shared" si="639"/>
        <v>-200</v>
      </c>
      <c r="BJ285" s="99">
        <v>800</v>
      </c>
      <c r="BK285" s="113"/>
      <c r="BL285" s="102">
        <f t="shared" si="640"/>
        <v>600</v>
      </c>
      <c r="BM285" s="99">
        <v>800</v>
      </c>
      <c r="BN285" s="113"/>
      <c r="BO285" s="102">
        <f t="shared" si="641"/>
        <v>1400</v>
      </c>
      <c r="BP285" s="99">
        <v>800</v>
      </c>
      <c r="BQ285" s="113">
        <v>4800</v>
      </c>
      <c r="BR285" s="102">
        <f t="shared" si="664"/>
        <v>-2600</v>
      </c>
      <c r="BS285" s="99">
        <v>800</v>
      </c>
      <c r="BT285" s="113"/>
      <c r="BU285" s="102">
        <f t="shared" si="665"/>
        <v>-1800</v>
      </c>
      <c r="BV285" s="99">
        <v>800</v>
      </c>
      <c r="BW285" s="113"/>
      <c r="BX285" s="102">
        <f t="shared" si="666"/>
        <v>-1000</v>
      </c>
      <c r="BY285" s="99">
        <v>800</v>
      </c>
      <c r="BZ285" s="113"/>
      <c r="CA285" s="102">
        <f t="shared" si="667"/>
        <v>-200</v>
      </c>
      <c r="CB285" s="99">
        <v>800</v>
      </c>
      <c r="CC285" s="113"/>
      <c r="CD285" s="102">
        <f t="shared" si="668"/>
        <v>600</v>
      </c>
      <c r="CE285" s="99">
        <v>800</v>
      </c>
      <c r="CF285" s="113"/>
      <c r="CG285" s="102">
        <f t="shared" si="669"/>
        <v>1400</v>
      </c>
      <c r="CH285" s="99">
        <v>800</v>
      </c>
      <c r="CI285" s="113"/>
      <c r="CJ285" s="102">
        <f t="shared" si="670"/>
        <v>2200</v>
      </c>
      <c r="CK285" s="99">
        <v>800</v>
      </c>
      <c r="CL285" s="113">
        <v>4800</v>
      </c>
      <c r="CM285" s="102">
        <f t="shared" si="671"/>
        <v>-1800</v>
      </c>
      <c r="CN285" s="99">
        <v>800</v>
      </c>
      <c r="CO285" s="113"/>
      <c r="CP285" s="102">
        <f t="shared" si="672"/>
        <v>-1000</v>
      </c>
      <c r="CQ285" s="99">
        <v>800</v>
      </c>
      <c r="CR285" s="113"/>
      <c r="CS285" s="102">
        <f t="shared" si="651"/>
        <v>-200</v>
      </c>
      <c r="CT285" s="99">
        <v>800</v>
      </c>
      <c r="CU285" s="113"/>
      <c r="CV285" s="102">
        <f t="shared" si="652"/>
        <v>600</v>
      </c>
      <c r="CW285" s="99">
        <v>800</v>
      </c>
      <c r="CX285" s="113"/>
      <c r="CY285" s="102">
        <f t="shared" si="653"/>
        <v>1400</v>
      </c>
    </row>
    <row r="286" spans="1:103" s="80" customFormat="1" ht="24">
      <c r="A286" s="103" t="e">
        <f>VLOOKUP(B286,справочник!$B$2:$E$322,4,FALSE)</f>
        <v>#N/A</v>
      </c>
      <c r="B286" s="80" t="str">
        <f t="shared" si="592"/>
        <v>27Федорова Юлия Владимировна (новый собственник Олейников Дмитрий Александрович)</v>
      </c>
      <c r="C286" s="5">
        <v>27</v>
      </c>
      <c r="D286" s="7" t="s">
        <v>808</v>
      </c>
      <c r="E286" s="5" t="s">
        <v>581</v>
      </c>
      <c r="F286" s="19">
        <v>41260</v>
      </c>
      <c r="G286" s="19">
        <v>41275</v>
      </c>
      <c r="H286" s="20">
        <f t="shared" si="629"/>
        <v>36</v>
      </c>
      <c r="I286" s="5">
        <f t="shared" si="654"/>
        <v>36000</v>
      </c>
      <c r="J286" s="20">
        <v>24000</v>
      </c>
      <c r="K286" s="20"/>
      <c r="L286" s="21">
        <v>5200</v>
      </c>
      <c r="M286" s="109"/>
      <c r="N286" s="109"/>
      <c r="O286" s="109"/>
      <c r="P286" s="109"/>
      <c r="Q286" s="109"/>
      <c r="R286" s="109"/>
      <c r="S286" s="109"/>
      <c r="T286" s="109"/>
      <c r="U286" s="109"/>
      <c r="V286" s="109"/>
      <c r="W286" s="109"/>
      <c r="X286" s="109"/>
      <c r="Y286" s="21">
        <f t="shared" si="593"/>
        <v>0</v>
      </c>
      <c r="Z286" s="104">
        <v>0</v>
      </c>
      <c r="AA286" s="104">
        <f t="shared" si="594"/>
        <v>0</v>
      </c>
      <c r="AB286" s="104">
        <f t="shared" si="595"/>
        <v>5200</v>
      </c>
      <c r="AC286" s="104">
        <v>0</v>
      </c>
      <c r="AD286" s="105"/>
      <c r="AE286" s="106">
        <f t="shared" si="596"/>
        <v>5200</v>
      </c>
      <c r="AF286" s="104">
        <v>0</v>
      </c>
      <c r="AG286" s="105"/>
      <c r="AH286" s="106">
        <f t="shared" si="630"/>
        <v>5200</v>
      </c>
      <c r="AI286" s="104"/>
      <c r="AJ286" s="105"/>
      <c r="AK286" s="106">
        <f t="shared" si="631"/>
        <v>5200</v>
      </c>
      <c r="AL286" s="104"/>
      <c r="AM286" s="105"/>
      <c r="AN286" s="106">
        <f t="shared" si="632"/>
        <v>5200</v>
      </c>
      <c r="AO286" s="104"/>
      <c r="AP286" s="105"/>
      <c r="AQ286" s="106">
        <f t="shared" si="633"/>
        <v>5200</v>
      </c>
      <c r="AR286" s="104"/>
      <c r="AS286" s="105"/>
      <c r="AT286" s="106">
        <f t="shared" si="634"/>
        <v>5200</v>
      </c>
      <c r="AU286" s="104"/>
      <c r="AV286" s="105"/>
      <c r="AW286" s="106">
        <f t="shared" si="635"/>
        <v>5200</v>
      </c>
      <c r="AX286" s="104"/>
      <c r="AY286" s="105"/>
      <c r="AZ286" s="106">
        <f t="shared" si="636"/>
        <v>5200</v>
      </c>
      <c r="BA286" s="104"/>
      <c r="BB286" s="105"/>
      <c r="BC286" s="106">
        <f t="shared" si="637"/>
        <v>5200</v>
      </c>
      <c r="BD286" s="104"/>
      <c r="BE286" s="105">
        <v>5000</v>
      </c>
      <c r="BF286" s="133">
        <f>BC286+BD286-BE286</f>
        <v>200</v>
      </c>
      <c r="BG286" s="104"/>
      <c r="BH286" s="105"/>
      <c r="BI286" s="133">
        <f>BF286+BG286-BH286</f>
        <v>200</v>
      </c>
      <c r="BJ286" s="104"/>
      <c r="BK286" s="105"/>
      <c r="BL286" s="133">
        <f>BI286+BJ286-BK286</f>
        <v>200</v>
      </c>
      <c r="BM286" s="104"/>
      <c r="BN286" s="105"/>
      <c r="BO286" s="133">
        <f>BL286+BM286-BN286</f>
        <v>200</v>
      </c>
      <c r="BP286" s="104"/>
      <c r="BQ286" s="105"/>
      <c r="BR286" s="133">
        <f>BO286+BP286-BQ286</f>
        <v>200</v>
      </c>
      <c r="BS286" s="104"/>
      <c r="BT286" s="105">
        <v>200</v>
      </c>
      <c r="BU286" s="133">
        <f>BR286+BS286-BT286</f>
        <v>0</v>
      </c>
      <c r="BV286" s="104"/>
      <c r="BW286" s="105"/>
      <c r="BX286" s="133">
        <f>BU286+BV286-BW286</f>
        <v>0</v>
      </c>
      <c r="BY286" s="104"/>
      <c r="BZ286" s="105"/>
      <c r="CA286" s="133">
        <f>BX286+BY286-BZ286</f>
        <v>0</v>
      </c>
      <c r="CB286" s="104"/>
      <c r="CC286" s="105"/>
      <c r="CD286" s="133">
        <f>CA286+CB286-CC286</f>
        <v>0</v>
      </c>
      <c r="CE286" s="104"/>
      <c r="CF286" s="105"/>
      <c r="CG286" s="133">
        <f>CD286+CE286-CF286</f>
        <v>0</v>
      </c>
      <c r="CH286" s="104"/>
      <c r="CI286" s="105"/>
      <c r="CJ286" s="133">
        <f>CG286+CH286-CI286</f>
        <v>0</v>
      </c>
      <c r="CK286" s="104"/>
      <c r="CL286" s="105"/>
      <c r="CM286" s="133">
        <f>CJ286+CK286-CL286</f>
        <v>0</v>
      </c>
      <c r="CN286" s="104"/>
      <c r="CO286" s="105"/>
      <c r="CP286" s="133">
        <f>CM286+CN286-CO286</f>
        <v>0</v>
      </c>
      <c r="CQ286" s="104"/>
      <c r="CR286" s="105"/>
      <c r="CS286" s="133">
        <f>CP286+CQ286-CR286</f>
        <v>0</v>
      </c>
      <c r="CT286" s="104"/>
      <c r="CU286" s="105"/>
      <c r="CV286" s="133">
        <f>CS286+CT286-CU286</f>
        <v>0</v>
      </c>
      <c r="CW286" s="104"/>
      <c r="CX286" s="105"/>
      <c r="CY286" s="133">
        <f>CV286+CW286-CX286</f>
        <v>0</v>
      </c>
    </row>
    <row r="287" spans="1:103" s="80" customFormat="1" ht="24">
      <c r="A287" s="103" t="e">
        <f>VLOOKUP(B287,справочник!$B$2:$E$322,4,FALSE)</f>
        <v>#N/A</v>
      </c>
      <c r="B287" s="80" t="str">
        <f t="shared" si="592"/>
        <v>142-143Финогин Сергей Александрович(нов.соб. Рыбалкин Андрей Сергеевич)</v>
      </c>
      <c r="C287" s="5" t="s">
        <v>274</v>
      </c>
      <c r="D287" s="7" t="s">
        <v>770</v>
      </c>
      <c r="E287" s="5" t="s">
        <v>582</v>
      </c>
      <c r="F287" s="19">
        <v>40834</v>
      </c>
      <c r="G287" s="19">
        <v>40817</v>
      </c>
      <c r="H287" s="20">
        <v>11</v>
      </c>
      <c r="I287" s="5">
        <f t="shared" si="654"/>
        <v>11000</v>
      </c>
      <c r="J287" s="20">
        <v>1000</v>
      </c>
      <c r="K287" s="20"/>
      <c r="L287" s="21">
        <f t="shared" si="591"/>
        <v>10000</v>
      </c>
      <c r="M287" s="109"/>
      <c r="N287" s="109"/>
      <c r="O287" s="109">
        <v>8000</v>
      </c>
      <c r="P287" s="109"/>
      <c r="Q287" s="109"/>
      <c r="R287" s="109">
        <v>21000</v>
      </c>
      <c r="S287" s="109"/>
      <c r="T287" s="109"/>
      <c r="U287" s="109"/>
      <c r="V287" s="109"/>
      <c r="W287" s="109"/>
      <c r="X287" s="109"/>
      <c r="Y287" s="21">
        <f t="shared" si="593"/>
        <v>29000</v>
      </c>
      <c r="Z287" s="104">
        <v>12</v>
      </c>
      <c r="AA287" s="104">
        <f t="shared" si="594"/>
        <v>9600</v>
      </c>
      <c r="AB287" s="104">
        <f t="shared" si="595"/>
        <v>-9400</v>
      </c>
      <c r="AC287" s="104">
        <v>800</v>
      </c>
      <c r="AD287" s="105"/>
      <c r="AE287" s="227">
        <f>SUM(AB287:AB289)+SUM(AC287:AC289)-SUM(AD287:AD289)</f>
        <v>-600</v>
      </c>
      <c r="AF287" s="104">
        <v>800</v>
      </c>
      <c r="AG287" s="105"/>
      <c r="AH287" s="227">
        <f>SUM(AE287:AE289)+SUM(AF287:AF289)-SUM(AG287:AG289)</f>
        <v>200</v>
      </c>
      <c r="AI287" s="104">
        <v>800</v>
      </c>
      <c r="AJ287" s="105"/>
      <c r="AK287" s="227">
        <f>SUM(AH287:AH289)+SUM(AI287:AI289)-SUM(AJ287:AJ289)</f>
        <v>1000</v>
      </c>
      <c r="AL287" s="104">
        <v>800</v>
      </c>
      <c r="AM287" s="105"/>
      <c r="AN287" s="227">
        <f>SUM(AK287:AK289)+SUM(AL287:AL289)-SUM(AM287:AM289)</f>
        <v>1800</v>
      </c>
      <c r="AO287" s="104">
        <v>800</v>
      </c>
      <c r="AP287" s="105"/>
      <c r="AQ287" s="227">
        <f>SUM(AN287:AN289)+SUM(AO287:AO289)-SUM(AP287:AP289)</f>
        <v>2600</v>
      </c>
      <c r="AR287" s="104">
        <v>800</v>
      </c>
      <c r="AS287" s="105"/>
      <c r="AT287" s="227">
        <f>SUM(AQ287:AQ289)+SUM(AR287:AR289)-SUM(AS287:AS289)</f>
        <v>3400</v>
      </c>
      <c r="AU287" s="104">
        <v>800</v>
      </c>
      <c r="AV287" s="105"/>
      <c r="AW287" s="212">
        <f>SUM(AT287:AT289)+SUM(AU287:AU289)-SUM(AV287:AV289)</f>
        <v>4200</v>
      </c>
      <c r="AX287" s="104">
        <v>800</v>
      </c>
      <c r="AY287" s="105"/>
      <c r="AZ287" s="212">
        <f>SUM(AW287:AW289)+SUM(AX287:AX289)-SUM(AY287:AY289)</f>
        <v>5000</v>
      </c>
      <c r="BA287" s="104">
        <v>800</v>
      </c>
      <c r="BB287" s="105"/>
      <c r="BC287" s="212">
        <f>SUM(AZ287:AZ289)+SUM(BA287:BA289)-SUM(BB287:BB289)</f>
        <v>5800</v>
      </c>
      <c r="BD287" s="104">
        <v>800</v>
      </c>
      <c r="BE287" s="105"/>
      <c r="BF287" s="212">
        <f>SUM(BC287:BC289)+SUM(BD287:BD289)-SUM(BE287:BE289)</f>
        <v>6600</v>
      </c>
      <c r="BG287" s="104">
        <v>800</v>
      </c>
      <c r="BH287" s="105"/>
      <c r="BI287" s="212">
        <f>SUM(BF287:BF289)+SUM(BG287:BG289)-SUM(BH287:BH289)</f>
        <v>7400</v>
      </c>
      <c r="BJ287" s="104">
        <v>800</v>
      </c>
      <c r="BK287" s="105"/>
      <c r="BL287" s="212">
        <f>SUM(BI287:BI289)+SUM(BJ287:BJ289)-SUM(BK287:BK289)</f>
        <v>8200</v>
      </c>
      <c r="BM287" s="104">
        <v>800</v>
      </c>
      <c r="BN287" s="105"/>
      <c r="BO287" s="212">
        <f>SUM(BL287:BL289)+SUM(BM287:BM289)-SUM(BN287:BN289)</f>
        <v>9000</v>
      </c>
      <c r="BP287" s="104">
        <v>800</v>
      </c>
      <c r="BQ287" s="105"/>
      <c r="BR287" s="212">
        <f>SUM(BO287:BO289)+SUM(BP287:BP289)-SUM(BQ287:BQ289)</f>
        <v>9800</v>
      </c>
      <c r="BS287" s="104">
        <v>800</v>
      </c>
      <c r="BT287" s="105"/>
      <c r="BU287" s="212">
        <f>SUM(BR287:BR289)+SUM(BS287:BS289)-SUM(BT287:BT289)</f>
        <v>10600</v>
      </c>
      <c r="BV287" s="104">
        <v>800</v>
      </c>
      <c r="BW287" s="105"/>
      <c r="BX287" s="212">
        <f>SUM(BU287:BU289)+SUM(BV287:BV289)-SUM(BW287:BW289)</f>
        <v>11400</v>
      </c>
      <c r="BY287" s="104">
        <v>800</v>
      </c>
      <c r="BZ287" s="105"/>
      <c r="CA287" s="212">
        <f>SUM(BX287:BX289)+SUM(BY287:BY289)-SUM(BZ287:BZ289)</f>
        <v>12200</v>
      </c>
      <c r="CB287" s="104">
        <v>800</v>
      </c>
      <c r="CC287" s="105"/>
      <c r="CD287" s="212">
        <f>SUM(CA287:CA289)+SUM(CB287:CB289)-SUM(CC287:CC289)</f>
        <v>13000</v>
      </c>
      <c r="CE287" s="104">
        <v>800</v>
      </c>
      <c r="CF287" s="105"/>
      <c r="CG287" s="212">
        <f>SUM(CD287:CD289)+SUM(CE287:CE289)-SUM(CF287:CF289)</f>
        <v>13800</v>
      </c>
      <c r="CH287" s="104">
        <v>800</v>
      </c>
      <c r="CI287" s="105"/>
      <c r="CJ287" s="212">
        <f>SUM(CG287:CG289)+SUM(CH287:CH289)-SUM(CI287:CI289)</f>
        <v>14600</v>
      </c>
      <c r="CK287" s="104">
        <v>800</v>
      </c>
      <c r="CL287" s="105"/>
      <c r="CM287" s="212">
        <f>SUM(CJ287:CJ289)+SUM(CK287:CK289)-SUM(CL287:CL289)</f>
        <v>15400</v>
      </c>
      <c r="CN287" s="104">
        <v>800</v>
      </c>
      <c r="CO287" s="105"/>
      <c r="CP287" s="212">
        <f>SUM(CM287:CM289)+SUM(CN287:CN289)-SUM(CO287:CO289)</f>
        <v>16200</v>
      </c>
      <c r="CQ287" s="104">
        <v>800</v>
      </c>
      <c r="CR287" s="105"/>
      <c r="CS287" s="212">
        <f>CP287+CQ287-CR287</f>
        <v>17000</v>
      </c>
      <c r="CT287" s="104">
        <v>800</v>
      </c>
      <c r="CU287" s="105"/>
      <c r="CV287" s="212">
        <f>CS287+CT287-CU287</f>
        <v>17800</v>
      </c>
      <c r="CW287" s="104">
        <v>800</v>
      </c>
      <c r="CX287" s="105"/>
      <c r="CY287" s="212">
        <f>CV287+CW287-CX287</f>
        <v>18600</v>
      </c>
    </row>
    <row r="288" spans="1:103" s="80" customFormat="1" ht="24">
      <c r="A288" s="103" t="e">
        <f>VLOOKUP(B288,справочник!$B$2:$E$322,4,FALSE)</f>
        <v>#N/A</v>
      </c>
      <c r="B288" s="80" t="str">
        <f t="shared" si="592"/>
        <v>142-143Финогин Сергей Александрович(нов.соб. Рыбалкин Андрей Сергеевич)</v>
      </c>
      <c r="C288" s="5" t="s">
        <v>274</v>
      </c>
      <c r="D288" s="7" t="s">
        <v>770</v>
      </c>
      <c r="E288" s="5"/>
      <c r="F288" s="19">
        <v>40834</v>
      </c>
      <c r="G288" s="19">
        <v>40817</v>
      </c>
      <c r="H288" s="20">
        <v>9</v>
      </c>
      <c r="I288" s="5">
        <f t="shared" si="654"/>
        <v>9000</v>
      </c>
      <c r="J288" s="20">
        <v>1000</v>
      </c>
      <c r="K288" s="20"/>
      <c r="L288" s="21">
        <f t="shared" si="591"/>
        <v>8000</v>
      </c>
      <c r="M288" s="109"/>
      <c r="N288" s="109"/>
      <c r="O288" s="109"/>
      <c r="P288" s="109"/>
      <c r="Q288" s="109"/>
      <c r="R288" s="109"/>
      <c r="S288" s="109"/>
      <c r="T288" s="109"/>
      <c r="U288" s="109"/>
      <c r="V288" s="109"/>
      <c r="W288" s="109"/>
      <c r="X288" s="109"/>
      <c r="Y288" s="21">
        <f t="shared" si="593"/>
        <v>0</v>
      </c>
      <c r="Z288" s="104">
        <v>0</v>
      </c>
      <c r="AA288" s="104">
        <f t="shared" si="594"/>
        <v>0</v>
      </c>
      <c r="AB288" s="104">
        <f t="shared" si="595"/>
        <v>8000</v>
      </c>
      <c r="AC288" s="104">
        <v>0</v>
      </c>
      <c r="AD288" s="105"/>
      <c r="AE288" s="229"/>
      <c r="AF288" s="104">
        <v>0</v>
      </c>
      <c r="AG288" s="105"/>
      <c r="AH288" s="229"/>
      <c r="AI288" s="104">
        <v>0</v>
      </c>
      <c r="AJ288" s="105"/>
      <c r="AK288" s="229"/>
      <c r="AL288" s="104">
        <v>0</v>
      </c>
      <c r="AM288" s="105"/>
      <c r="AN288" s="229"/>
      <c r="AO288" s="104">
        <v>0</v>
      </c>
      <c r="AP288" s="105"/>
      <c r="AQ288" s="229"/>
      <c r="AR288" s="104">
        <v>0</v>
      </c>
      <c r="AS288" s="105"/>
      <c r="AT288" s="229"/>
      <c r="AU288" s="104">
        <v>0</v>
      </c>
      <c r="AV288" s="105"/>
      <c r="AW288" s="213"/>
      <c r="AX288" s="104">
        <v>0</v>
      </c>
      <c r="AY288" s="105"/>
      <c r="AZ288" s="213"/>
      <c r="BA288" s="104">
        <v>0</v>
      </c>
      <c r="BB288" s="105"/>
      <c r="BC288" s="213"/>
      <c r="BD288" s="104">
        <v>0</v>
      </c>
      <c r="BE288" s="105"/>
      <c r="BF288" s="213"/>
      <c r="BG288" s="104">
        <v>0</v>
      </c>
      <c r="BH288" s="105"/>
      <c r="BI288" s="213"/>
      <c r="BJ288" s="104">
        <v>0</v>
      </c>
      <c r="BK288" s="105"/>
      <c r="BL288" s="213"/>
      <c r="BM288" s="104">
        <v>0</v>
      </c>
      <c r="BN288" s="105"/>
      <c r="BO288" s="213"/>
      <c r="BP288" s="104">
        <v>0</v>
      </c>
      <c r="BQ288" s="105"/>
      <c r="BR288" s="213"/>
      <c r="BS288" s="104">
        <v>0</v>
      </c>
      <c r="BT288" s="105"/>
      <c r="BU288" s="213"/>
      <c r="BV288" s="104">
        <v>0</v>
      </c>
      <c r="BW288" s="105"/>
      <c r="BX288" s="213"/>
      <c r="BY288" s="104">
        <v>0</v>
      </c>
      <c r="BZ288" s="105"/>
      <c r="CA288" s="213"/>
      <c r="CB288" s="104">
        <v>0</v>
      </c>
      <c r="CC288" s="105"/>
      <c r="CD288" s="213"/>
      <c r="CE288" s="104">
        <v>0</v>
      </c>
      <c r="CF288" s="105"/>
      <c r="CG288" s="213"/>
      <c r="CH288" s="104">
        <v>0</v>
      </c>
      <c r="CI288" s="105"/>
      <c r="CJ288" s="213"/>
      <c r="CK288" s="104">
        <v>0</v>
      </c>
      <c r="CL288" s="105"/>
      <c r="CM288" s="213"/>
      <c r="CN288" s="104">
        <v>0</v>
      </c>
      <c r="CO288" s="105"/>
      <c r="CP288" s="213"/>
      <c r="CQ288" s="104">
        <v>0</v>
      </c>
      <c r="CR288" s="105"/>
      <c r="CS288" s="213"/>
      <c r="CT288" s="104">
        <v>0</v>
      </c>
      <c r="CU288" s="105"/>
      <c r="CV288" s="213"/>
      <c r="CW288" s="104">
        <v>0</v>
      </c>
      <c r="CX288" s="105"/>
      <c r="CY288" s="213"/>
    </row>
    <row r="289" spans="1:103" s="80" customFormat="1" ht="24">
      <c r="A289" s="103" t="e">
        <f>VLOOKUP(B289,справочник!$B$2:$E$322,4,FALSE)</f>
        <v>#N/A</v>
      </c>
      <c r="B289" s="80" t="str">
        <f t="shared" si="592"/>
        <v>142-143Финогин Сергей Александрович(нов.соб. Рыбалкин Андрей Сергеевич)</v>
      </c>
      <c r="C289" s="5" t="s">
        <v>274</v>
      </c>
      <c r="D289" s="7" t="s">
        <v>770</v>
      </c>
      <c r="E289" s="5"/>
      <c r="F289" s="19">
        <v>41183</v>
      </c>
      <c r="G289" s="19">
        <v>41183</v>
      </c>
      <c r="H289" s="20"/>
      <c r="I289" s="5">
        <f t="shared" si="654"/>
        <v>0</v>
      </c>
      <c r="J289" s="20"/>
      <c r="K289" s="20"/>
      <c r="L289" s="21">
        <f t="shared" si="591"/>
        <v>0</v>
      </c>
      <c r="M289" s="109"/>
      <c r="N289" s="109"/>
      <c r="O289" s="109"/>
      <c r="P289" s="109"/>
      <c r="Q289" s="109"/>
      <c r="R289" s="109"/>
      <c r="S289" s="109"/>
      <c r="T289" s="109"/>
      <c r="U289" s="109"/>
      <c r="V289" s="109"/>
      <c r="W289" s="109"/>
      <c r="X289" s="109"/>
      <c r="Y289" s="21">
        <f t="shared" si="593"/>
        <v>0</v>
      </c>
      <c r="Z289" s="104">
        <v>0</v>
      </c>
      <c r="AA289" s="104">
        <f t="shared" si="594"/>
        <v>0</v>
      </c>
      <c r="AB289" s="104">
        <f t="shared" si="595"/>
        <v>0</v>
      </c>
      <c r="AC289" s="104">
        <v>0</v>
      </c>
      <c r="AD289" s="105"/>
      <c r="AE289" s="228"/>
      <c r="AF289" s="104">
        <v>0</v>
      </c>
      <c r="AG289" s="105"/>
      <c r="AH289" s="228"/>
      <c r="AI289" s="104">
        <v>0</v>
      </c>
      <c r="AJ289" s="105"/>
      <c r="AK289" s="228"/>
      <c r="AL289" s="104">
        <v>0</v>
      </c>
      <c r="AM289" s="105"/>
      <c r="AN289" s="228"/>
      <c r="AO289" s="104">
        <v>0</v>
      </c>
      <c r="AP289" s="105"/>
      <c r="AQ289" s="228"/>
      <c r="AR289" s="104">
        <v>0</v>
      </c>
      <c r="AS289" s="105"/>
      <c r="AT289" s="228"/>
      <c r="AU289" s="104">
        <v>0</v>
      </c>
      <c r="AV289" s="105"/>
      <c r="AW289" s="214"/>
      <c r="AX289" s="104">
        <v>0</v>
      </c>
      <c r="AY289" s="105"/>
      <c r="AZ289" s="214"/>
      <c r="BA289" s="104">
        <v>0</v>
      </c>
      <c r="BB289" s="105"/>
      <c r="BC289" s="214"/>
      <c r="BD289" s="104">
        <v>0</v>
      </c>
      <c r="BE289" s="105"/>
      <c r="BF289" s="214"/>
      <c r="BG289" s="104">
        <v>0</v>
      </c>
      <c r="BH289" s="105"/>
      <c r="BI289" s="214"/>
      <c r="BJ289" s="104">
        <v>0</v>
      </c>
      <c r="BK289" s="105"/>
      <c r="BL289" s="214"/>
      <c r="BM289" s="104">
        <v>0</v>
      </c>
      <c r="BN289" s="105"/>
      <c r="BO289" s="214"/>
      <c r="BP289" s="104">
        <v>0</v>
      </c>
      <c r="BQ289" s="105"/>
      <c r="BR289" s="214"/>
      <c r="BS289" s="104">
        <v>0</v>
      </c>
      <c r="BT289" s="105"/>
      <c r="BU289" s="214"/>
      <c r="BV289" s="104">
        <v>0</v>
      </c>
      <c r="BW289" s="105"/>
      <c r="BX289" s="214"/>
      <c r="BY289" s="104">
        <v>0</v>
      </c>
      <c r="BZ289" s="105"/>
      <c r="CA289" s="214"/>
      <c r="CB289" s="104">
        <v>0</v>
      </c>
      <c r="CC289" s="105"/>
      <c r="CD289" s="214"/>
      <c r="CE289" s="104">
        <v>0</v>
      </c>
      <c r="CF289" s="105"/>
      <c r="CG289" s="214"/>
      <c r="CH289" s="104">
        <v>0</v>
      </c>
      <c r="CI289" s="105"/>
      <c r="CJ289" s="214"/>
      <c r="CK289" s="104">
        <v>0</v>
      </c>
      <c r="CL289" s="105"/>
      <c r="CM289" s="214"/>
      <c r="CN289" s="104">
        <v>0</v>
      </c>
      <c r="CO289" s="105"/>
      <c r="CP289" s="214"/>
      <c r="CQ289" s="104">
        <v>0</v>
      </c>
      <c r="CR289" s="105"/>
      <c r="CS289" s="214"/>
      <c r="CT289" s="104">
        <v>0</v>
      </c>
      <c r="CU289" s="105"/>
      <c r="CV289" s="214"/>
      <c r="CW289" s="104">
        <v>0</v>
      </c>
      <c r="CX289" s="105"/>
      <c r="CY289" s="214"/>
    </row>
    <row r="290" spans="1:103">
      <c r="A290" s="41">
        <f>VLOOKUP(B290,справочник!$B$2:$E$322,4,FALSE)</f>
        <v>59</v>
      </c>
      <c r="B290" t="str">
        <f t="shared" si="592"/>
        <v>61Фисенко Вадим Петрович</v>
      </c>
      <c r="C290" s="1">
        <v>61</v>
      </c>
      <c r="D290" s="2" t="s">
        <v>275</v>
      </c>
      <c r="E290" s="1" t="s">
        <v>583</v>
      </c>
      <c r="F290" s="16">
        <v>40868</v>
      </c>
      <c r="G290" s="16">
        <v>40848</v>
      </c>
      <c r="H290" s="17">
        <f t="shared" ref="H290:H299" si="673">INT(($H$326-G290)/30)</f>
        <v>50</v>
      </c>
      <c r="I290" s="1">
        <f t="shared" si="654"/>
        <v>50000</v>
      </c>
      <c r="J290" s="17">
        <f>1000+49000</f>
        <v>50000</v>
      </c>
      <c r="K290" s="17"/>
      <c r="L290" s="18">
        <f t="shared" si="591"/>
        <v>0</v>
      </c>
      <c r="M290" s="29">
        <v>2400</v>
      </c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18">
        <f t="shared" si="593"/>
        <v>2400</v>
      </c>
      <c r="Z290" s="96">
        <v>12</v>
      </c>
      <c r="AA290" s="96">
        <f t="shared" si="594"/>
        <v>9600</v>
      </c>
      <c r="AB290" s="96">
        <f t="shared" si="595"/>
        <v>7200</v>
      </c>
      <c r="AC290" s="99">
        <v>800</v>
      </c>
      <c r="AD290" s="98"/>
      <c r="AE290" s="102">
        <f t="shared" si="596"/>
        <v>8000</v>
      </c>
      <c r="AF290" s="99">
        <v>800</v>
      </c>
      <c r="AG290" s="98"/>
      <c r="AH290" s="102">
        <f t="shared" ref="AH290:AH300" si="674">AE290+AF290-AG290</f>
        <v>8800</v>
      </c>
      <c r="AI290" s="99">
        <v>800</v>
      </c>
      <c r="AJ290" s="98"/>
      <c r="AK290" s="102">
        <f t="shared" ref="AK290:AK300" si="675">AH290+AI290-AJ290</f>
        <v>9600</v>
      </c>
      <c r="AL290" s="99">
        <v>800</v>
      </c>
      <c r="AM290" s="98">
        <v>16800</v>
      </c>
      <c r="AN290" s="102">
        <f t="shared" ref="AN290:AN300" si="676">AK290+AL290-AM290</f>
        <v>-6400</v>
      </c>
      <c r="AO290" s="99">
        <v>800</v>
      </c>
      <c r="AP290" s="113"/>
      <c r="AQ290" s="102">
        <f t="shared" ref="AQ290:AQ300" si="677">AN290+AO290-AP290</f>
        <v>-5600</v>
      </c>
      <c r="AR290" s="99">
        <v>800</v>
      </c>
      <c r="AS290" s="113"/>
      <c r="AT290" s="102">
        <f t="shared" ref="AT290:AT300" si="678">AQ290+AR290-AS290</f>
        <v>-4800</v>
      </c>
      <c r="AU290" s="99">
        <v>800</v>
      </c>
      <c r="AV290" s="113"/>
      <c r="AW290" s="102">
        <f t="shared" ref="AW290:AW300" si="679">AT290+AU290-AV290</f>
        <v>-4000</v>
      </c>
      <c r="AX290" s="99">
        <v>800</v>
      </c>
      <c r="AY290" s="113"/>
      <c r="AZ290" s="102">
        <f t="shared" ref="AZ290:AZ300" si="680">AW290+AX290-AY290</f>
        <v>-3200</v>
      </c>
      <c r="BA290" s="99">
        <v>800</v>
      </c>
      <c r="BB290" s="113"/>
      <c r="BC290" s="102">
        <f t="shared" ref="BC290:BC300" si="681">AZ290+BA290-BB290</f>
        <v>-2400</v>
      </c>
      <c r="BD290" s="99">
        <v>800</v>
      </c>
      <c r="BE290" s="113"/>
      <c r="BF290" s="102">
        <f t="shared" ref="BF290:BF300" si="682">BC290+BD290-BE290</f>
        <v>-1600</v>
      </c>
      <c r="BG290" s="99">
        <v>800</v>
      </c>
      <c r="BH290" s="113"/>
      <c r="BI290" s="102">
        <f t="shared" ref="BI290:BI300" si="683">BF290+BG290-BH290</f>
        <v>-800</v>
      </c>
      <c r="BJ290" s="99">
        <v>800</v>
      </c>
      <c r="BK290" s="113"/>
      <c r="BL290" s="102">
        <f t="shared" ref="BL290:BL300" si="684">BI290+BJ290-BK290</f>
        <v>0</v>
      </c>
      <c r="BM290" s="99">
        <v>800</v>
      </c>
      <c r="BN290" s="113"/>
      <c r="BO290" s="102">
        <f t="shared" ref="BO290:BO300" si="685">BL290+BM290-BN290</f>
        <v>800</v>
      </c>
      <c r="BP290" s="99">
        <v>800</v>
      </c>
      <c r="BQ290" s="113"/>
      <c r="BR290" s="102">
        <f t="shared" ref="BR290:BR300" si="686">BO290+BP290-BQ290</f>
        <v>1600</v>
      </c>
      <c r="BS290" s="99">
        <v>800</v>
      </c>
      <c r="BT290" s="113"/>
      <c r="BU290" s="102">
        <f t="shared" ref="BU290:BU300" si="687">BR290+BS290-BT290</f>
        <v>2400</v>
      </c>
      <c r="BV290" s="99">
        <v>800</v>
      </c>
      <c r="BW290" s="113">
        <v>4000</v>
      </c>
      <c r="BX290" s="102">
        <f t="shared" ref="BX290:BX300" si="688">BU290+BV290-BW290</f>
        <v>-800</v>
      </c>
      <c r="BY290" s="99">
        <v>800</v>
      </c>
      <c r="BZ290" s="113"/>
      <c r="CA290" s="102">
        <f t="shared" ref="CA290:CA300" si="689">BX290+BY290-BZ290</f>
        <v>0</v>
      </c>
      <c r="CB290" s="99">
        <v>800</v>
      </c>
      <c r="CC290" s="113">
        <v>24800</v>
      </c>
      <c r="CD290" s="102">
        <f t="shared" ref="CD290:CD300" si="690">CA290+CB290-CC290</f>
        <v>-24000</v>
      </c>
      <c r="CE290" s="99">
        <v>800</v>
      </c>
      <c r="CF290" s="113"/>
      <c r="CG290" s="102">
        <f t="shared" ref="CG290:CG300" si="691">CD290+CE290-CF290</f>
        <v>-23200</v>
      </c>
      <c r="CH290" s="99">
        <v>800</v>
      </c>
      <c r="CI290" s="113"/>
      <c r="CJ290" s="102">
        <f t="shared" ref="CJ290:CJ300" si="692">CG290+CH290-CI290</f>
        <v>-22400</v>
      </c>
      <c r="CK290" s="99">
        <v>800</v>
      </c>
      <c r="CL290" s="113"/>
      <c r="CM290" s="102">
        <f t="shared" ref="CM290:CM300" si="693">CJ290+CK290-CL290</f>
        <v>-21600</v>
      </c>
      <c r="CN290" s="99">
        <v>800</v>
      </c>
      <c r="CO290" s="113"/>
      <c r="CP290" s="102">
        <f t="shared" ref="CP290:CP300" si="694">CM290+CN290-CO290</f>
        <v>-20800</v>
      </c>
      <c r="CQ290" s="99">
        <v>800</v>
      </c>
      <c r="CR290" s="113"/>
      <c r="CS290" s="102">
        <f>CP290+CQ290-CR290</f>
        <v>-20000</v>
      </c>
      <c r="CT290" s="99">
        <v>800</v>
      </c>
      <c r="CU290" s="113"/>
      <c r="CV290" s="102">
        <f>CS290+CT290-CU290</f>
        <v>-19200</v>
      </c>
      <c r="CW290" s="99">
        <v>800</v>
      </c>
      <c r="CX290" s="113"/>
      <c r="CY290" s="102">
        <f>CV290+CW290-CX290</f>
        <v>-18400</v>
      </c>
    </row>
    <row r="291" spans="1:103">
      <c r="A291" s="41">
        <f>VLOOKUP(B291,справочник!$B$2:$E$322,4,FALSE)</f>
        <v>60</v>
      </c>
      <c r="B291" t="str">
        <f t="shared" si="592"/>
        <v>62Фисенко Дмитрий Петрович</v>
      </c>
      <c r="C291" s="1">
        <v>62</v>
      </c>
      <c r="D291" s="2" t="s">
        <v>276</v>
      </c>
      <c r="E291" s="1" t="s">
        <v>584</v>
      </c>
      <c r="F291" s="16">
        <v>40885</v>
      </c>
      <c r="G291" s="16">
        <v>40878</v>
      </c>
      <c r="H291" s="17">
        <f t="shared" si="673"/>
        <v>49</v>
      </c>
      <c r="I291" s="1">
        <f t="shared" si="654"/>
        <v>49000</v>
      </c>
      <c r="J291" s="17">
        <f>8000+54000</f>
        <v>62000</v>
      </c>
      <c r="K291" s="17"/>
      <c r="L291" s="18">
        <f t="shared" si="591"/>
        <v>-13000</v>
      </c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18">
        <f t="shared" si="593"/>
        <v>0</v>
      </c>
      <c r="Z291" s="96">
        <v>12</v>
      </c>
      <c r="AA291" s="96">
        <f t="shared" si="594"/>
        <v>9600</v>
      </c>
      <c r="AB291" s="96">
        <f t="shared" si="595"/>
        <v>-3400</v>
      </c>
      <c r="AC291" s="99">
        <v>800</v>
      </c>
      <c r="AD291" s="98"/>
      <c r="AE291" s="102">
        <f t="shared" si="596"/>
        <v>-2600</v>
      </c>
      <c r="AF291" s="99">
        <v>800</v>
      </c>
      <c r="AG291" s="98"/>
      <c r="AH291" s="102">
        <f t="shared" si="674"/>
        <v>-1800</v>
      </c>
      <c r="AI291" s="99">
        <v>800</v>
      </c>
      <c r="AJ291" s="98"/>
      <c r="AK291" s="102">
        <f t="shared" si="675"/>
        <v>-1000</v>
      </c>
      <c r="AL291" s="99">
        <v>800</v>
      </c>
      <c r="AM291" s="98"/>
      <c r="AN291" s="102">
        <f t="shared" si="676"/>
        <v>-200</v>
      </c>
      <c r="AO291" s="99">
        <v>800</v>
      </c>
      <c r="AP291" s="113"/>
      <c r="AQ291" s="102">
        <f t="shared" si="677"/>
        <v>600</v>
      </c>
      <c r="AR291" s="99">
        <v>800</v>
      </c>
      <c r="AS291" s="113"/>
      <c r="AT291" s="102">
        <f t="shared" si="678"/>
        <v>1400</v>
      </c>
      <c r="AU291" s="99">
        <v>800</v>
      </c>
      <c r="AV291" s="113"/>
      <c r="AW291" s="102">
        <f t="shared" si="679"/>
        <v>2200</v>
      </c>
      <c r="AX291" s="99">
        <v>800</v>
      </c>
      <c r="AY291" s="113"/>
      <c r="AZ291" s="102">
        <f t="shared" si="680"/>
        <v>3000</v>
      </c>
      <c r="BA291" s="99">
        <v>800</v>
      </c>
      <c r="BB291" s="113"/>
      <c r="BC291" s="102">
        <f t="shared" si="681"/>
        <v>3800</v>
      </c>
      <c r="BD291" s="99">
        <v>800</v>
      </c>
      <c r="BE291" s="113"/>
      <c r="BF291" s="102">
        <f t="shared" si="682"/>
        <v>4600</v>
      </c>
      <c r="BG291" s="99">
        <v>800</v>
      </c>
      <c r="BH291" s="113"/>
      <c r="BI291" s="102">
        <f t="shared" si="683"/>
        <v>5400</v>
      </c>
      <c r="BJ291" s="99">
        <v>800</v>
      </c>
      <c r="BK291" s="113"/>
      <c r="BL291" s="102">
        <f t="shared" si="684"/>
        <v>6200</v>
      </c>
      <c r="BM291" s="99">
        <v>800</v>
      </c>
      <c r="BN291" s="113">
        <v>9600</v>
      </c>
      <c r="BO291" s="102">
        <f t="shared" si="685"/>
        <v>-2600</v>
      </c>
      <c r="BP291" s="99">
        <v>800</v>
      </c>
      <c r="BQ291" s="113"/>
      <c r="BR291" s="102">
        <f t="shared" si="686"/>
        <v>-1800</v>
      </c>
      <c r="BS291" s="99">
        <v>800</v>
      </c>
      <c r="BT291" s="113"/>
      <c r="BU291" s="102">
        <f t="shared" si="687"/>
        <v>-1000</v>
      </c>
      <c r="BV291" s="99">
        <v>800</v>
      </c>
      <c r="BW291" s="113"/>
      <c r="BX291" s="102">
        <f t="shared" si="688"/>
        <v>-200</v>
      </c>
      <c r="BY291" s="99">
        <v>800</v>
      </c>
      <c r="BZ291" s="113"/>
      <c r="CA291" s="102">
        <f t="shared" si="689"/>
        <v>600</v>
      </c>
      <c r="CB291" s="99">
        <v>800</v>
      </c>
      <c r="CC291" s="113">
        <v>25000</v>
      </c>
      <c r="CD291" s="102">
        <f t="shared" si="690"/>
        <v>-23600</v>
      </c>
      <c r="CE291" s="99">
        <v>800</v>
      </c>
      <c r="CF291" s="113"/>
      <c r="CG291" s="102">
        <f t="shared" si="691"/>
        <v>-22800</v>
      </c>
      <c r="CH291" s="99">
        <v>800</v>
      </c>
      <c r="CI291" s="113"/>
      <c r="CJ291" s="102">
        <f t="shared" si="692"/>
        <v>-22000</v>
      </c>
      <c r="CK291" s="99">
        <v>800</v>
      </c>
      <c r="CL291" s="113"/>
      <c r="CM291" s="102">
        <f t="shared" si="693"/>
        <v>-21200</v>
      </c>
      <c r="CN291" s="99">
        <v>800</v>
      </c>
      <c r="CO291" s="113"/>
      <c r="CP291" s="102">
        <f t="shared" si="694"/>
        <v>-20400</v>
      </c>
      <c r="CQ291" s="99">
        <v>800</v>
      </c>
      <c r="CR291" s="113"/>
      <c r="CS291" s="102">
        <f t="shared" ref="CS291:CS299" si="695">CP291+CQ291-CR291</f>
        <v>-19600</v>
      </c>
      <c r="CT291" s="99">
        <v>800</v>
      </c>
      <c r="CU291" s="113"/>
      <c r="CV291" s="102">
        <f t="shared" ref="CV291:CV299" si="696">CS291+CT291-CU291</f>
        <v>-18800</v>
      </c>
      <c r="CW291" s="99">
        <v>800</v>
      </c>
      <c r="CX291" s="113"/>
      <c r="CY291" s="102">
        <f t="shared" ref="CY291:CY299" si="697">CV291+CW291-CX291</f>
        <v>-18000</v>
      </c>
    </row>
    <row r="292" spans="1:103">
      <c r="A292" s="41">
        <f>VLOOKUP(B292,справочник!$B$2:$E$322,4,FALSE)</f>
        <v>248</v>
      </c>
      <c r="B292" t="str">
        <f t="shared" si="592"/>
        <v>259Фомин Андрей Анатольевич</v>
      </c>
      <c r="C292" s="1">
        <v>259</v>
      </c>
      <c r="D292" s="2" t="s">
        <v>277</v>
      </c>
      <c r="E292" s="1" t="s">
        <v>585</v>
      </c>
      <c r="F292" s="16">
        <v>41628</v>
      </c>
      <c r="G292" s="16">
        <v>41640</v>
      </c>
      <c r="H292" s="17">
        <f t="shared" si="673"/>
        <v>24</v>
      </c>
      <c r="I292" s="1">
        <f t="shared" si="654"/>
        <v>24000</v>
      </c>
      <c r="J292" s="17">
        <v>21300</v>
      </c>
      <c r="K292" s="17"/>
      <c r="L292" s="18">
        <f t="shared" si="591"/>
        <v>2700</v>
      </c>
      <c r="M292" s="29"/>
      <c r="N292" s="29"/>
      <c r="O292" s="29"/>
      <c r="P292" s="29"/>
      <c r="Q292" s="29"/>
      <c r="R292" s="29">
        <v>1700</v>
      </c>
      <c r="S292" s="29">
        <v>1000</v>
      </c>
      <c r="T292" s="29"/>
      <c r="U292" s="29">
        <v>1600</v>
      </c>
      <c r="V292" s="29"/>
      <c r="W292" s="84">
        <v>8000</v>
      </c>
      <c r="X292" s="29"/>
      <c r="Y292" s="18">
        <f t="shared" si="593"/>
        <v>12300</v>
      </c>
      <c r="Z292" s="96">
        <v>12</v>
      </c>
      <c r="AA292" s="96">
        <f t="shared" si="594"/>
        <v>9600</v>
      </c>
      <c r="AB292" s="96">
        <f t="shared" si="595"/>
        <v>0</v>
      </c>
      <c r="AC292" s="99">
        <v>800</v>
      </c>
      <c r="AD292" s="98"/>
      <c r="AE292" s="102">
        <f t="shared" si="596"/>
        <v>800</v>
      </c>
      <c r="AF292" s="99">
        <v>800</v>
      </c>
      <c r="AG292" s="98"/>
      <c r="AH292" s="102">
        <f t="shared" si="674"/>
        <v>1600</v>
      </c>
      <c r="AI292" s="99">
        <v>800</v>
      </c>
      <c r="AJ292" s="98"/>
      <c r="AK292" s="102">
        <f t="shared" si="675"/>
        <v>2400</v>
      </c>
      <c r="AL292" s="99">
        <v>800</v>
      </c>
      <c r="AM292" s="98"/>
      <c r="AN292" s="102">
        <f t="shared" si="676"/>
        <v>3200</v>
      </c>
      <c r="AO292" s="99">
        <v>800</v>
      </c>
      <c r="AP292" s="113"/>
      <c r="AQ292" s="102">
        <f t="shared" si="677"/>
        <v>4000</v>
      </c>
      <c r="AR292" s="99">
        <v>800</v>
      </c>
      <c r="AS292" s="113"/>
      <c r="AT292" s="102">
        <f t="shared" si="678"/>
        <v>4800</v>
      </c>
      <c r="AU292" s="99">
        <v>800</v>
      </c>
      <c r="AV292" s="113"/>
      <c r="AW292" s="102">
        <f t="shared" si="679"/>
        <v>5600</v>
      </c>
      <c r="AX292" s="99">
        <v>800</v>
      </c>
      <c r="AY292" s="113">
        <v>6400</v>
      </c>
      <c r="AZ292" s="102">
        <f t="shared" si="680"/>
        <v>0</v>
      </c>
      <c r="BA292" s="99">
        <v>800</v>
      </c>
      <c r="BB292" s="113"/>
      <c r="BC292" s="102">
        <f t="shared" si="681"/>
        <v>800</v>
      </c>
      <c r="BD292" s="99">
        <v>800</v>
      </c>
      <c r="BE292" s="113"/>
      <c r="BF292" s="102">
        <f t="shared" si="682"/>
        <v>1600</v>
      </c>
      <c r="BG292" s="99">
        <v>800</v>
      </c>
      <c r="BH292" s="113"/>
      <c r="BI292" s="102">
        <f t="shared" si="683"/>
        <v>2400</v>
      </c>
      <c r="BJ292" s="99">
        <v>800</v>
      </c>
      <c r="BK292" s="113">
        <v>3200</v>
      </c>
      <c r="BL292" s="102">
        <f t="shared" si="684"/>
        <v>0</v>
      </c>
      <c r="BM292" s="99">
        <v>800</v>
      </c>
      <c r="BN292" s="113"/>
      <c r="BO292" s="102">
        <f t="shared" si="685"/>
        <v>800</v>
      </c>
      <c r="BP292" s="99">
        <v>800</v>
      </c>
      <c r="BQ292" s="113"/>
      <c r="BR292" s="102">
        <f t="shared" si="686"/>
        <v>1600</v>
      </c>
      <c r="BS292" s="99">
        <v>800</v>
      </c>
      <c r="BT292" s="113">
        <v>4800</v>
      </c>
      <c r="BU292" s="102">
        <f t="shared" si="687"/>
        <v>-2400</v>
      </c>
      <c r="BV292" s="99">
        <v>800</v>
      </c>
      <c r="BW292" s="113"/>
      <c r="BX292" s="102">
        <f t="shared" si="688"/>
        <v>-1600</v>
      </c>
      <c r="BY292" s="99">
        <v>800</v>
      </c>
      <c r="BZ292" s="113"/>
      <c r="CA292" s="102">
        <f t="shared" si="689"/>
        <v>-800</v>
      </c>
      <c r="CB292" s="99">
        <v>800</v>
      </c>
      <c r="CC292" s="113"/>
      <c r="CD292" s="102">
        <f t="shared" si="690"/>
        <v>0</v>
      </c>
      <c r="CE292" s="99">
        <v>800</v>
      </c>
      <c r="CF292" s="113"/>
      <c r="CG292" s="102">
        <f t="shared" si="691"/>
        <v>800</v>
      </c>
      <c r="CH292" s="99">
        <v>800</v>
      </c>
      <c r="CI292" s="113"/>
      <c r="CJ292" s="102">
        <f t="shared" si="692"/>
        <v>1600</v>
      </c>
      <c r="CK292" s="99">
        <v>800</v>
      </c>
      <c r="CL292" s="113"/>
      <c r="CM292" s="102">
        <f t="shared" si="693"/>
        <v>2400</v>
      </c>
      <c r="CN292" s="99">
        <v>800</v>
      </c>
      <c r="CO292" s="113"/>
      <c r="CP292" s="102">
        <f t="shared" si="694"/>
        <v>3200</v>
      </c>
      <c r="CQ292" s="99">
        <v>800</v>
      </c>
      <c r="CR292" s="113"/>
      <c r="CS292" s="102">
        <f t="shared" si="695"/>
        <v>4000</v>
      </c>
      <c r="CT292" s="99">
        <v>800</v>
      </c>
      <c r="CU292" s="113">
        <v>4800</v>
      </c>
      <c r="CV292" s="102">
        <f t="shared" si="696"/>
        <v>0</v>
      </c>
      <c r="CW292" s="99">
        <v>800</v>
      </c>
      <c r="CX292" s="113"/>
      <c r="CY292" s="102">
        <f t="shared" si="697"/>
        <v>800</v>
      </c>
    </row>
    <row r="293" spans="1:103">
      <c r="A293" s="41">
        <f>VLOOKUP(B293,справочник!$B$2:$E$322,4,FALSE)</f>
        <v>247</v>
      </c>
      <c r="B293" t="str">
        <f t="shared" si="592"/>
        <v>258Фомин Игорь Анатольевич</v>
      </c>
      <c r="C293" s="1">
        <v>258</v>
      </c>
      <c r="D293" s="2" t="s">
        <v>278</v>
      </c>
      <c r="E293" s="1" t="s">
        <v>586</v>
      </c>
      <c r="F293" s="16">
        <v>41628</v>
      </c>
      <c r="G293" s="16">
        <v>41640</v>
      </c>
      <c r="H293" s="17">
        <f t="shared" si="673"/>
        <v>24</v>
      </c>
      <c r="I293" s="1">
        <f t="shared" si="654"/>
        <v>24000</v>
      </c>
      <c r="J293" s="17">
        <v>13000</v>
      </c>
      <c r="K293" s="17"/>
      <c r="L293" s="18">
        <f t="shared" si="591"/>
        <v>11000</v>
      </c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84">
        <v>20000</v>
      </c>
      <c r="X293" s="29"/>
      <c r="Y293" s="18">
        <f t="shared" si="593"/>
        <v>20000</v>
      </c>
      <c r="Z293" s="96">
        <v>12</v>
      </c>
      <c r="AA293" s="96">
        <f t="shared" si="594"/>
        <v>9600</v>
      </c>
      <c r="AB293" s="96">
        <f t="shared" si="595"/>
        <v>600</v>
      </c>
      <c r="AC293" s="99">
        <v>800</v>
      </c>
      <c r="AD293" s="98"/>
      <c r="AE293" s="102">
        <f t="shared" si="596"/>
        <v>1400</v>
      </c>
      <c r="AF293" s="99">
        <v>800</v>
      </c>
      <c r="AG293" s="98"/>
      <c r="AH293" s="102">
        <f t="shared" si="674"/>
        <v>2200</v>
      </c>
      <c r="AI293" s="99">
        <v>800</v>
      </c>
      <c r="AJ293" s="98"/>
      <c r="AK293" s="102">
        <f t="shared" si="675"/>
        <v>3000</v>
      </c>
      <c r="AL293" s="99">
        <v>800</v>
      </c>
      <c r="AM293" s="98"/>
      <c r="AN293" s="102">
        <f t="shared" si="676"/>
        <v>3800</v>
      </c>
      <c r="AO293" s="99">
        <v>800</v>
      </c>
      <c r="AP293" s="113"/>
      <c r="AQ293" s="102">
        <f t="shared" si="677"/>
        <v>4600</v>
      </c>
      <c r="AR293" s="99">
        <v>800</v>
      </c>
      <c r="AS293" s="113"/>
      <c r="AT293" s="102">
        <f t="shared" si="678"/>
        <v>5400</v>
      </c>
      <c r="AU293" s="99">
        <v>800</v>
      </c>
      <c r="AV293" s="113"/>
      <c r="AW293" s="102">
        <f t="shared" si="679"/>
        <v>6200</v>
      </c>
      <c r="AX293" s="99">
        <v>800</v>
      </c>
      <c r="AY293" s="113"/>
      <c r="AZ293" s="102">
        <f t="shared" si="680"/>
        <v>7000</v>
      </c>
      <c r="BA293" s="99">
        <v>800</v>
      </c>
      <c r="BB293" s="113"/>
      <c r="BC293" s="102">
        <f t="shared" si="681"/>
        <v>7800</v>
      </c>
      <c r="BD293" s="99">
        <v>800</v>
      </c>
      <c r="BE293" s="113"/>
      <c r="BF293" s="102">
        <f t="shared" si="682"/>
        <v>8600</v>
      </c>
      <c r="BG293" s="99">
        <v>800</v>
      </c>
      <c r="BH293" s="113"/>
      <c r="BI293" s="102">
        <f t="shared" si="683"/>
        <v>9400</v>
      </c>
      <c r="BJ293" s="99">
        <v>800</v>
      </c>
      <c r="BK293" s="113"/>
      <c r="BL293" s="102">
        <f t="shared" si="684"/>
        <v>10200</v>
      </c>
      <c r="BM293" s="99">
        <v>800</v>
      </c>
      <c r="BN293" s="113"/>
      <c r="BO293" s="102">
        <f t="shared" si="685"/>
        <v>11000</v>
      </c>
      <c r="BP293" s="99">
        <v>800</v>
      </c>
      <c r="BQ293" s="113"/>
      <c r="BR293" s="102">
        <f t="shared" si="686"/>
        <v>11800</v>
      </c>
      <c r="BS293" s="99">
        <v>800</v>
      </c>
      <c r="BT293" s="113"/>
      <c r="BU293" s="102">
        <f t="shared" si="687"/>
        <v>12600</v>
      </c>
      <c r="BV293" s="99">
        <v>800</v>
      </c>
      <c r="BW293" s="113"/>
      <c r="BX293" s="102">
        <f t="shared" si="688"/>
        <v>13400</v>
      </c>
      <c r="BY293" s="99">
        <v>800</v>
      </c>
      <c r="BZ293" s="113"/>
      <c r="CA293" s="102">
        <f t="shared" si="689"/>
        <v>14200</v>
      </c>
      <c r="CB293" s="99">
        <v>800</v>
      </c>
      <c r="CC293" s="113"/>
      <c r="CD293" s="102">
        <f t="shared" si="690"/>
        <v>15000</v>
      </c>
      <c r="CE293" s="99">
        <v>800</v>
      </c>
      <c r="CF293" s="113"/>
      <c r="CG293" s="102">
        <f t="shared" si="691"/>
        <v>15800</v>
      </c>
      <c r="CH293" s="99">
        <v>800</v>
      </c>
      <c r="CI293" s="113"/>
      <c r="CJ293" s="102">
        <f t="shared" si="692"/>
        <v>16600</v>
      </c>
      <c r="CK293" s="99">
        <v>800</v>
      </c>
      <c r="CL293" s="113"/>
      <c r="CM293" s="102">
        <f t="shared" si="693"/>
        <v>17400</v>
      </c>
      <c r="CN293" s="99">
        <v>800</v>
      </c>
      <c r="CO293" s="113"/>
      <c r="CP293" s="102">
        <f t="shared" si="694"/>
        <v>18200</v>
      </c>
      <c r="CQ293" s="99">
        <v>800</v>
      </c>
      <c r="CR293" s="113"/>
      <c r="CS293" s="102">
        <f t="shared" si="695"/>
        <v>19000</v>
      </c>
      <c r="CT293" s="99">
        <v>800</v>
      </c>
      <c r="CU293" s="113"/>
      <c r="CV293" s="102">
        <f t="shared" si="696"/>
        <v>19800</v>
      </c>
      <c r="CW293" s="99">
        <v>800</v>
      </c>
      <c r="CX293" s="113"/>
      <c r="CY293" s="102">
        <f t="shared" si="697"/>
        <v>20600</v>
      </c>
    </row>
    <row r="294" spans="1:103">
      <c r="A294" s="41">
        <f>VLOOKUP(B294,справочник!$B$2:$E$322,4,FALSE)</f>
        <v>103</v>
      </c>
      <c r="B294" t="str">
        <f t="shared" si="592"/>
        <v>108Фомичев Александр Петрович</v>
      </c>
      <c r="C294" s="1">
        <v>108</v>
      </c>
      <c r="D294" s="2" t="s">
        <v>279</v>
      </c>
      <c r="E294" s="1" t="s">
        <v>587</v>
      </c>
      <c r="F294" s="16">
        <v>40715</v>
      </c>
      <c r="G294" s="16">
        <v>40725</v>
      </c>
      <c r="H294" s="17">
        <f t="shared" si="673"/>
        <v>54</v>
      </c>
      <c r="I294" s="1">
        <f t="shared" si="654"/>
        <v>54000</v>
      </c>
      <c r="J294" s="17">
        <f>2000+45000</f>
        <v>47000</v>
      </c>
      <c r="K294" s="17"/>
      <c r="L294" s="18">
        <f t="shared" si="591"/>
        <v>7000</v>
      </c>
      <c r="M294" s="29">
        <v>6000</v>
      </c>
      <c r="N294" s="29"/>
      <c r="O294" s="29">
        <v>6000</v>
      </c>
      <c r="P294" s="29"/>
      <c r="Q294" s="29"/>
      <c r="R294" s="29"/>
      <c r="S294" s="29"/>
      <c r="T294" s="29"/>
      <c r="U294" s="29"/>
      <c r="V294" s="29"/>
      <c r="W294" s="84">
        <v>6000</v>
      </c>
      <c r="X294" s="29"/>
      <c r="Y294" s="18">
        <f t="shared" si="593"/>
        <v>18000</v>
      </c>
      <c r="Z294" s="96">
        <v>12</v>
      </c>
      <c r="AA294" s="96">
        <f t="shared" si="594"/>
        <v>9600</v>
      </c>
      <c r="AB294" s="96">
        <f t="shared" si="595"/>
        <v>-1400</v>
      </c>
      <c r="AC294" s="99">
        <v>800</v>
      </c>
      <c r="AD294" s="98"/>
      <c r="AE294" s="102">
        <f t="shared" si="596"/>
        <v>-600</v>
      </c>
      <c r="AF294" s="99">
        <v>800</v>
      </c>
      <c r="AG294" s="98"/>
      <c r="AH294" s="102">
        <f t="shared" si="674"/>
        <v>200</v>
      </c>
      <c r="AI294" s="99">
        <v>800</v>
      </c>
      <c r="AJ294" s="98"/>
      <c r="AK294" s="102">
        <f t="shared" si="675"/>
        <v>1000</v>
      </c>
      <c r="AL294" s="99">
        <v>800</v>
      </c>
      <c r="AM294" s="98"/>
      <c r="AN294" s="102">
        <f t="shared" si="676"/>
        <v>1800</v>
      </c>
      <c r="AO294" s="99">
        <v>800</v>
      </c>
      <c r="AP294" s="113">
        <v>775.55</v>
      </c>
      <c r="AQ294" s="102">
        <f t="shared" si="677"/>
        <v>1824.45</v>
      </c>
      <c r="AR294" s="99">
        <v>800</v>
      </c>
      <c r="AS294" s="113">
        <v>2400</v>
      </c>
      <c r="AT294" s="102">
        <f t="shared" si="678"/>
        <v>224.44999999999982</v>
      </c>
      <c r="AU294" s="99">
        <v>800</v>
      </c>
      <c r="AV294" s="113"/>
      <c r="AW294" s="102">
        <f t="shared" si="679"/>
        <v>1024.4499999999998</v>
      </c>
      <c r="AX294" s="99">
        <v>800</v>
      </c>
      <c r="AY294" s="113"/>
      <c r="AZ294" s="102">
        <f t="shared" si="680"/>
        <v>1824.4499999999998</v>
      </c>
      <c r="BA294" s="99">
        <v>800</v>
      </c>
      <c r="BB294" s="113"/>
      <c r="BC294" s="102">
        <f t="shared" si="681"/>
        <v>2624.45</v>
      </c>
      <c r="BD294" s="99">
        <v>800</v>
      </c>
      <c r="BE294" s="113"/>
      <c r="BF294" s="102">
        <f t="shared" si="682"/>
        <v>3424.45</v>
      </c>
      <c r="BG294" s="99">
        <v>800</v>
      </c>
      <c r="BH294" s="113">
        <v>5024.45</v>
      </c>
      <c r="BI294" s="102">
        <f t="shared" si="683"/>
        <v>-800</v>
      </c>
      <c r="BJ294" s="99">
        <v>800</v>
      </c>
      <c r="BK294" s="113"/>
      <c r="BL294" s="102">
        <f t="shared" si="684"/>
        <v>0</v>
      </c>
      <c r="BM294" s="99">
        <v>800</v>
      </c>
      <c r="BN294" s="113"/>
      <c r="BO294" s="102">
        <f t="shared" si="685"/>
        <v>800</v>
      </c>
      <c r="BP294" s="99">
        <v>800</v>
      </c>
      <c r="BQ294" s="113"/>
      <c r="BR294" s="102">
        <f t="shared" si="686"/>
        <v>1600</v>
      </c>
      <c r="BS294" s="99">
        <v>800</v>
      </c>
      <c r="BT294" s="113"/>
      <c r="BU294" s="102">
        <f t="shared" si="687"/>
        <v>2400</v>
      </c>
      <c r="BV294" s="99">
        <v>800</v>
      </c>
      <c r="BW294" s="113"/>
      <c r="BX294" s="102">
        <f t="shared" si="688"/>
        <v>3200</v>
      </c>
      <c r="BY294" s="99">
        <v>800</v>
      </c>
      <c r="BZ294" s="113">
        <v>4000</v>
      </c>
      <c r="CA294" s="102">
        <f t="shared" si="689"/>
        <v>0</v>
      </c>
      <c r="CB294" s="99">
        <v>800</v>
      </c>
      <c r="CC294" s="113"/>
      <c r="CD294" s="102">
        <f t="shared" si="690"/>
        <v>800</v>
      </c>
      <c r="CE294" s="99">
        <v>800</v>
      </c>
      <c r="CF294" s="113"/>
      <c r="CG294" s="102">
        <f t="shared" si="691"/>
        <v>1600</v>
      </c>
      <c r="CH294" s="99">
        <v>800</v>
      </c>
      <c r="CI294" s="113">
        <v>4800</v>
      </c>
      <c r="CJ294" s="102">
        <f t="shared" si="692"/>
        <v>-2400</v>
      </c>
      <c r="CK294" s="99">
        <v>800</v>
      </c>
      <c r="CL294" s="113"/>
      <c r="CM294" s="102">
        <f t="shared" si="693"/>
        <v>-1600</v>
      </c>
      <c r="CN294" s="99">
        <v>800</v>
      </c>
      <c r="CO294" s="113"/>
      <c r="CP294" s="102">
        <f t="shared" si="694"/>
        <v>-800</v>
      </c>
      <c r="CQ294" s="99">
        <v>800</v>
      </c>
      <c r="CR294" s="113"/>
      <c r="CS294" s="102">
        <f t="shared" si="695"/>
        <v>0</v>
      </c>
      <c r="CT294" s="99">
        <v>800</v>
      </c>
      <c r="CU294" s="113"/>
      <c r="CV294" s="102">
        <f t="shared" si="696"/>
        <v>800</v>
      </c>
      <c r="CW294" s="99">
        <v>800</v>
      </c>
      <c r="CX294" s="113"/>
      <c r="CY294" s="102">
        <f t="shared" si="697"/>
        <v>1600</v>
      </c>
    </row>
    <row r="295" spans="1:103" ht="25.5" customHeight="1">
      <c r="A295" s="41">
        <f>VLOOKUP(B295,справочник!$B$2:$E$322,4,FALSE)</f>
        <v>275</v>
      </c>
      <c r="B295" t="str">
        <f t="shared" si="592"/>
        <v>288Хайлов Алексей Анатольевич</v>
      </c>
      <c r="C295" s="1">
        <v>288</v>
      </c>
      <c r="D295" s="2" t="s">
        <v>280</v>
      </c>
      <c r="E295" s="1" t="s">
        <v>588</v>
      </c>
      <c r="F295" s="16">
        <v>41999</v>
      </c>
      <c r="G295" s="16">
        <v>42005</v>
      </c>
      <c r="H295" s="17">
        <f t="shared" si="673"/>
        <v>12</v>
      </c>
      <c r="I295" s="1">
        <f t="shared" si="654"/>
        <v>12000</v>
      </c>
      <c r="J295" s="17"/>
      <c r="K295" s="17"/>
      <c r="L295" s="18">
        <f t="shared" si="591"/>
        <v>12000</v>
      </c>
      <c r="M295" s="29"/>
      <c r="N295" s="29"/>
      <c r="O295" s="29"/>
      <c r="P295" s="29"/>
      <c r="Q295" s="29"/>
      <c r="R295" s="29">
        <v>16000</v>
      </c>
      <c r="S295" s="29">
        <v>800</v>
      </c>
      <c r="T295">
        <v>800</v>
      </c>
      <c r="U295" s="29">
        <v>800</v>
      </c>
      <c r="V295" s="29">
        <v>800</v>
      </c>
      <c r="W295" s="84">
        <v>800</v>
      </c>
      <c r="X295" s="29"/>
      <c r="Y295" s="18">
        <f t="shared" si="593"/>
        <v>20000</v>
      </c>
      <c r="Z295" s="96">
        <v>12</v>
      </c>
      <c r="AA295" s="96">
        <f t="shared" si="594"/>
        <v>9600</v>
      </c>
      <c r="AB295" s="96">
        <f t="shared" si="595"/>
        <v>1600</v>
      </c>
      <c r="AC295" s="99">
        <v>800</v>
      </c>
      <c r="AD295" s="97">
        <v>1600</v>
      </c>
      <c r="AE295" s="102">
        <f t="shared" si="596"/>
        <v>800</v>
      </c>
      <c r="AF295" s="99">
        <v>800</v>
      </c>
      <c r="AG295" s="97">
        <v>800</v>
      </c>
      <c r="AH295" s="102">
        <f t="shared" si="674"/>
        <v>800</v>
      </c>
      <c r="AI295" s="99">
        <v>800</v>
      </c>
      <c r="AJ295" s="97">
        <v>800</v>
      </c>
      <c r="AK295" s="102">
        <f t="shared" si="675"/>
        <v>800</v>
      </c>
      <c r="AL295" s="99">
        <v>800</v>
      </c>
      <c r="AM295" s="97">
        <v>800</v>
      </c>
      <c r="AN295" s="102">
        <f t="shared" si="676"/>
        <v>800</v>
      </c>
      <c r="AO295" s="99">
        <v>800</v>
      </c>
      <c r="AP295" s="97">
        <v>800</v>
      </c>
      <c r="AQ295" s="102">
        <f t="shared" si="677"/>
        <v>800</v>
      </c>
      <c r="AR295" s="99">
        <v>800</v>
      </c>
      <c r="AS295" s="97"/>
      <c r="AT295" s="102">
        <f t="shared" si="678"/>
        <v>1600</v>
      </c>
      <c r="AU295" s="99">
        <v>800</v>
      </c>
      <c r="AV295" s="97">
        <v>1600</v>
      </c>
      <c r="AW295" s="102">
        <f t="shared" si="679"/>
        <v>800</v>
      </c>
      <c r="AX295" s="99">
        <v>800</v>
      </c>
      <c r="AY295" s="97"/>
      <c r="AZ295" s="102">
        <f t="shared" si="680"/>
        <v>1600</v>
      </c>
      <c r="BA295" s="99">
        <v>800</v>
      </c>
      <c r="BB295" s="97"/>
      <c r="BC295" s="102">
        <f t="shared" si="681"/>
        <v>2400</v>
      </c>
      <c r="BD295" s="99">
        <v>800</v>
      </c>
      <c r="BE295" s="97"/>
      <c r="BF295" s="102">
        <f t="shared" si="682"/>
        <v>3200</v>
      </c>
      <c r="BG295" s="99">
        <v>800</v>
      </c>
      <c r="BH295" s="97"/>
      <c r="BI295" s="102">
        <f t="shared" si="683"/>
        <v>4000</v>
      </c>
      <c r="BJ295" s="99">
        <v>800</v>
      </c>
      <c r="BK295" s="97"/>
      <c r="BL295" s="102">
        <f t="shared" si="684"/>
        <v>4800</v>
      </c>
      <c r="BM295" s="99">
        <v>800</v>
      </c>
      <c r="BN295" s="97"/>
      <c r="BO295" s="102">
        <f t="shared" si="685"/>
        <v>5600</v>
      </c>
      <c r="BP295" s="99">
        <v>800</v>
      </c>
      <c r="BQ295" s="97">
        <v>6400</v>
      </c>
      <c r="BR295" s="102">
        <f t="shared" si="686"/>
        <v>0</v>
      </c>
      <c r="BS295" s="99">
        <v>800</v>
      </c>
      <c r="BT295" s="97"/>
      <c r="BU295" s="102">
        <f t="shared" si="687"/>
        <v>800</v>
      </c>
      <c r="BV295" s="99">
        <v>800</v>
      </c>
      <c r="BW295" s="97"/>
      <c r="BX295" s="102">
        <f t="shared" si="688"/>
        <v>1600</v>
      </c>
      <c r="BY295" s="99">
        <v>800</v>
      </c>
      <c r="BZ295" s="97"/>
      <c r="CA295" s="102">
        <f t="shared" si="689"/>
        <v>2400</v>
      </c>
      <c r="CB295" s="99">
        <v>800</v>
      </c>
      <c r="CC295" s="97">
        <v>3200</v>
      </c>
      <c r="CD295" s="102">
        <f t="shared" si="690"/>
        <v>0</v>
      </c>
      <c r="CE295" s="99">
        <v>800</v>
      </c>
      <c r="CF295" s="97">
        <v>800</v>
      </c>
      <c r="CG295" s="102">
        <f t="shared" si="691"/>
        <v>0</v>
      </c>
      <c r="CH295" s="99">
        <v>800</v>
      </c>
      <c r="CI295" s="97">
        <v>800</v>
      </c>
      <c r="CJ295" s="102">
        <f t="shared" si="692"/>
        <v>0</v>
      </c>
      <c r="CK295" s="99">
        <v>800</v>
      </c>
      <c r="CL295" s="97">
        <v>800</v>
      </c>
      <c r="CM295" s="102">
        <f t="shared" si="693"/>
        <v>0</v>
      </c>
      <c r="CN295" s="99">
        <v>800</v>
      </c>
      <c r="CO295" s="97"/>
      <c r="CP295" s="102">
        <f t="shared" si="694"/>
        <v>800</v>
      </c>
      <c r="CQ295" s="99">
        <v>800</v>
      </c>
      <c r="CR295" s="97"/>
      <c r="CS295" s="102">
        <f t="shared" si="695"/>
        <v>1600</v>
      </c>
      <c r="CT295" s="99">
        <v>800</v>
      </c>
      <c r="CU295" s="97"/>
      <c r="CV295" s="102">
        <f t="shared" si="696"/>
        <v>2400</v>
      </c>
      <c r="CW295" s="99">
        <v>800</v>
      </c>
      <c r="CX295" s="97"/>
      <c r="CY295" s="102">
        <f t="shared" si="697"/>
        <v>3200</v>
      </c>
    </row>
    <row r="296" spans="1:103">
      <c r="A296" s="41">
        <f>VLOOKUP(B296,справочник!$B$2:$E$322,4,FALSE)</f>
        <v>22</v>
      </c>
      <c r="B296" t="str">
        <f t="shared" si="592"/>
        <v>22Хан Виталий Борисович</v>
      </c>
      <c r="C296" s="1">
        <v>22</v>
      </c>
      <c r="D296" s="2" t="s">
        <v>281</v>
      </c>
      <c r="E296" s="1" t="s">
        <v>589</v>
      </c>
      <c r="F296" s="16">
        <v>41107</v>
      </c>
      <c r="G296" s="16">
        <v>41091</v>
      </c>
      <c r="H296" s="17">
        <f t="shared" si="673"/>
        <v>42</v>
      </c>
      <c r="I296" s="1">
        <f t="shared" si="654"/>
        <v>42000</v>
      </c>
      <c r="J296" s="17">
        <f>34000+6000</f>
        <v>40000</v>
      </c>
      <c r="K296" s="17"/>
      <c r="L296" s="18">
        <f t="shared" si="591"/>
        <v>2000</v>
      </c>
      <c r="M296" s="29"/>
      <c r="N296" s="29"/>
      <c r="O296" s="29"/>
      <c r="P296" s="29"/>
      <c r="Q296" s="29"/>
      <c r="R296" s="29"/>
      <c r="S296" s="29"/>
      <c r="T296" s="29"/>
      <c r="U296" s="29">
        <v>10000</v>
      </c>
      <c r="V296" s="29"/>
      <c r="W296" s="29"/>
      <c r="X296" s="29"/>
      <c r="Y296" s="18">
        <f t="shared" si="593"/>
        <v>10000</v>
      </c>
      <c r="Z296" s="96">
        <v>12</v>
      </c>
      <c r="AA296" s="96">
        <f t="shared" si="594"/>
        <v>9600</v>
      </c>
      <c r="AB296" s="96">
        <f t="shared" si="595"/>
        <v>1600</v>
      </c>
      <c r="AC296" s="99">
        <v>800</v>
      </c>
      <c r="AD296" s="98">
        <v>4000</v>
      </c>
      <c r="AE296" s="102">
        <f t="shared" si="596"/>
        <v>-1600</v>
      </c>
      <c r="AF296" s="99">
        <v>800</v>
      </c>
      <c r="AG296" s="98"/>
      <c r="AH296" s="102">
        <f t="shared" si="674"/>
        <v>-800</v>
      </c>
      <c r="AI296" s="99">
        <v>800</v>
      </c>
      <c r="AJ296" s="98"/>
      <c r="AK296" s="102">
        <f t="shared" si="675"/>
        <v>0</v>
      </c>
      <c r="AL296" s="99">
        <v>800</v>
      </c>
      <c r="AM296" s="98"/>
      <c r="AN296" s="102">
        <f t="shared" si="676"/>
        <v>800</v>
      </c>
      <c r="AO296" s="99">
        <v>800</v>
      </c>
      <c r="AP296" s="113"/>
      <c r="AQ296" s="102">
        <f t="shared" si="677"/>
        <v>1600</v>
      </c>
      <c r="AR296" s="99">
        <v>800</v>
      </c>
      <c r="AS296" s="113">
        <v>5000</v>
      </c>
      <c r="AT296" s="102">
        <f t="shared" si="678"/>
        <v>-2600</v>
      </c>
      <c r="AU296" s="99">
        <v>800</v>
      </c>
      <c r="AV296" s="113"/>
      <c r="AW296" s="102">
        <f t="shared" si="679"/>
        <v>-1800</v>
      </c>
      <c r="AX296" s="99">
        <v>800</v>
      </c>
      <c r="AY296" s="113"/>
      <c r="AZ296" s="102">
        <f t="shared" si="680"/>
        <v>-1000</v>
      </c>
      <c r="BA296" s="99">
        <v>800</v>
      </c>
      <c r="BB296" s="113"/>
      <c r="BC296" s="102">
        <f t="shared" si="681"/>
        <v>-200</v>
      </c>
      <c r="BD296" s="99">
        <v>800</v>
      </c>
      <c r="BE296" s="113"/>
      <c r="BF296" s="102">
        <f t="shared" si="682"/>
        <v>600</v>
      </c>
      <c r="BG296" s="99">
        <v>800</v>
      </c>
      <c r="BH296" s="113"/>
      <c r="BI296" s="102">
        <f t="shared" si="683"/>
        <v>1400</v>
      </c>
      <c r="BJ296" s="99">
        <v>800</v>
      </c>
      <c r="BK296" s="113"/>
      <c r="BL296" s="102">
        <f t="shared" si="684"/>
        <v>2200</v>
      </c>
      <c r="BM296" s="99">
        <v>800</v>
      </c>
      <c r="BN296" s="113"/>
      <c r="BO296" s="102">
        <f t="shared" si="685"/>
        <v>3000</v>
      </c>
      <c r="BP296" s="99">
        <v>800</v>
      </c>
      <c r="BQ296" s="113"/>
      <c r="BR296" s="102">
        <f t="shared" si="686"/>
        <v>3800</v>
      </c>
      <c r="BS296" s="99">
        <v>800</v>
      </c>
      <c r="BT296" s="113"/>
      <c r="BU296" s="102">
        <f t="shared" si="687"/>
        <v>4600</v>
      </c>
      <c r="BV296" s="99">
        <v>800</v>
      </c>
      <c r="BW296" s="113"/>
      <c r="BX296" s="102">
        <f t="shared" si="688"/>
        <v>5400</v>
      </c>
      <c r="BY296" s="99">
        <v>800</v>
      </c>
      <c r="BZ296" s="113"/>
      <c r="CA296" s="102">
        <f t="shared" si="689"/>
        <v>6200</v>
      </c>
      <c r="CB296" s="99">
        <v>800</v>
      </c>
      <c r="CC296" s="113"/>
      <c r="CD296" s="102">
        <f t="shared" si="690"/>
        <v>7000</v>
      </c>
      <c r="CE296" s="99">
        <v>800</v>
      </c>
      <c r="CF296" s="113"/>
      <c r="CG296" s="102">
        <f t="shared" si="691"/>
        <v>7800</v>
      </c>
      <c r="CH296" s="99">
        <v>800</v>
      </c>
      <c r="CI296" s="113"/>
      <c r="CJ296" s="102">
        <f t="shared" si="692"/>
        <v>8600</v>
      </c>
      <c r="CK296" s="99">
        <v>800</v>
      </c>
      <c r="CL296" s="113"/>
      <c r="CM296" s="102">
        <f t="shared" si="693"/>
        <v>9400</v>
      </c>
      <c r="CN296" s="99">
        <v>800</v>
      </c>
      <c r="CO296" s="113"/>
      <c r="CP296" s="102">
        <f t="shared" si="694"/>
        <v>10200</v>
      </c>
      <c r="CQ296" s="99">
        <v>800</v>
      </c>
      <c r="CR296" s="113"/>
      <c r="CS296" s="102">
        <f t="shared" si="695"/>
        <v>11000</v>
      </c>
      <c r="CT296" s="99">
        <v>800</v>
      </c>
      <c r="CU296" s="113"/>
      <c r="CV296" s="102">
        <f t="shared" si="696"/>
        <v>11800</v>
      </c>
      <c r="CW296" s="99">
        <v>800</v>
      </c>
      <c r="CX296" s="113"/>
      <c r="CY296" s="102">
        <f t="shared" si="697"/>
        <v>12600</v>
      </c>
    </row>
    <row r="297" spans="1:103">
      <c r="A297" s="41">
        <f>VLOOKUP(B297,справочник!$B$2:$E$322,4,FALSE)</f>
        <v>20</v>
      </c>
      <c r="B297" t="str">
        <f t="shared" si="592"/>
        <v>20Харинкина Танзиля Гарафутдиновна</v>
      </c>
      <c r="C297" s="1">
        <v>20</v>
      </c>
      <c r="D297" s="2" t="s">
        <v>282</v>
      </c>
      <c r="E297" s="1" t="s">
        <v>590</v>
      </c>
      <c r="F297" s="16">
        <v>41443</v>
      </c>
      <c r="G297" s="16">
        <v>41487</v>
      </c>
      <c r="H297" s="17">
        <f t="shared" si="673"/>
        <v>29</v>
      </c>
      <c r="I297" s="1">
        <f t="shared" si="654"/>
        <v>29000</v>
      </c>
      <c r="J297" s="17">
        <v>12000</v>
      </c>
      <c r="K297" s="17"/>
      <c r="L297" s="18">
        <f t="shared" si="591"/>
        <v>17000</v>
      </c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18">
        <f t="shared" si="593"/>
        <v>0</v>
      </c>
      <c r="Z297" s="96">
        <v>12</v>
      </c>
      <c r="AA297" s="96">
        <f t="shared" si="594"/>
        <v>9600</v>
      </c>
      <c r="AB297" s="96">
        <f t="shared" si="595"/>
        <v>26600</v>
      </c>
      <c r="AC297" s="99">
        <v>800</v>
      </c>
      <c r="AD297" s="98"/>
      <c r="AE297" s="102">
        <f t="shared" si="596"/>
        <v>27400</v>
      </c>
      <c r="AF297" s="99">
        <v>800</v>
      </c>
      <c r="AG297" s="98"/>
      <c r="AH297" s="102">
        <f t="shared" si="674"/>
        <v>28200</v>
      </c>
      <c r="AI297" s="99">
        <v>800</v>
      </c>
      <c r="AJ297" s="98"/>
      <c r="AK297" s="102">
        <f t="shared" si="675"/>
        <v>29000</v>
      </c>
      <c r="AL297" s="99">
        <v>800</v>
      </c>
      <c r="AM297" s="98"/>
      <c r="AN297" s="102">
        <f t="shared" si="676"/>
        <v>29800</v>
      </c>
      <c r="AO297" s="99">
        <v>800</v>
      </c>
      <c r="AP297" s="113"/>
      <c r="AQ297" s="102">
        <f t="shared" si="677"/>
        <v>30600</v>
      </c>
      <c r="AR297" s="99">
        <v>800</v>
      </c>
      <c r="AS297" s="113"/>
      <c r="AT297" s="102">
        <f t="shared" si="678"/>
        <v>31400</v>
      </c>
      <c r="AU297" s="99">
        <v>800</v>
      </c>
      <c r="AV297" s="113"/>
      <c r="AW297" s="102">
        <f t="shared" si="679"/>
        <v>32200</v>
      </c>
      <c r="AX297" s="99">
        <v>800</v>
      </c>
      <c r="AY297" s="113"/>
      <c r="AZ297" s="102">
        <f t="shared" si="680"/>
        <v>33000</v>
      </c>
      <c r="BA297" s="99">
        <v>800</v>
      </c>
      <c r="BB297" s="113"/>
      <c r="BC297" s="102">
        <f t="shared" si="681"/>
        <v>33800</v>
      </c>
      <c r="BD297" s="99">
        <v>800</v>
      </c>
      <c r="BE297" s="113"/>
      <c r="BF297" s="102">
        <f t="shared" si="682"/>
        <v>34600</v>
      </c>
      <c r="BG297" s="99">
        <v>800</v>
      </c>
      <c r="BH297" s="113"/>
      <c r="BI297" s="102">
        <f t="shared" si="683"/>
        <v>35400</v>
      </c>
      <c r="BJ297" s="99">
        <v>800</v>
      </c>
      <c r="BK297" s="113"/>
      <c r="BL297" s="102">
        <f t="shared" si="684"/>
        <v>36200</v>
      </c>
      <c r="BM297" s="99">
        <v>800</v>
      </c>
      <c r="BN297" s="113"/>
      <c r="BO297" s="102">
        <f t="shared" si="685"/>
        <v>37000</v>
      </c>
      <c r="BP297" s="99">
        <v>800</v>
      </c>
      <c r="BQ297" s="113"/>
      <c r="BR297" s="102">
        <f t="shared" si="686"/>
        <v>37800</v>
      </c>
      <c r="BS297" s="99">
        <v>800</v>
      </c>
      <c r="BT297" s="113"/>
      <c r="BU297" s="102">
        <f t="shared" si="687"/>
        <v>38600</v>
      </c>
      <c r="BV297" s="99">
        <v>800</v>
      </c>
      <c r="BW297" s="113"/>
      <c r="BX297" s="102">
        <f t="shared" si="688"/>
        <v>39400</v>
      </c>
      <c r="BY297" s="99">
        <v>800</v>
      </c>
      <c r="BZ297" s="113">
        <v>37800</v>
      </c>
      <c r="CA297" s="102">
        <f t="shared" si="689"/>
        <v>2400</v>
      </c>
      <c r="CB297" s="99">
        <v>800</v>
      </c>
      <c r="CC297" s="113"/>
      <c r="CD297" s="102">
        <f t="shared" si="690"/>
        <v>3200</v>
      </c>
      <c r="CE297" s="99">
        <v>800</v>
      </c>
      <c r="CF297" s="113"/>
      <c r="CG297" s="102">
        <f t="shared" si="691"/>
        <v>4000</v>
      </c>
      <c r="CH297" s="99">
        <v>800</v>
      </c>
      <c r="CI297" s="113"/>
      <c r="CJ297" s="102">
        <f t="shared" si="692"/>
        <v>4800</v>
      </c>
      <c r="CK297" s="99">
        <v>800</v>
      </c>
      <c r="CL297" s="113"/>
      <c r="CM297" s="102">
        <f t="shared" si="693"/>
        <v>5600</v>
      </c>
      <c r="CN297" s="99">
        <v>800</v>
      </c>
      <c r="CO297" s="113"/>
      <c r="CP297" s="102">
        <f t="shared" si="694"/>
        <v>6400</v>
      </c>
      <c r="CQ297" s="99">
        <v>800</v>
      </c>
      <c r="CR297" s="113"/>
      <c r="CS297" s="102">
        <f t="shared" si="695"/>
        <v>7200</v>
      </c>
      <c r="CT297" s="99">
        <v>800</v>
      </c>
      <c r="CU297" s="113"/>
      <c r="CV297" s="102">
        <f t="shared" si="696"/>
        <v>8000</v>
      </c>
      <c r="CW297" s="99">
        <v>800</v>
      </c>
      <c r="CX297" s="113"/>
      <c r="CY297" s="102">
        <f t="shared" si="697"/>
        <v>8800</v>
      </c>
    </row>
    <row r="298" spans="1:103">
      <c r="A298" s="41">
        <f>VLOOKUP(B298,справочник!$B$2:$E$322,4,FALSE)</f>
        <v>233</v>
      </c>
      <c r="B298" t="str">
        <f t="shared" si="592"/>
        <v>242Хаустова Люция Егоровна</v>
      </c>
      <c r="C298" s="1">
        <v>242</v>
      </c>
      <c r="D298" s="2" t="s">
        <v>283</v>
      </c>
      <c r="E298" s="1" t="s">
        <v>591</v>
      </c>
      <c r="F298" s="16">
        <v>41382</v>
      </c>
      <c r="G298" s="16">
        <v>41395</v>
      </c>
      <c r="H298" s="17">
        <f t="shared" si="673"/>
        <v>32</v>
      </c>
      <c r="I298" s="1">
        <f t="shared" si="654"/>
        <v>32000</v>
      </c>
      <c r="J298" s="17">
        <v>29000</v>
      </c>
      <c r="K298" s="17"/>
      <c r="L298" s="18">
        <f t="shared" si="591"/>
        <v>3000</v>
      </c>
      <c r="M298" s="29"/>
      <c r="N298" s="29"/>
      <c r="O298" s="29"/>
      <c r="P298" s="29"/>
      <c r="Q298" s="29"/>
      <c r="R298" s="29">
        <v>7000</v>
      </c>
      <c r="S298" s="29"/>
      <c r="T298" s="29"/>
      <c r="U298" s="29"/>
      <c r="V298" s="29"/>
      <c r="W298" s="84">
        <v>4000</v>
      </c>
      <c r="X298" s="29"/>
      <c r="Y298" s="18">
        <f t="shared" si="593"/>
        <v>11000</v>
      </c>
      <c r="Z298" s="96">
        <v>12</v>
      </c>
      <c r="AA298" s="96">
        <f t="shared" si="594"/>
        <v>9600</v>
      </c>
      <c r="AB298" s="96">
        <f t="shared" si="595"/>
        <v>1600</v>
      </c>
      <c r="AC298" s="99">
        <v>800</v>
      </c>
      <c r="AD298" s="98"/>
      <c r="AE298" s="102">
        <f t="shared" si="596"/>
        <v>2400</v>
      </c>
      <c r="AF298" s="99">
        <v>800</v>
      </c>
      <c r="AG298" s="98"/>
      <c r="AH298" s="102">
        <f t="shared" si="674"/>
        <v>3200</v>
      </c>
      <c r="AI298" s="99">
        <v>800</v>
      </c>
      <c r="AJ298" s="98">
        <v>4000</v>
      </c>
      <c r="AK298" s="102">
        <f t="shared" si="675"/>
        <v>0</v>
      </c>
      <c r="AL298" s="99">
        <v>800</v>
      </c>
      <c r="AM298" s="98"/>
      <c r="AN298" s="102">
        <f t="shared" si="676"/>
        <v>800</v>
      </c>
      <c r="AO298" s="99">
        <v>800</v>
      </c>
      <c r="AP298" s="113"/>
      <c r="AQ298" s="102">
        <f t="shared" si="677"/>
        <v>1600</v>
      </c>
      <c r="AR298" s="99">
        <v>800</v>
      </c>
      <c r="AS298" s="113"/>
      <c r="AT298" s="102">
        <f t="shared" si="678"/>
        <v>2400</v>
      </c>
      <c r="AU298" s="99">
        <v>800</v>
      </c>
      <c r="AV298" s="113">
        <v>3800</v>
      </c>
      <c r="AW298" s="102">
        <f t="shared" si="679"/>
        <v>-600</v>
      </c>
      <c r="AX298" s="99">
        <v>800</v>
      </c>
      <c r="AY298" s="113"/>
      <c r="AZ298" s="102">
        <f t="shared" si="680"/>
        <v>200</v>
      </c>
      <c r="BA298" s="99">
        <v>800</v>
      </c>
      <c r="BB298" s="113"/>
      <c r="BC298" s="102">
        <f t="shared" si="681"/>
        <v>1000</v>
      </c>
      <c r="BD298" s="99">
        <v>800</v>
      </c>
      <c r="BE298" s="113"/>
      <c r="BF298" s="102">
        <f t="shared" si="682"/>
        <v>1800</v>
      </c>
      <c r="BG298" s="99">
        <v>800</v>
      </c>
      <c r="BH298" s="113">
        <v>3200</v>
      </c>
      <c r="BI298" s="102">
        <f t="shared" si="683"/>
        <v>-600</v>
      </c>
      <c r="BJ298" s="99">
        <v>800</v>
      </c>
      <c r="BK298" s="113"/>
      <c r="BL298" s="102">
        <f t="shared" si="684"/>
        <v>200</v>
      </c>
      <c r="BM298" s="99">
        <v>800</v>
      </c>
      <c r="BN298" s="113"/>
      <c r="BO298" s="102">
        <f t="shared" si="685"/>
        <v>1000</v>
      </c>
      <c r="BP298" s="99">
        <v>800</v>
      </c>
      <c r="BQ298" s="113">
        <v>1600</v>
      </c>
      <c r="BR298" s="102">
        <f t="shared" si="686"/>
        <v>200</v>
      </c>
      <c r="BS298" s="99">
        <v>800</v>
      </c>
      <c r="BT298" s="113"/>
      <c r="BU298" s="102">
        <f t="shared" si="687"/>
        <v>1000</v>
      </c>
      <c r="BV298" s="99">
        <v>800</v>
      </c>
      <c r="BW298" s="113">
        <v>6400</v>
      </c>
      <c r="BX298" s="102">
        <f t="shared" si="688"/>
        <v>-4600</v>
      </c>
      <c r="BY298" s="99">
        <v>800</v>
      </c>
      <c r="BZ298" s="113"/>
      <c r="CA298" s="102">
        <f t="shared" si="689"/>
        <v>-3800</v>
      </c>
      <c r="CB298" s="99">
        <v>800</v>
      </c>
      <c r="CC298" s="113"/>
      <c r="CD298" s="102">
        <f t="shared" si="690"/>
        <v>-3000</v>
      </c>
      <c r="CE298" s="99">
        <v>800</v>
      </c>
      <c r="CF298" s="113"/>
      <c r="CG298" s="102">
        <f t="shared" si="691"/>
        <v>-2200</v>
      </c>
      <c r="CH298" s="99">
        <v>800</v>
      </c>
      <c r="CI298" s="113"/>
      <c r="CJ298" s="102">
        <f t="shared" si="692"/>
        <v>-1400</v>
      </c>
      <c r="CK298" s="99">
        <v>800</v>
      </c>
      <c r="CL298" s="113"/>
      <c r="CM298" s="102">
        <f t="shared" si="693"/>
        <v>-600</v>
      </c>
      <c r="CN298" s="99">
        <v>800</v>
      </c>
      <c r="CO298" s="113"/>
      <c r="CP298" s="102">
        <f t="shared" si="694"/>
        <v>200</v>
      </c>
      <c r="CQ298" s="99">
        <v>800</v>
      </c>
      <c r="CR298" s="113"/>
      <c r="CS298" s="102">
        <f t="shared" si="695"/>
        <v>1000</v>
      </c>
      <c r="CT298" s="99">
        <v>800</v>
      </c>
      <c r="CU298" s="113"/>
      <c r="CV298" s="102">
        <f t="shared" si="696"/>
        <v>1800</v>
      </c>
      <c r="CW298" s="99">
        <v>800</v>
      </c>
      <c r="CX298" s="113"/>
      <c r="CY298" s="102">
        <f t="shared" si="697"/>
        <v>2600</v>
      </c>
    </row>
    <row r="299" spans="1:103">
      <c r="A299" s="41">
        <f>VLOOKUP(B299,справочник!$B$2:$E$322,4,FALSE)</f>
        <v>256</v>
      </c>
      <c r="B299" t="str">
        <f t="shared" si="592"/>
        <v>269Хачатрян Алла Самвеловна</v>
      </c>
      <c r="C299" s="1">
        <v>269</v>
      </c>
      <c r="D299" s="2" t="s">
        <v>284</v>
      </c>
      <c r="E299" s="1" t="s">
        <v>592</v>
      </c>
      <c r="F299" s="16">
        <v>41012</v>
      </c>
      <c r="G299" s="16">
        <v>41000</v>
      </c>
      <c r="H299" s="17">
        <f t="shared" si="673"/>
        <v>45</v>
      </c>
      <c r="I299" s="1">
        <f t="shared" si="654"/>
        <v>45000</v>
      </c>
      <c r="J299" s="17">
        <f>32000+7000</f>
        <v>39000</v>
      </c>
      <c r="K299" s="17">
        <v>8000</v>
      </c>
      <c r="L299" s="18">
        <f t="shared" si="591"/>
        <v>-2000</v>
      </c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18">
        <f t="shared" si="593"/>
        <v>0</v>
      </c>
      <c r="Z299" s="96">
        <v>12</v>
      </c>
      <c r="AA299" s="96">
        <f t="shared" si="594"/>
        <v>9600</v>
      </c>
      <c r="AB299" s="96">
        <f t="shared" si="595"/>
        <v>7600</v>
      </c>
      <c r="AC299" s="99">
        <v>800</v>
      </c>
      <c r="AD299" s="98"/>
      <c r="AE299" s="102">
        <f t="shared" si="596"/>
        <v>8400</v>
      </c>
      <c r="AF299" s="99">
        <v>800</v>
      </c>
      <c r="AG299" s="98"/>
      <c r="AH299" s="102">
        <f t="shared" si="674"/>
        <v>9200</v>
      </c>
      <c r="AI299" s="99">
        <v>800</v>
      </c>
      <c r="AJ299" s="98"/>
      <c r="AK299" s="102">
        <f t="shared" si="675"/>
        <v>10000</v>
      </c>
      <c r="AL299" s="99">
        <v>800</v>
      </c>
      <c r="AM299" s="98"/>
      <c r="AN299" s="102">
        <f t="shared" si="676"/>
        <v>10800</v>
      </c>
      <c r="AO299" s="99">
        <v>800</v>
      </c>
      <c r="AP299" s="113"/>
      <c r="AQ299" s="102">
        <f t="shared" si="677"/>
        <v>11600</v>
      </c>
      <c r="AR299" s="99">
        <v>800</v>
      </c>
      <c r="AS299" s="113"/>
      <c r="AT299" s="102">
        <f t="shared" si="678"/>
        <v>12400</v>
      </c>
      <c r="AU299" s="99">
        <v>800</v>
      </c>
      <c r="AV299" s="113"/>
      <c r="AW299" s="102">
        <f t="shared" si="679"/>
        <v>13200</v>
      </c>
      <c r="AX299" s="99">
        <v>800</v>
      </c>
      <c r="AY299" s="113"/>
      <c r="AZ299" s="102">
        <f t="shared" si="680"/>
        <v>14000</v>
      </c>
      <c r="BA299" s="99">
        <v>800</v>
      </c>
      <c r="BB299" s="113"/>
      <c r="BC299" s="102">
        <f t="shared" si="681"/>
        <v>14800</v>
      </c>
      <c r="BD299" s="99">
        <v>800</v>
      </c>
      <c r="BE299" s="113"/>
      <c r="BF299" s="102">
        <f t="shared" si="682"/>
        <v>15600</v>
      </c>
      <c r="BG299" s="99">
        <v>800</v>
      </c>
      <c r="BH299" s="113"/>
      <c r="BI299" s="102">
        <f t="shared" si="683"/>
        <v>16400</v>
      </c>
      <c r="BJ299" s="99">
        <v>800</v>
      </c>
      <c r="BK299" s="113"/>
      <c r="BL299" s="102">
        <f t="shared" si="684"/>
        <v>17200</v>
      </c>
      <c r="BM299" s="99">
        <v>800</v>
      </c>
      <c r="BN299" s="113"/>
      <c r="BO299" s="102">
        <f t="shared" si="685"/>
        <v>18000</v>
      </c>
      <c r="BP299" s="99">
        <v>800</v>
      </c>
      <c r="BQ299" s="113"/>
      <c r="BR299" s="102">
        <f t="shared" si="686"/>
        <v>18800</v>
      </c>
      <c r="BS299" s="99">
        <v>800</v>
      </c>
      <c r="BT299" s="113"/>
      <c r="BU299" s="102">
        <f t="shared" si="687"/>
        <v>19600</v>
      </c>
      <c r="BV299" s="99">
        <v>800</v>
      </c>
      <c r="BW299" s="113"/>
      <c r="BX299" s="102">
        <f t="shared" si="688"/>
        <v>20400</v>
      </c>
      <c r="BY299" s="99">
        <v>800</v>
      </c>
      <c r="BZ299" s="113"/>
      <c r="CA299" s="102">
        <f t="shared" si="689"/>
        <v>21200</v>
      </c>
      <c r="CB299" s="99">
        <v>800</v>
      </c>
      <c r="CC299" s="113"/>
      <c r="CD299" s="102">
        <f t="shared" si="690"/>
        <v>22000</v>
      </c>
      <c r="CE299" s="99">
        <v>800</v>
      </c>
      <c r="CF299" s="113"/>
      <c r="CG299" s="102">
        <f t="shared" si="691"/>
        <v>22800</v>
      </c>
      <c r="CH299" s="99">
        <v>800</v>
      </c>
      <c r="CI299" s="113"/>
      <c r="CJ299" s="102">
        <f t="shared" si="692"/>
        <v>23600</v>
      </c>
      <c r="CK299" s="99">
        <v>800</v>
      </c>
      <c r="CL299" s="113"/>
      <c r="CM299" s="102">
        <f t="shared" si="693"/>
        <v>24400</v>
      </c>
      <c r="CN299" s="99">
        <v>800</v>
      </c>
      <c r="CO299" s="113"/>
      <c r="CP299" s="102">
        <f t="shared" si="694"/>
        <v>25200</v>
      </c>
      <c r="CQ299" s="99">
        <v>800</v>
      </c>
      <c r="CR299" s="113"/>
      <c r="CS299" s="102">
        <f t="shared" si="695"/>
        <v>26000</v>
      </c>
      <c r="CT299" s="99">
        <v>800</v>
      </c>
      <c r="CU299" s="113"/>
      <c r="CV299" s="102">
        <f t="shared" si="696"/>
        <v>26800</v>
      </c>
      <c r="CW299" s="99">
        <v>800</v>
      </c>
      <c r="CX299" s="113"/>
      <c r="CY299" s="102">
        <f t="shared" si="697"/>
        <v>27600</v>
      </c>
    </row>
    <row r="300" spans="1:103" s="80" customFormat="1" ht="25.5" customHeight="1">
      <c r="A300" s="103">
        <f>VLOOKUP(B300,справочник!$B$2:$E$322,4,FALSE)</f>
        <v>113</v>
      </c>
      <c r="B300" s="80" t="str">
        <f t="shared" si="592"/>
        <v>116+118+120Хрупало Николай Алексеевич</v>
      </c>
      <c r="C300" s="5" t="s">
        <v>705</v>
      </c>
      <c r="D300" s="7" t="s">
        <v>285</v>
      </c>
      <c r="E300" s="5" t="s">
        <v>593</v>
      </c>
      <c r="F300" s="19">
        <v>41107</v>
      </c>
      <c r="G300" s="19">
        <v>41122</v>
      </c>
      <c r="H300" s="20">
        <v>41</v>
      </c>
      <c r="I300" s="5">
        <f t="shared" si="654"/>
        <v>41000</v>
      </c>
      <c r="J300" s="20">
        <v>41000</v>
      </c>
      <c r="K300" s="20"/>
      <c r="L300" s="21">
        <f t="shared" si="591"/>
        <v>0</v>
      </c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  <c r="X300" s="109"/>
      <c r="Y300" s="21">
        <f>SUM(M300:X300)</f>
        <v>0</v>
      </c>
      <c r="Z300" s="104">
        <v>0</v>
      </c>
      <c r="AA300" s="104">
        <f t="shared" si="594"/>
        <v>0</v>
      </c>
      <c r="AB300" s="104">
        <f t="shared" si="595"/>
        <v>0</v>
      </c>
      <c r="AC300" s="104">
        <v>0</v>
      </c>
      <c r="AD300" s="105"/>
      <c r="AE300" s="106">
        <v>0</v>
      </c>
      <c r="AF300" s="104">
        <v>0</v>
      </c>
      <c r="AG300" s="105"/>
      <c r="AH300" s="106">
        <f t="shared" si="674"/>
        <v>0</v>
      </c>
      <c r="AI300" s="104">
        <v>0</v>
      </c>
      <c r="AJ300" s="105"/>
      <c r="AK300" s="106">
        <f t="shared" si="675"/>
        <v>0</v>
      </c>
      <c r="AL300" s="104">
        <v>0</v>
      </c>
      <c r="AM300" s="105"/>
      <c r="AN300" s="106">
        <f t="shared" si="676"/>
        <v>0</v>
      </c>
      <c r="AO300" s="104">
        <v>0</v>
      </c>
      <c r="AP300" s="105"/>
      <c r="AQ300" s="106">
        <f t="shared" si="677"/>
        <v>0</v>
      </c>
      <c r="AR300" s="104">
        <v>0</v>
      </c>
      <c r="AS300" s="105"/>
      <c r="AT300" s="106">
        <f t="shared" si="678"/>
        <v>0</v>
      </c>
      <c r="AU300" s="104">
        <v>0</v>
      </c>
      <c r="AV300" s="105"/>
      <c r="AW300" s="119">
        <f t="shared" si="679"/>
        <v>0</v>
      </c>
      <c r="AX300" s="104">
        <v>0</v>
      </c>
      <c r="AY300" s="105"/>
      <c r="AZ300" s="119">
        <f t="shared" si="680"/>
        <v>0</v>
      </c>
      <c r="BA300" s="104">
        <v>0</v>
      </c>
      <c r="BB300" s="105"/>
      <c r="BC300" s="119">
        <f t="shared" si="681"/>
        <v>0</v>
      </c>
      <c r="BD300" s="104">
        <v>0</v>
      </c>
      <c r="BE300" s="105"/>
      <c r="BF300" s="119">
        <f t="shared" si="682"/>
        <v>0</v>
      </c>
      <c r="BG300" s="104">
        <v>0</v>
      </c>
      <c r="BH300" s="105"/>
      <c r="BI300" s="119">
        <f t="shared" si="683"/>
        <v>0</v>
      </c>
      <c r="BJ300" s="104">
        <v>0</v>
      </c>
      <c r="BK300" s="105"/>
      <c r="BL300" s="119">
        <f t="shared" si="684"/>
        <v>0</v>
      </c>
      <c r="BM300" s="104">
        <v>0</v>
      </c>
      <c r="BN300" s="105"/>
      <c r="BO300" s="119">
        <f t="shared" si="685"/>
        <v>0</v>
      </c>
      <c r="BP300" s="104">
        <v>0</v>
      </c>
      <c r="BQ300" s="105"/>
      <c r="BR300" s="119">
        <f t="shared" si="686"/>
        <v>0</v>
      </c>
      <c r="BS300" s="104">
        <v>0</v>
      </c>
      <c r="BT300" s="105"/>
      <c r="BU300" s="119">
        <f t="shared" si="687"/>
        <v>0</v>
      </c>
      <c r="BV300" s="104">
        <v>0</v>
      </c>
      <c r="BW300" s="105"/>
      <c r="BX300" s="119">
        <f t="shared" si="688"/>
        <v>0</v>
      </c>
      <c r="BY300" s="104">
        <v>0</v>
      </c>
      <c r="BZ300" s="105"/>
      <c r="CA300" s="119">
        <f t="shared" si="689"/>
        <v>0</v>
      </c>
      <c r="CB300" s="104">
        <v>0</v>
      </c>
      <c r="CC300" s="105"/>
      <c r="CD300" s="119">
        <f t="shared" si="690"/>
        <v>0</v>
      </c>
      <c r="CE300" s="104">
        <v>0</v>
      </c>
      <c r="CF300" s="105"/>
      <c r="CG300" s="119">
        <f t="shared" si="691"/>
        <v>0</v>
      </c>
      <c r="CH300" s="104">
        <v>0</v>
      </c>
      <c r="CI300" s="105"/>
      <c r="CJ300" s="119">
        <f t="shared" si="692"/>
        <v>0</v>
      </c>
      <c r="CK300" s="104">
        <v>0</v>
      </c>
      <c r="CL300" s="105"/>
      <c r="CM300" s="119">
        <f t="shared" si="693"/>
        <v>0</v>
      </c>
      <c r="CN300" s="104">
        <v>0</v>
      </c>
      <c r="CO300" s="105"/>
      <c r="CP300" s="119">
        <f t="shared" si="694"/>
        <v>0</v>
      </c>
      <c r="CQ300" s="104">
        <v>0</v>
      </c>
      <c r="CR300" s="105"/>
      <c r="CS300" s="210">
        <f>CP301+CQ302-CR302</f>
        <v>-1800</v>
      </c>
      <c r="CT300" s="104">
        <v>0</v>
      </c>
      <c r="CU300" s="105"/>
      <c r="CV300" s="210">
        <f>CS301+CT302-CU302</f>
        <v>800</v>
      </c>
      <c r="CW300" s="104">
        <v>0</v>
      </c>
      <c r="CX300" s="105"/>
      <c r="CY300" s="210">
        <f>CV301+CW302-CX302</f>
        <v>-1600</v>
      </c>
    </row>
    <row r="301" spans="1:103" s="80" customFormat="1" ht="24">
      <c r="A301" s="103">
        <f>VLOOKUP(B301,справочник!$B$2:$E$322,4,FALSE)</f>
        <v>113</v>
      </c>
      <c r="B301" s="80" t="str">
        <f t="shared" si="592"/>
        <v>116+118+120Хрупало Николай Алексеевич</v>
      </c>
      <c r="C301" s="5" t="s">
        <v>705</v>
      </c>
      <c r="D301" s="7" t="s">
        <v>285</v>
      </c>
      <c r="E301" s="5" t="s">
        <v>593</v>
      </c>
      <c r="F301" s="19">
        <v>41107</v>
      </c>
      <c r="G301" s="19">
        <v>41122</v>
      </c>
      <c r="H301" s="20">
        <v>11</v>
      </c>
      <c r="I301" s="5">
        <f t="shared" si="654"/>
        <v>11000</v>
      </c>
      <c r="J301" s="20">
        <v>10000</v>
      </c>
      <c r="K301" s="20"/>
      <c r="L301" s="21">
        <f t="shared" si="591"/>
        <v>1000</v>
      </c>
      <c r="M301" s="109"/>
      <c r="N301" s="109"/>
      <c r="O301" s="109"/>
      <c r="P301" s="109"/>
      <c r="Q301" s="109"/>
      <c r="R301" s="109"/>
      <c r="S301" s="109"/>
      <c r="T301" s="109"/>
      <c r="U301" s="109"/>
      <c r="V301" s="109"/>
      <c r="W301" s="109"/>
      <c r="X301" s="109"/>
      <c r="Y301" s="21">
        <f t="shared" si="593"/>
        <v>0</v>
      </c>
      <c r="Z301" s="104">
        <v>0</v>
      </c>
      <c r="AA301" s="104">
        <f t="shared" si="594"/>
        <v>0</v>
      </c>
      <c r="AB301" s="104">
        <f t="shared" si="595"/>
        <v>1000</v>
      </c>
      <c r="AC301" s="104">
        <v>0</v>
      </c>
      <c r="AD301" s="105"/>
      <c r="AE301" s="222">
        <f>SUM(AB301:AB302)+SUM(AC301:AC302)-SUM(AD301:AD302)</f>
        <v>-2600</v>
      </c>
      <c r="AF301" s="104">
        <v>0</v>
      </c>
      <c r="AG301" s="105"/>
      <c r="AH301" s="222">
        <f>SUM(AE301:AE302)+SUM(AF301:AF302)-SUM(AG301:AG302)</f>
        <v>-4800</v>
      </c>
      <c r="AI301" s="104">
        <v>0</v>
      </c>
      <c r="AJ301" s="105"/>
      <c r="AK301" s="222">
        <f>SUM(AH301:AH302)+SUM(AI301:AI302)-SUM(AJ301:AJ302)</f>
        <v>-4000</v>
      </c>
      <c r="AL301" s="104">
        <v>0</v>
      </c>
      <c r="AM301" s="105"/>
      <c r="AN301" s="222">
        <f>SUM(AK301:AK302)+SUM(AL301:AL302)-SUM(AM301:AM302)</f>
        <v>-6200</v>
      </c>
      <c r="AO301" s="104">
        <v>0</v>
      </c>
      <c r="AP301" s="105"/>
      <c r="AQ301" s="222">
        <f>SUM(AN301:AN302)+SUM(AO301:AO302)-SUM(AP301:AP302)</f>
        <v>-5400</v>
      </c>
      <c r="AR301" s="104">
        <v>0</v>
      </c>
      <c r="AS301" s="105"/>
      <c r="AT301" s="222">
        <f>SUM(AQ301:AQ302)+SUM(AR301:AR302)-SUM(AS301:AS302)</f>
        <v>-4600</v>
      </c>
      <c r="AU301" s="104">
        <v>0</v>
      </c>
      <c r="AV301" s="105"/>
      <c r="AW301" s="216">
        <f>SUM(AT301:AT302)+SUM(AU301:AU302)-SUM(AV301:AV302)</f>
        <v>-6800</v>
      </c>
      <c r="AX301" s="104">
        <v>0</v>
      </c>
      <c r="AY301" s="105"/>
      <c r="AZ301" s="216">
        <f>SUM(AW301:AW302)+SUM(AX301:AX302)-SUM(AY301:AY302)</f>
        <v>-6000</v>
      </c>
      <c r="BA301" s="104">
        <v>0</v>
      </c>
      <c r="BB301" s="105"/>
      <c r="BC301" s="216">
        <f>SUM(AZ301:AZ302)+SUM(BA301:BA302)-SUM(BB301:BB302)</f>
        <v>-5200</v>
      </c>
      <c r="BD301" s="104">
        <v>0</v>
      </c>
      <c r="BE301" s="105"/>
      <c r="BF301" s="216">
        <f>SUM(BC301:BC302)+SUM(BD301:BD302)-SUM(BE301:BE302)</f>
        <v>-4400</v>
      </c>
      <c r="BG301" s="104">
        <v>0</v>
      </c>
      <c r="BH301" s="105"/>
      <c r="BI301" s="216">
        <f>SUM(BF301:BF302)+SUM(BG301:BG302)-SUM(BH301:BH302)</f>
        <v>-3600</v>
      </c>
      <c r="BJ301" s="104">
        <v>0</v>
      </c>
      <c r="BK301" s="105"/>
      <c r="BL301" s="216">
        <f>SUM(BI301:BI302)+SUM(BJ301:BJ302)-SUM(BK301:BK302)</f>
        <v>-2800</v>
      </c>
      <c r="BM301" s="104">
        <v>0</v>
      </c>
      <c r="BN301" s="105"/>
      <c r="BO301" s="216">
        <f>SUM(BL301:BL302)+SUM(BM301:BM302)-SUM(BN301:BN302)</f>
        <v>-2000</v>
      </c>
      <c r="BP301" s="104">
        <v>0</v>
      </c>
      <c r="BQ301" s="105">
        <v>600</v>
      </c>
      <c r="BR301" s="216">
        <f>SUM(BO301:BO302)+SUM(BP301:BP302)-SUM(BQ301:BQ302)</f>
        <v>-1800</v>
      </c>
      <c r="BS301" s="104">
        <v>0</v>
      </c>
      <c r="BT301" s="105"/>
      <c r="BU301" s="216">
        <f>SUM(BR301:BR302)+SUM(BS301:BS302)-SUM(BT301:BT302)</f>
        <v>-1000</v>
      </c>
      <c r="BV301" s="104">
        <v>0</v>
      </c>
      <c r="BW301" s="105"/>
      <c r="BX301" s="216">
        <f>SUM(BU301:BU302)+SUM(BV301:BV302)-SUM(BW301:BW302)</f>
        <v>-2600</v>
      </c>
      <c r="BY301" s="104">
        <v>0</v>
      </c>
      <c r="BZ301" s="105"/>
      <c r="CA301" s="216">
        <f>SUM(BX301:BX302)+SUM(BY301:BY302)-SUM(BZ301:BZ302)</f>
        <v>-1800</v>
      </c>
      <c r="CB301" s="104">
        <v>0</v>
      </c>
      <c r="CC301" s="105"/>
      <c r="CD301" s="216">
        <f>SUM(CA301:CA302)+SUM(CB301:CB302)-SUM(CC301:CC302)</f>
        <v>-1000</v>
      </c>
      <c r="CE301" s="104">
        <v>0</v>
      </c>
      <c r="CF301" s="105"/>
      <c r="CG301" s="216">
        <f>SUM(CD301:CD302)+SUM(CE301:CE302)-SUM(CF301:CF302)</f>
        <v>-200</v>
      </c>
      <c r="CH301" s="104">
        <v>0</v>
      </c>
      <c r="CI301" s="105"/>
      <c r="CJ301" s="216">
        <f>SUM(CG301:CG302)+SUM(CH301:CH302)-SUM(CI301:CI302)</f>
        <v>-1800</v>
      </c>
      <c r="CK301" s="104">
        <v>0</v>
      </c>
      <c r="CL301" s="105"/>
      <c r="CM301" s="216">
        <f>SUM(CJ301:CJ302)+SUM(CK301:CK302)-SUM(CL301:CL302)</f>
        <v>-1000</v>
      </c>
      <c r="CN301" s="104">
        <v>0</v>
      </c>
      <c r="CO301" s="105"/>
      <c r="CP301" s="216">
        <f>SUM(CM301:CM302)+SUM(CN301:CN302)-SUM(CO301:CO302)</f>
        <v>-200</v>
      </c>
      <c r="CQ301" s="104">
        <v>0</v>
      </c>
      <c r="CR301" s="105"/>
      <c r="CS301" s="215"/>
      <c r="CT301" s="104">
        <v>0</v>
      </c>
      <c r="CU301" s="105"/>
      <c r="CV301" s="215"/>
      <c r="CW301" s="104">
        <v>0</v>
      </c>
      <c r="CX301" s="105"/>
      <c r="CY301" s="215"/>
    </row>
    <row r="302" spans="1:103" s="80" customFormat="1" ht="24">
      <c r="A302" s="103">
        <f>VLOOKUP(B302,справочник!$B$2:$E$322,4,FALSE)</f>
        <v>113</v>
      </c>
      <c r="B302" s="80" t="str">
        <f t="shared" si="592"/>
        <v>116+118+120Хрупало Николай Алексеевич</v>
      </c>
      <c r="C302" s="5" t="s">
        <v>705</v>
      </c>
      <c r="D302" s="7" t="s">
        <v>285</v>
      </c>
      <c r="E302" s="5" t="s">
        <v>593</v>
      </c>
      <c r="F302" s="19">
        <v>41107</v>
      </c>
      <c r="G302" s="19">
        <v>41122</v>
      </c>
      <c r="H302" s="20">
        <v>11</v>
      </c>
      <c r="I302" s="5">
        <f t="shared" si="654"/>
        <v>11000</v>
      </c>
      <c r="J302" s="20">
        <v>10000</v>
      </c>
      <c r="K302" s="20"/>
      <c r="L302" s="21">
        <f t="shared" si="591"/>
        <v>1000</v>
      </c>
      <c r="M302" s="109">
        <v>6000</v>
      </c>
      <c r="N302" s="109"/>
      <c r="O302" s="109"/>
      <c r="P302" s="109">
        <v>3000</v>
      </c>
      <c r="Q302" s="109"/>
      <c r="R302" s="109">
        <v>3000</v>
      </c>
      <c r="S302" s="109"/>
      <c r="T302" s="109"/>
      <c r="U302" s="109"/>
      <c r="V302" s="109"/>
      <c r="W302" s="80">
        <v>3000</v>
      </c>
      <c r="X302" s="109"/>
      <c r="Y302" s="21">
        <f>SUM(M302:X302)</f>
        <v>15000</v>
      </c>
      <c r="Z302" s="104">
        <v>12</v>
      </c>
      <c r="AA302" s="104">
        <f>Z302*800</f>
        <v>9600</v>
      </c>
      <c r="AB302" s="104">
        <f>L302+AA302-Y302</f>
        <v>-4400</v>
      </c>
      <c r="AC302" s="104">
        <v>800</v>
      </c>
      <c r="AD302" s="105"/>
      <c r="AE302" s="223"/>
      <c r="AF302" s="104">
        <v>800</v>
      </c>
      <c r="AG302" s="105">
        <v>3000</v>
      </c>
      <c r="AH302" s="223"/>
      <c r="AI302" s="104">
        <v>800</v>
      </c>
      <c r="AJ302" s="105"/>
      <c r="AK302" s="223"/>
      <c r="AL302" s="104">
        <v>800</v>
      </c>
      <c r="AM302" s="105">
        <v>3000</v>
      </c>
      <c r="AN302" s="223"/>
      <c r="AO302" s="104">
        <v>800</v>
      </c>
      <c r="AP302" s="105"/>
      <c r="AQ302" s="223"/>
      <c r="AR302" s="104">
        <v>800</v>
      </c>
      <c r="AS302" s="105"/>
      <c r="AT302" s="223"/>
      <c r="AU302" s="104">
        <v>800</v>
      </c>
      <c r="AV302" s="105">
        <v>3000</v>
      </c>
      <c r="AW302" s="217"/>
      <c r="AX302" s="104">
        <v>800</v>
      </c>
      <c r="AY302" s="105"/>
      <c r="AZ302" s="217"/>
      <c r="BA302" s="104">
        <v>800</v>
      </c>
      <c r="BB302" s="105"/>
      <c r="BC302" s="217"/>
      <c r="BD302" s="104">
        <v>800</v>
      </c>
      <c r="BE302" s="105"/>
      <c r="BF302" s="217"/>
      <c r="BG302" s="104">
        <v>800</v>
      </c>
      <c r="BH302" s="105"/>
      <c r="BI302" s="217"/>
      <c r="BJ302" s="104">
        <v>800</v>
      </c>
      <c r="BK302" s="105"/>
      <c r="BL302" s="217"/>
      <c r="BM302" s="104">
        <v>800</v>
      </c>
      <c r="BN302" s="105"/>
      <c r="BO302" s="217"/>
      <c r="BP302" s="104">
        <v>800</v>
      </c>
      <c r="BQ302" s="105"/>
      <c r="BR302" s="217"/>
      <c r="BS302" s="104">
        <v>800</v>
      </c>
      <c r="BT302" s="105"/>
      <c r="BU302" s="217"/>
      <c r="BV302" s="104">
        <v>800</v>
      </c>
      <c r="BW302" s="105">
        <v>2400</v>
      </c>
      <c r="BX302" s="217"/>
      <c r="BY302" s="104">
        <v>800</v>
      </c>
      <c r="BZ302" s="105"/>
      <c r="CA302" s="217"/>
      <c r="CB302" s="104">
        <v>800</v>
      </c>
      <c r="CC302" s="105"/>
      <c r="CD302" s="217"/>
      <c r="CE302" s="104">
        <v>800</v>
      </c>
      <c r="CF302" s="105"/>
      <c r="CG302" s="217"/>
      <c r="CH302" s="104">
        <v>800</v>
      </c>
      <c r="CI302" s="105">
        <v>2400</v>
      </c>
      <c r="CJ302" s="217"/>
      <c r="CK302" s="104">
        <v>800</v>
      </c>
      <c r="CL302" s="105"/>
      <c r="CM302" s="217"/>
      <c r="CN302" s="104">
        <v>800</v>
      </c>
      <c r="CO302" s="105"/>
      <c r="CP302" s="217"/>
      <c r="CQ302" s="104">
        <v>800</v>
      </c>
      <c r="CR302" s="105">
        <v>2400</v>
      </c>
      <c r="CS302" s="211"/>
      <c r="CT302" s="104">
        <v>800</v>
      </c>
      <c r="CU302" s="105"/>
      <c r="CV302" s="211"/>
      <c r="CW302" s="104">
        <v>800</v>
      </c>
      <c r="CX302" s="105">
        <v>2400</v>
      </c>
      <c r="CY302" s="211"/>
    </row>
    <row r="303" spans="1:103" ht="25.5" customHeight="1">
      <c r="A303" s="41">
        <f>VLOOKUP(B303,справочник!$B$2:$E$322,4,FALSE)</f>
        <v>180</v>
      </c>
      <c r="B303" t="str">
        <f t="shared" si="592"/>
        <v>188Черешнева Виктория Викторовна</v>
      </c>
      <c r="C303" s="1">
        <v>188</v>
      </c>
      <c r="D303" s="2" t="s">
        <v>287</v>
      </c>
      <c r="E303" s="1" t="s">
        <v>594</v>
      </c>
      <c r="F303" s="16">
        <v>41786</v>
      </c>
      <c r="G303" s="16">
        <v>41791</v>
      </c>
      <c r="H303" s="17">
        <f t="shared" ref="H303:H308" si="698">INT(($H$326-G303)/30)</f>
        <v>19</v>
      </c>
      <c r="I303" s="1">
        <f t="shared" si="654"/>
        <v>19000</v>
      </c>
      <c r="J303" s="17">
        <v>19000</v>
      </c>
      <c r="K303" s="17"/>
      <c r="L303" s="18">
        <f t="shared" si="591"/>
        <v>0</v>
      </c>
      <c r="M303" s="29"/>
      <c r="N303" s="29"/>
      <c r="O303" s="29"/>
      <c r="P303" s="29"/>
      <c r="Q303" s="29">
        <v>4800</v>
      </c>
      <c r="R303" s="29"/>
      <c r="S303" s="29"/>
      <c r="T303" s="29"/>
      <c r="U303" s="29"/>
      <c r="V303" s="29"/>
      <c r="W303" s="29"/>
      <c r="X303" s="29"/>
      <c r="Y303" s="18">
        <f t="shared" si="593"/>
        <v>4800</v>
      </c>
      <c r="Z303" s="96">
        <v>12</v>
      </c>
      <c r="AA303" s="96">
        <f t="shared" si="594"/>
        <v>9600</v>
      </c>
      <c r="AB303" s="96">
        <f t="shared" si="595"/>
        <v>4800</v>
      </c>
      <c r="AC303" s="99">
        <v>800</v>
      </c>
      <c r="AD303" s="98"/>
      <c r="AE303" s="102">
        <f t="shared" si="596"/>
        <v>5600</v>
      </c>
      <c r="AF303" s="99">
        <v>800</v>
      </c>
      <c r="AG303" s="98"/>
      <c r="AH303" s="102">
        <f t="shared" ref="AH303:AH307" si="699">AE303+AF303-AG303</f>
        <v>6400</v>
      </c>
      <c r="AI303" s="99">
        <v>800</v>
      </c>
      <c r="AJ303" s="98"/>
      <c r="AK303" s="102">
        <f t="shared" ref="AK303:AK307" si="700">AH303+AI303-AJ303</f>
        <v>7200</v>
      </c>
      <c r="AL303" s="99">
        <v>800</v>
      </c>
      <c r="AM303" s="98"/>
      <c r="AN303" s="102">
        <f t="shared" ref="AN303:AN307" si="701">AK303+AL303-AM303</f>
        <v>8000</v>
      </c>
      <c r="AO303" s="99">
        <v>800</v>
      </c>
      <c r="AP303" s="113">
        <v>14400</v>
      </c>
      <c r="AQ303" s="102">
        <f t="shared" ref="AQ303:AQ307" si="702">AN303+AO303-AP303</f>
        <v>-5600</v>
      </c>
      <c r="AR303" s="99">
        <v>800</v>
      </c>
      <c r="AS303" s="113"/>
      <c r="AT303" s="102">
        <f t="shared" ref="AT303:AT307" si="703">AQ303+AR303-AS303</f>
        <v>-4800</v>
      </c>
      <c r="AU303" s="99">
        <v>800</v>
      </c>
      <c r="AV303" s="113"/>
      <c r="AW303" s="102">
        <f t="shared" ref="AW303:AW307" si="704">AT303+AU303-AV303</f>
        <v>-4000</v>
      </c>
      <c r="AX303" s="99">
        <v>800</v>
      </c>
      <c r="AY303" s="113"/>
      <c r="AZ303" s="102">
        <f t="shared" ref="AZ303:AZ307" si="705">AW303+AX303-AY303</f>
        <v>-3200</v>
      </c>
      <c r="BA303" s="99">
        <v>800</v>
      </c>
      <c r="BB303" s="113"/>
      <c r="BC303" s="102">
        <f t="shared" ref="BC303:BC307" si="706">AZ303+BA303-BB303</f>
        <v>-2400</v>
      </c>
      <c r="BD303" s="99">
        <v>800</v>
      </c>
      <c r="BE303" s="113"/>
      <c r="BF303" s="102">
        <f t="shared" ref="BF303:BF307" si="707">BC303+BD303-BE303</f>
        <v>-1600</v>
      </c>
      <c r="BG303" s="99">
        <v>800</v>
      </c>
      <c r="BH303" s="113"/>
      <c r="BI303" s="102">
        <f t="shared" ref="BI303:BI307" si="708">BF303+BG303-BH303</f>
        <v>-800</v>
      </c>
      <c r="BJ303" s="99">
        <v>800</v>
      </c>
      <c r="BK303" s="113"/>
      <c r="BL303" s="102">
        <f t="shared" ref="BL303:BL307" si="709">BI303+BJ303-BK303</f>
        <v>0</v>
      </c>
      <c r="BM303" s="99">
        <v>800</v>
      </c>
      <c r="BN303" s="113"/>
      <c r="BO303" s="102">
        <f t="shared" ref="BO303:BO307" si="710">BL303+BM303-BN303</f>
        <v>800</v>
      </c>
      <c r="BP303" s="99">
        <v>800</v>
      </c>
      <c r="BQ303" s="113"/>
      <c r="BR303" s="102">
        <f t="shared" ref="BR303:BR307" si="711">BO303+BP303-BQ303</f>
        <v>1600</v>
      </c>
      <c r="BS303" s="99">
        <v>800</v>
      </c>
      <c r="BT303" s="113"/>
      <c r="BU303" s="102">
        <f t="shared" ref="BU303:BU307" si="712">BR303+BS303-BT303</f>
        <v>2400</v>
      </c>
      <c r="BV303" s="99">
        <v>800</v>
      </c>
      <c r="BW303" s="113"/>
      <c r="BX303" s="102">
        <f t="shared" ref="BX303:BX307" si="713">BU303+BV303-BW303</f>
        <v>3200</v>
      </c>
      <c r="BY303" s="99">
        <v>800</v>
      </c>
      <c r="BZ303" s="113"/>
      <c r="CA303" s="102">
        <f t="shared" ref="CA303:CA307" si="714">BX303+BY303-BZ303</f>
        <v>4000</v>
      </c>
      <c r="CB303" s="99">
        <v>800</v>
      </c>
      <c r="CC303" s="113"/>
      <c r="CD303" s="102">
        <f t="shared" ref="CD303:CD307" si="715">CA303+CB303-CC303</f>
        <v>4800</v>
      </c>
      <c r="CE303" s="99">
        <v>800</v>
      </c>
      <c r="CF303" s="113"/>
      <c r="CG303" s="102">
        <f t="shared" ref="CG303:CG307" si="716">CD303+CE303-CF303</f>
        <v>5600</v>
      </c>
      <c r="CH303" s="99">
        <v>800</v>
      </c>
      <c r="CI303" s="113"/>
      <c r="CJ303" s="102">
        <f t="shared" ref="CJ303:CJ307" si="717">CG303+CH303-CI303</f>
        <v>6400</v>
      </c>
      <c r="CK303" s="99">
        <v>800</v>
      </c>
      <c r="CL303" s="113"/>
      <c r="CM303" s="102">
        <f t="shared" ref="CM303:CM307" si="718">CJ303+CK303-CL303</f>
        <v>7200</v>
      </c>
      <c r="CN303" s="99">
        <v>800</v>
      </c>
      <c r="CO303" s="113"/>
      <c r="CP303" s="102">
        <f t="shared" ref="CP303:CP307" si="719">CM303+CN303-CO303</f>
        <v>8000</v>
      </c>
      <c r="CQ303" s="99">
        <v>800</v>
      </c>
      <c r="CR303" s="113"/>
      <c r="CS303" s="102">
        <f>CP303+CQ303-CR303</f>
        <v>8800</v>
      </c>
      <c r="CT303" s="99">
        <v>800</v>
      </c>
      <c r="CU303" s="113"/>
      <c r="CV303" s="102">
        <f>CS303+CT303-CU303</f>
        <v>9600</v>
      </c>
      <c r="CW303" s="99">
        <v>800</v>
      </c>
      <c r="CX303" s="113"/>
      <c r="CY303" s="102">
        <f>CV303+CW303-CX303</f>
        <v>10400</v>
      </c>
    </row>
    <row r="304" spans="1:103">
      <c r="A304" s="41" t="e">
        <f>VLOOKUP(B304,справочник!$B$2:$E$322,4,FALSE)</f>
        <v>#N/A</v>
      </c>
      <c r="B304" t="str">
        <f t="shared" si="592"/>
        <v>2Чернявская Оксана Юрьевна</v>
      </c>
      <c r="C304" s="1">
        <v>2</v>
      </c>
      <c r="D304" s="2" t="s">
        <v>765</v>
      </c>
      <c r="E304" s="1" t="s">
        <v>595</v>
      </c>
      <c r="F304" s="16">
        <v>41737</v>
      </c>
      <c r="G304" s="16">
        <v>41760</v>
      </c>
      <c r="H304" s="17">
        <f t="shared" si="698"/>
        <v>20</v>
      </c>
      <c r="I304" s="1">
        <f t="shared" si="654"/>
        <v>20000</v>
      </c>
      <c r="J304" s="17">
        <v>11000</v>
      </c>
      <c r="K304" s="17"/>
      <c r="L304" s="18">
        <f t="shared" si="591"/>
        <v>9000</v>
      </c>
      <c r="M304" s="29"/>
      <c r="N304" s="29"/>
      <c r="O304" s="29"/>
      <c r="P304" s="29"/>
      <c r="Q304" s="29"/>
      <c r="R304" s="29"/>
      <c r="S304" s="29"/>
      <c r="T304" s="29"/>
      <c r="U304" s="29"/>
      <c r="V304" s="29">
        <v>1000</v>
      </c>
      <c r="W304" s="29"/>
      <c r="X304" s="29"/>
      <c r="Y304" s="18">
        <f t="shared" si="593"/>
        <v>1000</v>
      </c>
      <c r="Z304" s="96">
        <v>12</v>
      </c>
      <c r="AA304" s="96">
        <f t="shared" si="594"/>
        <v>9600</v>
      </c>
      <c r="AB304" s="96">
        <f t="shared" si="595"/>
        <v>17600</v>
      </c>
      <c r="AC304" s="99">
        <v>800</v>
      </c>
      <c r="AD304" s="98"/>
      <c r="AE304" s="102">
        <f t="shared" si="596"/>
        <v>18400</v>
      </c>
      <c r="AF304" s="99">
        <v>800</v>
      </c>
      <c r="AG304" s="98"/>
      <c r="AH304" s="102">
        <f t="shared" si="699"/>
        <v>19200</v>
      </c>
      <c r="AI304" s="99">
        <v>800</v>
      </c>
      <c r="AJ304" s="98"/>
      <c r="AK304" s="102">
        <f t="shared" si="700"/>
        <v>20000</v>
      </c>
      <c r="AL304" s="99">
        <v>800</v>
      </c>
      <c r="AM304" s="98"/>
      <c r="AN304" s="102">
        <f t="shared" si="701"/>
        <v>20800</v>
      </c>
      <c r="AO304" s="99">
        <v>800</v>
      </c>
      <c r="AP304" s="113"/>
      <c r="AQ304" s="102">
        <f t="shared" si="702"/>
        <v>21600</v>
      </c>
      <c r="AR304" s="99">
        <v>800</v>
      </c>
      <c r="AS304" s="113"/>
      <c r="AT304" s="102">
        <f t="shared" si="703"/>
        <v>22400</v>
      </c>
      <c r="AU304" s="99">
        <v>800</v>
      </c>
      <c r="AV304" s="113"/>
      <c r="AW304" s="102">
        <f t="shared" si="704"/>
        <v>23200</v>
      </c>
      <c r="AX304" s="99">
        <v>800</v>
      </c>
      <c r="AY304" s="113"/>
      <c r="AZ304" s="102">
        <f t="shared" si="705"/>
        <v>24000</v>
      </c>
      <c r="BA304" s="99">
        <v>800</v>
      </c>
      <c r="BB304" s="113"/>
      <c r="BC304" s="102">
        <f t="shared" si="706"/>
        <v>24800</v>
      </c>
      <c r="BD304" s="99">
        <v>800</v>
      </c>
      <c r="BE304" s="113">
        <v>15000</v>
      </c>
      <c r="BF304" s="102">
        <f t="shared" si="707"/>
        <v>10600</v>
      </c>
      <c r="BG304" s="99">
        <v>800</v>
      </c>
      <c r="BH304" s="113"/>
      <c r="BI304" s="102">
        <f t="shared" si="708"/>
        <v>11400</v>
      </c>
      <c r="BJ304" s="99">
        <v>800</v>
      </c>
      <c r="BK304" s="113"/>
      <c r="BL304" s="102">
        <f t="shared" si="709"/>
        <v>12200</v>
      </c>
      <c r="BM304" s="99">
        <v>800</v>
      </c>
      <c r="BN304" s="113"/>
      <c r="BO304" s="102">
        <f t="shared" si="710"/>
        <v>13000</v>
      </c>
      <c r="BP304" s="99">
        <v>800</v>
      </c>
      <c r="BQ304" s="113"/>
      <c r="BR304" s="102">
        <f t="shared" si="711"/>
        <v>13800</v>
      </c>
      <c r="BS304" s="99">
        <v>800</v>
      </c>
      <c r="BT304" s="113"/>
      <c r="BU304" s="102">
        <f t="shared" si="712"/>
        <v>14600</v>
      </c>
      <c r="BV304" s="99">
        <v>800</v>
      </c>
      <c r="BW304" s="113">
        <v>5000</v>
      </c>
      <c r="BX304" s="102">
        <f t="shared" si="713"/>
        <v>10400</v>
      </c>
      <c r="BY304" s="99">
        <v>800</v>
      </c>
      <c r="BZ304" s="113"/>
      <c r="CA304" s="102">
        <f t="shared" si="714"/>
        <v>11200</v>
      </c>
      <c r="CB304" s="99">
        <v>800</v>
      </c>
      <c r="CC304" s="113"/>
      <c r="CD304" s="102">
        <f t="shared" si="715"/>
        <v>12000</v>
      </c>
      <c r="CE304" s="99">
        <v>800</v>
      </c>
      <c r="CF304" s="113"/>
      <c r="CG304" s="102">
        <f t="shared" si="716"/>
        <v>12800</v>
      </c>
      <c r="CH304" s="99">
        <v>800</v>
      </c>
      <c r="CI304" s="113"/>
      <c r="CJ304" s="102">
        <f t="shared" si="717"/>
        <v>13600</v>
      </c>
      <c r="CK304" s="99">
        <v>800</v>
      </c>
      <c r="CL304" s="113"/>
      <c r="CM304" s="102">
        <f t="shared" si="718"/>
        <v>14400</v>
      </c>
      <c r="CN304" s="99">
        <v>800</v>
      </c>
      <c r="CO304" s="113"/>
      <c r="CP304" s="102">
        <f t="shared" si="719"/>
        <v>15200</v>
      </c>
      <c r="CQ304" s="99">
        <v>800</v>
      </c>
      <c r="CR304" s="113"/>
      <c r="CS304" s="102">
        <f>CP304+CQ304-CR304</f>
        <v>16000</v>
      </c>
      <c r="CT304" s="99">
        <v>800</v>
      </c>
      <c r="CU304" s="113"/>
      <c r="CV304" s="102">
        <f>CS304+CT304-CU304</f>
        <v>16800</v>
      </c>
      <c r="CW304" s="99">
        <v>800</v>
      </c>
      <c r="CX304" s="113"/>
      <c r="CY304" s="102">
        <f>CV304+CW304-CX304</f>
        <v>17600</v>
      </c>
    </row>
    <row r="305" spans="1:103">
      <c r="A305" s="41" t="e">
        <f>VLOOKUP(B305,справочник!$B$2:$E$322,4,FALSE)</f>
        <v>#N/A</v>
      </c>
      <c r="B305" t="str">
        <f t="shared" si="592"/>
        <v>23Чигрина Анна Анатольевна</v>
      </c>
      <c r="C305" s="1">
        <v>23</v>
      </c>
      <c r="D305" s="2" t="s">
        <v>768</v>
      </c>
      <c r="E305" s="1" t="s">
        <v>596</v>
      </c>
      <c r="F305" s="16">
        <v>41422</v>
      </c>
      <c r="G305" s="16">
        <v>41456</v>
      </c>
      <c r="H305" s="17">
        <f t="shared" si="698"/>
        <v>30</v>
      </c>
      <c r="I305" s="1">
        <f t="shared" si="654"/>
        <v>30000</v>
      </c>
      <c r="J305" s="17">
        <v>30000</v>
      </c>
      <c r="K305" s="17"/>
      <c r="L305" s="18">
        <f t="shared" si="591"/>
        <v>0</v>
      </c>
      <c r="M305" s="29">
        <v>11600</v>
      </c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>
        <v>9600</v>
      </c>
      <c r="Y305" s="18">
        <f t="shared" si="593"/>
        <v>21200</v>
      </c>
      <c r="Z305" s="96">
        <v>12</v>
      </c>
      <c r="AA305" s="96">
        <f t="shared" si="594"/>
        <v>9600</v>
      </c>
      <c r="AB305" s="96">
        <f>L305+AA305-Y305</f>
        <v>-11600</v>
      </c>
      <c r="AC305" s="99">
        <v>800</v>
      </c>
      <c r="AD305" s="98"/>
      <c r="AE305" s="102">
        <f t="shared" si="596"/>
        <v>-10800</v>
      </c>
      <c r="AF305" s="99">
        <v>800</v>
      </c>
      <c r="AG305" s="98"/>
      <c r="AH305" s="102">
        <f t="shared" si="699"/>
        <v>-10000</v>
      </c>
      <c r="AI305" s="99">
        <v>800</v>
      </c>
      <c r="AJ305" s="98"/>
      <c r="AK305" s="102">
        <f t="shared" si="700"/>
        <v>-9200</v>
      </c>
      <c r="AL305" s="99">
        <v>800</v>
      </c>
      <c r="AM305" s="98"/>
      <c r="AN305" s="102">
        <f t="shared" si="701"/>
        <v>-8400</v>
      </c>
      <c r="AO305" s="99">
        <v>800</v>
      </c>
      <c r="AP305" s="113"/>
      <c r="AQ305" s="102">
        <f t="shared" si="702"/>
        <v>-7600</v>
      </c>
      <c r="AR305" s="99">
        <v>800</v>
      </c>
      <c r="AS305" s="113"/>
      <c r="AT305" s="102">
        <f t="shared" si="703"/>
        <v>-6800</v>
      </c>
      <c r="AU305" s="99">
        <v>800</v>
      </c>
      <c r="AV305" s="113"/>
      <c r="AW305" s="102">
        <f t="shared" si="704"/>
        <v>-6000</v>
      </c>
      <c r="AX305" s="99">
        <v>800</v>
      </c>
      <c r="AY305" s="113"/>
      <c r="AZ305" s="102">
        <f t="shared" si="705"/>
        <v>-5200</v>
      </c>
      <c r="BA305" s="99">
        <v>800</v>
      </c>
      <c r="BB305" s="113"/>
      <c r="BC305" s="102">
        <f t="shared" si="706"/>
        <v>-4400</v>
      </c>
      <c r="BD305" s="99">
        <v>800</v>
      </c>
      <c r="BE305" s="113"/>
      <c r="BF305" s="102">
        <f t="shared" si="707"/>
        <v>-3600</v>
      </c>
      <c r="BG305" s="99">
        <v>800</v>
      </c>
      <c r="BH305" s="113"/>
      <c r="BI305" s="102">
        <f t="shared" si="708"/>
        <v>-2800</v>
      </c>
      <c r="BJ305" s="99">
        <v>800</v>
      </c>
      <c r="BK305" s="113">
        <v>7600</v>
      </c>
      <c r="BL305" s="102">
        <f t="shared" si="709"/>
        <v>-9600</v>
      </c>
      <c r="BM305" s="99">
        <v>800</v>
      </c>
      <c r="BN305" s="113"/>
      <c r="BO305" s="102">
        <f t="shared" si="710"/>
        <v>-8800</v>
      </c>
      <c r="BP305" s="99">
        <v>800</v>
      </c>
      <c r="BQ305" s="113"/>
      <c r="BR305" s="102">
        <f t="shared" si="711"/>
        <v>-8000</v>
      </c>
      <c r="BS305" s="99">
        <v>800</v>
      </c>
      <c r="BT305" s="113"/>
      <c r="BU305" s="102">
        <f t="shared" si="712"/>
        <v>-7200</v>
      </c>
      <c r="BV305" s="99">
        <v>800</v>
      </c>
      <c r="BW305" s="113"/>
      <c r="BX305" s="102">
        <f t="shared" si="713"/>
        <v>-6400</v>
      </c>
      <c r="BY305" s="99">
        <v>800</v>
      </c>
      <c r="BZ305" s="113"/>
      <c r="CA305" s="102">
        <f t="shared" si="714"/>
        <v>-5600</v>
      </c>
      <c r="CB305" s="99">
        <v>800</v>
      </c>
      <c r="CC305" s="113"/>
      <c r="CD305" s="102">
        <f t="shared" si="715"/>
        <v>-4800</v>
      </c>
      <c r="CE305" s="99">
        <v>800</v>
      </c>
      <c r="CF305" s="113"/>
      <c r="CG305" s="102">
        <f t="shared" si="716"/>
        <v>-4000</v>
      </c>
      <c r="CH305" s="99">
        <v>800</v>
      </c>
      <c r="CI305" s="113"/>
      <c r="CJ305" s="102">
        <f t="shared" si="717"/>
        <v>-3200</v>
      </c>
      <c r="CK305" s="99">
        <v>800</v>
      </c>
      <c r="CL305" s="113"/>
      <c r="CM305" s="102">
        <f t="shared" si="718"/>
        <v>-2400</v>
      </c>
      <c r="CN305" s="99">
        <v>800</v>
      </c>
      <c r="CO305" s="113"/>
      <c r="CP305" s="102">
        <f t="shared" si="719"/>
        <v>-1600</v>
      </c>
      <c r="CQ305" s="99">
        <v>800</v>
      </c>
      <c r="CR305" s="113"/>
      <c r="CS305" s="102">
        <f t="shared" ref="CS305:CS306" si="720">CP305+CQ305-CR305</f>
        <v>-800</v>
      </c>
      <c r="CT305" s="99">
        <v>800</v>
      </c>
      <c r="CU305" s="113">
        <v>9600</v>
      </c>
      <c r="CV305" s="102">
        <f t="shared" ref="CV305:CV306" si="721">CS305+CT305-CU305</f>
        <v>-9600</v>
      </c>
      <c r="CW305" s="99">
        <v>800</v>
      </c>
      <c r="CX305" s="113"/>
      <c r="CY305" s="102">
        <f t="shared" ref="CY305:CY306" si="722">CV305+CW305-CX305</f>
        <v>-8800</v>
      </c>
    </row>
    <row r="306" spans="1:103">
      <c r="A306" s="41">
        <f>VLOOKUP(B306,справочник!$B$2:$E$322,4,FALSE)</f>
        <v>168</v>
      </c>
      <c r="B306" t="str">
        <f t="shared" si="592"/>
        <v>176Чикачёв Сергей Иванович</v>
      </c>
      <c r="C306" s="1">
        <v>176</v>
      </c>
      <c r="D306" s="2" t="s">
        <v>290</v>
      </c>
      <c r="E306" s="1" t="s">
        <v>597</v>
      </c>
      <c r="F306" s="16">
        <v>41939</v>
      </c>
      <c r="G306" s="16">
        <v>41974</v>
      </c>
      <c r="H306" s="17">
        <f t="shared" si="698"/>
        <v>13</v>
      </c>
      <c r="I306" s="1">
        <f t="shared" si="654"/>
        <v>13000</v>
      </c>
      <c r="J306" s="17">
        <v>11000</v>
      </c>
      <c r="K306" s="17">
        <v>2000</v>
      </c>
      <c r="L306" s="18">
        <f t="shared" si="591"/>
        <v>0</v>
      </c>
      <c r="M306" s="29"/>
      <c r="N306" s="29">
        <v>2000</v>
      </c>
      <c r="O306" s="29"/>
      <c r="P306" s="29">
        <v>2000</v>
      </c>
      <c r="Q306" s="29">
        <v>2000</v>
      </c>
      <c r="R306" s="29"/>
      <c r="S306" s="29">
        <v>2000</v>
      </c>
      <c r="T306" s="29"/>
      <c r="U306" s="29">
        <v>2000</v>
      </c>
      <c r="V306" s="29"/>
      <c r="W306" s="29">
        <v>2000</v>
      </c>
      <c r="X306" s="29"/>
      <c r="Y306" s="18">
        <f t="shared" si="593"/>
        <v>12000</v>
      </c>
      <c r="Z306" s="96">
        <v>12</v>
      </c>
      <c r="AA306" s="96">
        <f t="shared" si="594"/>
        <v>9600</v>
      </c>
      <c r="AB306" s="96">
        <f t="shared" si="595"/>
        <v>-2400</v>
      </c>
      <c r="AC306" s="99">
        <v>800</v>
      </c>
      <c r="AD306" s="98"/>
      <c r="AE306" s="102">
        <f t="shared" si="596"/>
        <v>-1600</v>
      </c>
      <c r="AF306" s="99">
        <v>800</v>
      </c>
      <c r="AG306" s="98">
        <v>2000</v>
      </c>
      <c r="AH306" s="102">
        <f t="shared" si="699"/>
        <v>-2800</v>
      </c>
      <c r="AI306" s="99">
        <v>800</v>
      </c>
      <c r="AJ306" s="98"/>
      <c r="AK306" s="102">
        <f t="shared" si="700"/>
        <v>-2000</v>
      </c>
      <c r="AL306" s="99">
        <v>800</v>
      </c>
      <c r="AM306" s="98">
        <v>2000</v>
      </c>
      <c r="AN306" s="102">
        <f t="shared" si="701"/>
        <v>-3200</v>
      </c>
      <c r="AO306" s="99">
        <v>800</v>
      </c>
      <c r="AP306" s="113"/>
      <c r="AQ306" s="102">
        <f t="shared" si="702"/>
        <v>-2400</v>
      </c>
      <c r="AR306" s="99">
        <v>800</v>
      </c>
      <c r="AS306" s="113">
        <v>2000</v>
      </c>
      <c r="AT306" s="102">
        <f t="shared" si="703"/>
        <v>-3600</v>
      </c>
      <c r="AU306" s="99">
        <v>800</v>
      </c>
      <c r="AV306" s="113">
        <v>2000</v>
      </c>
      <c r="AW306" s="102">
        <f t="shared" si="704"/>
        <v>-4800</v>
      </c>
      <c r="AX306" s="99">
        <v>800</v>
      </c>
      <c r="AY306" s="113"/>
      <c r="AZ306" s="102">
        <f t="shared" si="705"/>
        <v>-4000</v>
      </c>
      <c r="BA306" s="99">
        <v>800</v>
      </c>
      <c r="BB306" s="113"/>
      <c r="BC306" s="102">
        <f t="shared" si="706"/>
        <v>-3200</v>
      </c>
      <c r="BD306" s="99">
        <v>800</v>
      </c>
      <c r="BE306" s="113"/>
      <c r="BF306" s="102">
        <f t="shared" si="707"/>
        <v>-2400</v>
      </c>
      <c r="BG306" s="99">
        <v>800</v>
      </c>
      <c r="BH306" s="113"/>
      <c r="BI306" s="102">
        <f t="shared" si="708"/>
        <v>-1600</v>
      </c>
      <c r="BJ306" s="99">
        <v>800</v>
      </c>
      <c r="BK306" s="113"/>
      <c r="BL306" s="102">
        <f t="shared" si="709"/>
        <v>-800</v>
      </c>
      <c r="BM306" s="99">
        <v>800</v>
      </c>
      <c r="BN306" s="113"/>
      <c r="BO306" s="102">
        <f t="shared" si="710"/>
        <v>0</v>
      </c>
      <c r="BP306" s="99">
        <v>800</v>
      </c>
      <c r="BQ306" s="113">
        <v>2000</v>
      </c>
      <c r="BR306" s="102">
        <f t="shared" si="711"/>
        <v>-1200</v>
      </c>
      <c r="BS306" s="99">
        <v>800</v>
      </c>
      <c r="BT306" s="113"/>
      <c r="BU306" s="102">
        <f t="shared" si="712"/>
        <v>-400</v>
      </c>
      <c r="BV306" s="99">
        <v>800</v>
      </c>
      <c r="BW306" s="113">
        <v>2000</v>
      </c>
      <c r="BX306" s="102">
        <f t="shared" si="713"/>
        <v>-1600</v>
      </c>
      <c r="BY306" s="99">
        <v>800</v>
      </c>
      <c r="BZ306" s="113"/>
      <c r="CA306" s="102">
        <f t="shared" si="714"/>
        <v>-800</v>
      </c>
      <c r="CB306" s="99">
        <v>800</v>
      </c>
      <c r="CC306" s="113">
        <v>2000</v>
      </c>
      <c r="CD306" s="102">
        <f t="shared" si="715"/>
        <v>-2000</v>
      </c>
      <c r="CE306" s="99">
        <v>800</v>
      </c>
      <c r="CF306" s="113"/>
      <c r="CG306" s="102">
        <f t="shared" si="716"/>
        <v>-1200</v>
      </c>
      <c r="CH306" s="99">
        <v>800</v>
      </c>
      <c r="CI306" s="113">
        <v>2000</v>
      </c>
      <c r="CJ306" s="102">
        <f t="shared" si="717"/>
        <v>-2400</v>
      </c>
      <c r="CK306" s="99">
        <v>800</v>
      </c>
      <c r="CL306" s="113"/>
      <c r="CM306" s="102">
        <f t="shared" si="718"/>
        <v>-1600</v>
      </c>
      <c r="CN306" s="99">
        <v>800</v>
      </c>
      <c r="CO306" s="113">
        <f>2000+2000</f>
        <v>4000</v>
      </c>
      <c r="CP306" s="102">
        <f t="shared" si="719"/>
        <v>-4800</v>
      </c>
      <c r="CQ306" s="99">
        <v>800</v>
      </c>
      <c r="CR306" s="113"/>
      <c r="CS306" s="102">
        <f t="shared" si="720"/>
        <v>-4000</v>
      </c>
      <c r="CT306" s="99">
        <v>800</v>
      </c>
      <c r="CU306" s="113">
        <v>2000</v>
      </c>
      <c r="CV306" s="102">
        <f t="shared" si="721"/>
        <v>-5200</v>
      </c>
      <c r="CW306" s="99">
        <v>800</v>
      </c>
      <c r="CX306" s="113">
        <v>2000</v>
      </c>
      <c r="CY306" s="102">
        <f t="shared" si="722"/>
        <v>-6400</v>
      </c>
    </row>
    <row r="307" spans="1:103" ht="25.5" customHeight="1">
      <c r="A307" s="41">
        <f>VLOOKUP(B307,справочник!$B$2:$E$322,4,FALSE)</f>
        <v>84</v>
      </c>
      <c r="B307" t="str">
        <f t="shared" si="592"/>
        <v>89Шабунина Светлана Николаевна</v>
      </c>
      <c r="C307" s="1">
        <v>89</v>
      </c>
      <c r="D307" s="2" t="s">
        <v>291</v>
      </c>
      <c r="E307" s="1" t="s">
        <v>598</v>
      </c>
      <c r="F307" s="16">
        <v>40785</v>
      </c>
      <c r="G307" s="16">
        <v>40787</v>
      </c>
      <c r="H307" s="17">
        <f t="shared" si="698"/>
        <v>52</v>
      </c>
      <c r="I307" s="1">
        <f t="shared" si="654"/>
        <v>52000</v>
      </c>
      <c r="J307" s="17">
        <f>1000+51000</f>
        <v>52000</v>
      </c>
      <c r="K307" s="17"/>
      <c r="L307" s="18">
        <f t="shared" si="591"/>
        <v>0</v>
      </c>
      <c r="M307" s="29"/>
      <c r="N307" s="29"/>
      <c r="O307" s="29"/>
      <c r="P307" s="29"/>
      <c r="Q307" s="29"/>
      <c r="R307" s="29">
        <v>4800</v>
      </c>
      <c r="S307" s="29"/>
      <c r="T307" s="29"/>
      <c r="U307" s="29"/>
      <c r="V307" s="29"/>
      <c r="W307" s="84">
        <v>4800</v>
      </c>
      <c r="X307" s="29"/>
      <c r="Y307" s="18">
        <f t="shared" si="593"/>
        <v>9600</v>
      </c>
      <c r="Z307" s="96">
        <v>12</v>
      </c>
      <c r="AA307" s="96">
        <f t="shared" si="594"/>
        <v>9600</v>
      </c>
      <c r="AB307" s="96">
        <f t="shared" si="595"/>
        <v>0</v>
      </c>
      <c r="AC307" s="99">
        <v>800</v>
      </c>
      <c r="AD307" s="98"/>
      <c r="AE307" s="102">
        <f t="shared" si="596"/>
        <v>800</v>
      </c>
      <c r="AF307" s="99">
        <v>800</v>
      </c>
      <c r="AG307" s="98"/>
      <c r="AH307" s="102">
        <f t="shared" si="699"/>
        <v>1600</v>
      </c>
      <c r="AI307" s="99">
        <v>800</v>
      </c>
      <c r="AJ307" s="98">
        <v>4800</v>
      </c>
      <c r="AK307" s="102">
        <f t="shared" si="700"/>
        <v>-2400</v>
      </c>
      <c r="AL307" s="99">
        <v>800</v>
      </c>
      <c r="AM307" s="98"/>
      <c r="AN307" s="102">
        <f t="shared" si="701"/>
        <v>-1600</v>
      </c>
      <c r="AO307" s="99">
        <v>800</v>
      </c>
      <c r="AP307" s="113"/>
      <c r="AQ307" s="102">
        <f t="shared" si="702"/>
        <v>-800</v>
      </c>
      <c r="AR307" s="99">
        <v>800</v>
      </c>
      <c r="AS307" s="113"/>
      <c r="AT307" s="102">
        <f t="shared" si="703"/>
        <v>0</v>
      </c>
      <c r="AU307" s="99">
        <v>800</v>
      </c>
      <c r="AV307" s="113"/>
      <c r="AW307" s="102">
        <f t="shared" si="704"/>
        <v>800</v>
      </c>
      <c r="AX307" s="99">
        <v>800</v>
      </c>
      <c r="AY307" s="113"/>
      <c r="AZ307" s="102">
        <f t="shared" si="705"/>
        <v>1600</v>
      </c>
      <c r="BA307" s="99">
        <v>800</v>
      </c>
      <c r="BB307" s="113"/>
      <c r="BC307" s="102">
        <f t="shared" si="706"/>
        <v>2400</v>
      </c>
      <c r="BD307" s="99">
        <v>800</v>
      </c>
      <c r="BE307" s="113"/>
      <c r="BF307" s="102">
        <f t="shared" si="707"/>
        <v>3200</v>
      </c>
      <c r="BG307" s="99">
        <v>800</v>
      </c>
      <c r="BH307" s="113">
        <f>4800+712.45</f>
        <v>5512.45</v>
      </c>
      <c r="BI307" s="102">
        <f t="shared" si="708"/>
        <v>-1512.4499999999998</v>
      </c>
      <c r="BJ307" s="99">
        <v>800</v>
      </c>
      <c r="BK307" s="113"/>
      <c r="BL307" s="102">
        <f t="shared" si="709"/>
        <v>-712.44999999999982</v>
      </c>
      <c r="BM307" s="99">
        <v>800</v>
      </c>
      <c r="BN307" s="113"/>
      <c r="BO307" s="102">
        <f t="shared" si="710"/>
        <v>87.550000000000182</v>
      </c>
      <c r="BP307" s="99">
        <v>800</v>
      </c>
      <c r="BQ307" s="113"/>
      <c r="BR307" s="102">
        <f t="shared" si="711"/>
        <v>887.55000000000018</v>
      </c>
      <c r="BS307" s="99">
        <v>800</v>
      </c>
      <c r="BT307" s="113"/>
      <c r="BU307" s="102">
        <f t="shared" si="712"/>
        <v>1687.5500000000002</v>
      </c>
      <c r="BV307" s="99">
        <v>800</v>
      </c>
      <c r="BW307" s="113">
        <v>4800</v>
      </c>
      <c r="BX307" s="102">
        <f t="shared" si="713"/>
        <v>-2312.4499999999998</v>
      </c>
      <c r="BY307" s="99">
        <v>800</v>
      </c>
      <c r="BZ307" s="113"/>
      <c r="CA307" s="102">
        <f t="shared" si="714"/>
        <v>-1512.4499999999998</v>
      </c>
      <c r="CB307" s="99">
        <v>800</v>
      </c>
      <c r="CC307" s="113"/>
      <c r="CD307" s="102">
        <f t="shared" si="715"/>
        <v>-712.44999999999982</v>
      </c>
      <c r="CE307" s="99">
        <v>800</v>
      </c>
      <c r="CF307" s="113"/>
      <c r="CG307" s="102">
        <f t="shared" si="716"/>
        <v>87.550000000000182</v>
      </c>
      <c r="CH307" s="99">
        <v>800</v>
      </c>
      <c r="CI307" s="113">
        <v>5000</v>
      </c>
      <c r="CJ307" s="102">
        <f t="shared" si="717"/>
        <v>-4112.45</v>
      </c>
      <c r="CK307" s="99">
        <v>800</v>
      </c>
      <c r="CL307" s="113"/>
      <c r="CM307" s="102">
        <f t="shared" si="718"/>
        <v>-3312.45</v>
      </c>
      <c r="CN307" s="99">
        <v>800</v>
      </c>
      <c r="CO307" s="113"/>
      <c r="CP307" s="102">
        <f t="shared" si="719"/>
        <v>-2512.4499999999998</v>
      </c>
      <c r="CQ307" s="99">
        <v>800</v>
      </c>
      <c r="CR307" s="113"/>
      <c r="CS307" s="102">
        <f>CP307+CQ307-CR307</f>
        <v>-1712.4499999999998</v>
      </c>
      <c r="CT307" s="99">
        <v>800</v>
      </c>
      <c r="CU307" s="113"/>
      <c r="CV307" s="102">
        <f>CS307+CT307-CU307</f>
        <v>-912.44999999999982</v>
      </c>
      <c r="CW307" s="99">
        <v>800</v>
      </c>
      <c r="CX307" s="113"/>
      <c r="CY307" s="102">
        <f>CV307+CW307-CX307</f>
        <v>-112.44999999999982</v>
      </c>
    </row>
    <row r="308" spans="1:103" s="80" customFormat="1">
      <c r="A308" s="103">
        <f>VLOOKUP(B308,справочник!$B$2:$E$322,4,FALSE)</f>
        <v>88</v>
      </c>
      <c r="B308" s="80" t="str">
        <f t="shared" si="592"/>
        <v>97+93Шалинов Андрей Вадимович</v>
      </c>
      <c r="C308" s="5" t="s">
        <v>706</v>
      </c>
      <c r="D308" s="7" t="s">
        <v>292</v>
      </c>
      <c r="E308" s="5" t="s">
        <v>599</v>
      </c>
      <c r="F308" s="19">
        <v>40925</v>
      </c>
      <c r="G308" s="19">
        <v>40909</v>
      </c>
      <c r="H308" s="20">
        <f t="shared" si="698"/>
        <v>48</v>
      </c>
      <c r="I308" s="5">
        <f t="shared" si="654"/>
        <v>48000</v>
      </c>
      <c r="J308" s="20">
        <v>44000</v>
      </c>
      <c r="K308" s="20"/>
      <c r="L308" s="21">
        <f t="shared" si="591"/>
        <v>4000</v>
      </c>
      <c r="M308" s="109">
        <v>8000</v>
      </c>
      <c r="N308" s="109"/>
      <c r="O308" s="109"/>
      <c r="P308" s="109"/>
      <c r="Q308" s="109"/>
      <c r="R308" s="109"/>
      <c r="S308" s="109">
        <v>9600</v>
      </c>
      <c r="T308" s="109"/>
      <c r="U308" s="109"/>
      <c r="V308" s="109"/>
      <c r="W308" s="109"/>
      <c r="X308" s="109"/>
      <c r="Y308" s="21">
        <f>SUM(M308:X308)</f>
        <v>17600</v>
      </c>
      <c r="Z308" s="104">
        <v>12</v>
      </c>
      <c r="AA308" s="104">
        <f>Z308*800</f>
        <v>9600</v>
      </c>
      <c r="AB308" s="104">
        <f t="shared" si="595"/>
        <v>-4000</v>
      </c>
      <c r="AC308" s="104">
        <v>800</v>
      </c>
      <c r="AD308" s="105"/>
      <c r="AE308" s="222">
        <f>SUM(AB308:AB309)+SUM(AC308:AC309)-SUM(AD308:AD309)</f>
        <v>-1200</v>
      </c>
      <c r="AF308" s="104">
        <v>800</v>
      </c>
      <c r="AG308" s="105"/>
      <c r="AH308" s="222">
        <f>AE308+SUM(AF308:AF309)</f>
        <v>-400</v>
      </c>
      <c r="AI308" s="104">
        <v>800</v>
      </c>
      <c r="AJ308" s="218">
        <v>4800</v>
      </c>
      <c r="AK308" s="222">
        <f>AH308+SUM(AI308:AI309)-AJ308</f>
        <v>-4400</v>
      </c>
      <c r="AL308" s="104">
        <v>800</v>
      </c>
      <c r="AM308" s="105"/>
      <c r="AN308" s="222">
        <f>AK308+SUM(AL308:AL309)</f>
        <v>-3600</v>
      </c>
      <c r="AO308" s="104">
        <v>800</v>
      </c>
      <c r="AP308" s="105"/>
      <c r="AQ308" s="222">
        <f>AN308+AO308</f>
        <v>-2800</v>
      </c>
      <c r="AR308" s="104">
        <v>800</v>
      </c>
      <c r="AS308" s="105"/>
      <c r="AT308" s="222">
        <f>AQ308+SUM(AR308:AR309)-SUM(AS308:AS309)</f>
        <v>-6800</v>
      </c>
      <c r="AU308" s="104">
        <v>800</v>
      </c>
      <c r="AV308" s="105"/>
      <c r="AW308" s="216">
        <f>AT308+AU308</f>
        <v>-6000</v>
      </c>
      <c r="AX308" s="104">
        <v>800</v>
      </c>
      <c r="AY308" s="105"/>
      <c r="AZ308" s="216">
        <f>AW308+AX308</f>
        <v>-5200</v>
      </c>
      <c r="BA308" s="104">
        <v>800</v>
      </c>
      <c r="BB308" s="105"/>
      <c r="BC308" s="216">
        <f>AZ308+BA308</f>
        <v>-4400</v>
      </c>
      <c r="BD308" s="104">
        <v>800</v>
      </c>
      <c r="BE308" s="105"/>
      <c r="BF308" s="216">
        <f>BC308+BD308</f>
        <v>-3600</v>
      </c>
      <c r="BG308" s="104">
        <v>800</v>
      </c>
      <c r="BH308" s="105"/>
      <c r="BI308" s="216">
        <f>BF308+BG308</f>
        <v>-2800</v>
      </c>
      <c r="BJ308" s="104">
        <v>800</v>
      </c>
      <c r="BK308" s="105"/>
      <c r="BL308" s="216">
        <f>BI308+BJ308</f>
        <v>-2000</v>
      </c>
      <c r="BM308" s="104">
        <v>800</v>
      </c>
      <c r="BN308" s="105"/>
      <c r="BO308" s="216">
        <f>BL308+BM308</f>
        <v>-1200</v>
      </c>
      <c r="BP308" s="104">
        <v>800</v>
      </c>
      <c r="BQ308" s="105">
        <v>9600</v>
      </c>
      <c r="BR308" s="216">
        <f>BO308+BP308-SUM(BQ308:BQ309)</f>
        <v>-10000</v>
      </c>
      <c r="BS308" s="104">
        <v>800</v>
      </c>
      <c r="BT308" s="105"/>
      <c r="BU308" s="216">
        <f>BR308+BS308-SUM(BT308:BT309)</f>
        <v>-9200</v>
      </c>
      <c r="BV308" s="104">
        <v>800</v>
      </c>
      <c r="BW308" s="105"/>
      <c r="BX308" s="216">
        <f>BU308+BV308-SUM(BW308:BW309)</f>
        <v>-8400</v>
      </c>
      <c r="BY308" s="104">
        <v>800</v>
      </c>
      <c r="BZ308" s="105"/>
      <c r="CA308" s="216">
        <f>BX308+BY308-SUM(BZ308:BZ309)</f>
        <v>-7600</v>
      </c>
      <c r="CB308" s="104">
        <v>800</v>
      </c>
      <c r="CC308" s="105"/>
      <c r="CD308" s="216">
        <f>CA308+CB308-SUM(CC308:CC309)</f>
        <v>-6800</v>
      </c>
      <c r="CE308" s="104">
        <v>800</v>
      </c>
      <c r="CF308" s="105"/>
      <c r="CG308" s="216">
        <f>CD308+CE308-SUM(CF308:CF309)</f>
        <v>-6000</v>
      </c>
      <c r="CH308" s="104">
        <v>800</v>
      </c>
      <c r="CI308" s="105"/>
      <c r="CJ308" s="216">
        <f>CG308+CH308-SUM(CI308:CI309)</f>
        <v>-5200</v>
      </c>
      <c r="CK308" s="104">
        <v>800</v>
      </c>
      <c r="CL308" s="105"/>
      <c r="CM308" s="216">
        <f>CJ308+CK308-SUM(CL308:CL309)</f>
        <v>-4400</v>
      </c>
      <c r="CN308" s="104">
        <v>800</v>
      </c>
      <c r="CO308" s="105"/>
      <c r="CP308" s="216">
        <f>CM308+CN308-SUM(CO308:CO309)</f>
        <v>-3600</v>
      </c>
      <c r="CQ308" s="104">
        <v>800</v>
      </c>
      <c r="CR308" s="105"/>
      <c r="CS308" s="216">
        <f>CP308+CQ308-CR308</f>
        <v>-2800</v>
      </c>
      <c r="CT308" s="104">
        <v>800</v>
      </c>
      <c r="CU308" s="105"/>
      <c r="CV308" s="216">
        <f>CS308+CT308-CU308</f>
        <v>-2000</v>
      </c>
      <c r="CW308" s="104">
        <v>800</v>
      </c>
      <c r="CX308" s="105">
        <v>9600</v>
      </c>
      <c r="CY308" s="216">
        <f>CV308+CW308-CX308</f>
        <v>-10800</v>
      </c>
    </row>
    <row r="309" spans="1:103" s="80" customFormat="1">
      <c r="A309" s="103">
        <f>VLOOKUP(B309,справочник!$B$2:$E$322,4,FALSE)</f>
        <v>88</v>
      </c>
      <c r="B309" s="80" t="str">
        <f t="shared" si="592"/>
        <v>97+93Шалинов Андрей Вадимович</v>
      </c>
      <c r="C309" s="5" t="s">
        <v>706</v>
      </c>
      <c r="D309" s="7" t="s">
        <v>292</v>
      </c>
      <c r="E309" s="5" t="s">
        <v>600</v>
      </c>
      <c r="F309" s="19">
        <v>40925</v>
      </c>
      <c r="G309" s="19">
        <v>40909</v>
      </c>
      <c r="H309" s="20">
        <v>46</v>
      </c>
      <c r="I309" s="5">
        <f t="shared" si="654"/>
        <v>46000</v>
      </c>
      <c r="J309" s="20">
        <v>44000</v>
      </c>
      <c r="K309" s="20"/>
      <c r="L309" s="21">
        <f t="shared" si="591"/>
        <v>2000</v>
      </c>
      <c r="M309" s="109"/>
      <c r="N309" s="109"/>
      <c r="O309" s="109"/>
      <c r="P309" s="109"/>
      <c r="Q309" s="109"/>
      <c r="R309" s="109"/>
      <c r="S309" s="109"/>
      <c r="T309" s="109"/>
      <c r="U309" s="109"/>
      <c r="V309" s="109"/>
      <c r="W309" s="109"/>
      <c r="X309" s="109"/>
      <c r="Y309" s="21">
        <f t="shared" si="593"/>
        <v>0</v>
      </c>
      <c r="Z309" s="104">
        <v>0</v>
      </c>
      <c r="AA309" s="104">
        <f t="shared" si="594"/>
        <v>0</v>
      </c>
      <c r="AB309" s="104">
        <f t="shared" si="595"/>
        <v>2000</v>
      </c>
      <c r="AC309" s="104">
        <v>0</v>
      </c>
      <c r="AD309" s="105"/>
      <c r="AE309" s="223"/>
      <c r="AF309" s="104">
        <v>0</v>
      </c>
      <c r="AG309" s="105"/>
      <c r="AH309" s="223"/>
      <c r="AI309" s="104">
        <v>0</v>
      </c>
      <c r="AJ309" s="219"/>
      <c r="AK309" s="223"/>
      <c r="AL309" s="104">
        <v>0</v>
      </c>
      <c r="AM309" s="105"/>
      <c r="AN309" s="223"/>
      <c r="AO309" s="104">
        <v>0</v>
      </c>
      <c r="AP309" s="105"/>
      <c r="AQ309" s="223"/>
      <c r="AR309" s="104">
        <v>0</v>
      </c>
      <c r="AS309" s="105">
        <v>4800</v>
      </c>
      <c r="AT309" s="223"/>
      <c r="AU309" s="104">
        <v>0</v>
      </c>
      <c r="AV309" s="105"/>
      <c r="AW309" s="217"/>
      <c r="AX309" s="104">
        <v>0</v>
      </c>
      <c r="AY309" s="105"/>
      <c r="AZ309" s="217"/>
      <c r="BA309" s="104">
        <v>0</v>
      </c>
      <c r="BB309" s="105"/>
      <c r="BC309" s="217"/>
      <c r="BD309" s="104">
        <v>0</v>
      </c>
      <c r="BE309" s="105"/>
      <c r="BF309" s="217"/>
      <c r="BG309" s="104">
        <v>0</v>
      </c>
      <c r="BH309" s="105"/>
      <c r="BI309" s="217"/>
      <c r="BJ309" s="104">
        <v>0</v>
      </c>
      <c r="BK309" s="105"/>
      <c r="BL309" s="217"/>
      <c r="BM309" s="104">
        <v>0</v>
      </c>
      <c r="BN309" s="105"/>
      <c r="BO309" s="217"/>
      <c r="BP309" s="104">
        <v>0</v>
      </c>
      <c r="BQ309" s="105"/>
      <c r="BR309" s="217"/>
      <c r="BS309" s="104">
        <v>0</v>
      </c>
      <c r="BT309" s="105"/>
      <c r="BU309" s="217"/>
      <c r="BV309" s="104">
        <v>0</v>
      </c>
      <c r="BW309" s="105"/>
      <c r="BX309" s="217"/>
      <c r="BY309" s="104">
        <v>0</v>
      </c>
      <c r="BZ309" s="105"/>
      <c r="CA309" s="217"/>
      <c r="CB309" s="104">
        <v>0</v>
      </c>
      <c r="CC309" s="105"/>
      <c r="CD309" s="217"/>
      <c r="CE309" s="104">
        <v>0</v>
      </c>
      <c r="CF309" s="105"/>
      <c r="CG309" s="217"/>
      <c r="CH309" s="104">
        <v>0</v>
      </c>
      <c r="CI309" s="105"/>
      <c r="CJ309" s="217"/>
      <c r="CK309" s="104">
        <v>0</v>
      </c>
      <c r="CL309" s="105"/>
      <c r="CM309" s="217"/>
      <c r="CN309" s="104">
        <v>0</v>
      </c>
      <c r="CO309" s="105"/>
      <c r="CP309" s="217"/>
      <c r="CQ309" s="104">
        <v>0</v>
      </c>
      <c r="CR309" s="105"/>
      <c r="CS309" s="217"/>
      <c r="CT309" s="104">
        <v>0</v>
      </c>
      <c r="CU309" s="105"/>
      <c r="CV309" s="217"/>
      <c r="CW309" s="104">
        <v>0</v>
      </c>
      <c r="CX309" s="105"/>
      <c r="CY309" s="217"/>
    </row>
    <row r="310" spans="1:103">
      <c r="A310" s="41">
        <f>VLOOKUP(B310,справочник!$B$2:$E$322,4,FALSE)</f>
        <v>78</v>
      </c>
      <c r="B310" t="str">
        <f t="shared" si="592"/>
        <v>83Шелухина Мария Сергеевна</v>
      </c>
      <c r="C310" s="1">
        <v>83</v>
      </c>
      <c r="D310" s="2" t="s">
        <v>294</v>
      </c>
      <c r="E310" s="1"/>
      <c r="F310" s="16">
        <v>41456</v>
      </c>
      <c r="G310" s="16">
        <v>41457</v>
      </c>
      <c r="H310" s="17">
        <f t="shared" ref="H310:H320" si="723">INT(($H$326-G310)/30)</f>
        <v>30</v>
      </c>
      <c r="I310" s="1">
        <v>30000</v>
      </c>
      <c r="J310" s="17">
        <v>0</v>
      </c>
      <c r="K310" s="17"/>
      <c r="L310" s="18">
        <v>30000</v>
      </c>
      <c r="M310" s="29"/>
      <c r="N310" s="29"/>
      <c r="O310" s="29"/>
      <c r="P310" s="29"/>
      <c r="Q310" s="29"/>
      <c r="R310" s="29"/>
      <c r="S310" s="29"/>
      <c r="T310" s="29"/>
      <c r="U310" s="29">
        <v>25000</v>
      </c>
      <c r="V310" s="29"/>
      <c r="W310" s="29"/>
      <c r="X310" s="29"/>
      <c r="Y310" s="18">
        <f t="shared" si="593"/>
        <v>25000</v>
      </c>
      <c r="Z310" s="96">
        <v>12</v>
      </c>
      <c r="AA310" s="96">
        <f t="shared" si="594"/>
        <v>9600</v>
      </c>
      <c r="AB310" s="96">
        <f t="shared" si="595"/>
        <v>14600</v>
      </c>
      <c r="AC310" s="99">
        <v>800</v>
      </c>
      <c r="AD310" s="98"/>
      <c r="AE310" s="102">
        <f t="shared" si="596"/>
        <v>15400</v>
      </c>
      <c r="AF310" s="99">
        <v>800</v>
      </c>
      <c r="AG310" s="98"/>
      <c r="AH310" s="102">
        <f t="shared" ref="AH310:AH325" si="724">AE310+AF310-AG310</f>
        <v>16200</v>
      </c>
      <c r="AI310" s="99">
        <v>800</v>
      </c>
      <c r="AJ310" s="98"/>
      <c r="AK310" s="102">
        <f t="shared" ref="AK310:AK325" si="725">AH310+AI310-AJ310</f>
        <v>17000</v>
      </c>
      <c r="AL310" s="99">
        <v>800</v>
      </c>
      <c r="AM310" s="98"/>
      <c r="AN310" s="102">
        <f t="shared" ref="AN310:AN325" si="726">AK310+AL310-AM310</f>
        <v>17800</v>
      </c>
      <c r="AO310" s="99">
        <v>800</v>
      </c>
      <c r="AP310" s="113"/>
      <c r="AQ310" s="102">
        <f t="shared" ref="AQ310:AQ325" si="727">AN310+AO310-AP310</f>
        <v>18600</v>
      </c>
      <c r="AR310" s="99">
        <v>800</v>
      </c>
      <c r="AS310" s="113"/>
      <c r="AT310" s="102">
        <f t="shared" ref="AT310:AT325" si="728">AQ310+AR310-AS310</f>
        <v>19400</v>
      </c>
      <c r="AU310" s="99">
        <v>800</v>
      </c>
      <c r="AV310" s="113"/>
      <c r="AW310" s="102">
        <f t="shared" ref="AW310:AW325" si="729">AT310+AU310-AV310</f>
        <v>20200</v>
      </c>
      <c r="AX310" s="99">
        <v>800</v>
      </c>
      <c r="AY310" s="113"/>
      <c r="AZ310" s="102">
        <f t="shared" ref="AZ310:AZ325" si="730">AW310+AX310-AY310</f>
        <v>21000</v>
      </c>
      <c r="BA310" s="99">
        <v>800</v>
      </c>
      <c r="BB310" s="113"/>
      <c r="BC310" s="102">
        <f t="shared" ref="BC310:BC325" si="731">AZ310+BA310-BB310</f>
        <v>21800</v>
      </c>
      <c r="BD310" s="99">
        <v>800</v>
      </c>
      <c r="BE310" s="113"/>
      <c r="BF310" s="102">
        <f t="shared" ref="BF310:BF325" si="732">BC310+BD310-BE310</f>
        <v>22600</v>
      </c>
      <c r="BG310" s="99">
        <v>800</v>
      </c>
      <c r="BH310" s="113"/>
      <c r="BI310" s="102">
        <f t="shared" ref="BI310:BI325" si="733">BF310+BG310-BH310</f>
        <v>23400</v>
      </c>
      <c r="BJ310" s="99">
        <v>800</v>
      </c>
      <c r="BK310" s="113"/>
      <c r="BL310" s="102">
        <f t="shared" ref="BL310:BL325" si="734">BI310+BJ310-BK310</f>
        <v>24200</v>
      </c>
      <c r="BM310" s="99">
        <v>800</v>
      </c>
      <c r="BN310" s="113"/>
      <c r="BO310" s="102">
        <f t="shared" ref="BO310:BO325" si="735">BL310+BM310-BN310</f>
        <v>25000</v>
      </c>
      <c r="BP310" s="99">
        <v>800</v>
      </c>
      <c r="BQ310" s="113"/>
      <c r="BR310" s="102">
        <f t="shared" ref="BR310:BR321" si="736">BO310+BP310-BQ310</f>
        <v>25800</v>
      </c>
      <c r="BS310" s="99">
        <v>800</v>
      </c>
      <c r="BT310" s="113"/>
      <c r="BU310" s="102">
        <f t="shared" ref="BU310:BU321" si="737">BR310+BS310-BT310</f>
        <v>26600</v>
      </c>
      <c r="BV310" s="99">
        <v>800</v>
      </c>
      <c r="BW310" s="113"/>
      <c r="BX310" s="102">
        <f t="shared" ref="BX310:BX321" si="738">BU310+BV310-BW310</f>
        <v>27400</v>
      </c>
      <c r="BY310" s="99">
        <v>800</v>
      </c>
      <c r="BZ310" s="113">
        <v>15000</v>
      </c>
      <c r="CA310" s="102">
        <f t="shared" ref="CA310:CA321" si="739">BX310+BY310-BZ310</f>
        <v>13200</v>
      </c>
      <c r="CB310" s="99">
        <v>800</v>
      </c>
      <c r="CC310" s="113"/>
      <c r="CD310" s="102">
        <f t="shared" ref="CD310:CD321" si="740">CA310+CB310-CC310</f>
        <v>14000</v>
      </c>
      <c r="CE310" s="99">
        <v>800</v>
      </c>
      <c r="CF310" s="113"/>
      <c r="CG310" s="102">
        <f t="shared" ref="CG310:CG321" si="741">CD310+CE310-CF310</f>
        <v>14800</v>
      </c>
      <c r="CH310" s="99">
        <v>800</v>
      </c>
      <c r="CI310" s="113"/>
      <c r="CJ310" s="102">
        <f t="shared" ref="CJ310:CJ321" si="742">CG310+CH310-CI310</f>
        <v>15600</v>
      </c>
      <c r="CK310" s="99">
        <v>800</v>
      </c>
      <c r="CL310" s="113"/>
      <c r="CM310" s="102">
        <f t="shared" ref="CM310:CM321" si="743">CJ310+CK310-CL310</f>
        <v>16400</v>
      </c>
      <c r="CN310" s="99">
        <v>800</v>
      </c>
      <c r="CO310" s="113"/>
      <c r="CP310" s="102">
        <f t="shared" ref="CP310:CP321" si="744">CM310+CN310-CO310</f>
        <v>17200</v>
      </c>
      <c r="CQ310" s="99">
        <v>800</v>
      </c>
      <c r="CR310" s="113"/>
      <c r="CS310" s="102">
        <f>CP310+CQ310-CR310</f>
        <v>18000</v>
      </c>
      <c r="CT310" s="99">
        <v>800</v>
      </c>
      <c r="CU310" s="113"/>
      <c r="CV310" s="102">
        <f>CS310+CT310-CU310</f>
        <v>18800</v>
      </c>
      <c r="CW310" s="99">
        <v>800</v>
      </c>
      <c r="CX310" s="113"/>
      <c r="CY310" s="102">
        <f>CV310+CW310-CX310</f>
        <v>19600</v>
      </c>
    </row>
    <row r="311" spans="1:103">
      <c r="A311" s="41">
        <f>VLOOKUP(B311,справочник!$B$2:$E$322,4,FALSE)</f>
        <v>77</v>
      </c>
      <c r="B311" t="str">
        <f t="shared" si="592"/>
        <v>83Самородов</v>
      </c>
      <c r="C311" s="1">
        <v>83</v>
      </c>
      <c r="D311" s="2" t="s">
        <v>295</v>
      </c>
      <c r="E311" s="1" t="s">
        <v>601</v>
      </c>
      <c r="F311" s="16">
        <v>40932</v>
      </c>
      <c r="G311" s="16">
        <v>40909</v>
      </c>
      <c r="H311" s="17">
        <f t="shared" si="723"/>
        <v>48</v>
      </c>
      <c r="I311" s="1">
        <f t="shared" ref="I311:I325" si="745">H311*1000</f>
        <v>48000</v>
      </c>
      <c r="J311" s="17">
        <v>15000</v>
      </c>
      <c r="K311" s="17"/>
      <c r="L311" s="18">
        <f t="shared" ref="L311:L325" si="746">I311-J311-K311</f>
        <v>33000</v>
      </c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18">
        <f t="shared" si="593"/>
        <v>0</v>
      </c>
      <c r="Z311" s="96">
        <v>12</v>
      </c>
      <c r="AA311" s="96">
        <f t="shared" si="594"/>
        <v>9600</v>
      </c>
      <c r="AB311" s="96">
        <f t="shared" si="595"/>
        <v>42600</v>
      </c>
      <c r="AC311" s="99">
        <v>800</v>
      </c>
      <c r="AD311" s="98"/>
      <c r="AE311" s="102">
        <f t="shared" si="596"/>
        <v>43400</v>
      </c>
      <c r="AF311" s="99">
        <v>800</v>
      </c>
      <c r="AG311" s="98"/>
      <c r="AH311" s="102">
        <f t="shared" si="724"/>
        <v>44200</v>
      </c>
      <c r="AI311" s="99">
        <v>800</v>
      </c>
      <c r="AJ311" s="98"/>
      <c r="AK311" s="102">
        <f t="shared" si="725"/>
        <v>45000</v>
      </c>
      <c r="AL311" s="99">
        <v>800</v>
      </c>
      <c r="AM311" s="98"/>
      <c r="AN311" s="102">
        <f t="shared" si="726"/>
        <v>45800</v>
      </c>
      <c r="AO311" s="99">
        <v>800</v>
      </c>
      <c r="AP311" s="113"/>
      <c r="AQ311" s="102">
        <f t="shared" si="727"/>
        <v>46600</v>
      </c>
      <c r="AR311" s="99">
        <v>800</v>
      </c>
      <c r="AS311" s="113"/>
      <c r="AT311" s="102">
        <f t="shared" si="728"/>
        <v>47400</v>
      </c>
      <c r="AU311" s="99">
        <v>800</v>
      </c>
      <c r="AV311" s="113"/>
      <c r="AW311" s="102">
        <f t="shared" si="729"/>
        <v>48200</v>
      </c>
      <c r="AX311" s="99">
        <v>800</v>
      </c>
      <c r="AY311" s="113"/>
      <c r="AZ311" s="102">
        <f t="shared" si="730"/>
        <v>49000</v>
      </c>
      <c r="BA311" s="99">
        <v>800</v>
      </c>
      <c r="BB311" s="113"/>
      <c r="BC311" s="102">
        <f t="shared" si="731"/>
        <v>49800</v>
      </c>
      <c r="BD311" s="99">
        <v>800</v>
      </c>
      <c r="BE311" s="113"/>
      <c r="BF311" s="102">
        <f t="shared" si="732"/>
        <v>50600</v>
      </c>
      <c r="BG311" s="99">
        <v>800</v>
      </c>
      <c r="BH311" s="113"/>
      <c r="BI311" s="102">
        <f t="shared" si="733"/>
        <v>51400</v>
      </c>
      <c r="BJ311" s="99">
        <v>800</v>
      </c>
      <c r="BK311" s="113"/>
      <c r="BL311" s="102">
        <f t="shared" si="734"/>
        <v>52200</v>
      </c>
      <c r="BM311" s="99">
        <v>800</v>
      </c>
      <c r="BN311" s="113"/>
      <c r="BO311" s="102">
        <f t="shared" si="735"/>
        <v>53000</v>
      </c>
      <c r="BP311" s="99">
        <v>800</v>
      </c>
      <c r="BQ311" s="113"/>
      <c r="BR311" s="102">
        <f t="shared" si="736"/>
        <v>53800</v>
      </c>
      <c r="BS311" s="99">
        <v>800</v>
      </c>
      <c r="BT311" s="113"/>
      <c r="BU311" s="102">
        <f t="shared" si="737"/>
        <v>54600</v>
      </c>
      <c r="BV311" s="99">
        <v>800</v>
      </c>
      <c r="BW311" s="113"/>
      <c r="BX311" s="102">
        <f t="shared" si="738"/>
        <v>55400</v>
      </c>
      <c r="BY311" s="99">
        <v>800</v>
      </c>
      <c r="BZ311" s="113"/>
      <c r="CA311" s="102">
        <f t="shared" si="739"/>
        <v>56200</v>
      </c>
      <c r="CB311" s="99">
        <v>800</v>
      </c>
      <c r="CC311" s="113"/>
      <c r="CD311" s="102">
        <f t="shared" si="740"/>
        <v>57000</v>
      </c>
      <c r="CE311" s="99">
        <v>800</v>
      </c>
      <c r="CF311" s="113"/>
      <c r="CG311" s="102">
        <f t="shared" si="741"/>
        <v>57800</v>
      </c>
      <c r="CH311" s="99">
        <v>800</v>
      </c>
      <c r="CI311" s="113"/>
      <c r="CJ311" s="102">
        <f t="shared" si="742"/>
        <v>58600</v>
      </c>
      <c r="CK311" s="99">
        <v>800</v>
      </c>
      <c r="CL311" s="113"/>
      <c r="CM311" s="102">
        <f t="shared" si="743"/>
        <v>59400</v>
      </c>
      <c r="CN311" s="99">
        <v>800</v>
      </c>
      <c r="CO311" s="113"/>
      <c r="CP311" s="102">
        <f t="shared" si="744"/>
        <v>60200</v>
      </c>
      <c r="CQ311" s="99">
        <v>800</v>
      </c>
      <c r="CR311" s="113"/>
      <c r="CS311" s="102">
        <f t="shared" ref="CS311:CS324" si="747">CP311+CQ311-CR311</f>
        <v>61000</v>
      </c>
      <c r="CT311" s="99">
        <v>800</v>
      </c>
      <c r="CU311" s="113"/>
      <c r="CV311" s="102">
        <f t="shared" ref="CV311:CV324" si="748">CS311+CT311-CU311</f>
        <v>61800</v>
      </c>
      <c r="CW311" s="99">
        <v>800</v>
      </c>
      <c r="CX311" s="113"/>
      <c r="CY311" s="102">
        <f t="shared" ref="CY311:CY324" si="749">CV311+CW311-CX311</f>
        <v>62600</v>
      </c>
    </row>
    <row r="312" spans="1:103" ht="25.5" customHeight="1">
      <c r="A312" s="41">
        <f>VLOOKUP(B312,справочник!$B$2:$E$322,4,FALSE)</f>
        <v>306</v>
      </c>
      <c r="B312" t="str">
        <f t="shared" si="592"/>
        <v>321Шептухина Александра Борисовна</v>
      </c>
      <c r="C312" s="1">
        <v>321</v>
      </c>
      <c r="D312" s="2" t="s">
        <v>296</v>
      </c>
      <c r="E312" s="1" t="s">
        <v>602</v>
      </c>
      <c r="F312" s="16">
        <v>41093</v>
      </c>
      <c r="G312" s="16">
        <v>41091</v>
      </c>
      <c r="H312" s="17">
        <f t="shared" si="723"/>
        <v>42</v>
      </c>
      <c r="I312" s="1">
        <f t="shared" si="745"/>
        <v>42000</v>
      </c>
      <c r="J312" s="17">
        <v>11000</v>
      </c>
      <c r="K312" s="17"/>
      <c r="L312" s="18">
        <f t="shared" si="746"/>
        <v>31000</v>
      </c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18">
        <f t="shared" si="593"/>
        <v>0</v>
      </c>
      <c r="Z312" s="96">
        <v>12</v>
      </c>
      <c r="AA312" s="96">
        <f t="shared" si="594"/>
        <v>9600</v>
      </c>
      <c r="AB312" s="96">
        <f t="shared" si="595"/>
        <v>40600</v>
      </c>
      <c r="AC312" s="99">
        <v>800</v>
      </c>
      <c r="AD312" s="98"/>
      <c r="AE312" s="102">
        <f t="shared" si="596"/>
        <v>41400</v>
      </c>
      <c r="AF312" s="99">
        <v>800</v>
      </c>
      <c r="AG312" s="98"/>
      <c r="AH312" s="102">
        <f t="shared" si="724"/>
        <v>42200</v>
      </c>
      <c r="AI312" s="99">
        <v>800</v>
      </c>
      <c r="AJ312" s="98"/>
      <c r="AK312" s="102">
        <f t="shared" si="725"/>
        <v>43000</v>
      </c>
      <c r="AL312" s="99">
        <v>800</v>
      </c>
      <c r="AM312" s="98"/>
      <c r="AN312" s="102">
        <f t="shared" si="726"/>
        <v>43800</v>
      </c>
      <c r="AO312" s="99">
        <v>800</v>
      </c>
      <c r="AP312" s="113"/>
      <c r="AQ312" s="102">
        <f t="shared" si="727"/>
        <v>44600</v>
      </c>
      <c r="AR312" s="99">
        <v>800</v>
      </c>
      <c r="AS312" s="113"/>
      <c r="AT312" s="102">
        <f t="shared" si="728"/>
        <v>45400</v>
      </c>
      <c r="AU312" s="99">
        <v>800</v>
      </c>
      <c r="AV312" s="113"/>
      <c r="AW312" s="102">
        <f t="shared" si="729"/>
        <v>46200</v>
      </c>
      <c r="AX312" s="99">
        <v>800</v>
      </c>
      <c r="AY312" s="113"/>
      <c r="AZ312" s="102">
        <f t="shared" si="730"/>
        <v>47000</v>
      </c>
      <c r="BA312" s="99">
        <v>800</v>
      </c>
      <c r="BB312" s="113"/>
      <c r="BC312" s="102">
        <f t="shared" si="731"/>
        <v>47800</v>
      </c>
      <c r="BD312" s="99">
        <v>800</v>
      </c>
      <c r="BE312" s="113"/>
      <c r="BF312" s="102">
        <f t="shared" si="732"/>
        <v>48600</v>
      </c>
      <c r="BG312" s="99">
        <v>800</v>
      </c>
      <c r="BH312" s="113"/>
      <c r="BI312" s="102">
        <f t="shared" si="733"/>
        <v>49400</v>
      </c>
      <c r="BJ312" s="99">
        <v>800</v>
      </c>
      <c r="BK312" s="113"/>
      <c r="BL312" s="102">
        <f t="shared" si="734"/>
        <v>50200</v>
      </c>
      <c r="BM312" s="99">
        <v>800</v>
      </c>
      <c r="BN312" s="113"/>
      <c r="BO312" s="102">
        <f t="shared" si="735"/>
        <v>51000</v>
      </c>
      <c r="BP312" s="99">
        <v>800</v>
      </c>
      <c r="BQ312" s="113"/>
      <c r="BR312" s="102">
        <f t="shared" si="736"/>
        <v>51800</v>
      </c>
      <c r="BS312" s="99">
        <v>800</v>
      </c>
      <c r="BT312" s="113"/>
      <c r="BU312" s="102">
        <f t="shared" si="737"/>
        <v>52600</v>
      </c>
      <c r="BV312" s="99">
        <v>800</v>
      </c>
      <c r="BW312" s="113"/>
      <c r="BX312" s="102">
        <f t="shared" si="738"/>
        <v>53400</v>
      </c>
      <c r="BY312" s="99">
        <v>800</v>
      </c>
      <c r="BZ312" s="113"/>
      <c r="CA312" s="102">
        <f t="shared" si="739"/>
        <v>54200</v>
      </c>
      <c r="CB312" s="99">
        <v>800</v>
      </c>
      <c r="CC312" s="113"/>
      <c r="CD312" s="102">
        <f t="shared" si="740"/>
        <v>55000</v>
      </c>
      <c r="CE312" s="99">
        <v>800</v>
      </c>
      <c r="CF312" s="113"/>
      <c r="CG312" s="102">
        <f t="shared" si="741"/>
        <v>55800</v>
      </c>
      <c r="CH312" s="99">
        <v>800</v>
      </c>
      <c r="CI312" s="113">
        <v>10000</v>
      </c>
      <c r="CJ312" s="102">
        <f t="shared" si="742"/>
        <v>46600</v>
      </c>
      <c r="CK312" s="99">
        <v>800</v>
      </c>
      <c r="CL312" s="113"/>
      <c r="CM312" s="102">
        <f t="shared" si="743"/>
        <v>47400</v>
      </c>
      <c r="CN312" s="99">
        <v>800</v>
      </c>
      <c r="CO312" s="113"/>
      <c r="CP312" s="102">
        <f t="shared" si="744"/>
        <v>48200</v>
      </c>
      <c r="CQ312" s="99">
        <v>800</v>
      </c>
      <c r="CR312" s="113"/>
      <c r="CS312" s="102">
        <f t="shared" si="747"/>
        <v>49000</v>
      </c>
      <c r="CT312" s="99">
        <v>800</v>
      </c>
      <c r="CU312" s="113"/>
      <c r="CV312" s="102">
        <f t="shared" si="748"/>
        <v>49800</v>
      </c>
      <c r="CW312" s="99">
        <v>800</v>
      </c>
      <c r="CX312" s="113"/>
      <c r="CY312" s="102">
        <f t="shared" si="749"/>
        <v>50600</v>
      </c>
    </row>
    <row r="313" spans="1:103" ht="25.5" customHeight="1">
      <c r="A313" s="41">
        <f>VLOOKUP(B313,справочник!$B$2:$E$322,4,FALSE)</f>
        <v>182</v>
      </c>
      <c r="B313" t="str">
        <f t="shared" si="592"/>
        <v>190Широков Евгений Александрович</v>
      </c>
      <c r="C313" s="1">
        <v>190</v>
      </c>
      <c r="D313" s="2" t="s">
        <v>297</v>
      </c>
      <c r="E313" s="1" t="s">
        <v>603</v>
      </c>
      <c r="F313" s="16">
        <v>41734</v>
      </c>
      <c r="G313" s="16">
        <v>41760</v>
      </c>
      <c r="H313" s="17">
        <f t="shared" si="723"/>
        <v>20</v>
      </c>
      <c r="I313" s="1">
        <f t="shared" si="745"/>
        <v>20000</v>
      </c>
      <c r="J313" s="17">
        <v>14000</v>
      </c>
      <c r="K313" s="17"/>
      <c r="L313" s="18">
        <f t="shared" si="746"/>
        <v>6000</v>
      </c>
      <c r="M313" s="29"/>
      <c r="N313" s="29"/>
      <c r="O313" s="29"/>
      <c r="P313" s="29"/>
      <c r="Q313" s="29">
        <v>9200</v>
      </c>
      <c r="R313" s="29"/>
      <c r="S313" s="29"/>
      <c r="T313" s="29"/>
      <c r="U313" s="29"/>
      <c r="V313" s="29"/>
      <c r="W313" s="29"/>
      <c r="X313" s="29"/>
      <c r="Y313" s="18">
        <f t="shared" si="593"/>
        <v>9200</v>
      </c>
      <c r="Z313" s="96">
        <v>12</v>
      </c>
      <c r="AA313" s="96">
        <f t="shared" si="594"/>
        <v>9600</v>
      </c>
      <c r="AB313" s="96">
        <f t="shared" si="595"/>
        <v>6400</v>
      </c>
      <c r="AC313" s="99">
        <v>800</v>
      </c>
      <c r="AD313" s="98"/>
      <c r="AE313" s="102">
        <f t="shared" si="596"/>
        <v>7200</v>
      </c>
      <c r="AF313" s="99">
        <v>800</v>
      </c>
      <c r="AG313" s="98"/>
      <c r="AH313" s="102">
        <f t="shared" si="724"/>
        <v>8000</v>
      </c>
      <c r="AI313" s="99">
        <v>800</v>
      </c>
      <c r="AJ313" s="98"/>
      <c r="AK313" s="102">
        <f t="shared" si="725"/>
        <v>8800</v>
      </c>
      <c r="AL313" s="99">
        <v>800</v>
      </c>
      <c r="AM313" s="98"/>
      <c r="AN313" s="102">
        <f t="shared" si="726"/>
        <v>9600</v>
      </c>
      <c r="AO313" s="99">
        <v>800</v>
      </c>
      <c r="AP313" s="113"/>
      <c r="AQ313" s="102">
        <f t="shared" si="727"/>
        <v>10400</v>
      </c>
      <c r="AR313" s="99">
        <v>800</v>
      </c>
      <c r="AS313" s="113"/>
      <c r="AT313" s="102">
        <f t="shared" si="728"/>
        <v>11200</v>
      </c>
      <c r="AU313" s="99">
        <v>800</v>
      </c>
      <c r="AV313" s="113"/>
      <c r="AW313" s="102">
        <f t="shared" si="729"/>
        <v>12000</v>
      </c>
      <c r="AX313" s="99">
        <v>800</v>
      </c>
      <c r="AY313" s="113"/>
      <c r="AZ313" s="102">
        <f t="shared" si="730"/>
        <v>12800</v>
      </c>
      <c r="BA313" s="99">
        <v>800</v>
      </c>
      <c r="BB313" s="113"/>
      <c r="BC313" s="102">
        <f t="shared" si="731"/>
        <v>13600</v>
      </c>
      <c r="BD313" s="99">
        <v>800</v>
      </c>
      <c r="BE313" s="113"/>
      <c r="BF313" s="102">
        <f t="shared" si="732"/>
        <v>14400</v>
      </c>
      <c r="BG313" s="99">
        <v>800</v>
      </c>
      <c r="BH313" s="113"/>
      <c r="BI313" s="102">
        <f t="shared" si="733"/>
        <v>15200</v>
      </c>
      <c r="BJ313" s="99">
        <v>800</v>
      </c>
      <c r="BK313" s="113"/>
      <c r="BL313" s="102">
        <f t="shared" si="734"/>
        <v>16000</v>
      </c>
      <c r="BM313" s="99">
        <v>800</v>
      </c>
      <c r="BN313" s="113"/>
      <c r="BO313" s="102">
        <f t="shared" si="735"/>
        <v>16800</v>
      </c>
      <c r="BP313" s="99">
        <v>800</v>
      </c>
      <c r="BQ313" s="113"/>
      <c r="BR313" s="102">
        <f t="shared" si="736"/>
        <v>17600</v>
      </c>
      <c r="BS313" s="99">
        <v>800</v>
      </c>
      <c r="BT313" s="113">
        <v>18400</v>
      </c>
      <c r="BU313" s="102">
        <f t="shared" si="737"/>
        <v>0</v>
      </c>
      <c r="BV313" s="99">
        <v>800</v>
      </c>
      <c r="BW313" s="113"/>
      <c r="BX313" s="102">
        <f t="shared" si="738"/>
        <v>800</v>
      </c>
      <c r="BY313" s="99">
        <v>800</v>
      </c>
      <c r="BZ313" s="113"/>
      <c r="CA313" s="102">
        <f t="shared" si="739"/>
        <v>1600</v>
      </c>
      <c r="CB313" s="99">
        <v>800</v>
      </c>
      <c r="CC313" s="113"/>
      <c r="CD313" s="102">
        <f t="shared" si="740"/>
        <v>2400</v>
      </c>
      <c r="CE313" s="99">
        <v>800</v>
      </c>
      <c r="CF313" s="113"/>
      <c r="CG313" s="102">
        <f t="shared" si="741"/>
        <v>3200</v>
      </c>
      <c r="CH313" s="99">
        <v>800</v>
      </c>
      <c r="CI313" s="113"/>
      <c r="CJ313" s="102">
        <f t="shared" si="742"/>
        <v>4000</v>
      </c>
      <c r="CK313" s="99">
        <v>800</v>
      </c>
      <c r="CL313" s="113"/>
      <c r="CM313" s="102">
        <f t="shared" si="743"/>
        <v>4800</v>
      </c>
      <c r="CN313" s="99">
        <v>800</v>
      </c>
      <c r="CO313" s="113"/>
      <c r="CP313" s="102">
        <f t="shared" si="744"/>
        <v>5600</v>
      </c>
      <c r="CQ313" s="99">
        <v>800</v>
      </c>
      <c r="CR313" s="113"/>
      <c r="CS313" s="102">
        <f t="shared" si="747"/>
        <v>6400</v>
      </c>
      <c r="CT313" s="99">
        <v>800</v>
      </c>
      <c r="CU313" s="113"/>
      <c r="CV313" s="102">
        <f t="shared" si="748"/>
        <v>7200</v>
      </c>
      <c r="CW313" s="99">
        <v>800</v>
      </c>
      <c r="CX313" s="113"/>
      <c r="CY313" s="102">
        <f t="shared" si="749"/>
        <v>8000</v>
      </c>
    </row>
    <row r="314" spans="1:103">
      <c r="A314" s="41">
        <f>VLOOKUP(B314,справочник!$B$2:$E$322,4,FALSE)</f>
        <v>95</v>
      </c>
      <c r="B314" t="str">
        <f t="shared" si="592"/>
        <v>100Шорахматов Мухаммадхуджа Замшоевич</v>
      </c>
      <c r="C314" s="1">
        <v>100</v>
      </c>
      <c r="D314" s="2" t="s">
        <v>298</v>
      </c>
      <c r="E314" s="1" t="s">
        <v>604</v>
      </c>
      <c r="F314" s="16">
        <v>41401</v>
      </c>
      <c r="G314" s="16">
        <v>41609</v>
      </c>
      <c r="H314" s="17">
        <f t="shared" si="723"/>
        <v>25</v>
      </c>
      <c r="I314" s="1">
        <f t="shared" si="745"/>
        <v>25000</v>
      </c>
      <c r="J314" s="17">
        <v>20000</v>
      </c>
      <c r="K314" s="17"/>
      <c r="L314" s="18">
        <f t="shared" si="746"/>
        <v>5000</v>
      </c>
      <c r="M314" s="29"/>
      <c r="N314" s="29"/>
      <c r="O314" s="29"/>
      <c r="P314" s="29"/>
      <c r="Q314" s="29"/>
      <c r="R314" s="29">
        <v>9000</v>
      </c>
      <c r="S314" s="29"/>
      <c r="T314" s="29"/>
      <c r="U314" s="29"/>
      <c r="V314" s="29"/>
      <c r="W314" s="29"/>
      <c r="X314" s="29"/>
      <c r="Y314" s="18">
        <f t="shared" si="593"/>
        <v>9000</v>
      </c>
      <c r="Z314" s="96">
        <v>12</v>
      </c>
      <c r="AA314" s="96">
        <f t="shared" si="594"/>
        <v>9600</v>
      </c>
      <c r="AB314" s="96">
        <f t="shared" si="595"/>
        <v>5600</v>
      </c>
      <c r="AC314" s="99">
        <v>800</v>
      </c>
      <c r="AD314" s="98"/>
      <c r="AE314" s="102">
        <f t="shared" si="596"/>
        <v>6400</v>
      </c>
      <c r="AF314" s="99">
        <v>800</v>
      </c>
      <c r="AG314" s="98"/>
      <c r="AH314" s="102">
        <f t="shared" si="724"/>
        <v>7200</v>
      </c>
      <c r="AI314" s="99">
        <v>800</v>
      </c>
      <c r="AJ314" s="98"/>
      <c r="AK314" s="102">
        <f t="shared" si="725"/>
        <v>8000</v>
      </c>
      <c r="AL314" s="99">
        <v>800</v>
      </c>
      <c r="AM314" s="98"/>
      <c r="AN314" s="102">
        <f t="shared" si="726"/>
        <v>8800</v>
      </c>
      <c r="AO314" s="99">
        <v>800</v>
      </c>
      <c r="AP314" s="113"/>
      <c r="AQ314" s="102">
        <f t="shared" si="727"/>
        <v>9600</v>
      </c>
      <c r="AR314" s="99">
        <v>800</v>
      </c>
      <c r="AS314" s="113"/>
      <c r="AT314" s="102">
        <f t="shared" si="728"/>
        <v>10400</v>
      </c>
      <c r="AU314" s="99">
        <v>800</v>
      </c>
      <c r="AV314" s="113"/>
      <c r="AW314" s="102">
        <f t="shared" si="729"/>
        <v>11200</v>
      </c>
      <c r="AX314" s="99">
        <v>800</v>
      </c>
      <c r="AY314" s="113"/>
      <c r="AZ314" s="102">
        <f t="shared" si="730"/>
        <v>12000</v>
      </c>
      <c r="BA314" s="99">
        <v>800</v>
      </c>
      <c r="BB314" s="113"/>
      <c r="BC314" s="102">
        <f t="shared" si="731"/>
        <v>12800</v>
      </c>
      <c r="BD314" s="99">
        <v>800</v>
      </c>
      <c r="BE314" s="113"/>
      <c r="BF314" s="102">
        <f t="shared" si="732"/>
        <v>13600</v>
      </c>
      <c r="BG314" s="99">
        <v>800</v>
      </c>
      <c r="BH314" s="113"/>
      <c r="BI314" s="102">
        <f t="shared" si="733"/>
        <v>14400</v>
      </c>
      <c r="BJ314" s="99">
        <v>800</v>
      </c>
      <c r="BK314" s="113"/>
      <c r="BL314" s="102">
        <f t="shared" si="734"/>
        <v>15200</v>
      </c>
      <c r="BM314" s="99">
        <v>800</v>
      </c>
      <c r="BN314" s="113"/>
      <c r="BO314" s="102">
        <f t="shared" si="735"/>
        <v>16000</v>
      </c>
      <c r="BP314" s="99">
        <v>800</v>
      </c>
      <c r="BQ314" s="113"/>
      <c r="BR314" s="102">
        <f t="shared" si="736"/>
        <v>16800</v>
      </c>
      <c r="BS314" s="99">
        <v>800</v>
      </c>
      <c r="BT314" s="113"/>
      <c r="BU314" s="102">
        <f t="shared" si="737"/>
        <v>17600</v>
      </c>
      <c r="BV314" s="99">
        <v>800</v>
      </c>
      <c r="BW314" s="113"/>
      <c r="BX314" s="102">
        <f t="shared" si="738"/>
        <v>18400</v>
      </c>
      <c r="BY314" s="99">
        <v>800</v>
      </c>
      <c r="BZ314" s="113">
        <v>5000</v>
      </c>
      <c r="CA314" s="102">
        <f t="shared" si="739"/>
        <v>14200</v>
      </c>
      <c r="CB314" s="99">
        <v>800</v>
      </c>
      <c r="CC314" s="113"/>
      <c r="CD314" s="102">
        <f t="shared" si="740"/>
        <v>15000</v>
      </c>
      <c r="CE314" s="99">
        <v>800</v>
      </c>
      <c r="CF314" s="113"/>
      <c r="CG314" s="102">
        <f t="shared" si="741"/>
        <v>15800</v>
      </c>
      <c r="CH314" s="99">
        <v>800</v>
      </c>
      <c r="CI314" s="113"/>
      <c r="CJ314" s="102">
        <f t="shared" si="742"/>
        <v>16600</v>
      </c>
      <c r="CK314" s="99">
        <v>800</v>
      </c>
      <c r="CL314" s="113"/>
      <c r="CM314" s="102">
        <f t="shared" si="743"/>
        <v>17400</v>
      </c>
      <c r="CN314" s="99">
        <v>800</v>
      </c>
      <c r="CO314" s="113"/>
      <c r="CP314" s="102">
        <f t="shared" si="744"/>
        <v>18200</v>
      </c>
      <c r="CQ314" s="99">
        <v>800</v>
      </c>
      <c r="CR314" s="113"/>
      <c r="CS314" s="102">
        <f t="shared" si="747"/>
        <v>19000</v>
      </c>
      <c r="CT314" s="99">
        <v>800</v>
      </c>
      <c r="CU314" s="113"/>
      <c r="CV314" s="102">
        <f t="shared" si="748"/>
        <v>19800</v>
      </c>
      <c r="CW314" s="99">
        <v>800</v>
      </c>
      <c r="CX314" s="113"/>
      <c r="CY314" s="102">
        <f t="shared" si="749"/>
        <v>20600</v>
      </c>
    </row>
    <row r="315" spans="1:103">
      <c r="A315" s="41" t="e">
        <f>VLOOKUP(B315,справочник!$B$2:$E$322,4,FALSE)</f>
        <v>#N/A</v>
      </c>
      <c r="B315" t="str">
        <f t="shared" si="592"/>
        <v>113Шурдук Лариса Анатольевна</v>
      </c>
      <c r="C315" s="1">
        <v>113</v>
      </c>
      <c r="D315" s="2" t="s">
        <v>813</v>
      </c>
      <c r="E315" s="1" t="s">
        <v>605</v>
      </c>
      <c r="F315" s="16">
        <v>40938</v>
      </c>
      <c r="G315" s="16">
        <v>40940</v>
      </c>
      <c r="H315" s="17">
        <f t="shared" si="723"/>
        <v>47</v>
      </c>
      <c r="I315" s="1">
        <f t="shared" si="745"/>
        <v>47000</v>
      </c>
      <c r="J315" s="17">
        <f>24000+11000</f>
        <v>35000</v>
      </c>
      <c r="K315" s="17">
        <v>8000</v>
      </c>
      <c r="L315" s="18">
        <f t="shared" si="746"/>
        <v>4000</v>
      </c>
      <c r="M315" s="29"/>
      <c r="N315" s="29">
        <v>4000</v>
      </c>
      <c r="O315" s="29">
        <v>2400</v>
      </c>
      <c r="P315" s="29"/>
      <c r="Q315" s="29"/>
      <c r="R315" s="29">
        <v>2400</v>
      </c>
      <c r="S315" s="29"/>
      <c r="T315" s="29"/>
      <c r="U315" s="29">
        <v>2400</v>
      </c>
      <c r="V315" s="29"/>
      <c r="W315" s="29"/>
      <c r="X315" s="29">
        <v>2400</v>
      </c>
      <c r="Y315" s="18">
        <f t="shared" si="593"/>
        <v>13600</v>
      </c>
      <c r="Z315" s="96">
        <v>12</v>
      </c>
      <c r="AA315" s="96">
        <f t="shared" si="594"/>
        <v>9600</v>
      </c>
      <c r="AB315" s="96">
        <f t="shared" si="595"/>
        <v>0</v>
      </c>
      <c r="AC315" s="99">
        <v>800</v>
      </c>
      <c r="AD315" s="98"/>
      <c r="AE315" s="102">
        <f t="shared" si="596"/>
        <v>800</v>
      </c>
      <c r="AF315" s="99">
        <v>800</v>
      </c>
      <c r="AG315" s="98"/>
      <c r="AH315" s="102">
        <f t="shared" si="724"/>
        <v>1600</v>
      </c>
      <c r="AI315" s="99">
        <v>800</v>
      </c>
      <c r="AJ315" s="98"/>
      <c r="AK315" s="102">
        <f t="shared" si="725"/>
        <v>2400</v>
      </c>
      <c r="AL315" s="99">
        <v>800</v>
      </c>
      <c r="AM315" s="98">
        <v>2400</v>
      </c>
      <c r="AN315" s="102">
        <f t="shared" si="726"/>
        <v>800</v>
      </c>
      <c r="AO315" s="99">
        <v>800</v>
      </c>
      <c r="AP315" s="113"/>
      <c r="AQ315" s="102">
        <f t="shared" si="727"/>
        <v>1600</v>
      </c>
      <c r="AR315" s="99">
        <v>800</v>
      </c>
      <c r="AS315" s="113"/>
      <c r="AT315" s="102">
        <f t="shared" si="728"/>
        <v>2400</v>
      </c>
      <c r="AU315" s="99">
        <v>800</v>
      </c>
      <c r="AV315" s="113">
        <v>2400</v>
      </c>
      <c r="AW315" s="102">
        <f t="shared" si="729"/>
        <v>800</v>
      </c>
      <c r="AX315" s="99">
        <v>800</v>
      </c>
      <c r="AY315" s="113"/>
      <c r="AZ315" s="102">
        <f t="shared" si="730"/>
        <v>1600</v>
      </c>
      <c r="BA315" s="99">
        <v>800</v>
      </c>
      <c r="BB315" s="113"/>
      <c r="BC315" s="102">
        <f t="shared" si="731"/>
        <v>2400</v>
      </c>
      <c r="BD315" s="99">
        <v>800</v>
      </c>
      <c r="BE315" s="113"/>
      <c r="BF315" s="102">
        <f t="shared" si="732"/>
        <v>3200</v>
      </c>
      <c r="BG315" s="99">
        <v>800</v>
      </c>
      <c r="BH315" s="113">
        <v>2400</v>
      </c>
      <c r="BI315" s="102">
        <f t="shared" si="733"/>
        <v>1600</v>
      </c>
      <c r="BJ315" s="99">
        <v>800</v>
      </c>
      <c r="BK315" s="113"/>
      <c r="BL315" s="102">
        <f t="shared" si="734"/>
        <v>2400</v>
      </c>
      <c r="BM315" s="99">
        <v>800</v>
      </c>
      <c r="BN315" s="113"/>
      <c r="BO315" s="102">
        <f t="shared" si="735"/>
        <v>3200</v>
      </c>
      <c r="BP315" s="99">
        <v>800</v>
      </c>
      <c r="BQ315" s="113">
        <v>2400</v>
      </c>
      <c r="BR315" s="102">
        <f t="shared" si="736"/>
        <v>1600</v>
      </c>
      <c r="BS315" s="99">
        <v>800</v>
      </c>
      <c r="BT315" s="113"/>
      <c r="BU315" s="102">
        <f t="shared" si="737"/>
        <v>2400</v>
      </c>
      <c r="BV315" s="99">
        <v>800</v>
      </c>
      <c r="BW315" s="113">
        <v>2400</v>
      </c>
      <c r="BX315" s="102">
        <f t="shared" si="738"/>
        <v>800</v>
      </c>
      <c r="BY315" s="99">
        <v>800</v>
      </c>
      <c r="BZ315" s="113"/>
      <c r="CA315" s="102">
        <f t="shared" si="739"/>
        <v>1600</v>
      </c>
      <c r="CB315" s="99">
        <v>800</v>
      </c>
      <c r="CC315" s="113"/>
      <c r="CD315" s="102">
        <f t="shared" si="740"/>
        <v>2400</v>
      </c>
      <c r="CE315" s="99">
        <v>800</v>
      </c>
      <c r="CF315" s="113"/>
      <c r="CG315" s="102">
        <f t="shared" si="741"/>
        <v>3200</v>
      </c>
      <c r="CH315" s="99">
        <v>800</v>
      </c>
      <c r="CI315" s="113"/>
      <c r="CJ315" s="102">
        <f t="shared" si="742"/>
        <v>4000</v>
      </c>
      <c r="CK315" s="99">
        <v>800</v>
      </c>
      <c r="CL315" s="113"/>
      <c r="CM315" s="102">
        <f t="shared" si="743"/>
        <v>4800</v>
      </c>
      <c r="CN315" s="99">
        <v>800</v>
      </c>
      <c r="CO315" s="113"/>
      <c r="CP315" s="102">
        <f t="shared" si="744"/>
        <v>5600</v>
      </c>
      <c r="CQ315" s="99">
        <v>800</v>
      </c>
      <c r="CR315" s="113"/>
      <c r="CS315" s="102">
        <f t="shared" si="747"/>
        <v>6400</v>
      </c>
      <c r="CT315" s="99">
        <v>800</v>
      </c>
      <c r="CU315" s="113"/>
      <c r="CV315" s="102">
        <f t="shared" si="748"/>
        <v>7200</v>
      </c>
      <c r="CW315" s="99">
        <v>800</v>
      </c>
      <c r="CX315" s="113"/>
      <c r="CY315" s="102">
        <f t="shared" si="749"/>
        <v>8000</v>
      </c>
    </row>
    <row r="316" spans="1:103" ht="24">
      <c r="A316" s="41" t="e">
        <f>VLOOKUP(B316,справочник!$B$2:$E$322,4,FALSE)</f>
        <v>#N/A</v>
      </c>
      <c r="B316" t="str">
        <f t="shared" si="592"/>
        <v>41Шустов Василий Александрович (новый собственник Игнатьев Алексей Валерьевич)</v>
      </c>
      <c r="C316" s="1">
        <v>41</v>
      </c>
      <c r="D316" s="2" t="s">
        <v>772</v>
      </c>
      <c r="E316" s="1" t="s">
        <v>606</v>
      </c>
      <c r="F316" s="16">
        <v>40772</v>
      </c>
      <c r="G316" s="16">
        <v>40756</v>
      </c>
      <c r="H316" s="17">
        <f t="shared" si="723"/>
        <v>53</v>
      </c>
      <c r="I316" s="1">
        <f t="shared" si="745"/>
        <v>53000</v>
      </c>
      <c r="J316" s="17">
        <f>1000+37000</f>
        <v>38000</v>
      </c>
      <c r="K316" s="17"/>
      <c r="L316" s="18">
        <f t="shared" si="746"/>
        <v>15000</v>
      </c>
      <c r="M316" s="29"/>
      <c r="N316" s="29"/>
      <c r="O316" s="29"/>
      <c r="P316" s="29"/>
      <c r="Q316" s="29"/>
      <c r="R316" s="29"/>
      <c r="S316" s="29"/>
      <c r="T316" s="29"/>
      <c r="U316" s="29">
        <v>21400</v>
      </c>
      <c r="V316" s="29"/>
      <c r="W316" s="29"/>
      <c r="X316" s="29"/>
      <c r="Y316" s="18">
        <f t="shared" si="593"/>
        <v>21400</v>
      </c>
      <c r="Z316" s="96">
        <v>12</v>
      </c>
      <c r="AA316" s="96">
        <f t="shared" si="594"/>
        <v>9600</v>
      </c>
      <c r="AB316" s="96">
        <f t="shared" si="595"/>
        <v>3200</v>
      </c>
      <c r="AC316" s="99">
        <v>800</v>
      </c>
      <c r="AD316" s="98"/>
      <c r="AE316" s="102">
        <f t="shared" si="596"/>
        <v>4000</v>
      </c>
      <c r="AF316" s="99">
        <v>800</v>
      </c>
      <c r="AG316" s="98"/>
      <c r="AH316" s="102">
        <f t="shared" si="724"/>
        <v>4800</v>
      </c>
      <c r="AI316" s="99">
        <v>800</v>
      </c>
      <c r="AJ316" s="98">
        <v>5600</v>
      </c>
      <c r="AK316" s="102">
        <f t="shared" si="725"/>
        <v>0</v>
      </c>
      <c r="AL316" s="99">
        <v>800</v>
      </c>
      <c r="AM316" s="98"/>
      <c r="AN316" s="102">
        <f t="shared" si="726"/>
        <v>800</v>
      </c>
      <c r="AO316" s="99">
        <v>800</v>
      </c>
      <c r="AP316" s="113"/>
      <c r="AQ316" s="102">
        <f t="shared" si="727"/>
        <v>1600</v>
      </c>
      <c r="AR316" s="99">
        <v>800</v>
      </c>
      <c r="AS316" s="113">
        <v>2400</v>
      </c>
      <c r="AT316" s="102">
        <f t="shared" si="728"/>
        <v>0</v>
      </c>
      <c r="AU316" s="99">
        <v>800</v>
      </c>
      <c r="AV316" s="113"/>
      <c r="AW316" s="102">
        <f t="shared" si="729"/>
        <v>800</v>
      </c>
      <c r="AX316" s="99">
        <v>800</v>
      </c>
      <c r="AY316" s="113">
        <v>2800</v>
      </c>
      <c r="AZ316" s="102">
        <f t="shared" si="730"/>
        <v>-1200</v>
      </c>
      <c r="BA316" s="99">
        <v>800</v>
      </c>
      <c r="BB316" s="113"/>
      <c r="BC316" s="102">
        <f t="shared" si="731"/>
        <v>-400</v>
      </c>
      <c r="BD316" s="99">
        <v>800</v>
      </c>
      <c r="BE316" s="113"/>
      <c r="BF316" s="102">
        <f t="shared" si="732"/>
        <v>400</v>
      </c>
      <c r="BG316" s="99">
        <v>800</v>
      </c>
      <c r="BH316" s="113"/>
      <c r="BI316" s="102">
        <f t="shared" si="733"/>
        <v>1200</v>
      </c>
      <c r="BJ316" s="99">
        <v>800</v>
      </c>
      <c r="BK316" s="113"/>
      <c r="BL316" s="102">
        <f t="shared" si="734"/>
        <v>2000</v>
      </c>
      <c r="BM316" s="99">
        <v>800</v>
      </c>
      <c r="BN316" s="113"/>
      <c r="BO316" s="102">
        <f t="shared" si="735"/>
        <v>2800</v>
      </c>
      <c r="BP316" s="99">
        <v>800</v>
      </c>
      <c r="BQ316" s="113">
        <v>5000</v>
      </c>
      <c r="BR316" s="102">
        <f t="shared" si="736"/>
        <v>-1400</v>
      </c>
      <c r="BS316" s="99">
        <v>800</v>
      </c>
      <c r="BT316" s="113"/>
      <c r="BU316" s="102">
        <f t="shared" si="737"/>
        <v>-600</v>
      </c>
      <c r="BV316" s="99">
        <v>800</v>
      </c>
      <c r="BW316" s="113"/>
      <c r="BX316" s="102">
        <f t="shared" si="738"/>
        <v>200</v>
      </c>
      <c r="BY316" s="99">
        <v>800</v>
      </c>
      <c r="BZ316" s="113"/>
      <c r="CA316" s="102">
        <f t="shared" si="739"/>
        <v>1000</v>
      </c>
      <c r="CB316" s="99">
        <v>800</v>
      </c>
      <c r="CC316" s="113"/>
      <c r="CD316" s="102">
        <f t="shared" si="740"/>
        <v>1800</v>
      </c>
      <c r="CE316" s="99">
        <v>800</v>
      </c>
      <c r="CF316" s="113"/>
      <c r="CG316" s="102">
        <f t="shared" si="741"/>
        <v>2600</v>
      </c>
      <c r="CH316" s="99">
        <v>800</v>
      </c>
      <c r="CI316" s="113"/>
      <c r="CJ316" s="102">
        <f t="shared" si="742"/>
        <v>3400</v>
      </c>
      <c r="CK316" s="99">
        <v>800</v>
      </c>
      <c r="CL316" s="113"/>
      <c r="CM316" s="102">
        <f t="shared" si="743"/>
        <v>4200</v>
      </c>
      <c r="CN316" s="99">
        <v>800</v>
      </c>
      <c r="CO316" s="113"/>
      <c r="CP316" s="102">
        <f t="shared" si="744"/>
        <v>5000</v>
      </c>
      <c r="CQ316" s="99">
        <v>800</v>
      </c>
      <c r="CR316" s="113"/>
      <c r="CS316" s="102">
        <f t="shared" si="747"/>
        <v>5800</v>
      </c>
      <c r="CT316" s="99">
        <v>800</v>
      </c>
      <c r="CU316" s="113"/>
      <c r="CV316" s="102">
        <f t="shared" si="748"/>
        <v>6600</v>
      </c>
      <c r="CW316" s="99">
        <v>800</v>
      </c>
      <c r="CX316" s="113">
        <v>7000</v>
      </c>
      <c r="CY316" s="102">
        <f t="shared" si="749"/>
        <v>400</v>
      </c>
    </row>
    <row r="317" spans="1:103" ht="25.5" customHeight="1">
      <c r="A317" s="41" t="e">
        <f>VLOOKUP(B317,справочник!$B$2:$E$322,4,FALSE)</f>
        <v>#N/A</v>
      </c>
      <c r="B317" t="str">
        <f t="shared" si="592"/>
        <v>160Щербаков Павел Евгеньевич (новый собственник Волосова Ольга Викторовна)</v>
      </c>
      <c r="C317" s="1">
        <v>160</v>
      </c>
      <c r="D317" s="2" t="s">
        <v>816</v>
      </c>
      <c r="E317" s="1" t="s">
        <v>607</v>
      </c>
      <c r="F317" s="16">
        <v>40850</v>
      </c>
      <c r="G317" s="16">
        <v>40848</v>
      </c>
      <c r="H317" s="17">
        <f t="shared" si="723"/>
        <v>50</v>
      </c>
      <c r="I317" s="1">
        <f t="shared" si="745"/>
        <v>50000</v>
      </c>
      <c r="J317" s="17">
        <f>46000+1000</f>
        <v>47000</v>
      </c>
      <c r="K317" s="17"/>
      <c r="L317" s="18">
        <f t="shared" si="746"/>
        <v>3000</v>
      </c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18">
        <f t="shared" si="593"/>
        <v>0</v>
      </c>
      <c r="Z317" s="96">
        <v>12</v>
      </c>
      <c r="AA317" s="96">
        <f t="shared" si="594"/>
        <v>9600</v>
      </c>
      <c r="AB317" s="96">
        <f t="shared" si="595"/>
        <v>12600</v>
      </c>
      <c r="AC317" s="99">
        <v>800</v>
      </c>
      <c r="AD317" s="98"/>
      <c r="AE317" s="102">
        <f t="shared" si="596"/>
        <v>13400</v>
      </c>
      <c r="AF317" s="99">
        <v>800</v>
      </c>
      <c r="AG317" s="98"/>
      <c r="AH317" s="102">
        <f t="shared" si="724"/>
        <v>14200</v>
      </c>
      <c r="AI317" s="99">
        <v>800</v>
      </c>
      <c r="AJ317" s="98"/>
      <c r="AK317" s="102">
        <f t="shared" si="725"/>
        <v>15000</v>
      </c>
      <c r="AL317" s="99">
        <v>800</v>
      </c>
      <c r="AM317" s="98"/>
      <c r="AN317" s="102">
        <f t="shared" si="726"/>
        <v>15800</v>
      </c>
      <c r="AO317" s="99">
        <v>800</v>
      </c>
      <c r="AP317" s="113"/>
      <c r="AQ317" s="102">
        <f t="shared" si="727"/>
        <v>16600</v>
      </c>
      <c r="AR317" s="99">
        <v>800</v>
      </c>
      <c r="AS317" s="113"/>
      <c r="AT317" s="102">
        <f t="shared" si="728"/>
        <v>17400</v>
      </c>
      <c r="AU317" s="99">
        <v>800</v>
      </c>
      <c r="AV317" s="113"/>
      <c r="AW317" s="102">
        <f t="shared" si="729"/>
        <v>18200</v>
      </c>
      <c r="AX317" s="99">
        <v>800</v>
      </c>
      <c r="AY317" s="113"/>
      <c r="AZ317" s="102">
        <f t="shared" si="730"/>
        <v>19000</v>
      </c>
      <c r="BA317" s="99">
        <v>800</v>
      </c>
      <c r="BB317" s="113"/>
      <c r="BC317" s="102">
        <f t="shared" si="731"/>
        <v>19800</v>
      </c>
      <c r="BD317" s="99">
        <v>800</v>
      </c>
      <c r="BE317" s="113"/>
      <c r="BF317" s="102">
        <f t="shared" si="732"/>
        <v>20600</v>
      </c>
      <c r="BG317" s="99">
        <v>800</v>
      </c>
      <c r="BH317" s="113"/>
      <c r="BI317" s="102">
        <f t="shared" si="733"/>
        <v>21400</v>
      </c>
      <c r="BJ317" s="99">
        <v>800</v>
      </c>
      <c r="BK317" s="113">
        <v>15200</v>
      </c>
      <c r="BL317" s="102">
        <f t="shared" si="734"/>
        <v>7000</v>
      </c>
      <c r="BM317" s="99">
        <v>800</v>
      </c>
      <c r="BN317" s="113"/>
      <c r="BO317" s="102">
        <f t="shared" si="735"/>
        <v>7800</v>
      </c>
      <c r="BP317" s="99">
        <v>800</v>
      </c>
      <c r="BQ317" s="113"/>
      <c r="BR317" s="102">
        <f t="shared" si="736"/>
        <v>8600</v>
      </c>
      <c r="BS317" s="99">
        <v>800</v>
      </c>
      <c r="BT317" s="113"/>
      <c r="BU317" s="102">
        <f t="shared" si="737"/>
        <v>9400</v>
      </c>
      <c r="BV317" s="99">
        <v>800</v>
      </c>
      <c r="BW317" s="113"/>
      <c r="BX317" s="102">
        <f t="shared" si="738"/>
        <v>10200</v>
      </c>
      <c r="BY317" s="99">
        <v>800</v>
      </c>
      <c r="BZ317" s="113"/>
      <c r="CA317" s="102">
        <f t="shared" si="739"/>
        <v>11000</v>
      </c>
      <c r="CB317" s="99">
        <v>800</v>
      </c>
      <c r="CC317" s="113"/>
      <c r="CD317" s="102">
        <f t="shared" si="740"/>
        <v>11800</v>
      </c>
      <c r="CE317" s="99">
        <v>800</v>
      </c>
      <c r="CF317" s="113"/>
      <c r="CG317" s="102">
        <f t="shared" si="741"/>
        <v>12600</v>
      </c>
      <c r="CH317" s="99">
        <v>800</v>
      </c>
      <c r="CI317" s="113"/>
      <c r="CJ317" s="102">
        <f t="shared" si="742"/>
        <v>13400</v>
      </c>
      <c r="CK317" s="99">
        <v>800</v>
      </c>
      <c r="CL317" s="113"/>
      <c r="CM317" s="102">
        <f t="shared" si="743"/>
        <v>14200</v>
      </c>
      <c r="CN317" s="99">
        <v>800</v>
      </c>
      <c r="CO317" s="113"/>
      <c r="CP317" s="102">
        <f t="shared" si="744"/>
        <v>15000</v>
      </c>
      <c r="CQ317" s="99">
        <v>800</v>
      </c>
      <c r="CR317" s="113"/>
      <c r="CS317" s="102">
        <f t="shared" si="747"/>
        <v>15800</v>
      </c>
      <c r="CT317" s="99">
        <v>800</v>
      </c>
      <c r="CU317" s="113"/>
      <c r="CV317" s="102">
        <f t="shared" si="748"/>
        <v>16600</v>
      </c>
      <c r="CW317" s="99">
        <v>800</v>
      </c>
      <c r="CX317" s="113"/>
      <c r="CY317" s="102">
        <f t="shared" si="749"/>
        <v>17400</v>
      </c>
    </row>
    <row r="318" spans="1:103">
      <c r="A318" s="41" t="e">
        <f>VLOOKUP(B318,справочник!$B$2:$E$322,4,FALSE)</f>
        <v>#N/A</v>
      </c>
      <c r="B318" t="str">
        <f t="shared" si="592"/>
        <v>236Щербакова Татьяна Дмитриевна</v>
      </c>
      <c r="C318" s="1">
        <v>236</v>
      </c>
      <c r="D318" s="2" t="s">
        <v>796</v>
      </c>
      <c r="E318" s="1" t="s">
        <v>608</v>
      </c>
      <c r="F318" s="16">
        <v>41738</v>
      </c>
      <c r="G318" s="16">
        <v>41760</v>
      </c>
      <c r="H318" s="17">
        <f t="shared" si="723"/>
        <v>20</v>
      </c>
      <c r="I318" s="1">
        <f t="shared" si="745"/>
        <v>20000</v>
      </c>
      <c r="J318" s="17">
        <v>9000</v>
      </c>
      <c r="K318" s="17"/>
      <c r="L318" s="18">
        <f t="shared" si="746"/>
        <v>11000</v>
      </c>
      <c r="M318" s="29"/>
      <c r="N318" s="29">
        <v>3800</v>
      </c>
      <c r="O318" s="29">
        <v>4800</v>
      </c>
      <c r="P318" s="29"/>
      <c r="Q318" s="29"/>
      <c r="R318" s="29"/>
      <c r="S318" s="29"/>
      <c r="T318" s="29"/>
      <c r="U318" s="29"/>
      <c r="V318" s="29"/>
      <c r="W318" s="29"/>
      <c r="X318" s="29"/>
      <c r="Y318" s="18">
        <f t="shared" si="593"/>
        <v>8600</v>
      </c>
      <c r="Z318" s="96">
        <v>12</v>
      </c>
      <c r="AA318" s="96">
        <f t="shared" si="594"/>
        <v>9600</v>
      </c>
      <c r="AB318" s="96">
        <f t="shared" si="595"/>
        <v>12000</v>
      </c>
      <c r="AC318" s="99">
        <v>800</v>
      </c>
      <c r="AD318" s="98"/>
      <c r="AE318" s="102">
        <f t="shared" si="596"/>
        <v>12800</v>
      </c>
      <c r="AF318" s="99">
        <v>800</v>
      </c>
      <c r="AG318" s="98"/>
      <c r="AH318" s="102">
        <f t="shared" si="724"/>
        <v>13600</v>
      </c>
      <c r="AI318" s="99">
        <v>800</v>
      </c>
      <c r="AJ318" s="98"/>
      <c r="AK318" s="102">
        <f t="shared" si="725"/>
        <v>14400</v>
      </c>
      <c r="AL318" s="99">
        <v>800</v>
      </c>
      <c r="AM318" s="98"/>
      <c r="AN318" s="102">
        <f t="shared" si="726"/>
        <v>15200</v>
      </c>
      <c r="AO318" s="99">
        <v>800</v>
      </c>
      <c r="AP318" s="113"/>
      <c r="AQ318" s="102">
        <f t="shared" si="727"/>
        <v>16000</v>
      </c>
      <c r="AR318" s="99">
        <v>800</v>
      </c>
      <c r="AS318" s="113"/>
      <c r="AT318" s="102">
        <f t="shared" si="728"/>
        <v>16800</v>
      </c>
      <c r="AU318" s="99">
        <v>800</v>
      </c>
      <c r="AV318" s="113"/>
      <c r="AW318" s="102">
        <f t="shared" si="729"/>
        <v>17600</v>
      </c>
      <c r="AX318" s="99">
        <v>800</v>
      </c>
      <c r="AY318" s="113"/>
      <c r="AZ318" s="102">
        <f t="shared" si="730"/>
        <v>18400</v>
      </c>
      <c r="BA318" s="99">
        <v>800</v>
      </c>
      <c r="BB318" s="113"/>
      <c r="BC318" s="102">
        <f t="shared" si="731"/>
        <v>19200</v>
      </c>
      <c r="BD318" s="99">
        <v>800</v>
      </c>
      <c r="BE318" s="113"/>
      <c r="BF318" s="102">
        <f t="shared" si="732"/>
        <v>20000</v>
      </c>
      <c r="BG318" s="99">
        <v>800</v>
      </c>
      <c r="BH318" s="113"/>
      <c r="BI318" s="102">
        <f t="shared" si="733"/>
        <v>20800</v>
      </c>
      <c r="BJ318" s="99">
        <v>800</v>
      </c>
      <c r="BK318" s="113"/>
      <c r="BL318" s="102">
        <f t="shared" si="734"/>
        <v>21600</v>
      </c>
      <c r="BM318" s="99">
        <v>800</v>
      </c>
      <c r="BN318" s="113"/>
      <c r="BO318" s="102">
        <f t="shared" si="735"/>
        <v>22400</v>
      </c>
      <c r="BP318" s="99">
        <v>800</v>
      </c>
      <c r="BQ318" s="113"/>
      <c r="BR318" s="102">
        <f t="shared" si="736"/>
        <v>23200</v>
      </c>
      <c r="BS318" s="99">
        <v>800</v>
      </c>
      <c r="BT318" s="113"/>
      <c r="BU318" s="102">
        <f t="shared" si="737"/>
        <v>24000</v>
      </c>
      <c r="BV318" s="99">
        <v>800</v>
      </c>
      <c r="BW318" s="113"/>
      <c r="BX318" s="102">
        <f t="shared" si="738"/>
        <v>24800</v>
      </c>
      <c r="BY318" s="99">
        <v>800</v>
      </c>
      <c r="BZ318" s="113">
        <v>25600</v>
      </c>
      <c r="CA318" s="102">
        <f t="shared" si="739"/>
        <v>0</v>
      </c>
      <c r="CB318" s="99">
        <v>800</v>
      </c>
      <c r="CC318" s="113"/>
      <c r="CD318" s="102">
        <f t="shared" si="740"/>
        <v>800</v>
      </c>
      <c r="CE318" s="99">
        <v>800</v>
      </c>
      <c r="CF318" s="113"/>
      <c r="CG318" s="102">
        <f t="shared" si="741"/>
        <v>1600</v>
      </c>
      <c r="CH318" s="99">
        <v>800</v>
      </c>
      <c r="CI318" s="113"/>
      <c r="CJ318" s="102">
        <f t="shared" si="742"/>
        <v>2400</v>
      </c>
      <c r="CK318" s="99">
        <v>800</v>
      </c>
      <c r="CL318" s="113"/>
      <c r="CM318" s="102">
        <f t="shared" si="743"/>
        <v>3200</v>
      </c>
      <c r="CN318" s="99">
        <v>800</v>
      </c>
      <c r="CO318" s="113"/>
      <c r="CP318" s="102">
        <f t="shared" si="744"/>
        <v>4000</v>
      </c>
      <c r="CQ318" s="99">
        <v>800</v>
      </c>
      <c r="CR318" s="113"/>
      <c r="CS318" s="102">
        <f t="shared" si="747"/>
        <v>4800</v>
      </c>
      <c r="CT318" s="99">
        <v>800</v>
      </c>
      <c r="CU318" s="113"/>
      <c r="CV318" s="102">
        <f t="shared" si="748"/>
        <v>5600</v>
      </c>
      <c r="CW318" s="99">
        <v>800</v>
      </c>
      <c r="CX318" s="113"/>
      <c r="CY318" s="102">
        <f t="shared" si="749"/>
        <v>6400</v>
      </c>
    </row>
    <row r="319" spans="1:103">
      <c r="A319" s="41" t="e">
        <f>VLOOKUP(B319,справочник!$B$2:$E$322,4,FALSE)</f>
        <v>#N/A</v>
      </c>
      <c r="B319" t="str">
        <f t="shared" si="592"/>
        <v>15Элефтерова Евгения Викторовна</v>
      </c>
      <c r="C319" s="1">
        <v>15</v>
      </c>
      <c r="D319" s="2" t="s">
        <v>764</v>
      </c>
      <c r="E319" s="1" t="s">
        <v>609</v>
      </c>
      <c r="F319" s="16">
        <v>41261</v>
      </c>
      <c r="G319" s="16">
        <v>41275</v>
      </c>
      <c r="H319" s="17">
        <f t="shared" si="723"/>
        <v>36</v>
      </c>
      <c r="I319" s="1">
        <f t="shared" si="745"/>
        <v>36000</v>
      </c>
      <c r="J319" s="17">
        <v>32000</v>
      </c>
      <c r="K319" s="17"/>
      <c r="L319" s="18">
        <f t="shared" si="746"/>
        <v>4000</v>
      </c>
      <c r="M319" s="29"/>
      <c r="N319" s="29">
        <v>4000</v>
      </c>
      <c r="O319" s="29"/>
      <c r="P319" s="29"/>
      <c r="Q319" s="29"/>
      <c r="R319" s="29">
        <v>4800</v>
      </c>
      <c r="S319" s="29"/>
      <c r="T319" s="29"/>
      <c r="U319" s="29">
        <v>2400</v>
      </c>
      <c r="V319" s="29"/>
      <c r="W319" s="29"/>
      <c r="X319" s="29"/>
      <c r="Y319" s="18">
        <f t="shared" si="593"/>
        <v>11200</v>
      </c>
      <c r="Z319" s="96">
        <v>12</v>
      </c>
      <c r="AA319" s="96">
        <f t="shared" si="594"/>
        <v>9600</v>
      </c>
      <c r="AB319" s="96">
        <f t="shared" si="595"/>
        <v>2400</v>
      </c>
      <c r="AC319" s="99">
        <v>800</v>
      </c>
      <c r="AD319" s="98"/>
      <c r="AE319" s="102">
        <f t="shared" si="596"/>
        <v>3200</v>
      </c>
      <c r="AF319" s="99">
        <v>800</v>
      </c>
      <c r="AG319" s="98">
        <v>4000</v>
      </c>
      <c r="AH319" s="102">
        <f t="shared" si="724"/>
        <v>0</v>
      </c>
      <c r="AI319" s="99">
        <v>800</v>
      </c>
      <c r="AJ319" s="98"/>
      <c r="AK319" s="102">
        <f t="shared" si="725"/>
        <v>800</v>
      </c>
      <c r="AL319" s="99">
        <v>800</v>
      </c>
      <c r="AM319" s="98">
        <v>800</v>
      </c>
      <c r="AN319" s="102">
        <f t="shared" si="726"/>
        <v>800</v>
      </c>
      <c r="AO319" s="99">
        <v>800</v>
      </c>
      <c r="AP319" s="113"/>
      <c r="AQ319" s="102">
        <f t="shared" si="727"/>
        <v>1600</v>
      </c>
      <c r="AR319" s="99">
        <v>800</v>
      </c>
      <c r="AS319" s="113"/>
      <c r="AT319" s="102">
        <f t="shared" si="728"/>
        <v>2400</v>
      </c>
      <c r="AU319" s="99">
        <v>800</v>
      </c>
      <c r="AV319" s="113"/>
      <c r="AW319" s="102">
        <f t="shared" si="729"/>
        <v>3200</v>
      </c>
      <c r="AX319" s="99">
        <v>800</v>
      </c>
      <c r="AY319" s="113">
        <v>3200</v>
      </c>
      <c r="AZ319" s="102">
        <f t="shared" si="730"/>
        <v>800</v>
      </c>
      <c r="BA319" s="99">
        <v>800</v>
      </c>
      <c r="BB319" s="113">
        <v>1000</v>
      </c>
      <c r="BC319" s="102">
        <f t="shared" si="731"/>
        <v>600</v>
      </c>
      <c r="BD319" s="99">
        <v>800</v>
      </c>
      <c r="BE319" s="113"/>
      <c r="BF319" s="102">
        <f t="shared" si="732"/>
        <v>1400</v>
      </c>
      <c r="BG319" s="99">
        <v>800</v>
      </c>
      <c r="BH319" s="113">
        <v>1200</v>
      </c>
      <c r="BI319" s="102">
        <f t="shared" si="733"/>
        <v>1000</v>
      </c>
      <c r="BJ319" s="99">
        <v>800</v>
      </c>
      <c r="BK319" s="113"/>
      <c r="BL319" s="102">
        <f t="shared" si="734"/>
        <v>1800</v>
      </c>
      <c r="BM319" s="99">
        <v>800</v>
      </c>
      <c r="BN319" s="113">
        <v>5000</v>
      </c>
      <c r="BO319" s="102">
        <f t="shared" si="735"/>
        <v>-2400</v>
      </c>
      <c r="BP319" s="99">
        <v>800</v>
      </c>
      <c r="BQ319" s="113"/>
      <c r="BR319" s="102">
        <f t="shared" si="736"/>
        <v>-1600</v>
      </c>
      <c r="BS319" s="99">
        <v>800</v>
      </c>
      <c r="BT319" s="113"/>
      <c r="BU319" s="102">
        <f t="shared" si="737"/>
        <v>-800</v>
      </c>
      <c r="BV319" s="99">
        <v>800</v>
      </c>
      <c r="BW319" s="113">
        <v>1600</v>
      </c>
      <c r="BX319" s="102">
        <f t="shared" si="738"/>
        <v>-1600</v>
      </c>
      <c r="BY319" s="99">
        <v>800</v>
      </c>
      <c r="BZ319" s="113"/>
      <c r="CA319" s="102">
        <f t="shared" si="739"/>
        <v>-800</v>
      </c>
      <c r="CB319" s="99">
        <v>800</v>
      </c>
      <c r="CC319" s="113"/>
      <c r="CD319" s="102">
        <f t="shared" si="740"/>
        <v>0</v>
      </c>
      <c r="CE319" s="99">
        <v>800</v>
      </c>
      <c r="CF319" s="113"/>
      <c r="CG319" s="102">
        <f t="shared" si="741"/>
        <v>800</v>
      </c>
      <c r="CH319" s="99">
        <v>800</v>
      </c>
      <c r="CI319" s="113">
        <v>2400</v>
      </c>
      <c r="CJ319" s="102">
        <f t="shared" si="742"/>
        <v>-800</v>
      </c>
      <c r="CK319" s="99">
        <v>800</v>
      </c>
      <c r="CL319" s="113"/>
      <c r="CM319" s="102">
        <f t="shared" si="743"/>
        <v>0</v>
      </c>
      <c r="CN319" s="99">
        <v>800</v>
      </c>
      <c r="CO319" s="113"/>
      <c r="CP319" s="102">
        <f t="shared" si="744"/>
        <v>800</v>
      </c>
      <c r="CQ319" s="99">
        <v>800</v>
      </c>
      <c r="CR319" s="113">
        <v>2400</v>
      </c>
      <c r="CS319" s="102">
        <f t="shared" si="747"/>
        <v>-800</v>
      </c>
      <c r="CT319" s="99">
        <v>800</v>
      </c>
      <c r="CU319" s="113"/>
      <c r="CV319" s="102">
        <f t="shared" si="748"/>
        <v>0</v>
      </c>
      <c r="CW319" s="99">
        <v>800</v>
      </c>
      <c r="CX319" s="113"/>
      <c r="CY319" s="102">
        <f t="shared" si="749"/>
        <v>800</v>
      </c>
    </row>
    <row r="320" spans="1:103">
      <c r="A320" s="41">
        <f>VLOOKUP(B320,справочник!$B$2:$E$322,4,FALSE)</f>
        <v>240</v>
      </c>
      <c r="B320" t="str">
        <f t="shared" si="592"/>
        <v>251Якиманский Александр Александрович</v>
      </c>
      <c r="C320" s="1">
        <v>251</v>
      </c>
      <c r="D320" s="11" t="s">
        <v>304</v>
      </c>
      <c r="E320" s="1" t="s">
        <v>610</v>
      </c>
      <c r="F320" s="16">
        <v>40799</v>
      </c>
      <c r="G320" s="16">
        <v>40787</v>
      </c>
      <c r="H320" s="17">
        <f t="shared" si="723"/>
        <v>52</v>
      </c>
      <c r="I320" s="1">
        <f t="shared" si="745"/>
        <v>52000</v>
      </c>
      <c r="J320" s="17">
        <f>1000+49000</f>
        <v>50000</v>
      </c>
      <c r="K320" s="17">
        <v>3000</v>
      </c>
      <c r="L320" s="18">
        <f t="shared" si="746"/>
        <v>-1000</v>
      </c>
      <c r="M320" s="29"/>
      <c r="N320" s="29"/>
      <c r="O320" s="29"/>
      <c r="P320" s="29"/>
      <c r="Q320" s="29"/>
      <c r="R320" s="29"/>
      <c r="S320" s="29"/>
      <c r="T320" s="29"/>
      <c r="U320" s="29">
        <v>5000</v>
      </c>
      <c r="V320" s="29"/>
      <c r="W320" s="84">
        <v>1600</v>
      </c>
      <c r="X320" s="29"/>
      <c r="Y320" s="18">
        <f t="shared" si="593"/>
        <v>6600</v>
      </c>
      <c r="Z320" s="96">
        <v>12</v>
      </c>
      <c r="AA320" s="96">
        <f t="shared" si="594"/>
        <v>9600</v>
      </c>
      <c r="AB320" s="96">
        <f t="shared" si="595"/>
        <v>2000</v>
      </c>
      <c r="AC320" s="99">
        <v>800</v>
      </c>
      <c r="AD320" s="98">
        <v>2400</v>
      </c>
      <c r="AE320" s="102">
        <f t="shared" si="596"/>
        <v>400</v>
      </c>
      <c r="AF320" s="99">
        <v>800</v>
      </c>
      <c r="AG320" s="98"/>
      <c r="AH320" s="102">
        <f t="shared" si="724"/>
        <v>1200</v>
      </c>
      <c r="AI320" s="99">
        <v>800</v>
      </c>
      <c r="AJ320" s="98"/>
      <c r="AK320" s="102">
        <f t="shared" si="725"/>
        <v>2000</v>
      </c>
      <c r="AL320" s="99">
        <v>800</v>
      </c>
      <c r="AM320" s="98">
        <v>2800</v>
      </c>
      <c r="AN320" s="102">
        <f t="shared" si="726"/>
        <v>0</v>
      </c>
      <c r="AO320" s="99">
        <v>800</v>
      </c>
      <c r="AP320" s="113"/>
      <c r="AQ320" s="102">
        <f t="shared" si="727"/>
        <v>800</v>
      </c>
      <c r="AR320" s="99">
        <v>800</v>
      </c>
      <c r="AS320" s="113"/>
      <c r="AT320" s="102">
        <f t="shared" si="728"/>
        <v>1600</v>
      </c>
      <c r="AU320" s="99">
        <v>800</v>
      </c>
      <c r="AV320" s="113">
        <v>2400</v>
      </c>
      <c r="AW320" s="102">
        <f t="shared" si="729"/>
        <v>0</v>
      </c>
      <c r="AX320" s="99">
        <v>800</v>
      </c>
      <c r="AY320" s="113"/>
      <c r="AZ320" s="102">
        <f t="shared" si="730"/>
        <v>800</v>
      </c>
      <c r="BA320" s="99">
        <v>800</v>
      </c>
      <c r="BB320" s="113">
        <v>1600</v>
      </c>
      <c r="BC320" s="102">
        <f t="shared" si="731"/>
        <v>0</v>
      </c>
      <c r="BD320" s="99">
        <v>800</v>
      </c>
      <c r="BE320" s="113"/>
      <c r="BF320" s="102">
        <f t="shared" si="732"/>
        <v>800</v>
      </c>
      <c r="BG320" s="99">
        <v>800</v>
      </c>
      <c r="BH320" s="113">
        <v>1200</v>
      </c>
      <c r="BI320" s="102">
        <f t="shared" si="733"/>
        <v>400</v>
      </c>
      <c r="BJ320" s="99">
        <v>800</v>
      </c>
      <c r="BK320" s="113"/>
      <c r="BL320" s="102">
        <f t="shared" si="734"/>
        <v>1200</v>
      </c>
      <c r="BM320" s="99">
        <v>800</v>
      </c>
      <c r="BN320" s="113">
        <v>2000</v>
      </c>
      <c r="BO320" s="102">
        <f t="shared" si="735"/>
        <v>0</v>
      </c>
      <c r="BP320" s="99">
        <v>800</v>
      </c>
      <c r="BQ320" s="113"/>
      <c r="BR320" s="102">
        <f t="shared" si="736"/>
        <v>800</v>
      </c>
      <c r="BS320" s="99">
        <v>800</v>
      </c>
      <c r="BT320" s="113"/>
      <c r="BU320" s="102">
        <f t="shared" si="737"/>
        <v>1600</v>
      </c>
      <c r="BV320" s="99">
        <v>800</v>
      </c>
      <c r="BW320" s="113"/>
      <c r="BX320" s="102">
        <f t="shared" si="738"/>
        <v>2400</v>
      </c>
      <c r="BY320" s="99">
        <v>800</v>
      </c>
      <c r="BZ320" s="113">
        <v>2400</v>
      </c>
      <c r="CA320" s="102">
        <f t="shared" si="739"/>
        <v>800</v>
      </c>
      <c r="CB320" s="99">
        <v>800</v>
      </c>
      <c r="CC320" s="113"/>
      <c r="CD320" s="102">
        <f t="shared" si="740"/>
        <v>1600</v>
      </c>
      <c r="CE320" s="99">
        <v>800</v>
      </c>
      <c r="CF320" s="113"/>
      <c r="CG320" s="102">
        <f t="shared" si="741"/>
        <v>2400</v>
      </c>
      <c r="CH320" s="99">
        <v>800</v>
      </c>
      <c r="CI320" s="113">
        <v>3000</v>
      </c>
      <c r="CJ320" s="102">
        <f t="shared" si="742"/>
        <v>200</v>
      </c>
      <c r="CK320" s="99">
        <v>800</v>
      </c>
      <c r="CL320" s="113"/>
      <c r="CM320" s="102">
        <f t="shared" si="743"/>
        <v>1000</v>
      </c>
      <c r="CN320" s="99">
        <v>800</v>
      </c>
      <c r="CO320" s="113"/>
      <c r="CP320" s="102">
        <f t="shared" si="744"/>
        <v>1800</v>
      </c>
      <c r="CQ320" s="99">
        <v>800</v>
      </c>
      <c r="CR320" s="113"/>
      <c r="CS320" s="102">
        <f t="shared" si="747"/>
        <v>2600</v>
      </c>
      <c r="CT320" s="99">
        <v>800</v>
      </c>
      <c r="CU320" s="113">
        <v>4000</v>
      </c>
      <c r="CV320" s="102">
        <f t="shared" si="748"/>
        <v>-600</v>
      </c>
      <c r="CW320" s="99">
        <v>800</v>
      </c>
      <c r="CX320" s="113"/>
      <c r="CY320" s="102">
        <f t="shared" si="749"/>
        <v>200</v>
      </c>
    </row>
    <row r="321" spans="1:103">
      <c r="A321" s="41">
        <f>VLOOKUP(B321,справочник!$B$2:$E$322,4,FALSE)</f>
        <v>10</v>
      </c>
      <c r="B321" t="str">
        <f t="shared" si="592"/>
        <v>10Якушина Любовь Викторовна</v>
      </c>
      <c r="C321" s="1">
        <v>10</v>
      </c>
      <c r="D321" s="2" t="s">
        <v>305</v>
      </c>
      <c r="E321" s="1" t="s">
        <v>611</v>
      </c>
      <c r="F321" s="16">
        <v>42023</v>
      </c>
      <c r="G321" s="1"/>
      <c r="H321" s="17">
        <v>0</v>
      </c>
      <c r="I321" s="1">
        <f t="shared" si="745"/>
        <v>0</v>
      </c>
      <c r="J321" s="17"/>
      <c r="K321" s="17"/>
      <c r="L321" s="18">
        <f t="shared" si="746"/>
        <v>0</v>
      </c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18">
        <f t="shared" si="593"/>
        <v>0</v>
      </c>
      <c r="Z321" s="96">
        <v>12</v>
      </c>
      <c r="AA321" s="96">
        <f t="shared" si="594"/>
        <v>9600</v>
      </c>
      <c r="AB321" s="96">
        <f t="shared" si="595"/>
        <v>9600</v>
      </c>
      <c r="AC321" s="99">
        <v>800</v>
      </c>
      <c r="AD321" s="98"/>
      <c r="AE321" s="102">
        <f t="shared" si="596"/>
        <v>10400</v>
      </c>
      <c r="AF321" s="99">
        <v>800</v>
      </c>
      <c r="AG321" s="98"/>
      <c r="AH321" s="102">
        <f t="shared" si="724"/>
        <v>11200</v>
      </c>
      <c r="AI321" s="99">
        <v>800</v>
      </c>
      <c r="AJ321" s="98"/>
      <c r="AK321" s="102">
        <f t="shared" si="725"/>
        <v>12000</v>
      </c>
      <c r="AL321" s="99">
        <v>800</v>
      </c>
      <c r="AM321" s="98"/>
      <c r="AN321" s="102">
        <f t="shared" si="726"/>
        <v>12800</v>
      </c>
      <c r="AO321" s="99">
        <v>800</v>
      </c>
      <c r="AP321" s="113"/>
      <c r="AQ321" s="102">
        <f t="shared" si="727"/>
        <v>13600</v>
      </c>
      <c r="AR321" s="99">
        <v>800</v>
      </c>
      <c r="AS321" s="113"/>
      <c r="AT321" s="102">
        <f t="shared" si="728"/>
        <v>14400</v>
      </c>
      <c r="AU321" s="99">
        <v>800</v>
      </c>
      <c r="AV321" s="113"/>
      <c r="AW321" s="102">
        <f t="shared" si="729"/>
        <v>15200</v>
      </c>
      <c r="AX321" s="99">
        <v>800</v>
      </c>
      <c r="AY321" s="113"/>
      <c r="AZ321" s="102">
        <f t="shared" si="730"/>
        <v>16000</v>
      </c>
      <c r="BA321" s="99">
        <v>800</v>
      </c>
      <c r="BB321" s="113"/>
      <c r="BC321" s="102">
        <f t="shared" si="731"/>
        <v>16800</v>
      </c>
      <c r="BD321" s="99">
        <v>800</v>
      </c>
      <c r="BE321" s="113"/>
      <c r="BF321" s="102">
        <f t="shared" si="732"/>
        <v>17600</v>
      </c>
      <c r="BG321" s="99">
        <v>800</v>
      </c>
      <c r="BH321" s="113"/>
      <c r="BI321" s="102">
        <f t="shared" si="733"/>
        <v>18400</v>
      </c>
      <c r="BJ321" s="99">
        <v>800</v>
      </c>
      <c r="BK321" s="113"/>
      <c r="BL321" s="102">
        <f t="shared" si="734"/>
        <v>19200</v>
      </c>
      <c r="BM321" s="99">
        <v>800</v>
      </c>
      <c r="BN321" s="113"/>
      <c r="BO321" s="102">
        <f t="shared" si="735"/>
        <v>20000</v>
      </c>
      <c r="BP321" s="99">
        <v>800</v>
      </c>
      <c r="BQ321" s="113"/>
      <c r="BR321" s="102">
        <f t="shared" si="736"/>
        <v>20800</v>
      </c>
      <c r="BS321" s="99">
        <v>800</v>
      </c>
      <c r="BT321" s="113"/>
      <c r="BU321" s="102">
        <f t="shared" si="737"/>
        <v>21600</v>
      </c>
      <c r="BV321" s="99">
        <v>800</v>
      </c>
      <c r="BW321" s="113"/>
      <c r="BX321" s="102">
        <f t="shared" si="738"/>
        <v>22400</v>
      </c>
      <c r="BY321" s="99">
        <v>800</v>
      </c>
      <c r="BZ321" s="113"/>
      <c r="CA321" s="102">
        <f t="shared" si="739"/>
        <v>23200</v>
      </c>
      <c r="CB321" s="99">
        <v>800</v>
      </c>
      <c r="CC321" s="113"/>
      <c r="CD321" s="102">
        <f t="shared" si="740"/>
        <v>24000</v>
      </c>
      <c r="CE321" s="99">
        <v>800</v>
      </c>
      <c r="CF321" s="113"/>
      <c r="CG321" s="102">
        <f t="shared" si="741"/>
        <v>24800</v>
      </c>
      <c r="CH321" s="99">
        <v>800</v>
      </c>
      <c r="CI321" s="113"/>
      <c r="CJ321" s="102">
        <f t="shared" si="742"/>
        <v>25600</v>
      </c>
      <c r="CK321" s="99">
        <v>800</v>
      </c>
      <c r="CL321" s="113"/>
      <c r="CM321" s="102">
        <f t="shared" si="743"/>
        <v>26400</v>
      </c>
      <c r="CN321" s="99">
        <v>800</v>
      </c>
      <c r="CO321" s="113"/>
      <c r="CP321" s="102">
        <f t="shared" si="744"/>
        <v>27200</v>
      </c>
      <c r="CQ321" s="99">
        <v>800</v>
      </c>
      <c r="CR321" s="113"/>
      <c r="CS321" s="102">
        <f t="shared" si="747"/>
        <v>28000</v>
      </c>
      <c r="CT321" s="99">
        <v>800</v>
      </c>
      <c r="CU321" s="113"/>
      <c r="CV321" s="102">
        <f t="shared" si="748"/>
        <v>28800</v>
      </c>
      <c r="CW321" s="99">
        <v>800</v>
      </c>
      <c r="CX321" s="113"/>
      <c r="CY321" s="102">
        <f t="shared" si="749"/>
        <v>29600</v>
      </c>
    </row>
    <row r="322" spans="1:103">
      <c r="A322" s="41">
        <f>VLOOKUP(B322,справочник!$B$2:$E$322,4,FALSE)</f>
        <v>55</v>
      </c>
      <c r="B322" t="str">
        <f t="shared" si="592"/>
        <v>57Янковская Елена Александровна</v>
      </c>
      <c r="C322" s="1">
        <v>57</v>
      </c>
      <c r="D322" s="2" t="s">
        <v>306</v>
      </c>
      <c r="E322" s="1" t="s">
        <v>612</v>
      </c>
      <c r="F322" s="16">
        <v>40772</v>
      </c>
      <c r="G322" s="16">
        <v>40756</v>
      </c>
      <c r="H322" s="17">
        <f>INT(($H$326-G322)/30)</f>
        <v>53</v>
      </c>
      <c r="I322" s="1">
        <f t="shared" si="745"/>
        <v>53000</v>
      </c>
      <c r="J322" s="17">
        <f>1000+53000</f>
        <v>54000</v>
      </c>
      <c r="K322" s="17">
        <v>3000</v>
      </c>
      <c r="L322" s="18">
        <f t="shared" si="746"/>
        <v>-4000</v>
      </c>
      <c r="M322" s="29"/>
      <c r="N322" s="29"/>
      <c r="O322" s="29">
        <v>3200</v>
      </c>
      <c r="P322" s="29"/>
      <c r="Q322" s="29"/>
      <c r="R322" s="29"/>
      <c r="S322" s="29">
        <v>3200</v>
      </c>
      <c r="T322" s="29"/>
      <c r="U322" s="29"/>
      <c r="V322" s="29"/>
      <c r="W322" s="84">
        <v>3200</v>
      </c>
      <c r="X322" s="29"/>
      <c r="Y322" s="18">
        <f t="shared" si="593"/>
        <v>9600</v>
      </c>
      <c r="Z322" s="96">
        <v>12</v>
      </c>
      <c r="AA322" s="96">
        <f t="shared" si="594"/>
        <v>9600</v>
      </c>
      <c r="AB322" s="96">
        <f t="shared" si="595"/>
        <v>-4000</v>
      </c>
      <c r="AC322" s="99">
        <v>800</v>
      </c>
      <c r="AD322" s="98"/>
      <c r="AE322" s="102">
        <f t="shared" si="596"/>
        <v>-3200</v>
      </c>
      <c r="AF322" s="99">
        <v>800</v>
      </c>
      <c r="AG322" s="98"/>
      <c r="AH322" s="102">
        <f t="shared" si="724"/>
        <v>-2400</v>
      </c>
      <c r="AI322" s="99">
        <v>800</v>
      </c>
      <c r="AJ322" s="98"/>
      <c r="AK322" s="102">
        <f t="shared" si="725"/>
        <v>-1600</v>
      </c>
      <c r="AL322" s="99">
        <v>800</v>
      </c>
      <c r="AM322" s="98"/>
      <c r="AN322" s="102">
        <f t="shared" si="726"/>
        <v>-800</v>
      </c>
      <c r="AO322" s="99">
        <v>800</v>
      </c>
      <c r="AP322" s="113"/>
      <c r="AQ322" s="102">
        <f t="shared" si="727"/>
        <v>0</v>
      </c>
      <c r="AR322" s="99">
        <v>800</v>
      </c>
      <c r="AS322" s="113">
        <v>4000</v>
      </c>
      <c r="AT322" s="102">
        <f t="shared" si="728"/>
        <v>-3200</v>
      </c>
      <c r="AU322" s="99">
        <v>800</v>
      </c>
      <c r="AV322" s="113"/>
      <c r="AW322" s="102">
        <f t="shared" si="729"/>
        <v>-2400</v>
      </c>
      <c r="AX322" s="99">
        <v>800</v>
      </c>
      <c r="AY322" s="113"/>
      <c r="AZ322" s="102">
        <f t="shared" si="730"/>
        <v>-1600</v>
      </c>
      <c r="BA322" s="99">
        <v>800</v>
      </c>
      <c r="BB322" s="113"/>
      <c r="BC322" s="102">
        <f t="shared" si="731"/>
        <v>-800</v>
      </c>
      <c r="BD322" s="99">
        <v>800</v>
      </c>
      <c r="BE322" s="113"/>
      <c r="BF322" s="102">
        <f t="shared" si="732"/>
        <v>0</v>
      </c>
      <c r="BG322" s="99">
        <v>800</v>
      </c>
      <c r="BH322" s="113"/>
      <c r="BI322" s="102">
        <f t="shared" si="733"/>
        <v>800</v>
      </c>
      <c r="BJ322" s="99">
        <v>800</v>
      </c>
      <c r="BK322" s="113">
        <v>3200</v>
      </c>
      <c r="BL322" s="102">
        <f t="shared" si="734"/>
        <v>-1600</v>
      </c>
      <c r="BM322" s="99">
        <v>800</v>
      </c>
      <c r="BN322" s="113"/>
      <c r="BO322" s="102">
        <f>BL322+BM322-BN322</f>
        <v>-800</v>
      </c>
      <c r="BP322" s="99">
        <v>800</v>
      </c>
      <c r="BQ322" s="113"/>
      <c r="BR322" s="102">
        <f>BO322+BP322-BQ322</f>
        <v>0</v>
      </c>
      <c r="BS322" s="99">
        <v>800</v>
      </c>
      <c r="BT322" s="113">
        <v>3200</v>
      </c>
      <c r="BU322" s="102">
        <f>BR322+BS322-BT322</f>
        <v>-2400</v>
      </c>
      <c r="BV322" s="99">
        <v>800</v>
      </c>
      <c r="BW322" s="113"/>
      <c r="BX322" s="102">
        <f>BU322+BV322-BW322</f>
        <v>-1600</v>
      </c>
      <c r="BY322" s="99">
        <v>800</v>
      </c>
      <c r="BZ322" s="113"/>
      <c r="CA322" s="102">
        <f>BX322+BY322-BZ322</f>
        <v>-800</v>
      </c>
      <c r="CB322" s="99">
        <v>800</v>
      </c>
      <c r="CC322" s="113"/>
      <c r="CD322" s="102">
        <f>CA322+CB322-CC322</f>
        <v>0</v>
      </c>
      <c r="CE322" s="99">
        <v>800</v>
      </c>
      <c r="CF322" s="113">
        <v>3800</v>
      </c>
      <c r="CG322" s="102">
        <f>CD322+CE322-CF322</f>
        <v>-3000</v>
      </c>
      <c r="CH322" s="99">
        <v>800</v>
      </c>
      <c r="CI322" s="113"/>
      <c r="CJ322" s="102">
        <f>CG322+CH322-CI322</f>
        <v>-2200</v>
      </c>
      <c r="CK322" s="99">
        <v>800</v>
      </c>
      <c r="CL322" s="113"/>
      <c r="CM322" s="102">
        <f>CJ322+CK322-CL322</f>
        <v>-1400</v>
      </c>
      <c r="CN322" s="99">
        <v>800</v>
      </c>
      <c r="CO322" s="113"/>
      <c r="CP322" s="102">
        <f>CM322+CN322-CO322</f>
        <v>-600</v>
      </c>
      <c r="CQ322" s="99">
        <v>800</v>
      </c>
      <c r="CR322" s="113"/>
      <c r="CS322" s="102">
        <f t="shared" si="747"/>
        <v>200</v>
      </c>
      <c r="CT322" s="99">
        <v>800</v>
      </c>
      <c r="CU322" s="113"/>
      <c r="CV322" s="102">
        <f t="shared" si="748"/>
        <v>1000</v>
      </c>
      <c r="CW322" s="99">
        <v>800</v>
      </c>
      <c r="CX322" s="113">
        <v>6400</v>
      </c>
      <c r="CY322" s="102">
        <f t="shared" si="749"/>
        <v>-4600</v>
      </c>
    </row>
    <row r="323" spans="1:103">
      <c r="A323" s="41">
        <f>VLOOKUP(B323,справочник!$B$2:$E$322,4,FALSE)</f>
        <v>309</v>
      </c>
      <c r="B323" t="str">
        <f t="shared" si="592"/>
        <v>324Янковская Яна Валерьевна</v>
      </c>
      <c r="C323" s="1">
        <v>324</v>
      </c>
      <c r="D323" s="2" t="s">
        <v>307</v>
      </c>
      <c r="E323" s="1" t="s">
        <v>613</v>
      </c>
      <c r="F323" s="16">
        <v>41002</v>
      </c>
      <c r="G323" s="16">
        <v>41000</v>
      </c>
      <c r="H323" s="17">
        <f>INT(($H$326-G323)/30)</f>
        <v>45</v>
      </c>
      <c r="I323" s="1">
        <f t="shared" si="745"/>
        <v>45000</v>
      </c>
      <c r="J323" s="17">
        <f>17000+1000</f>
        <v>18000</v>
      </c>
      <c r="K323" s="17">
        <v>5000</v>
      </c>
      <c r="L323" s="18">
        <f t="shared" si="746"/>
        <v>22000</v>
      </c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18">
        <f t="shared" si="593"/>
        <v>0</v>
      </c>
      <c r="Z323" s="96">
        <v>12</v>
      </c>
      <c r="AA323" s="96">
        <f t="shared" si="594"/>
        <v>9600</v>
      </c>
      <c r="AB323" s="96">
        <f t="shared" si="595"/>
        <v>31600</v>
      </c>
      <c r="AC323" s="99">
        <v>800</v>
      </c>
      <c r="AD323" s="98"/>
      <c r="AE323" s="102">
        <f t="shared" si="596"/>
        <v>32400</v>
      </c>
      <c r="AF323" s="99">
        <v>800</v>
      </c>
      <c r="AG323" s="98"/>
      <c r="AH323" s="102">
        <f t="shared" si="724"/>
        <v>33200</v>
      </c>
      <c r="AI323" s="99">
        <v>800</v>
      </c>
      <c r="AJ323" s="98"/>
      <c r="AK323" s="102">
        <f t="shared" si="725"/>
        <v>34000</v>
      </c>
      <c r="AL323" s="99">
        <v>800</v>
      </c>
      <c r="AM323" s="98"/>
      <c r="AN323" s="102">
        <f t="shared" si="726"/>
        <v>34800</v>
      </c>
      <c r="AO323" s="99">
        <v>800</v>
      </c>
      <c r="AP323" s="113"/>
      <c r="AQ323" s="102">
        <f t="shared" si="727"/>
        <v>35600</v>
      </c>
      <c r="AR323" s="99">
        <v>800</v>
      </c>
      <c r="AS323" s="113"/>
      <c r="AT323" s="102">
        <f t="shared" si="728"/>
        <v>36400</v>
      </c>
      <c r="AU323" s="99">
        <v>800</v>
      </c>
      <c r="AV323" s="113"/>
      <c r="AW323" s="102">
        <f t="shared" si="729"/>
        <v>37200</v>
      </c>
      <c r="AX323" s="99">
        <v>800</v>
      </c>
      <c r="AY323" s="113"/>
      <c r="AZ323" s="102">
        <f t="shared" si="730"/>
        <v>38000</v>
      </c>
      <c r="BA323" s="99">
        <v>800</v>
      </c>
      <c r="BB323" s="113"/>
      <c r="BC323" s="102">
        <f t="shared" si="731"/>
        <v>38800</v>
      </c>
      <c r="BD323" s="99">
        <v>800</v>
      </c>
      <c r="BE323" s="113"/>
      <c r="BF323" s="102">
        <f t="shared" si="732"/>
        <v>39600</v>
      </c>
      <c r="BG323" s="99">
        <v>800</v>
      </c>
      <c r="BH323" s="113"/>
      <c r="BI323" s="102">
        <f t="shared" si="733"/>
        <v>40400</v>
      </c>
      <c r="BJ323" s="99">
        <v>800</v>
      </c>
      <c r="BK323" s="113"/>
      <c r="BL323" s="102">
        <f t="shared" si="734"/>
        <v>41200</v>
      </c>
      <c r="BM323" s="99">
        <v>800</v>
      </c>
      <c r="BN323" s="113">
        <f>800+800</f>
        <v>1600</v>
      </c>
      <c r="BO323" s="102">
        <f t="shared" si="735"/>
        <v>40400</v>
      </c>
      <c r="BP323" s="99">
        <v>800</v>
      </c>
      <c r="BQ323" s="113">
        <f>800+800</f>
        <v>1600</v>
      </c>
      <c r="BR323" s="102">
        <f t="shared" ref="BR323:BR325" si="750">BO323+BP323-BQ323</f>
        <v>39600</v>
      </c>
      <c r="BS323" s="99">
        <v>800</v>
      </c>
      <c r="BT323" s="113">
        <f>800+800</f>
        <v>1600</v>
      </c>
      <c r="BU323" s="102">
        <f t="shared" ref="BU323:BU325" si="751">BR323+BS323-BT323</f>
        <v>38800</v>
      </c>
      <c r="BV323" s="99">
        <v>800</v>
      </c>
      <c r="BW323" s="113">
        <f>800+800</f>
        <v>1600</v>
      </c>
      <c r="BX323" s="102">
        <f t="shared" ref="BX323:BX325" si="752">BU323+BV323-BW323</f>
        <v>38000</v>
      </c>
      <c r="BY323" s="99">
        <v>800</v>
      </c>
      <c r="BZ323" s="113">
        <f>800+800</f>
        <v>1600</v>
      </c>
      <c r="CA323" s="102">
        <f t="shared" ref="CA323:CA325" si="753">BX323+BY323-BZ323</f>
        <v>37200</v>
      </c>
      <c r="CB323" s="99">
        <v>800</v>
      </c>
      <c r="CC323" s="113">
        <f>800+800</f>
        <v>1600</v>
      </c>
      <c r="CD323" s="102">
        <f t="shared" ref="CD323:CD325" si="754">CA323+CB323-CC323</f>
        <v>36400</v>
      </c>
      <c r="CE323" s="99">
        <v>800</v>
      </c>
      <c r="CF323" s="113">
        <f>800+800</f>
        <v>1600</v>
      </c>
      <c r="CG323" s="102">
        <f t="shared" ref="CG323:CG325" si="755">CD323+CE323-CF323</f>
        <v>35600</v>
      </c>
      <c r="CH323" s="99">
        <v>800</v>
      </c>
      <c r="CI323" s="113">
        <f>800+800</f>
        <v>1600</v>
      </c>
      <c r="CJ323" s="102">
        <f t="shared" ref="CJ323:CJ325" si="756">CG323+CH323-CI323</f>
        <v>34800</v>
      </c>
      <c r="CK323" s="99">
        <v>800</v>
      </c>
      <c r="CL323" s="113">
        <f>800+800</f>
        <v>1600</v>
      </c>
      <c r="CM323" s="102">
        <f t="shared" ref="CM323:CM325" si="757">CJ323+CK323-CL323</f>
        <v>34000</v>
      </c>
      <c r="CN323" s="99">
        <v>800</v>
      </c>
      <c r="CO323" s="113">
        <f>800+800</f>
        <v>1600</v>
      </c>
      <c r="CP323" s="102">
        <f t="shared" ref="CP323:CP325" si="758">CM323+CN323-CO323</f>
        <v>33200</v>
      </c>
      <c r="CQ323" s="99">
        <v>800</v>
      </c>
      <c r="CR323" s="113">
        <f>800+800</f>
        <v>1600</v>
      </c>
      <c r="CS323" s="102">
        <f t="shared" si="747"/>
        <v>32400</v>
      </c>
      <c r="CT323" s="99">
        <v>800</v>
      </c>
      <c r="CU323" s="113">
        <f>800+800</f>
        <v>1600</v>
      </c>
      <c r="CV323" s="102">
        <f t="shared" si="748"/>
        <v>31600</v>
      </c>
      <c r="CW323" s="99">
        <v>800</v>
      </c>
      <c r="CX323" s="113">
        <f>800+800</f>
        <v>1600</v>
      </c>
      <c r="CY323" s="102">
        <f t="shared" si="749"/>
        <v>30800</v>
      </c>
    </row>
    <row r="324" spans="1:103">
      <c r="A324" s="41">
        <f>VLOOKUP(B324,справочник!$B$2:$E$322,4,FALSE)</f>
        <v>17</v>
      </c>
      <c r="B324" t="str">
        <f t="shared" si="592"/>
        <v>17Яструб Валерий Викторович</v>
      </c>
      <c r="C324" s="1">
        <v>17</v>
      </c>
      <c r="D324" s="2" t="s">
        <v>308</v>
      </c>
      <c r="E324" s="1" t="s">
        <v>614</v>
      </c>
      <c r="F324" s="16">
        <v>41254</v>
      </c>
      <c r="G324" s="16">
        <v>41275</v>
      </c>
      <c r="H324" s="17">
        <f>INT(($H$326-G324)/30)</f>
        <v>36</v>
      </c>
      <c r="I324" s="1">
        <f t="shared" si="745"/>
        <v>36000</v>
      </c>
      <c r="J324" s="17">
        <v>31000</v>
      </c>
      <c r="K324" s="17"/>
      <c r="L324" s="18">
        <f t="shared" si="746"/>
        <v>5000</v>
      </c>
      <c r="M324" s="29">
        <v>3000</v>
      </c>
      <c r="N324" s="29"/>
      <c r="O324" s="29">
        <v>2000</v>
      </c>
      <c r="P324" s="29"/>
      <c r="Q324" s="29"/>
      <c r="R324" s="29">
        <v>2000</v>
      </c>
      <c r="S324" s="29"/>
      <c r="T324">
        <v>3000</v>
      </c>
      <c r="U324" s="29"/>
      <c r="V324" s="29">
        <v>4600</v>
      </c>
      <c r="W324" s="29"/>
      <c r="X324" s="29"/>
      <c r="Y324" s="18">
        <f t="shared" si="593"/>
        <v>14600</v>
      </c>
      <c r="Z324" s="96">
        <v>12</v>
      </c>
      <c r="AA324" s="96">
        <f t="shared" si="594"/>
        <v>9600</v>
      </c>
      <c r="AB324" s="96">
        <f t="shared" si="595"/>
        <v>0</v>
      </c>
      <c r="AC324" s="99">
        <v>800</v>
      </c>
      <c r="AD324" s="98"/>
      <c r="AE324" s="102">
        <f t="shared" si="596"/>
        <v>800</v>
      </c>
      <c r="AF324" s="99">
        <v>800</v>
      </c>
      <c r="AG324" s="98"/>
      <c r="AH324" s="102">
        <f t="shared" si="724"/>
        <v>1600</v>
      </c>
      <c r="AI324" s="99">
        <v>800</v>
      </c>
      <c r="AJ324" s="98">
        <v>4800</v>
      </c>
      <c r="AK324" s="102">
        <f t="shared" si="725"/>
        <v>-2400</v>
      </c>
      <c r="AL324" s="99">
        <v>800</v>
      </c>
      <c r="AM324" s="98"/>
      <c r="AN324" s="102">
        <f t="shared" si="726"/>
        <v>-1600</v>
      </c>
      <c r="AO324" s="99">
        <v>800</v>
      </c>
      <c r="AP324" s="113"/>
      <c r="AQ324" s="102">
        <f t="shared" si="727"/>
        <v>-800</v>
      </c>
      <c r="AR324" s="99">
        <v>800</v>
      </c>
      <c r="AS324" s="113"/>
      <c r="AT324" s="102">
        <f t="shared" si="728"/>
        <v>0</v>
      </c>
      <c r="AU324" s="99">
        <v>800</v>
      </c>
      <c r="AV324" s="113"/>
      <c r="AW324" s="102">
        <f t="shared" si="729"/>
        <v>800</v>
      </c>
      <c r="AX324" s="99">
        <v>800</v>
      </c>
      <c r="AY324" s="113"/>
      <c r="AZ324" s="102">
        <f t="shared" si="730"/>
        <v>1600</v>
      </c>
      <c r="BA324" s="99">
        <v>800</v>
      </c>
      <c r="BB324" s="113"/>
      <c r="BC324" s="102">
        <f t="shared" si="731"/>
        <v>2400</v>
      </c>
      <c r="BD324" s="99">
        <v>800</v>
      </c>
      <c r="BE324" s="113">
        <v>4800</v>
      </c>
      <c r="BF324" s="102">
        <f t="shared" si="732"/>
        <v>-1600</v>
      </c>
      <c r="BG324" s="99">
        <v>800</v>
      </c>
      <c r="BH324" s="113"/>
      <c r="BI324" s="102">
        <f t="shared" si="733"/>
        <v>-800</v>
      </c>
      <c r="BJ324" s="99">
        <v>800</v>
      </c>
      <c r="BK324" s="113"/>
      <c r="BL324" s="102">
        <f t="shared" si="734"/>
        <v>0</v>
      </c>
      <c r="BM324" s="99">
        <v>800</v>
      </c>
      <c r="BN324" s="113"/>
      <c r="BO324" s="102">
        <f t="shared" si="735"/>
        <v>800</v>
      </c>
      <c r="BP324" s="99">
        <v>800</v>
      </c>
      <c r="BQ324" s="113">
        <v>5000</v>
      </c>
      <c r="BR324" s="102">
        <f t="shared" si="750"/>
        <v>-3400</v>
      </c>
      <c r="BS324" s="99">
        <v>800</v>
      </c>
      <c r="BT324" s="113"/>
      <c r="BU324" s="102">
        <f t="shared" si="751"/>
        <v>-2600</v>
      </c>
      <c r="BV324" s="99">
        <v>800</v>
      </c>
      <c r="BW324" s="113"/>
      <c r="BX324" s="102">
        <f t="shared" si="752"/>
        <v>-1800</v>
      </c>
      <c r="BY324" s="99">
        <v>800</v>
      </c>
      <c r="BZ324" s="113">
        <v>5000</v>
      </c>
      <c r="CA324" s="102">
        <f t="shared" si="753"/>
        <v>-6000</v>
      </c>
      <c r="CB324" s="99">
        <v>800</v>
      </c>
      <c r="CC324" s="113"/>
      <c r="CD324" s="102">
        <f t="shared" si="754"/>
        <v>-5200</v>
      </c>
      <c r="CE324" s="99">
        <v>800</v>
      </c>
      <c r="CF324" s="113">
        <v>10000</v>
      </c>
      <c r="CG324" s="102">
        <f t="shared" si="755"/>
        <v>-14400</v>
      </c>
      <c r="CH324" s="99">
        <v>800</v>
      </c>
      <c r="CI324" s="113"/>
      <c r="CJ324" s="102">
        <f t="shared" si="756"/>
        <v>-13600</v>
      </c>
      <c r="CK324" s="99">
        <v>800</v>
      </c>
      <c r="CL324" s="113"/>
      <c r="CM324" s="102">
        <f t="shared" si="757"/>
        <v>-12800</v>
      </c>
      <c r="CN324" s="99">
        <v>800</v>
      </c>
      <c r="CO324" s="113"/>
      <c r="CP324" s="102">
        <f t="shared" si="758"/>
        <v>-12000</v>
      </c>
      <c r="CQ324" s="99">
        <v>800</v>
      </c>
      <c r="CR324" s="113"/>
      <c r="CS324" s="102">
        <f t="shared" si="747"/>
        <v>-11200</v>
      </c>
      <c r="CT324" s="99">
        <v>800</v>
      </c>
      <c r="CU324" s="113"/>
      <c r="CV324" s="102">
        <f t="shared" si="748"/>
        <v>-10400</v>
      </c>
      <c r="CW324" s="99">
        <v>800</v>
      </c>
      <c r="CX324" s="113"/>
      <c r="CY324" s="102">
        <f t="shared" si="749"/>
        <v>-9600</v>
      </c>
    </row>
    <row r="325" spans="1:103">
      <c r="A325" s="41">
        <f>VLOOKUP(B325,справочник!$B$2:$E$322,4,FALSE)</f>
        <v>40</v>
      </c>
      <c r="B325" t="str">
        <f t="shared" ref="B325" si="759">CONCATENATE(C325,D325)</f>
        <v>40Яшин Евгений Иванович</v>
      </c>
      <c r="C325" s="1">
        <v>40</v>
      </c>
      <c r="D325" s="2" t="s">
        <v>309</v>
      </c>
      <c r="E325" s="1" t="s">
        <v>615</v>
      </c>
      <c r="F325" s="16">
        <v>40772</v>
      </c>
      <c r="G325" s="16">
        <v>40756</v>
      </c>
      <c r="H325" s="17">
        <f>INT(($H$326-G325)/30)</f>
        <v>53</v>
      </c>
      <c r="I325" s="1">
        <f t="shared" si="745"/>
        <v>53000</v>
      </c>
      <c r="J325" s="17">
        <f>1000+37000</f>
        <v>38000</v>
      </c>
      <c r="K325" s="17"/>
      <c r="L325" s="18">
        <f t="shared" si="746"/>
        <v>15000</v>
      </c>
      <c r="M325" s="29"/>
      <c r="N325" s="29"/>
      <c r="O325" s="29"/>
      <c r="P325" s="29"/>
      <c r="Q325" s="29"/>
      <c r="R325" s="29"/>
      <c r="S325" s="29"/>
      <c r="T325" s="29"/>
      <c r="U325" s="29">
        <v>21400</v>
      </c>
      <c r="V325" s="29"/>
      <c r="W325" s="29"/>
      <c r="X325" s="29"/>
      <c r="Y325" s="18">
        <f t="shared" ref="Y325" si="760">SUM(M325:X325)</f>
        <v>21400</v>
      </c>
      <c r="Z325" s="96">
        <v>12</v>
      </c>
      <c r="AA325" s="96">
        <f t="shared" ref="AA325" si="761">Z325*800</f>
        <v>9600</v>
      </c>
      <c r="AB325" s="96">
        <f t="shared" ref="AB325" si="762">L325+AA325-Y325</f>
        <v>3200</v>
      </c>
      <c r="AC325" s="99">
        <v>800</v>
      </c>
      <c r="AD325" s="98"/>
      <c r="AE325" s="102">
        <f t="shared" ref="AE325" si="763">AB325+AC325-AD325</f>
        <v>4000</v>
      </c>
      <c r="AF325" s="99">
        <v>800</v>
      </c>
      <c r="AG325" s="98"/>
      <c r="AH325" s="102">
        <f t="shared" si="724"/>
        <v>4800</v>
      </c>
      <c r="AI325" s="99">
        <v>800</v>
      </c>
      <c r="AJ325" s="98">
        <v>5600</v>
      </c>
      <c r="AK325" s="102">
        <f t="shared" si="725"/>
        <v>0</v>
      </c>
      <c r="AL325" s="99">
        <v>800</v>
      </c>
      <c r="AM325" s="98"/>
      <c r="AN325" s="102">
        <f t="shared" si="726"/>
        <v>800</v>
      </c>
      <c r="AO325" s="99">
        <v>800</v>
      </c>
      <c r="AP325" s="113"/>
      <c r="AQ325" s="102">
        <f t="shared" si="727"/>
        <v>1600</v>
      </c>
      <c r="AR325" s="99">
        <v>800</v>
      </c>
      <c r="AS325" s="113"/>
      <c r="AT325" s="102">
        <f t="shared" si="728"/>
        <v>2400</v>
      </c>
      <c r="AU325" s="99">
        <v>800</v>
      </c>
      <c r="AV325" s="113"/>
      <c r="AW325" s="102">
        <f t="shared" si="729"/>
        <v>3200</v>
      </c>
      <c r="AX325" s="99">
        <v>800</v>
      </c>
      <c r="AY325" s="113"/>
      <c r="AZ325" s="102">
        <f t="shared" si="730"/>
        <v>4000</v>
      </c>
      <c r="BA325" s="99">
        <v>800</v>
      </c>
      <c r="BB325" s="113"/>
      <c r="BC325" s="102">
        <f t="shared" si="731"/>
        <v>4800</v>
      </c>
      <c r="BD325" s="99">
        <v>800</v>
      </c>
      <c r="BE325" s="113"/>
      <c r="BF325" s="102">
        <f t="shared" si="732"/>
        <v>5600</v>
      </c>
      <c r="BG325" s="99">
        <v>800</v>
      </c>
      <c r="BH325" s="113">
        <v>7200</v>
      </c>
      <c r="BI325" s="102">
        <f t="shared" si="733"/>
        <v>-800</v>
      </c>
      <c r="BJ325" s="99">
        <v>800</v>
      </c>
      <c r="BK325" s="113"/>
      <c r="BL325" s="102">
        <f t="shared" si="734"/>
        <v>0</v>
      </c>
      <c r="BM325" s="99">
        <v>800</v>
      </c>
      <c r="BN325" s="113"/>
      <c r="BO325" s="102">
        <f t="shared" si="735"/>
        <v>800</v>
      </c>
      <c r="BP325" s="99">
        <v>800</v>
      </c>
      <c r="BQ325" s="113">
        <v>4800</v>
      </c>
      <c r="BR325" s="102">
        <f t="shared" si="750"/>
        <v>-3200</v>
      </c>
      <c r="BS325" s="99">
        <v>800</v>
      </c>
      <c r="BT325" s="113"/>
      <c r="BU325" s="102">
        <f t="shared" si="751"/>
        <v>-2400</v>
      </c>
      <c r="BV325" s="99">
        <v>800</v>
      </c>
      <c r="BW325" s="113"/>
      <c r="BX325" s="102">
        <f t="shared" si="752"/>
        <v>-1600</v>
      </c>
      <c r="BY325" s="99">
        <v>800</v>
      </c>
      <c r="BZ325" s="113"/>
      <c r="CA325" s="102">
        <f t="shared" si="753"/>
        <v>-800</v>
      </c>
      <c r="CB325" s="99">
        <v>800</v>
      </c>
      <c r="CC325" s="113">
        <v>5000</v>
      </c>
      <c r="CD325" s="102">
        <f t="shared" si="754"/>
        <v>-5000</v>
      </c>
      <c r="CE325" s="99">
        <v>800</v>
      </c>
      <c r="CF325" s="113"/>
      <c r="CG325" s="102">
        <f t="shared" si="755"/>
        <v>-4200</v>
      </c>
      <c r="CH325" s="99">
        <v>800</v>
      </c>
      <c r="CI325" s="113"/>
      <c r="CJ325" s="102">
        <f t="shared" si="756"/>
        <v>-3400</v>
      </c>
      <c r="CK325" s="99">
        <v>800</v>
      </c>
      <c r="CL325" s="113"/>
      <c r="CM325" s="102">
        <f t="shared" si="757"/>
        <v>-2600</v>
      </c>
      <c r="CN325" s="99">
        <v>800</v>
      </c>
      <c r="CO325" s="113"/>
      <c r="CP325" s="102">
        <f t="shared" si="758"/>
        <v>-1800</v>
      </c>
      <c r="CQ325" s="99">
        <v>800</v>
      </c>
      <c r="CR325" s="113"/>
      <c r="CS325" s="102">
        <f>CP325+CQ325-CR325</f>
        <v>-1000</v>
      </c>
      <c r="CT325" s="99">
        <v>800</v>
      </c>
      <c r="CU325" s="113"/>
      <c r="CV325" s="102">
        <f>CS325+CT325-CU325</f>
        <v>-200</v>
      </c>
      <c r="CW325" s="99">
        <v>800</v>
      </c>
      <c r="CX325" s="113"/>
      <c r="CY325" s="102">
        <f>CV325+CW325-CX325</f>
        <v>600</v>
      </c>
    </row>
    <row r="326" spans="1:103">
      <c r="H326" s="26">
        <v>42369</v>
      </c>
      <c r="I326" s="25"/>
      <c r="AD326" s="27"/>
      <c r="AG326" s="27"/>
      <c r="AJ326" s="27"/>
      <c r="AM326" s="27"/>
      <c r="AP326" s="94"/>
      <c r="AS326" s="94"/>
      <c r="AV326" s="94"/>
      <c r="AY326" s="94"/>
      <c r="BB326" s="94"/>
      <c r="BE326" s="94"/>
      <c r="BH326" s="94"/>
      <c r="BK326" s="94"/>
      <c r="BN326" s="94"/>
      <c r="BQ326" s="94"/>
      <c r="BT326" s="94"/>
      <c r="BW326" s="94"/>
      <c r="BZ326" s="94"/>
      <c r="CC326" s="94"/>
      <c r="CF326" s="94"/>
      <c r="CI326" s="94"/>
      <c r="CL326" s="94"/>
      <c r="CM326" s="94"/>
      <c r="CN326" s="94"/>
      <c r="CO326" s="94"/>
      <c r="CP326" s="94"/>
      <c r="CQ326" s="94"/>
      <c r="CR326" s="94">
        <f>SUM(CR5:CR325)</f>
        <v>209700</v>
      </c>
      <c r="CS326" s="94"/>
      <c r="CT326" s="94"/>
      <c r="CU326" s="94">
        <f>SUM(CU5:CU325)</f>
        <v>253200</v>
      </c>
      <c r="CV326" s="94"/>
      <c r="CW326" s="94"/>
      <c r="CX326" s="94">
        <f>SUM(CX5:CX325)</f>
        <v>157000</v>
      </c>
      <c r="CY326" s="94"/>
    </row>
    <row r="327" spans="1:103">
      <c r="I327" s="25"/>
    </row>
    <row r="328" spans="1:103" ht="5.25" customHeight="1">
      <c r="I328" s="25"/>
      <c r="V328" s="27">
        <v>145638.22</v>
      </c>
    </row>
    <row r="329" spans="1:103" ht="12.75" customHeight="1">
      <c r="I329" s="25"/>
      <c r="V329" s="27">
        <f>V328-V326</f>
        <v>145638.22</v>
      </c>
      <c r="CP329" s="186"/>
      <c r="CS329" s="186"/>
      <c r="CV329" s="186"/>
      <c r="CY329" s="186"/>
    </row>
    <row r="330" spans="1:103">
      <c r="U330" s="90"/>
      <c r="CH330" s="27" t="s">
        <v>731</v>
      </c>
      <c r="CK330" s="27" t="s">
        <v>731</v>
      </c>
      <c r="CN330" s="27" t="s">
        <v>731</v>
      </c>
      <c r="CQ330" s="27" t="s">
        <v>731</v>
      </c>
      <c r="CS330" s="186"/>
      <c r="CT330" s="27" t="s">
        <v>731</v>
      </c>
      <c r="CV330" s="186"/>
      <c r="CW330" s="27" t="s">
        <v>731</v>
      </c>
      <c r="CY330" s="186"/>
    </row>
  </sheetData>
  <autoFilter ref="A4:AE329"/>
  <mergeCells count="576">
    <mergeCell ref="CV231:CV232"/>
    <mergeCell ref="CV261:CV262"/>
    <mergeCell ref="CV275:CV276"/>
    <mergeCell ref="CV287:CV289"/>
    <mergeCell ref="CV300:CV302"/>
    <mergeCell ref="CV308:CV309"/>
    <mergeCell ref="CV101:CV102"/>
    <mergeCell ref="CV132:CV133"/>
    <mergeCell ref="CU153:CU154"/>
    <mergeCell ref="CV153:CV154"/>
    <mergeCell ref="CV161:CV163"/>
    <mergeCell ref="CV164:CV165"/>
    <mergeCell ref="CV182:CV183"/>
    <mergeCell ref="CV196:CV197"/>
    <mergeCell ref="CT209:CT210"/>
    <mergeCell ref="CU209:CU210"/>
    <mergeCell ref="CV209:CV210"/>
    <mergeCell ref="CT16:CT17"/>
    <mergeCell ref="CU16:CU17"/>
    <mergeCell ref="CV16:CV17"/>
    <mergeCell ref="CV38:CV39"/>
    <mergeCell ref="CV45:CV46"/>
    <mergeCell ref="CV47:CV48"/>
    <mergeCell ref="CU49:CU50"/>
    <mergeCell ref="CV49:CV50"/>
    <mergeCell ref="CT90:CT92"/>
    <mergeCell ref="CU90:CU92"/>
    <mergeCell ref="CV90:CV92"/>
    <mergeCell ref="CR209:CR210"/>
    <mergeCell ref="CS209:CS210"/>
    <mergeCell ref="CS287:CS289"/>
    <mergeCell ref="CS308:CS309"/>
    <mergeCell ref="CS101:CS102"/>
    <mergeCell ref="CS132:CS133"/>
    <mergeCell ref="CR153:CR154"/>
    <mergeCell ref="CS153:CS154"/>
    <mergeCell ref="CS161:CS163"/>
    <mergeCell ref="CS164:CS165"/>
    <mergeCell ref="CS182:CS183"/>
    <mergeCell ref="CS196:CS197"/>
    <mergeCell ref="CR16:CR17"/>
    <mergeCell ref="CS16:CS17"/>
    <mergeCell ref="CS38:CS39"/>
    <mergeCell ref="CS45:CS46"/>
    <mergeCell ref="CS47:CS48"/>
    <mergeCell ref="CR49:CR50"/>
    <mergeCell ref="CS49:CS50"/>
    <mergeCell ref="CR90:CR92"/>
    <mergeCell ref="CS90:CS92"/>
    <mergeCell ref="CN209:CN210"/>
    <mergeCell ref="CO209:CO210"/>
    <mergeCell ref="CP209:CP210"/>
    <mergeCell ref="CP287:CP289"/>
    <mergeCell ref="CP301:CP302"/>
    <mergeCell ref="CP308:CP309"/>
    <mergeCell ref="CP101:CP102"/>
    <mergeCell ref="CP132:CP133"/>
    <mergeCell ref="CO153:CO154"/>
    <mergeCell ref="CP153:CP154"/>
    <mergeCell ref="CP161:CP163"/>
    <mergeCell ref="CP164:CP165"/>
    <mergeCell ref="CP182:CP183"/>
    <mergeCell ref="CP196:CP197"/>
    <mergeCell ref="CO16:CO17"/>
    <mergeCell ref="CP16:CP17"/>
    <mergeCell ref="CP38:CP39"/>
    <mergeCell ref="CP45:CP46"/>
    <mergeCell ref="CP47:CP48"/>
    <mergeCell ref="CO49:CO50"/>
    <mergeCell ref="CP49:CP50"/>
    <mergeCell ref="CN90:CN92"/>
    <mergeCell ref="CO90:CO92"/>
    <mergeCell ref="CP90:CP92"/>
    <mergeCell ref="CH209:CH210"/>
    <mergeCell ref="CI209:CI210"/>
    <mergeCell ref="CJ209:CJ210"/>
    <mergeCell ref="CJ287:CJ289"/>
    <mergeCell ref="CJ301:CJ302"/>
    <mergeCell ref="CJ308:CJ309"/>
    <mergeCell ref="CJ101:CJ102"/>
    <mergeCell ref="CJ132:CJ133"/>
    <mergeCell ref="CI153:CI154"/>
    <mergeCell ref="CJ153:CJ154"/>
    <mergeCell ref="CJ161:CJ163"/>
    <mergeCell ref="CJ164:CJ165"/>
    <mergeCell ref="CJ182:CJ183"/>
    <mergeCell ref="CJ196:CJ197"/>
    <mergeCell ref="CH16:CH17"/>
    <mergeCell ref="CI16:CI17"/>
    <mergeCell ref="CJ16:CJ17"/>
    <mergeCell ref="CJ38:CJ39"/>
    <mergeCell ref="CJ45:CJ46"/>
    <mergeCell ref="CJ47:CJ48"/>
    <mergeCell ref="CI49:CI50"/>
    <mergeCell ref="CJ49:CJ50"/>
    <mergeCell ref="CH90:CH92"/>
    <mergeCell ref="CI90:CI92"/>
    <mergeCell ref="CJ90:CJ92"/>
    <mergeCell ref="CE209:CE210"/>
    <mergeCell ref="CF209:CF210"/>
    <mergeCell ref="CG209:CG210"/>
    <mergeCell ref="CG287:CG289"/>
    <mergeCell ref="CG301:CG302"/>
    <mergeCell ref="CG308:CG309"/>
    <mergeCell ref="CG101:CG102"/>
    <mergeCell ref="CG132:CG133"/>
    <mergeCell ref="CF153:CF154"/>
    <mergeCell ref="CG153:CG154"/>
    <mergeCell ref="CG161:CG163"/>
    <mergeCell ref="CG164:CG165"/>
    <mergeCell ref="CG182:CG183"/>
    <mergeCell ref="CG196:CG197"/>
    <mergeCell ref="CE16:CE17"/>
    <mergeCell ref="CF16:CF17"/>
    <mergeCell ref="CG16:CG17"/>
    <mergeCell ref="CG38:CG39"/>
    <mergeCell ref="CG45:CG46"/>
    <mergeCell ref="CG47:CG48"/>
    <mergeCell ref="CF49:CF50"/>
    <mergeCell ref="CG49:CG50"/>
    <mergeCell ref="CE90:CE92"/>
    <mergeCell ref="CF90:CF92"/>
    <mergeCell ref="CG90:CG92"/>
    <mergeCell ref="CB209:CB210"/>
    <mergeCell ref="CC209:CC210"/>
    <mergeCell ref="CD209:CD210"/>
    <mergeCell ref="CD287:CD289"/>
    <mergeCell ref="CD301:CD302"/>
    <mergeCell ref="CD308:CD309"/>
    <mergeCell ref="CD101:CD102"/>
    <mergeCell ref="CD132:CD133"/>
    <mergeCell ref="CC153:CC154"/>
    <mergeCell ref="CD153:CD154"/>
    <mergeCell ref="CD161:CD163"/>
    <mergeCell ref="CD164:CD165"/>
    <mergeCell ref="CD182:CD183"/>
    <mergeCell ref="CD196:CD197"/>
    <mergeCell ref="CB16:CB17"/>
    <mergeCell ref="CC16:CC17"/>
    <mergeCell ref="CD16:CD17"/>
    <mergeCell ref="CD38:CD39"/>
    <mergeCell ref="CD45:CD46"/>
    <mergeCell ref="CD47:CD48"/>
    <mergeCell ref="CC49:CC50"/>
    <mergeCell ref="CD49:CD50"/>
    <mergeCell ref="CB90:CB92"/>
    <mergeCell ref="CC90:CC92"/>
    <mergeCell ref="CD90:CD92"/>
    <mergeCell ref="BR308:BR309"/>
    <mergeCell ref="AJ308:AJ309"/>
    <mergeCell ref="BR101:BR102"/>
    <mergeCell ref="BR132:BR133"/>
    <mergeCell ref="BQ153:BQ154"/>
    <mergeCell ref="BR153:BR154"/>
    <mergeCell ref="BR161:BR163"/>
    <mergeCell ref="BR164:BR165"/>
    <mergeCell ref="BR182:BR183"/>
    <mergeCell ref="BR196:BR197"/>
    <mergeCell ref="AV164:AV165"/>
    <mergeCell ref="BO301:BO302"/>
    <mergeCell ref="BO308:BO309"/>
    <mergeCell ref="BO196:BO197"/>
    <mergeCell ref="BO209:BO210"/>
    <mergeCell ref="BO287:BO289"/>
    <mergeCell ref="BF287:BF289"/>
    <mergeCell ref="BF301:BF302"/>
    <mergeCell ref="AZ287:AZ289"/>
    <mergeCell ref="AZ301:AZ302"/>
    <mergeCell ref="AZ308:AZ309"/>
    <mergeCell ref="AZ161:AZ163"/>
    <mergeCell ref="AZ164:AZ165"/>
    <mergeCell ref="AZ182:AZ183"/>
    <mergeCell ref="BP16:BP17"/>
    <mergeCell ref="BQ16:BQ17"/>
    <mergeCell ref="BR16:BR17"/>
    <mergeCell ref="BR38:BR39"/>
    <mergeCell ref="BR45:BR46"/>
    <mergeCell ref="BR47:BR48"/>
    <mergeCell ref="BQ49:BQ50"/>
    <mergeCell ref="BR49:BR50"/>
    <mergeCell ref="BP90:BP92"/>
    <mergeCell ref="BQ90:BQ92"/>
    <mergeCell ref="BR90:BR92"/>
    <mergeCell ref="BM16:BM17"/>
    <mergeCell ref="BK16:BK17"/>
    <mergeCell ref="BO132:BO133"/>
    <mergeCell ref="BO153:BO154"/>
    <mergeCell ref="BO161:BO163"/>
    <mergeCell ref="BO164:BO165"/>
    <mergeCell ref="BO182:BO183"/>
    <mergeCell ref="BO16:BO17"/>
    <mergeCell ref="BO38:BO39"/>
    <mergeCell ref="BO45:BO46"/>
    <mergeCell ref="BO47:BO48"/>
    <mergeCell ref="BO49:BO50"/>
    <mergeCell ref="BM90:BM92"/>
    <mergeCell ref="BN90:BN92"/>
    <mergeCell ref="BO90:BO92"/>
    <mergeCell ref="BO101:BO102"/>
    <mergeCell ref="BL16:BL17"/>
    <mergeCell ref="BN16:BN17"/>
    <mergeCell ref="BN49:BN50"/>
    <mergeCell ref="BL38:BL39"/>
    <mergeCell ref="BL45:BL46"/>
    <mergeCell ref="BL47:BL48"/>
    <mergeCell ref="BL49:BL50"/>
    <mergeCell ref="BK47:BK48"/>
    <mergeCell ref="BF16:BF17"/>
    <mergeCell ref="BF38:BF39"/>
    <mergeCell ref="BF45:BF46"/>
    <mergeCell ref="BF47:BF48"/>
    <mergeCell ref="BF49:BF50"/>
    <mergeCell ref="BI16:BI17"/>
    <mergeCell ref="BI38:BI39"/>
    <mergeCell ref="BI45:BI46"/>
    <mergeCell ref="BI47:BI48"/>
    <mergeCell ref="BI49:BI50"/>
    <mergeCell ref="BG90:BG92"/>
    <mergeCell ref="BH90:BH92"/>
    <mergeCell ref="BD90:BD92"/>
    <mergeCell ref="BE90:BE92"/>
    <mergeCell ref="BF90:BF92"/>
    <mergeCell ref="BF101:BF102"/>
    <mergeCell ref="BC287:BC289"/>
    <mergeCell ref="BC301:BC302"/>
    <mergeCell ref="BC308:BC309"/>
    <mergeCell ref="BC261:BC262"/>
    <mergeCell ref="BC275:BC276"/>
    <mergeCell ref="BF308:BF309"/>
    <mergeCell ref="BF132:BF133"/>
    <mergeCell ref="BF153:BF154"/>
    <mergeCell ref="BF161:BF163"/>
    <mergeCell ref="BF164:BF165"/>
    <mergeCell ref="BF182:BF183"/>
    <mergeCell ref="BF196:BF197"/>
    <mergeCell ref="BF209:BF210"/>
    <mergeCell ref="BB90:BB92"/>
    <mergeCell ref="BA90:BA92"/>
    <mergeCell ref="BC161:BC163"/>
    <mergeCell ref="BC164:BC165"/>
    <mergeCell ref="BC182:BC183"/>
    <mergeCell ref="BC196:BC197"/>
    <mergeCell ref="BC231:BC232"/>
    <mergeCell ref="BC233:BC234"/>
    <mergeCell ref="BC16:BC17"/>
    <mergeCell ref="BC38:BC39"/>
    <mergeCell ref="BC45:BC46"/>
    <mergeCell ref="BC47:BC48"/>
    <mergeCell ref="BC49:BC50"/>
    <mergeCell ref="BC90:BC92"/>
    <mergeCell ref="BC101:BC102"/>
    <mergeCell ref="BC132:BC133"/>
    <mergeCell ref="BC153:BC154"/>
    <mergeCell ref="AZ196:AZ197"/>
    <mergeCell ref="AZ231:AZ232"/>
    <mergeCell ref="AZ233:AZ234"/>
    <mergeCell ref="AZ261:AZ262"/>
    <mergeCell ref="AZ275:AZ276"/>
    <mergeCell ref="AZ16:AZ17"/>
    <mergeCell ref="AZ38:AZ39"/>
    <mergeCell ref="AZ45:AZ46"/>
    <mergeCell ref="AZ47:AZ48"/>
    <mergeCell ref="AZ49:AZ50"/>
    <mergeCell ref="AZ101:AZ102"/>
    <mergeCell ref="AZ132:AZ133"/>
    <mergeCell ref="AZ153:AZ154"/>
    <mergeCell ref="AZ90:AZ92"/>
    <mergeCell ref="AW308:AW309"/>
    <mergeCell ref="AW161:AW163"/>
    <mergeCell ref="AW164:AW165"/>
    <mergeCell ref="AW182:AW183"/>
    <mergeCell ref="AW196:AW197"/>
    <mergeCell ref="AW231:AW232"/>
    <mergeCell ref="AW233:AW234"/>
    <mergeCell ref="AW261:AW262"/>
    <mergeCell ref="AW275:AW276"/>
    <mergeCell ref="AT16:AT17"/>
    <mergeCell ref="AT38:AT39"/>
    <mergeCell ref="AT45:AT46"/>
    <mergeCell ref="AT47:AT48"/>
    <mergeCell ref="AT49:AT50"/>
    <mergeCell ref="AT101:AT102"/>
    <mergeCell ref="AT132:AT133"/>
    <mergeCell ref="AT153:AT154"/>
    <mergeCell ref="AW287:AW289"/>
    <mergeCell ref="AW16:AW17"/>
    <mergeCell ref="AW38:AW39"/>
    <mergeCell ref="AW45:AW46"/>
    <mergeCell ref="AW47:AW48"/>
    <mergeCell ref="AW49:AW50"/>
    <mergeCell ref="AW101:AW102"/>
    <mergeCell ref="AW132:AW133"/>
    <mergeCell ref="AW153:AW154"/>
    <mergeCell ref="AW90:AW92"/>
    <mergeCell ref="AT287:AT289"/>
    <mergeCell ref="AN47:AN48"/>
    <mergeCell ref="AK161:AK163"/>
    <mergeCell ref="AK16:AK17"/>
    <mergeCell ref="AK38:AK39"/>
    <mergeCell ref="AK45:AK46"/>
    <mergeCell ref="AK47:AK48"/>
    <mergeCell ref="AK49:AK50"/>
    <mergeCell ref="AK101:AK102"/>
    <mergeCell ref="AK132:AK133"/>
    <mergeCell ref="AK153:AK154"/>
    <mergeCell ref="L164:L165"/>
    <mergeCell ref="AK182:AK183"/>
    <mergeCell ref="AK196:AK197"/>
    <mergeCell ref="AK231:AK232"/>
    <mergeCell ref="AK308:AK309"/>
    <mergeCell ref="AK233:AK234"/>
    <mergeCell ref="AK261:AK262"/>
    <mergeCell ref="AK275:AK276"/>
    <mergeCell ref="AK287:AK289"/>
    <mergeCell ref="AK301:AK302"/>
    <mergeCell ref="AK164:AK165"/>
    <mergeCell ref="AE47:AE48"/>
    <mergeCell ref="AE49:AE50"/>
    <mergeCell ref="AE101:AE102"/>
    <mergeCell ref="AE132:AE133"/>
    <mergeCell ref="AE153:AE154"/>
    <mergeCell ref="E3:E4"/>
    <mergeCell ref="H3:L3"/>
    <mergeCell ref="AE16:AE17"/>
    <mergeCell ref="AE38:AE39"/>
    <mergeCell ref="AE45:AE46"/>
    <mergeCell ref="AE301:AE302"/>
    <mergeCell ref="AE308:AE309"/>
    <mergeCell ref="AE231:AE232"/>
    <mergeCell ref="AE233:AE234"/>
    <mergeCell ref="AE261:AE262"/>
    <mergeCell ref="AE275:AE276"/>
    <mergeCell ref="AE287:AE289"/>
    <mergeCell ref="AE164:AE165"/>
    <mergeCell ref="AH101:AH102"/>
    <mergeCell ref="AH132:AH133"/>
    <mergeCell ref="AH153:AH154"/>
    <mergeCell ref="AH161:AH163"/>
    <mergeCell ref="AH164:AH165"/>
    <mergeCell ref="AH308:AH309"/>
    <mergeCell ref="AE161:AE163"/>
    <mergeCell ref="AE182:AE183"/>
    <mergeCell ref="AE196:AE197"/>
    <mergeCell ref="AH16:AH17"/>
    <mergeCell ref="AH38:AH39"/>
    <mergeCell ref="AH45:AH46"/>
    <mergeCell ref="AH47:AH48"/>
    <mergeCell ref="AH49:AH50"/>
    <mergeCell ref="AH261:AH262"/>
    <mergeCell ref="AH275:AH276"/>
    <mergeCell ref="AH287:AH289"/>
    <mergeCell ref="AH301:AH302"/>
    <mergeCell ref="AH182:AH183"/>
    <mergeCell ref="AH196:AH197"/>
    <mergeCell ref="AH231:AH232"/>
    <mergeCell ref="AH233:AH234"/>
    <mergeCell ref="AQ16:AQ17"/>
    <mergeCell ref="AQ38:AQ39"/>
    <mergeCell ref="AQ45:AQ46"/>
    <mergeCell ref="AQ47:AQ48"/>
    <mergeCell ref="AN308:AN309"/>
    <mergeCell ref="AN233:AN234"/>
    <mergeCell ref="AN261:AN262"/>
    <mergeCell ref="AN275:AN276"/>
    <mergeCell ref="AN287:AN289"/>
    <mergeCell ref="AN301:AN302"/>
    <mergeCell ref="AN164:AN165"/>
    <mergeCell ref="AN182:AN183"/>
    <mergeCell ref="AN196:AN197"/>
    <mergeCell ref="AN231:AN232"/>
    <mergeCell ref="AN49:AN50"/>
    <mergeCell ref="AN101:AN102"/>
    <mergeCell ref="AN132:AN133"/>
    <mergeCell ref="AN153:AN154"/>
    <mergeCell ref="AN161:AN163"/>
    <mergeCell ref="AN16:AN17"/>
    <mergeCell ref="AN38:AN39"/>
    <mergeCell ref="AQ182:AQ183"/>
    <mergeCell ref="AQ196:AQ197"/>
    <mergeCell ref="AN45:AN46"/>
    <mergeCell ref="AT308:AT309"/>
    <mergeCell ref="AT161:AT163"/>
    <mergeCell ref="AT164:AT165"/>
    <mergeCell ref="AQ49:AQ50"/>
    <mergeCell ref="AQ101:AQ102"/>
    <mergeCell ref="AQ132:AQ133"/>
    <mergeCell ref="AQ153:AQ154"/>
    <mergeCell ref="AQ161:AQ163"/>
    <mergeCell ref="AT182:AT183"/>
    <mergeCell ref="AT196:AT197"/>
    <mergeCell ref="AT231:AT232"/>
    <mergeCell ref="AT233:AT234"/>
    <mergeCell ref="AT261:AT262"/>
    <mergeCell ref="AT275:AT276"/>
    <mergeCell ref="AQ308:AQ309"/>
    <mergeCell ref="AQ233:AQ234"/>
    <mergeCell ref="AQ261:AQ262"/>
    <mergeCell ref="AQ275:AQ276"/>
    <mergeCell ref="AQ287:AQ289"/>
    <mergeCell ref="AQ301:AQ302"/>
    <mergeCell ref="AQ164:AQ165"/>
    <mergeCell ref="BJ90:BJ92"/>
    <mergeCell ref="BK90:BK92"/>
    <mergeCell ref="BL90:BL92"/>
    <mergeCell ref="BL101:BL102"/>
    <mergeCell ref="BL209:BL210"/>
    <mergeCell ref="BL287:BL289"/>
    <mergeCell ref="BI308:BI309"/>
    <mergeCell ref="BI132:BI133"/>
    <mergeCell ref="BI153:BI154"/>
    <mergeCell ref="BI161:BI163"/>
    <mergeCell ref="BI164:BI165"/>
    <mergeCell ref="BI182:BI183"/>
    <mergeCell ref="BI196:BI197"/>
    <mergeCell ref="BI209:BI210"/>
    <mergeCell ref="BI287:BI289"/>
    <mergeCell ref="BL308:BL309"/>
    <mergeCell ref="BL132:BL133"/>
    <mergeCell ref="BL153:BL154"/>
    <mergeCell ref="BL161:BL163"/>
    <mergeCell ref="BL164:BL165"/>
    <mergeCell ref="BI90:BI92"/>
    <mergeCell ref="BI101:BI102"/>
    <mergeCell ref="BL196:BL197"/>
    <mergeCell ref="BL182:BL183"/>
    <mergeCell ref="BL301:BL302"/>
    <mergeCell ref="BK209:BK210"/>
    <mergeCell ref="BJ209:BJ210"/>
    <mergeCell ref="BT209:BT210"/>
    <mergeCell ref="BU209:BU210"/>
    <mergeCell ref="BU287:BU289"/>
    <mergeCell ref="BU301:BU302"/>
    <mergeCell ref="AQ231:AQ232"/>
    <mergeCell ref="AT301:AT302"/>
    <mergeCell ref="AW301:AW302"/>
    <mergeCell ref="BI301:BI302"/>
    <mergeCell ref="BP209:BP210"/>
    <mergeCell ref="BQ209:BQ210"/>
    <mergeCell ref="BR209:BR210"/>
    <mergeCell ref="BR287:BR289"/>
    <mergeCell ref="BR301:BR302"/>
    <mergeCell ref="BU308:BU309"/>
    <mergeCell ref="BM209:BM210"/>
    <mergeCell ref="BN209:BN210"/>
    <mergeCell ref="BN153:BN154"/>
    <mergeCell ref="BS16:BS17"/>
    <mergeCell ref="BT16:BT17"/>
    <mergeCell ref="BU16:BU17"/>
    <mergeCell ref="BU38:BU39"/>
    <mergeCell ref="BU45:BU46"/>
    <mergeCell ref="BU47:BU48"/>
    <mergeCell ref="BT49:BT50"/>
    <mergeCell ref="BU49:BU50"/>
    <mergeCell ref="BS90:BS92"/>
    <mergeCell ref="BT90:BT92"/>
    <mergeCell ref="BU90:BU92"/>
    <mergeCell ref="BU101:BU102"/>
    <mergeCell ref="BU132:BU133"/>
    <mergeCell ref="BT153:BT154"/>
    <mergeCell ref="BU153:BU154"/>
    <mergeCell ref="BU161:BU163"/>
    <mergeCell ref="BU164:BU165"/>
    <mergeCell ref="BU182:BU183"/>
    <mergeCell ref="BU196:BU197"/>
    <mergeCell ref="BS209:BS210"/>
    <mergeCell ref="BV16:BV17"/>
    <mergeCell ref="BW16:BW17"/>
    <mergeCell ref="BX16:BX17"/>
    <mergeCell ref="BX38:BX39"/>
    <mergeCell ref="BX45:BX46"/>
    <mergeCell ref="BX47:BX48"/>
    <mergeCell ref="BW49:BW50"/>
    <mergeCell ref="BX49:BX50"/>
    <mergeCell ref="BV90:BV92"/>
    <mergeCell ref="BW90:BW92"/>
    <mergeCell ref="BX90:BX92"/>
    <mergeCell ref="BV209:BV210"/>
    <mergeCell ref="BW209:BW210"/>
    <mergeCell ref="BX209:BX210"/>
    <mergeCell ref="BX287:BX289"/>
    <mergeCell ref="BX301:BX302"/>
    <mergeCell ref="BX308:BX309"/>
    <mergeCell ref="BX101:BX102"/>
    <mergeCell ref="BX132:BX133"/>
    <mergeCell ref="BW153:BW154"/>
    <mergeCell ref="BX153:BX154"/>
    <mergeCell ref="BX161:BX163"/>
    <mergeCell ref="BX164:BX165"/>
    <mergeCell ref="BX182:BX183"/>
    <mergeCell ref="BX196:BX197"/>
    <mergeCell ref="BY16:BY17"/>
    <mergeCell ref="BZ16:BZ17"/>
    <mergeCell ref="CA16:CA17"/>
    <mergeCell ref="CA38:CA39"/>
    <mergeCell ref="CA45:CA46"/>
    <mergeCell ref="CA47:CA48"/>
    <mergeCell ref="BZ49:BZ50"/>
    <mergeCell ref="CA49:CA50"/>
    <mergeCell ref="BY90:BY92"/>
    <mergeCell ref="BZ90:BZ92"/>
    <mergeCell ref="CA90:CA92"/>
    <mergeCell ref="BY209:BY210"/>
    <mergeCell ref="BZ209:BZ210"/>
    <mergeCell ref="CA209:CA210"/>
    <mergeCell ref="CA287:CA289"/>
    <mergeCell ref="CA301:CA302"/>
    <mergeCell ref="CA308:CA309"/>
    <mergeCell ref="CA101:CA102"/>
    <mergeCell ref="CA132:CA133"/>
    <mergeCell ref="BZ153:BZ154"/>
    <mergeCell ref="CA153:CA154"/>
    <mergeCell ref="CA161:CA163"/>
    <mergeCell ref="CA164:CA165"/>
    <mergeCell ref="CA182:CA183"/>
    <mergeCell ref="CA196:CA197"/>
    <mergeCell ref="CM308:CM309"/>
    <mergeCell ref="CM101:CM102"/>
    <mergeCell ref="CM132:CM133"/>
    <mergeCell ref="CL153:CL154"/>
    <mergeCell ref="CM153:CM154"/>
    <mergeCell ref="CM161:CM163"/>
    <mergeCell ref="CM164:CM165"/>
    <mergeCell ref="CM182:CM183"/>
    <mergeCell ref="CM196:CM197"/>
    <mergeCell ref="CQ16:CQ17"/>
    <mergeCell ref="CQ90:CQ92"/>
    <mergeCell ref="CQ209:CQ210"/>
    <mergeCell ref="CS231:CS232"/>
    <mergeCell ref="CS261:CS262"/>
    <mergeCell ref="CS275:CS276"/>
    <mergeCell ref="CS300:CS302"/>
    <mergeCell ref="CK209:CK210"/>
    <mergeCell ref="CL209:CL210"/>
    <mergeCell ref="CM209:CM210"/>
    <mergeCell ref="CM287:CM289"/>
    <mergeCell ref="CM301:CM302"/>
    <mergeCell ref="CK16:CK17"/>
    <mergeCell ref="CL16:CL17"/>
    <mergeCell ref="CM16:CM17"/>
    <mergeCell ref="CM38:CM39"/>
    <mergeCell ref="CM45:CM46"/>
    <mergeCell ref="CM47:CM48"/>
    <mergeCell ref="CL49:CL50"/>
    <mergeCell ref="CM49:CM50"/>
    <mergeCell ref="CK90:CK92"/>
    <mergeCell ref="CL90:CL92"/>
    <mergeCell ref="CM90:CM92"/>
    <mergeCell ref="CN16:CN17"/>
    <mergeCell ref="CW209:CW210"/>
    <mergeCell ref="CX209:CX210"/>
    <mergeCell ref="CY209:CY210"/>
    <mergeCell ref="CW16:CW17"/>
    <mergeCell ref="CX16:CX17"/>
    <mergeCell ref="CY16:CY17"/>
    <mergeCell ref="CY38:CY39"/>
    <mergeCell ref="CY45:CY46"/>
    <mergeCell ref="CY47:CY48"/>
    <mergeCell ref="CX49:CX50"/>
    <mergeCell ref="CY49:CY50"/>
    <mergeCell ref="CW90:CW92"/>
    <mergeCell ref="CX90:CX92"/>
    <mergeCell ref="CY90:CY92"/>
    <mergeCell ref="CY231:CY232"/>
    <mergeCell ref="CY261:CY262"/>
    <mergeCell ref="CY275:CY276"/>
    <mergeCell ref="CY287:CY289"/>
    <mergeCell ref="CY300:CY302"/>
    <mergeCell ref="CY308:CY309"/>
    <mergeCell ref="CY101:CY102"/>
    <mergeCell ref="CY132:CY133"/>
    <mergeCell ref="CX153:CX154"/>
    <mergeCell ref="CY153:CY154"/>
    <mergeCell ref="CY161:CY163"/>
    <mergeCell ref="CY164:CY165"/>
    <mergeCell ref="CY182:CY183"/>
    <mergeCell ref="CY196:CY197"/>
  </mergeCells>
  <pageMargins left="0.7" right="0.7" top="0.75" bottom="0.75" header="0.3" footer="0.3"/>
  <pageSetup paperSize="9"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Y326"/>
  <sheetViews>
    <sheetView workbookViewId="0">
      <pane xSplit="5" ySplit="3" topLeftCell="O314" activePane="bottomRight" state="frozen"/>
      <selection pane="topRight" activeCell="F1" sqref="F1"/>
      <selection pane="bottomLeft" activeCell="A4" sqref="A4"/>
      <selection pane="bottomRight" activeCell="O320" sqref="O320"/>
    </sheetView>
  </sheetViews>
  <sheetFormatPr baseColWidth="10" defaultColWidth="8.83203125" defaultRowHeight="14" x14ac:dyDescent="0"/>
  <cols>
    <col min="1" max="1" width="8.83203125" style="41"/>
    <col min="3" max="3" width="8.33203125" style="25" customWidth="1"/>
    <col min="4" max="4" width="37.5" style="25" customWidth="1"/>
    <col min="5" max="5" width="20.5" style="25" customWidth="1"/>
    <col min="6" max="6" width="18.1640625" style="25" customWidth="1"/>
    <col min="7" max="7" width="15.5" style="25" customWidth="1"/>
    <col min="8" max="8" width="13.5" style="27" customWidth="1"/>
    <col min="9" max="9" width="19.5" style="25" customWidth="1"/>
    <col min="10" max="10" width="22" style="27" customWidth="1"/>
    <col min="11" max="11" width="12.83203125" style="27" customWidth="1"/>
    <col min="12" max="25" width="13.83203125" style="27" customWidth="1"/>
  </cols>
  <sheetData>
    <row r="1" spans="1:25">
      <c r="C1" s="12" t="s">
        <v>310</v>
      </c>
      <c r="D1" s="12"/>
      <c r="E1" s="12"/>
      <c r="F1" s="12"/>
      <c r="G1" s="12"/>
      <c r="H1" s="13"/>
      <c r="I1" s="1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>
      <c r="C2" s="12" t="s">
        <v>311</v>
      </c>
      <c r="D2" s="12"/>
      <c r="E2" s="12"/>
      <c r="F2" s="12"/>
      <c r="G2" s="12"/>
      <c r="H2" s="13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60">
      <c r="A3" s="57" t="s">
        <v>617</v>
      </c>
      <c r="B3" s="58" t="s">
        <v>622</v>
      </c>
      <c r="C3" s="56" t="s">
        <v>0</v>
      </c>
      <c r="D3" s="56" t="s">
        <v>1</v>
      </c>
      <c r="E3" s="1" t="s">
        <v>625</v>
      </c>
      <c r="F3" s="1" t="s">
        <v>314</v>
      </c>
      <c r="G3" s="1" t="s">
        <v>315</v>
      </c>
      <c r="H3" s="1" t="s">
        <v>316</v>
      </c>
      <c r="I3" s="1" t="s">
        <v>317</v>
      </c>
      <c r="J3" s="14" t="s">
        <v>318</v>
      </c>
      <c r="K3" s="14" t="s">
        <v>319</v>
      </c>
      <c r="L3" s="15" t="s">
        <v>320</v>
      </c>
      <c r="M3" s="28">
        <v>42370</v>
      </c>
      <c r="N3" s="28">
        <v>42401</v>
      </c>
      <c r="O3" s="28">
        <v>42430</v>
      </c>
      <c r="P3" s="28">
        <v>42461</v>
      </c>
      <c r="Q3" s="28">
        <v>42491</v>
      </c>
      <c r="R3" s="28">
        <v>42522</v>
      </c>
      <c r="S3" s="28">
        <v>42552</v>
      </c>
      <c r="T3" s="28">
        <v>42583</v>
      </c>
      <c r="U3" s="28">
        <v>42614</v>
      </c>
      <c r="V3" s="28">
        <v>42644</v>
      </c>
      <c r="W3" s="28">
        <v>42675</v>
      </c>
      <c r="X3" s="28">
        <v>42705</v>
      </c>
      <c r="Y3" s="15" t="s">
        <v>616</v>
      </c>
    </row>
    <row r="4" spans="1:25">
      <c r="A4" s="41">
        <f>VLOOKUP(B4,справочник!$B$2:$E$322,4,FALSE)</f>
        <v>79</v>
      </c>
      <c r="B4" t="str">
        <f>CONCATENATE(C4,D4)</f>
        <v>84Абу Махади Мохаммед Ибрагим</v>
      </c>
      <c r="C4" s="1">
        <v>84</v>
      </c>
      <c r="D4" s="2" t="s">
        <v>2</v>
      </c>
      <c r="E4" s="1" t="s">
        <v>321</v>
      </c>
      <c r="F4" s="16">
        <v>40716</v>
      </c>
      <c r="G4" s="16">
        <v>40725</v>
      </c>
      <c r="H4" s="17">
        <f t="shared" ref="H4:H16" si="0">INT(($H$326-G4)/30)</f>
        <v>54</v>
      </c>
      <c r="I4" s="1">
        <f t="shared" ref="I4:I66" si="1">H4*1000</f>
        <v>54000</v>
      </c>
      <c r="J4" s="17">
        <f>49000+1000</f>
        <v>50000</v>
      </c>
      <c r="K4" s="17"/>
      <c r="L4" s="18">
        <f t="shared" ref="L4:L28" si="2">I4-J4-K4</f>
        <v>4000</v>
      </c>
      <c r="M4" s="29">
        <f>SUM('план на 2016'!$L5:M5)-SUM('членские взносы'!$M5:'членские взносы'!M5)</f>
        <v>4800</v>
      </c>
      <c r="N4" s="29">
        <f>SUM('план на 2016'!$L5:N5)-SUM('членские взносы'!$M5:'членские взносы'!N5)</f>
        <v>1600</v>
      </c>
      <c r="O4" s="29">
        <f>SUM('план на 2016'!$L5:O5)-SUM('членские взносы'!$M5:'членские взносы'!O5)</f>
        <v>2400</v>
      </c>
      <c r="P4" s="29">
        <f>SUM('план на 2016'!$L5:P5)-SUM('членские взносы'!$M5:'членские взносы'!P5)</f>
        <v>800</v>
      </c>
      <c r="Q4" s="29">
        <f>SUM('план на 2016'!$L5:Q5)-SUM('членские взносы'!$M5:'членские взносы'!Q5)</f>
        <v>1600</v>
      </c>
      <c r="R4" s="29">
        <f>SUM('план на 2016'!$L5:R5)-SUM('членские взносы'!$M5:'членские взносы'!R5)</f>
        <v>2400</v>
      </c>
      <c r="S4" s="29">
        <f>SUM('план на 2016'!$L5:S5)-SUM('членские взносы'!$M5:'членские взносы'!S5)</f>
        <v>3200</v>
      </c>
      <c r="T4" s="29">
        <f>SUM('план на 2016'!$L5:T5)-SUM('членские взносы'!$M5:'членские взносы'!T5)</f>
        <v>4000</v>
      </c>
      <c r="U4" s="29">
        <f>SUM('план на 2016'!$L5:U5)-SUM('членские взносы'!$M5:'членские взносы'!U5)</f>
        <v>0</v>
      </c>
      <c r="V4" s="29">
        <f>SUM('план на 2016'!$L5:V5)-SUM('членские взносы'!$M5:'членские взносы'!V5)</f>
        <v>800</v>
      </c>
      <c r="W4" s="29">
        <f>SUM('план на 2016'!$L5:W5)-SUM('членские взносы'!$M5:'членские взносы'!W5)</f>
        <v>1600</v>
      </c>
      <c r="X4" s="29">
        <f>SUM('план на 2016'!$L5:X5)-SUM('членские взносы'!$M5:'членские взносы'!X5)</f>
        <v>2400</v>
      </c>
      <c r="Y4" s="18">
        <f>X4</f>
        <v>2400</v>
      </c>
    </row>
    <row r="5" spans="1:25">
      <c r="A5" s="41">
        <f>VLOOKUP(B5,справочник!$B$2:$E$322,4,FALSE)</f>
        <v>35</v>
      </c>
      <c r="B5" t="str">
        <f t="shared" ref="B5:B68" si="3">CONCATENATE(C5,D5)</f>
        <v>35Абушаев Роман Шамильевич</v>
      </c>
      <c r="C5" s="1">
        <v>35</v>
      </c>
      <c r="D5" s="2" t="s">
        <v>3</v>
      </c>
      <c r="E5" s="1" t="s">
        <v>322</v>
      </c>
      <c r="F5" s="16">
        <v>40970</v>
      </c>
      <c r="G5" s="16">
        <v>40969</v>
      </c>
      <c r="H5" s="17">
        <f t="shared" si="0"/>
        <v>46</v>
      </c>
      <c r="I5" s="1">
        <f t="shared" si="1"/>
        <v>46000</v>
      </c>
      <c r="J5" s="17">
        <v>30000</v>
      </c>
      <c r="K5" s="17"/>
      <c r="L5" s="18">
        <f t="shared" si="2"/>
        <v>16000</v>
      </c>
      <c r="M5" s="29">
        <f>SUM('план на 2016'!$L6:M6)-SUM('членские взносы'!$M6:'членские взносы'!M6)</f>
        <v>16800</v>
      </c>
      <c r="N5" s="29">
        <f>SUM('план на 2016'!$L6:N6)-SUM('членские взносы'!$M6:'членские взносы'!N6)</f>
        <v>17600</v>
      </c>
      <c r="O5" s="29">
        <f>SUM('план на 2016'!$L6:O6)-SUM('членские взносы'!$M6:'членские взносы'!O6)</f>
        <v>18400</v>
      </c>
      <c r="P5" s="29">
        <f>SUM('план на 2016'!$L6:P6)-SUM('членские взносы'!$M6:'членские взносы'!P6)</f>
        <v>19200</v>
      </c>
      <c r="Q5" s="29">
        <f>SUM('план на 2016'!$L6:Q6)-SUM('членские взносы'!$M6:'членские взносы'!Q6)</f>
        <v>20000</v>
      </c>
      <c r="R5" s="29">
        <f>SUM('план на 2016'!$L6:R6)-SUM('членские взносы'!$M6:'членские взносы'!R6)</f>
        <v>20800</v>
      </c>
      <c r="S5" s="29">
        <f>SUM('план на 2016'!$L6:S6)-SUM('членские взносы'!$M6:'членские взносы'!S6)</f>
        <v>21600</v>
      </c>
      <c r="T5" s="29">
        <f>SUM('план на 2016'!$L6:T6)-SUM('членские взносы'!$M6:'членские взносы'!T6)</f>
        <v>22400</v>
      </c>
      <c r="U5" s="29">
        <f>SUM('план на 2016'!$L6:U6)-SUM('членские взносы'!$M6:'членские взносы'!U6)</f>
        <v>23200</v>
      </c>
      <c r="V5" s="29">
        <f>SUM('план на 2016'!$L6:V6)-SUM('членские взносы'!$M6:'членские взносы'!V6)</f>
        <v>24000</v>
      </c>
      <c r="W5" s="29">
        <f>SUM('план на 2016'!$L6:W6)-SUM('членские взносы'!$M6:'членские взносы'!W6)</f>
        <v>24800</v>
      </c>
      <c r="X5" s="29">
        <f>SUM('план на 2016'!$L6:X6)-SUM('членские взносы'!$M6:'членские взносы'!X6)</f>
        <v>25600</v>
      </c>
      <c r="Y5" s="18">
        <f t="shared" ref="Y5:Y68" si="4">X5</f>
        <v>25600</v>
      </c>
    </row>
    <row r="6" spans="1:25">
      <c r="A6" s="41">
        <f>VLOOKUP(B6,справочник!$B$2:$E$322,4,FALSE)</f>
        <v>260</v>
      </c>
      <c r="B6" t="str">
        <f t="shared" si="3"/>
        <v>273Аксенов Дмитрий Викторович</v>
      </c>
      <c r="C6" s="1">
        <v>273</v>
      </c>
      <c r="D6" s="2" t="s">
        <v>4</v>
      </c>
      <c r="E6" s="1" t="s">
        <v>323</v>
      </c>
      <c r="F6" s="16">
        <v>41540</v>
      </c>
      <c r="G6" s="16">
        <v>41548</v>
      </c>
      <c r="H6" s="17">
        <f t="shared" si="0"/>
        <v>27</v>
      </c>
      <c r="I6" s="1">
        <f t="shared" si="1"/>
        <v>27000</v>
      </c>
      <c r="J6" s="17">
        <v>19000</v>
      </c>
      <c r="K6" s="17"/>
      <c r="L6" s="18">
        <f t="shared" si="2"/>
        <v>8000</v>
      </c>
      <c r="M6" s="29">
        <f>SUM('план на 2016'!$L7:M7)-SUM('членские взносы'!$M7:'членские взносы'!M7)</f>
        <v>8800</v>
      </c>
      <c r="N6" s="29">
        <f>SUM('план на 2016'!$L7:N7)-SUM('членские взносы'!$M7:'членские взносы'!N7)</f>
        <v>7600</v>
      </c>
      <c r="O6" s="29">
        <f>SUM('план на 2016'!$L7:O7)-SUM('членские взносы'!$M7:'членские взносы'!O7)</f>
        <v>8400</v>
      </c>
      <c r="P6" s="29">
        <f>SUM('план на 2016'!$L7:P7)-SUM('членские взносы'!$M7:'членские взносы'!P7)</f>
        <v>9200</v>
      </c>
      <c r="Q6" s="29">
        <f>SUM('план на 2016'!$L7:Q7)-SUM('членские взносы'!$M7:'членские взносы'!Q7)</f>
        <v>9000</v>
      </c>
      <c r="R6" s="29">
        <f>SUM('план на 2016'!$L7:R7)-SUM('членские взносы'!$M7:'членские взносы'!R7)</f>
        <v>7800</v>
      </c>
      <c r="S6" s="29">
        <f>SUM('план на 2016'!$L7:S7)-SUM('членские взносы'!$M7:'членские взносы'!S7)</f>
        <v>6600</v>
      </c>
      <c r="T6" s="29">
        <f>SUM('план на 2016'!$L7:T7)-SUM('членские взносы'!$M7:'членские взносы'!T7)</f>
        <v>4400</v>
      </c>
      <c r="U6" s="29">
        <f>SUM('план на 2016'!$L7:U7)-SUM('членские взносы'!$M7:'членские взносы'!U7)</f>
        <v>3200</v>
      </c>
      <c r="V6" s="29">
        <f>SUM('план на 2016'!$L7:V7)-SUM('членские взносы'!$M7:'членские взносы'!V7)</f>
        <v>2000</v>
      </c>
      <c r="W6" s="29">
        <f>SUM('план на 2016'!$L7:W7)-SUM('членские взносы'!$M7:'членские взносы'!W7)</f>
        <v>800</v>
      </c>
      <c r="X6" s="29">
        <f>SUM('план на 2016'!$L7:X7)-SUM('членские взносы'!$M7:'членские взносы'!X7)</f>
        <v>-400</v>
      </c>
      <c r="Y6" s="18">
        <f t="shared" si="4"/>
        <v>-400</v>
      </c>
    </row>
    <row r="7" spans="1:25">
      <c r="A7" s="41">
        <f>VLOOKUP(B7,справочник!$B$2:$E$322,4,FALSE)</f>
        <v>203</v>
      </c>
      <c r="B7" t="str">
        <f t="shared" si="3"/>
        <v>213Александров Владимир Александрович</v>
      </c>
      <c r="C7" s="1">
        <v>213</v>
      </c>
      <c r="D7" s="2" t="s">
        <v>5</v>
      </c>
      <c r="E7" s="1" t="s">
        <v>324</v>
      </c>
      <c r="F7" s="16">
        <v>41520</v>
      </c>
      <c r="G7" s="16">
        <v>41548</v>
      </c>
      <c r="H7" s="17">
        <f t="shared" si="0"/>
        <v>27</v>
      </c>
      <c r="I7" s="1">
        <f t="shared" si="1"/>
        <v>27000</v>
      </c>
      <c r="J7" s="17">
        <v>26000</v>
      </c>
      <c r="K7" s="17"/>
      <c r="L7" s="18">
        <f t="shared" si="2"/>
        <v>1000</v>
      </c>
      <c r="M7" s="29">
        <f>SUM('план на 2016'!$L8:M8)-SUM('членские взносы'!$M8:'членские взносы'!M8)</f>
        <v>-800</v>
      </c>
      <c r="N7" s="29">
        <f>SUM('план на 2016'!$L8:N8)-SUM('членские взносы'!$M8:'членские взносы'!N8)</f>
        <v>0</v>
      </c>
      <c r="O7" s="29">
        <f>SUM('план на 2016'!$L8:O8)-SUM('членские взносы'!$M8:'членские взносы'!O8)</f>
        <v>800</v>
      </c>
      <c r="P7" s="29">
        <f>SUM('план на 2016'!$L8:P8)-SUM('членские взносы'!$M8:'членские взносы'!P8)</f>
        <v>1600</v>
      </c>
      <c r="Q7" s="29">
        <f>SUM('план на 2016'!$L8:Q8)-SUM('членские взносы'!$M8:'членские взносы'!Q8)</f>
        <v>-1800</v>
      </c>
      <c r="R7" s="29">
        <f>SUM('план на 2016'!$L8:R8)-SUM('членские взносы'!$M8:'членские взносы'!R8)</f>
        <v>-1000</v>
      </c>
      <c r="S7" s="29">
        <f>SUM('план на 2016'!$L8:S8)-SUM('членские взносы'!$M8:'членские взносы'!S8)</f>
        <v>-3400</v>
      </c>
      <c r="T7" s="29">
        <f>SUM('план на 2016'!$L8:T8)-SUM('членские взносы'!$M8:'членские взносы'!T8)</f>
        <v>-2600</v>
      </c>
      <c r="U7" s="29">
        <f>SUM('план на 2016'!$L8:U8)-SUM('членские взносы'!$M8:'членские взносы'!U8)</f>
        <v>-1800</v>
      </c>
      <c r="V7" s="29">
        <f>SUM('план на 2016'!$L8:V8)-SUM('членские взносы'!$M8:'членские взносы'!V8)</f>
        <v>-1000</v>
      </c>
      <c r="W7" s="29">
        <f>SUM('план на 2016'!$L8:W8)-SUM('членские взносы'!$M8:'членские взносы'!W8)</f>
        <v>-200</v>
      </c>
      <c r="X7" s="29">
        <f>SUM('план на 2016'!$L8:X8)-SUM('членские взносы'!$M8:'членские взносы'!X8)</f>
        <v>600</v>
      </c>
      <c r="Y7" s="18">
        <f t="shared" si="4"/>
        <v>600</v>
      </c>
    </row>
    <row r="8" spans="1:25">
      <c r="A8" s="41">
        <f>VLOOKUP(B8,справочник!$B$2:$E$322,4,FALSE)</f>
        <v>316</v>
      </c>
      <c r="B8" t="str">
        <f t="shared" si="3"/>
        <v>306-307Алексеев Андрей Олегович</v>
      </c>
      <c r="C8" s="1" t="s">
        <v>6</v>
      </c>
      <c r="D8" s="2" t="s">
        <v>7</v>
      </c>
      <c r="E8" s="1" t="s">
        <v>325</v>
      </c>
      <c r="F8" s="19">
        <v>40893</v>
      </c>
      <c r="G8" s="19">
        <v>40878</v>
      </c>
      <c r="H8" s="20">
        <f t="shared" si="0"/>
        <v>49</v>
      </c>
      <c r="I8" s="5">
        <f t="shared" si="1"/>
        <v>49000</v>
      </c>
      <c r="J8" s="20">
        <f>30000+1000+1000</f>
        <v>32000</v>
      </c>
      <c r="K8" s="20"/>
      <c r="L8" s="21">
        <f t="shared" si="2"/>
        <v>17000</v>
      </c>
      <c r="M8" s="29">
        <f>SUM('план на 2016'!$L9:M9)-SUM('членские взносы'!$M9:'членские взносы'!M9)</f>
        <v>17000</v>
      </c>
      <c r="N8" s="29">
        <f>SUM('план на 2016'!$L9:N9)-SUM('членские взносы'!$M9:'членские взносы'!N9)</f>
        <v>17800</v>
      </c>
      <c r="O8" s="29">
        <f>SUM('план на 2016'!$L9:O9)-SUM('членские взносы'!$M9:'членские взносы'!O9)</f>
        <v>18600</v>
      </c>
      <c r="P8" s="29">
        <f>SUM('план на 2016'!$L9:P9)-SUM('членские взносы'!$M9:'членские взносы'!P9)</f>
        <v>19400</v>
      </c>
      <c r="Q8" s="29">
        <f>SUM('план на 2016'!$L9:Q9)-SUM('членские взносы'!$M9:'членские взносы'!Q9)</f>
        <v>20200</v>
      </c>
      <c r="R8" s="29">
        <f>SUM('план на 2016'!$L9:R9)-SUM('членские взносы'!$M9:'членские взносы'!R9)</f>
        <v>21000</v>
      </c>
      <c r="S8" s="29">
        <f>SUM('план на 2016'!$L9:S9)-SUM('членские взносы'!$M9:'членские взносы'!S9)</f>
        <v>21800</v>
      </c>
      <c r="T8" s="29">
        <f>SUM('план на 2016'!$L9:T9)-SUM('членские взносы'!$M9:'членские взносы'!T9)</f>
        <v>22600</v>
      </c>
      <c r="U8" s="29">
        <f>SUM('план на 2016'!$L9:U9)-SUM('членские взносы'!$M9:'членские взносы'!U9)</f>
        <v>23400</v>
      </c>
      <c r="V8" s="29">
        <f>SUM('план на 2016'!$L9:V9)-SUM('членские взносы'!$M9:'членские взносы'!V9)</f>
        <v>24200</v>
      </c>
      <c r="W8" s="29">
        <f>SUM('план на 2016'!$L9:W9)-SUM('членские взносы'!$M9:'членские взносы'!W9)</f>
        <v>25000</v>
      </c>
      <c r="X8" s="29">
        <f>SUM('план на 2016'!$L9:X9)-SUM('членские взносы'!$M9:'членские взносы'!X9)</f>
        <v>25800</v>
      </c>
      <c r="Y8" s="18">
        <f t="shared" si="4"/>
        <v>25800</v>
      </c>
    </row>
    <row r="9" spans="1:25">
      <c r="A9" s="41">
        <f>VLOOKUP(B9,справочник!$B$2:$E$322,4,FALSE)</f>
        <v>232</v>
      </c>
      <c r="B9" t="str">
        <f t="shared" si="3"/>
        <v xml:space="preserve">241Амплеева Мария Александровна </v>
      </c>
      <c r="C9" s="1">
        <v>241</v>
      </c>
      <c r="D9" s="2" t="s">
        <v>8</v>
      </c>
      <c r="E9" s="1" t="s">
        <v>326</v>
      </c>
      <c r="F9" s="16">
        <v>41429</v>
      </c>
      <c r="G9" s="16">
        <v>41456</v>
      </c>
      <c r="H9" s="17">
        <f t="shared" si="0"/>
        <v>30</v>
      </c>
      <c r="I9" s="1">
        <f t="shared" si="1"/>
        <v>30000</v>
      </c>
      <c r="J9" s="17">
        <v>6000</v>
      </c>
      <c r="K9" s="17"/>
      <c r="L9" s="18">
        <f t="shared" si="2"/>
        <v>24000</v>
      </c>
      <c r="M9" s="29">
        <f>SUM('план на 2016'!$L10:M10)-SUM('членские взносы'!$M10:'членские взносы'!M10)</f>
        <v>24800</v>
      </c>
      <c r="N9" s="29">
        <f>SUM('план на 2016'!$L10:N10)-SUM('членские взносы'!$M10:'членские взносы'!N10)</f>
        <v>25600</v>
      </c>
      <c r="O9" s="29">
        <f>SUM('план на 2016'!$L10:O10)-SUM('членские взносы'!$M10:'членские взносы'!O10)</f>
        <v>26400</v>
      </c>
      <c r="P9" s="29">
        <f>SUM('план на 2016'!$L10:P10)-SUM('членские взносы'!$M10:'членские взносы'!P10)</f>
        <v>27200</v>
      </c>
      <c r="Q9" s="29">
        <f>SUM('план на 2016'!$L10:Q10)-SUM('членские взносы'!$M10:'членские взносы'!Q10)</f>
        <v>28000</v>
      </c>
      <c r="R9" s="29">
        <f>SUM('план на 2016'!$L10:R10)-SUM('членские взносы'!$M10:'членские взносы'!R10)</f>
        <v>28800</v>
      </c>
      <c r="S9" s="29">
        <f>SUM('план на 2016'!$L10:S10)-SUM('членские взносы'!$M10:'членские взносы'!S10)</f>
        <v>29600</v>
      </c>
      <c r="T9" s="29">
        <f>SUM('план на 2016'!$L10:T10)-SUM('членские взносы'!$M10:'членские взносы'!T10)</f>
        <v>30400</v>
      </c>
      <c r="U9" s="29">
        <f>SUM('план на 2016'!$L10:U10)-SUM('членские взносы'!$M10:'членские взносы'!U10)</f>
        <v>31200</v>
      </c>
      <c r="V9" s="29">
        <f>SUM('план на 2016'!$L10:V10)-SUM('членские взносы'!$M10:'членские взносы'!V10)</f>
        <v>32000</v>
      </c>
      <c r="W9" s="29">
        <f>SUM('план на 2016'!$L10:W10)-SUM('членские взносы'!$M10:'членские взносы'!W10)</f>
        <v>32800</v>
      </c>
      <c r="X9" s="29">
        <f>SUM('план на 2016'!$L10:X10)-SUM('членские взносы'!$M10:'членские взносы'!X10)</f>
        <v>33600</v>
      </c>
      <c r="Y9" s="18">
        <f t="shared" si="4"/>
        <v>33600</v>
      </c>
    </row>
    <row r="10" spans="1:25">
      <c r="A10" s="41">
        <f>VLOOKUP(B10,справочник!$B$2:$E$322,4,FALSE)</f>
        <v>277</v>
      </c>
      <c r="B10" t="str">
        <f t="shared" si="3"/>
        <v>290Андреева Любовь Ивановна(у Севастьянова)</v>
      </c>
      <c r="C10" s="1">
        <v>290</v>
      </c>
      <c r="D10" s="2" t="s">
        <v>9</v>
      </c>
      <c r="E10" s="1"/>
      <c r="F10" s="16">
        <v>41827</v>
      </c>
      <c r="G10" s="16">
        <v>41821</v>
      </c>
      <c r="H10" s="17">
        <f t="shared" si="0"/>
        <v>18</v>
      </c>
      <c r="I10" s="1">
        <f t="shared" si="1"/>
        <v>18000</v>
      </c>
      <c r="J10" s="17">
        <v>20000</v>
      </c>
      <c r="K10" s="17"/>
      <c r="L10" s="18">
        <f t="shared" si="2"/>
        <v>-2000</v>
      </c>
      <c r="M10" s="29">
        <f>SUM('план на 2016'!$L11:M11)-SUM('членские взносы'!$M11:'членские взносы'!M11)</f>
        <v>-1200</v>
      </c>
      <c r="N10" s="29">
        <f>SUM('план на 2016'!$L11:N11)-SUM('членские взносы'!$M11:'членские взносы'!N11)</f>
        <v>-400</v>
      </c>
      <c r="O10" s="29">
        <f>SUM('план на 2016'!$L11:O11)-SUM('членские взносы'!$M11:'членские взносы'!O11)</f>
        <v>400</v>
      </c>
      <c r="P10" s="29">
        <f>SUM('план на 2016'!$L11:P11)-SUM('членские взносы'!$M11:'членские взносы'!P11)</f>
        <v>1200</v>
      </c>
      <c r="Q10" s="29">
        <f>SUM('план на 2016'!$L11:Q11)-SUM('членские взносы'!$M11:'членские взносы'!Q11)</f>
        <v>2000</v>
      </c>
      <c r="R10" s="29">
        <f>SUM('план на 2016'!$L11:R11)-SUM('членские взносы'!$M11:'членские взносы'!R11)</f>
        <v>2800</v>
      </c>
      <c r="S10" s="29">
        <f>SUM('план на 2016'!$L11:S11)-SUM('членские взносы'!$M11:'членские взносы'!S11)</f>
        <v>2600</v>
      </c>
      <c r="T10" s="29">
        <f>SUM('план на 2016'!$L11:T11)-SUM('членские взносы'!$M11:'членские взносы'!T11)</f>
        <v>3400</v>
      </c>
      <c r="U10" s="29">
        <f>SUM('план на 2016'!$L11:U11)-SUM('членские взносы'!$M11:'членские взносы'!U11)</f>
        <v>2200</v>
      </c>
      <c r="V10" s="29">
        <f>SUM('план на 2016'!$L11:V11)-SUM('членские взносы'!$M11:'членские взносы'!V11)</f>
        <v>3000</v>
      </c>
      <c r="W10" s="29">
        <f>SUM('план на 2016'!$L11:W11)-SUM('членские взносы'!$M11:'членские взносы'!W11)</f>
        <v>3800</v>
      </c>
      <c r="X10" s="29">
        <f>SUM('план на 2016'!$L11:X11)-SUM('членские взносы'!$M11:'членские взносы'!X11)</f>
        <v>4600</v>
      </c>
      <c r="Y10" s="18">
        <f t="shared" si="4"/>
        <v>4600</v>
      </c>
    </row>
    <row r="11" spans="1:25">
      <c r="A11" s="41">
        <f>VLOOKUP(B11,справочник!$B$2:$E$322,4,FALSE)</f>
        <v>221</v>
      </c>
      <c r="B11" t="str">
        <f t="shared" si="3"/>
        <v>230Анисимова (Корнеева) Татьяна Николаевна</v>
      </c>
      <c r="C11" s="1">
        <v>230</v>
      </c>
      <c r="D11" s="2" t="s">
        <v>10</v>
      </c>
      <c r="E11" s="1"/>
      <c r="F11" s="16">
        <v>41912</v>
      </c>
      <c r="G11" s="16">
        <v>41913</v>
      </c>
      <c r="H11" s="17">
        <f t="shared" si="0"/>
        <v>15</v>
      </c>
      <c r="I11" s="1">
        <f t="shared" si="1"/>
        <v>15000</v>
      </c>
      <c r="J11" s="17">
        <v>1000</v>
      </c>
      <c r="K11" s="17"/>
      <c r="L11" s="18">
        <f t="shared" si="2"/>
        <v>14000</v>
      </c>
      <c r="M11" s="29">
        <f>SUM('план на 2016'!$L12:M12)-SUM('членские взносы'!$M12:'членские взносы'!M12)</f>
        <v>2800</v>
      </c>
      <c r="N11" s="29">
        <f>SUM('план на 2016'!$L12:N12)-SUM('членские взносы'!$M12:'членские взносы'!N12)</f>
        <v>3600</v>
      </c>
      <c r="O11" s="29">
        <f>SUM('план на 2016'!$L12:O12)-SUM('членские взносы'!$M12:'членские взносы'!O12)</f>
        <v>4400</v>
      </c>
      <c r="P11" s="29">
        <f>SUM('план на 2016'!$L12:P12)-SUM('членские взносы'!$M12:'членские взносы'!P12)</f>
        <v>5200</v>
      </c>
      <c r="Q11" s="29">
        <f>SUM('план на 2016'!$L12:Q12)-SUM('членские взносы'!$M12:'членские взносы'!Q12)</f>
        <v>6000</v>
      </c>
      <c r="R11" s="29">
        <f>SUM('план на 2016'!$L12:R12)-SUM('членские взносы'!$M12:'членские взносы'!R12)</f>
        <v>6800</v>
      </c>
      <c r="S11" s="29">
        <f>SUM('план на 2016'!$L12:S12)-SUM('членские взносы'!$M12:'членские взносы'!S12)</f>
        <v>7600</v>
      </c>
      <c r="T11" s="29">
        <f>SUM('план на 2016'!$L12:T12)-SUM('членские взносы'!$M12:'членские взносы'!T12)</f>
        <v>8400</v>
      </c>
      <c r="U11" s="29">
        <f>SUM('план на 2016'!$L12:U12)-SUM('членские взносы'!$M12:'членские взносы'!U12)</f>
        <v>9200</v>
      </c>
      <c r="V11" s="29">
        <f>SUM('план на 2016'!$L12:V12)-SUM('членские взносы'!$M12:'членские взносы'!V12)</f>
        <v>10000</v>
      </c>
      <c r="W11" s="29">
        <f>SUM('план на 2016'!$L12:W12)-SUM('членские взносы'!$M12:'членские взносы'!W12)</f>
        <v>10800</v>
      </c>
      <c r="X11" s="29">
        <f>SUM('план на 2016'!$L12:X12)-SUM('членские взносы'!$M12:'членские взносы'!X12)</f>
        <v>11600</v>
      </c>
      <c r="Y11" s="18">
        <f t="shared" si="4"/>
        <v>11600</v>
      </c>
    </row>
    <row r="12" spans="1:25">
      <c r="A12" s="41">
        <f>VLOOKUP(B12,справочник!$B$2:$E$322,4,FALSE)</f>
        <v>259</v>
      </c>
      <c r="B12" t="str">
        <f t="shared" si="3"/>
        <v>272Анисимова Елена Анатольевна</v>
      </c>
      <c r="C12" s="1">
        <v>272</v>
      </c>
      <c r="D12" s="2" t="s">
        <v>11</v>
      </c>
      <c r="E12" s="1" t="s">
        <v>327</v>
      </c>
      <c r="F12" s="16">
        <v>41457</v>
      </c>
      <c r="G12" s="16">
        <v>41487</v>
      </c>
      <c r="H12" s="17">
        <f t="shared" si="0"/>
        <v>29</v>
      </c>
      <c r="I12" s="1">
        <f t="shared" si="1"/>
        <v>29000</v>
      </c>
      <c r="J12" s="17">
        <v>25000</v>
      </c>
      <c r="K12" s="17"/>
      <c r="L12" s="18">
        <f t="shared" si="2"/>
        <v>4000</v>
      </c>
      <c r="M12" s="29">
        <f>SUM('план на 2016'!$L13:M13)-SUM('членские взносы'!$M13:'членские взносы'!M13)</f>
        <v>4800</v>
      </c>
      <c r="N12" s="29">
        <f>SUM('план на 2016'!$L13:N13)-SUM('членские взносы'!$M13:'членские взносы'!N13)</f>
        <v>5600</v>
      </c>
      <c r="O12" s="29">
        <f>SUM('план на 2016'!$L13:O13)-SUM('членские взносы'!$M13:'членские взносы'!O13)</f>
        <v>6400</v>
      </c>
      <c r="P12" s="29">
        <f>SUM('план на 2016'!$L13:P13)-SUM('членские взносы'!$M13:'членские взносы'!P13)</f>
        <v>7200</v>
      </c>
      <c r="Q12" s="29">
        <f>SUM('план на 2016'!$L13:Q13)-SUM('членские взносы'!$M13:'членские взносы'!Q13)</f>
        <v>8000</v>
      </c>
      <c r="R12" s="29">
        <f>SUM('план на 2016'!$L13:R13)-SUM('членские взносы'!$M13:'членские взносы'!R13)</f>
        <v>8800</v>
      </c>
      <c r="S12" s="29">
        <f>SUM('план на 2016'!$L13:S13)-SUM('членские взносы'!$M13:'членские взносы'!S13)</f>
        <v>6600</v>
      </c>
      <c r="T12" s="29">
        <f>SUM('план на 2016'!$L13:T13)-SUM('членские взносы'!$M13:'членские взносы'!T13)</f>
        <v>7400</v>
      </c>
      <c r="U12" s="29">
        <f>SUM('план на 2016'!$L13:U13)-SUM('членские взносы'!$M13:'членские взносы'!U13)</f>
        <v>3200</v>
      </c>
      <c r="V12" s="29">
        <f>SUM('план на 2016'!$L13:V13)-SUM('членские взносы'!$M13:'членские взносы'!V13)</f>
        <v>1600</v>
      </c>
      <c r="W12" s="29">
        <f>SUM('план на 2016'!$L13:W13)-SUM('членские взносы'!$M13:'членские взносы'!W13)</f>
        <v>2400</v>
      </c>
      <c r="X12" s="29">
        <f>SUM('план на 2016'!$L13:X13)-SUM('членские взносы'!$M13:'членские взносы'!X13)</f>
        <v>3200</v>
      </c>
      <c r="Y12" s="18">
        <f t="shared" si="4"/>
        <v>3200</v>
      </c>
    </row>
    <row r="13" spans="1:25">
      <c r="A13" s="41">
        <f>VLOOKUP(B13,справочник!$B$2:$E$322,4,FALSE)</f>
        <v>109</v>
      </c>
      <c r="B13" t="str">
        <f t="shared" si="3"/>
        <v>114Антипова Жанна Михайловна</v>
      </c>
      <c r="C13" s="1">
        <v>114</v>
      </c>
      <c r="D13" s="2" t="s">
        <v>12</v>
      </c>
      <c r="E13" s="1" t="s">
        <v>328</v>
      </c>
      <c r="F13" s="16">
        <v>41414</v>
      </c>
      <c r="G13" s="16">
        <v>41426</v>
      </c>
      <c r="H13" s="17">
        <f t="shared" si="0"/>
        <v>31</v>
      </c>
      <c r="I13" s="1">
        <f t="shared" si="1"/>
        <v>31000</v>
      </c>
      <c r="J13" s="17">
        <v>10000</v>
      </c>
      <c r="K13" s="17"/>
      <c r="L13" s="18">
        <f t="shared" si="2"/>
        <v>21000</v>
      </c>
      <c r="M13" s="29">
        <f>SUM('план на 2016'!$L14:M14)-SUM('членские взносы'!$M14:'членские взносы'!M14)</f>
        <v>21800</v>
      </c>
      <c r="N13" s="29">
        <f>SUM('план на 2016'!$L14:N14)-SUM('членские взносы'!$M14:'членские взносы'!N14)</f>
        <v>21600</v>
      </c>
      <c r="O13" s="29">
        <f>SUM('план на 2016'!$L14:O14)-SUM('членские взносы'!$M14:'членские взносы'!O14)</f>
        <v>21400</v>
      </c>
      <c r="P13" s="29">
        <f>SUM('план на 2016'!$L14:P14)-SUM('членские взносы'!$M14:'членские взносы'!P14)</f>
        <v>22200</v>
      </c>
      <c r="Q13" s="29">
        <f>SUM('план на 2016'!$L14:Q14)-SUM('членские взносы'!$M14:'членские взносы'!Q14)</f>
        <v>23000</v>
      </c>
      <c r="R13" s="29">
        <f>SUM('план на 2016'!$L14:R14)-SUM('членские взносы'!$M14:'членские взносы'!R14)</f>
        <v>23800</v>
      </c>
      <c r="S13" s="29">
        <f>SUM('план на 2016'!$L14:S14)-SUM('членские взносы'!$M14:'членские взносы'!S14)</f>
        <v>24600</v>
      </c>
      <c r="T13" s="29">
        <f>SUM('план на 2016'!$L14:T14)-SUM('членские взносы'!$M14:'членские взносы'!T14)</f>
        <v>25400</v>
      </c>
      <c r="U13" s="29">
        <f>SUM('план на 2016'!$L14:U14)-SUM('членские взносы'!$M14:'членские взносы'!U14)</f>
        <v>26200</v>
      </c>
      <c r="V13" s="29">
        <f>SUM('план на 2016'!$L14:V14)-SUM('членские взносы'!$M14:'членские взносы'!V14)</f>
        <v>27000</v>
      </c>
      <c r="W13" s="29">
        <f>SUM('план на 2016'!$L14:W14)-SUM('членские взносы'!$M14:'членские взносы'!W14)</f>
        <v>27800</v>
      </c>
      <c r="X13" s="29">
        <f>SUM('план на 2016'!$L14:X14)-SUM('членские взносы'!$M14:'членские взносы'!X14)</f>
        <v>28600</v>
      </c>
      <c r="Y13" s="18">
        <f t="shared" si="4"/>
        <v>28600</v>
      </c>
    </row>
    <row r="14" spans="1:25">
      <c r="A14" s="41">
        <f>VLOOKUP(B14,справочник!$B$2:$E$322,4,FALSE)</f>
        <v>130</v>
      </c>
      <c r="B14" t="str">
        <f t="shared" si="3"/>
        <v>137Анциферов Алексей Сергеевич</v>
      </c>
      <c r="C14" s="1">
        <v>137</v>
      </c>
      <c r="D14" s="2" t="s">
        <v>13</v>
      </c>
      <c r="E14" s="1" t="s">
        <v>329</v>
      </c>
      <c r="F14" s="16">
        <v>40841</v>
      </c>
      <c r="G14" s="16">
        <v>40848</v>
      </c>
      <c r="H14" s="17">
        <f t="shared" si="0"/>
        <v>50</v>
      </c>
      <c r="I14" s="1">
        <f t="shared" si="1"/>
        <v>50000</v>
      </c>
      <c r="J14" s="17">
        <f>44000+1000</f>
        <v>45000</v>
      </c>
      <c r="K14" s="17">
        <v>5000</v>
      </c>
      <c r="L14" s="18">
        <f t="shared" si="2"/>
        <v>0</v>
      </c>
      <c r="M14" s="29">
        <f>SUM('план на 2016'!$L15:M15)-SUM('членские взносы'!$M15:'членские взносы'!M15)</f>
        <v>800</v>
      </c>
      <c r="N14" s="29">
        <f>SUM('план на 2016'!$L15:N15)-SUM('членские взносы'!$M15:'членские взносы'!N15)</f>
        <v>800</v>
      </c>
      <c r="O14" s="29">
        <f>SUM('план на 2016'!$L15:O15)-SUM('членские взносы'!$M15:'членские взносы'!O15)</f>
        <v>1600</v>
      </c>
      <c r="P14" s="29">
        <f>SUM('план на 2016'!$L15:P15)-SUM('членские взносы'!$M15:'членские взносы'!P15)</f>
        <v>2400</v>
      </c>
      <c r="Q14" s="29">
        <f>SUM('план на 2016'!$L15:Q15)-SUM('членские взносы'!$M15:'членские взносы'!Q15)</f>
        <v>3200</v>
      </c>
      <c r="R14" s="29">
        <f>SUM('план на 2016'!$L15:R15)-SUM('членские взносы'!$M15:'членские взносы'!R15)</f>
        <v>800</v>
      </c>
      <c r="S14" s="29">
        <f>SUM('план на 2016'!$L15:S15)-SUM('членские взносы'!$M15:'членские взносы'!S15)</f>
        <v>1600</v>
      </c>
      <c r="T14" s="29">
        <f>SUM('план на 2016'!$L15:T15)-SUM('членские взносы'!$M15:'членские взносы'!T15)</f>
        <v>2400</v>
      </c>
      <c r="U14" s="29">
        <f>SUM('план на 2016'!$L15:U15)-SUM('членские взносы'!$M15:'членские взносы'!U15)</f>
        <v>-4800</v>
      </c>
      <c r="V14" s="29">
        <f>SUM('план на 2016'!$L15:V15)-SUM('членские взносы'!$M15:'членские взносы'!V15)</f>
        <v>-4000</v>
      </c>
      <c r="W14" s="29">
        <f>SUM('план на 2016'!$L15:W15)-SUM('членские взносы'!$M15:'членские взносы'!W15)</f>
        <v>-3200</v>
      </c>
      <c r="X14" s="29">
        <f>SUM('план на 2016'!$L15:X15)-SUM('членские взносы'!$M15:'членские взносы'!X15)</f>
        <v>-2400</v>
      </c>
      <c r="Y14" s="18">
        <f t="shared" si="4"/>
        <v>-2400</v>
      </c>
    </row>
    <row r="15" spans="1:25">
      <c r="A15" s="41">
        <f>VLOOKUP(B15,справочник!$B$2:$E$322,4,FALSE)</f>
        <v>7</v>
      </c>
      <c r="B15" t="str">
        <f t="shared" si="3"/>
        <v>7Артемьев Сергей Иванович</v>
      </c>
      <c r="C15" s="1">
        <v>7</v>
      </c>
      <c r="D15" s="2" t="s">
        <v>14</v>
      </c>
      <c r="E15" s="1" t="s">
        <v>330</v>
      </c>
      <c r="F15" s="16">
        <v>41467</v>
      </c>
      <c r="G15" s="16">
        <v>41518</v>
      </c>
      <c r="H15" s="17">
        <f t="shared" si="0"/>
        <v>28</v>
      </c>
      <c r="I15" s="1">
        <f t="shared" si="1"/>
        <v>28000</v>
      </c>
      <c r="J15" s="17"/>
      <c r="K15" s="17"/>
      <c r="L15" s="18">
        <f t="shared" si="2"/>
        <v>28000</v>
      </c>
      <c r="M15" s="29">
        <f>SUM('план на 2016'!$L16:M16)-SUM('членские взносы'!$M16:'членские взносы'!M16)</f>
        <v>28800</v>
      </c>
      <c r="N15" s="29">
        <f>SUM('план на 2016'!$L16:N16)-SUM('членские взносы'!$M16:'членские взносы'!N16)</f>
        <v>29600</v>
      </c>
      <c r="O15" s="29">
        <f>SUM('план на 2016'!$L16:O16)-SUM('членские взносы'!$M16:'членские взносы'!O16)</f>
        <v>30400</v>
      </c>
      <c r="P15" s="29">
        <f>SUM('план на 2016'!$L16:P16)-SUM('членские взносы'!$M16:'членские взносы'!P16)</f>
        <v>31200</v>
      </c>
      <c r="Q15" s="29">
        <f>SUM('план на 2016'!$L16:Q16)-SUM('членские взносы'!$M16:'членские взносы'!Q16)</f>
        <v>32000</v>
      </c>
      <c r="R15" s="29">
        <f>SUM('план на 2016'!$L16:R16)-SUM('членские взносы'!$M16:'членские взносы'!R16)</f>
        <v>32800</v>
      </c>
      <c r="S15" s="29">
        <f>SUM('план на 2016'!$L16:S16)-SUM('членские взносы'!$M16:'членские взносы'!S16)</f>
        <v>33600</v>
      </c>
      <c r="T15" s="29">
        <f>SUM('план на 2016'!$L16:T16)-SUM('членские взносы'!$M16:'членские взносы'!T16)</f>
        <v>34400</v>
      </c>
      <c r="U15" s="29">
        <f>SUM('план на 2016'!$L16:U16)-SUM('членские взносы'!$M16:'членские взносы'!U16)</f>
        <v>35200</v>
      </c>
      <c r="V15" s="29">
        <f>SUM('план на 2016'!$L16:V16)-SUM('членские взносы'!$M16:'членские взносы'!V16)</f>
        <v>36000</v>
      </c>
      <c r="W15" s="29">
        <f>SUM('план на 2016'!$L16:W16)-SUM('членские взносы'!$M16:'членские взносы'!W16)</f>
        <v>36800</v>
      </c>
      <c r="X15" s="29">
        <f>SUM('план на 2016'!$L16:X16)-SUM('членские взносы'!$M16:'членские взносы'!X16)</f>
        <v>37600</v>
      </c>
      <c r="Y15" s="18">
        <f t="shared" si="4"/>
        <v>37600</v>
      </c>
    </row>
    <row r="16" spans="1:25">
      <c r="A16" s="41">
        <f>VLOOKUP(B16,справочник!$B$2:$E$322,4,FALSE)</f>
        <v>7</v>
      </c>
      <c r="B16" t="str">
        <f t="shared" si="3"/>
        <v>14Артемьев Сергей Иванович</v>
      </c>
      <c r="C16" s="1">
        <v>14</v>
      </c>
      <c r="D16" s="2" t="s">
        <v>14</v>
      </c>
      <c r="E16" s="1" t="s">
        <v>331</v>
      </c>
      <c r="F16" s="16">
        <v>41204</v>
      </c>
      <c r="G16" s="16">
        <v>41214</v>
      </c>
      <c r="H16" s="17">
        <f t="shared" si="0"/>
        <v>38</v>
      </c>
      <c r="I16" s="1">
        <f t="shared" si="1"/>
        <v>38000</v>
      </c>
      <c r="J16" s="17">
        <v>27000</v>
      </c>
      <c r="K16" s="17"/>
      <c r="L16" s="18">
        <f t="shared" si="2"/>
        <v>11000</v>
      </c>
      <c r="M16" s="29">
        <f>SUM('план на 2016'!$L17:M17)-SUM('членские взносы'!$M17:'членские взносы'!M17)</f>
        <v>11000</v>
      </c>
      <c r="N16" s="29">
        <f>SUM('план на 2016'!$L17:N17)-SUM('членские взносы'!$M17:'членские взносы'!N17)</f>
        <v>11000</v>
      </c>
      <c r="O16" s="29">
        <f>SUM('план на 2016'!$L17:O17)-SUM('членские взносы'!$M17:'членские взносы'!O17)</f>
        <v>11000</v>
      </c>
      <c r="P16" s="29">
        <f>SUM('план на 2016'!$L17:P17)-SUM('членские взносы'!$M17:'членские взносы'!P17)</f>
        <v>11000</v>
      </c>
      <c r="Q16" s="29">
        <f>SUM('план на 2016'!$L17:Q17)-SUM('членские взносы'!$M17:'членские взносы'!Q17)</f>
        <v>11000</v>
      </c>
      <c r="R16" s="29">
        <f>SUM('план на 2016'!$L17:R17)-SUM('членские взносы'!$M17:'членские взносы'!R17)</f>
        <v>11000</v>
      </c>
      <c r="S16" s="29">
        <f>SUM('план на 2016'!$L17:S17)-SUM('членские взносы'!$M17:'членские взносы'!S17)</f>
        <v>11000</v>
      </c>
      <c r="T16" s="29">
        <f>SUM('план на 2016'!$L17:T17)-SUM('членские взносы'!$M17:'членские взносы'!T17)</f>
        <v>11000</v>
      </c>
      <c r="U16" s="29">
        <f>SUM('план на 2016'!$L17:U17)-SUM('членские взносы'!$M17:'членские взносы'!U17)</f>
        <v>11000</v>
      </c>
      <c r="V16" s="29">
        <f>SUM('план на 2016'!$L17:V17)-SUM('членские взносы'!$M17:'членские взносы'!V17)</f>
        <v>11000</v>
      </c>
      <c r="W16" s="29">
        <f>SUM('план на 2016'!$L17:W17)-SUM('членские взносы'!$M17:'членские взносы'!W17)</f>
        <v>11000</v>
      </c>
      <c r="X16" s="29">
        <f>SUM('план на 2016'!$L17:X17)-SUM('членские взносы'!$M17:'членские взносы'!X17)</f>
        <v>11000</v>
      </c>
      <c r="Y16" s="18">
        <f t="shared" si="4"/>
        <v>11000</v>
      </c>
    </row>
    <row r="17" spans="1:25">
      <c r="A17" s="41">
        <f>VLOOKUP(B17,справочник!$B$2:$E$322,4,FALSE)</f>
        <v>193</v>
      </c>
      <c r="B17" t="str">
        <f t="shared" si="3"/>
        <v>201Асташкин Павел Александрович(продал???)</v>
      </c>
      <c r="C17" s="1">
        <v>201</v>
      </c>
      <c r="D17" s="2" t="s">
        <v>15</v>
      </c>
      <c r="E17" s="1" t="s">
        <v>332</v>
      </c>
      <c r="F17" s="1"/>
      <c r="G17" s="1"/>
      <c r="H17" s="17"/>
      <c r="I17" s="1">
        <f t="shared" si="1"/>
        <v>0</v>
      </c>
      <c r="J17" s="17"/>
      <c r="K17" s="17"/>
      <c r="L17" s="18">
        <f t="shared" si="2"/>
        <v>0</v>
      </c>
      <c r="M17" s="29">
        <f>SUM('план на 2016'!$L18:M18)-SUM('членские взносы'!$M18:'членские взносы'!M18)</f>
        <v>800</v>
      </c>
      <c r="N17" s="29">
        <f>SUM('план на 2016'!$L18:N18)-SUM('членские взносы'!$M18:'членские взносы'!N18)</f>
        <v>1600</v>
      </c>
      <c r="O17" s="29">
        <f>SUM('план на 2016'!$L18:O18)-SUM('членские взносы'!$M18:'членские взносы'!O18)</f>
        <v>2400</v>
      </c>
      <c r="P17" s="29">
        <f>SUM('план на 2016'!$L18:P18)-SUM('членские взносы'!$M18:'членские взносы'!P18)</f>
        <v>3200</v>
      </c>
      <c r="Q17" s="29">
        <f>SUM('план на 2016'!$L18:Q18)-SUM('членские взносы'!$M18:'членские взносы'!Q18)</f>
        <v>4000</v>
      </c>
      <c r="R17" s="29">
        <f>SUM('план на 2016'!$L18:R18)-SUM('членские взносы'!$M18:'членские взносы'!R18)</f>
        <v>4800</v>
      </c>
      <c r="S17" s="29">
        <f>SUM('план на 2016'!$L18:S18)-SUM('членские взносы'!$M18:'членские взносы'!S18)</f>
        <v>5600</v>
      </c>
      <c r="T17" s="29">
        <f>SUM('план на 2016'!$L18:T18)-SUM('членские взносы'!$M18:'членские взносы'!T18)</f>
        <v>6400</v>
      </c>
      <c r="U17" s="29">
        <f>SUM('план на 2016'!$L18:U18)-SUM('членские взносы'!$M18:'членские взносы'!U18)</f>
        <v>7200</v>
      </c>
      <c r="V17" s="29">
        <f>SUM('план на 2016'!$L18:V18)-SUM('членские взносы'!$M18:'членские взносы'!V18)</f>
        <v>8000</v>
      </c>
      <c r="W17" s="29">
        <f>SUM('план на 2016'!$L18:W18)-SUM('членские взносы'!$M18:'членские взносы'!W18)</f>
        <v>8800</v>
      </c>
      <c r="X17" s="29">
        <f>SUM('план на 2016'!$L18:X18)-SUM('членские взносы'!$M18:'членские взносы'!X18)</f>
        <v>9600</v>
      </c>
      <c r="Y17" s="18">
        <f t="shared" si="4"/>
        <v>9600</v>
      </c>
    </row>
    <row r="18" spans="1:25">
      <c r="A18" s="41">
        <f>VLOOKUP(B18,справочник!$B$2:$E$322,4,FALSE)</f>
        <v>178</v>
      </c>
      <c r="B18" t="str">
        <f t="shared" si="3"/>
        <v>186Афанасьева Злата Сергеевна</v>
      </c>
      <c r="C18" s="1">
        <v>186</v>
      </c>
      <c r="D18" s="2" t="s">
        <v>16</v>
      </c>
      <c r="E18" s="1" t="s">
        <v>333</v>
      </c>
      <c r="F18" s="16">
        <v>41898</v>
      </c>
      <c r="G18" s="16">
        <v>41944</v>
      </c>
      <c r="H18" s="17">
        <f>INT(($H$326-G18)/30)</f>
        <v>14</v>
      </c>
      <c r="I18" s="1">
        <f t="shared" si="1"/>
        <v>14000</v>
      </c>
      <c r="J18" s="17">
        <v>1000</v>
      </c>
      <c r="K18" s="17"/>
      <c r="L18" s="18">
        <f t="shared" si="2"/>
        <v>13000</v>
      </c>
      <c r="M18" s="29">
        <f>SUM('план на 2016'!$L19:M19)-SUM('членские взносы'!$M19:'членские взносы'!M19)</f>
        <v>13800</v>
      </c>
      <c r="N18" s="29">
        <f>SUM('план на 2016'!$L19:N19)-SUM('членские взносы'!$M19:'членские взносы'!N19)</f>
        <v>14600</v>
      </c>
      <c r="O18" s="29">
        <f>SUM('план на 2016'!$L19:O19)-SUM('членские взносы'!$M19:'членские взносы'!O19)</f>
        <v>15400</v>
      </c>
      <c r="P18" s="29">
        <f>SUM('план на 2016'!$L19:P19)-SUM('членские взносы'!$M19:'членские взносы'!P19)</f>
        <v>16200</v>
      </c>
      <c r="Q18" s="29">
        <f>SUM('план на 2016'!$L19:Q19)-SUM('членские взносы'!$M19:'членские взносы'!Q19)</f>
        <v>17000</v>
      </c>
      <c r="R18" s="29">
        <f>SUM('план на 2016'!$L19:R19)-SUM('членские взносы'!$M19:'членские взносы'!R19)</f>
        <v>17800</v>
      </c>
      <c r="S18" s="29">
        <f>SUM('план на 2016'!$L19:S19)-SUM('членские взносы'!$M19:'членские взносы'!S19)</f>
        <v>18600</v>
      </c>
      <c r="T18" s="29">
        <f>SUM('план на 2016'!$L19:T19)-SUM('членские взносы'!$M19:'членские взносы'!T19)</f>
        <v>19400</v>
      </c>
      <c r="U18" s="29">
        <f>SUM('план на 2016'!$L19:U19)-SUM('членские взносы'!$M19:'членские взносы'!U19)</f>
        <v>20200</v>
      </c>
      <c r="V18" s="29">
        <f>SUM('план на 2016'!$L19:V19)-SUM('членские взносы'!$M19:'членские взносы'!V19)</f>
        <v>21000</v>
      </c>
      <c r="W18" s="29">
        <f>SUM('план на 2016'!$L19:W19)-SUM('членские взносы'!$M19:'членские взносы'!W19)</f>
        <v>11800</v>
      </c>
      <c r="X18" s="29">
        <f>SUM('план на 2016'!$L19:X19)-SUM('членские взносы'!$M19:'членские взносы'!X19)</f>
        <v>12600</v>
      </c>
      <c r="Y18" s="18">
        <f t="shared" si="4"/>
        <v>12600</v>
      </c>
    </row>
    <row r="19" spans="1:25">
      <c r="A19" s="41">
        <f>VLOOKUP(B19,справочник!$B$2:$E$322,4,FALSE)</f>
        <v>119</v>
      </c>
      <c r="B19" t="str">
        <f t="shared" si="3"/>
        <v>124Афян Сасун Аркадиевич</v>
      </c>
      <c r="C19" s="1">
        <v>124</v>
      </c>
      <c r="D19" s="2" t="s">
        <v>17</v>
      </c>
      <c r="E19" s="1" t="s">
        <v>334</v>
      </c>
      <c r="F19" s="16">
        <v>41401</v>
      </c>
      <c r="G19" s="16">
        <v>41426</v>
      </c>
      <c r="H19" s="17">
        <f>INT(($H$326-G19)/30)</f>
        <v>31</v>
      </c>
      <c r="I19" s="1">
        <f t="shared" si="1"/>
        <v>31000</v>
      </c>
      <c r="J19" s="17">
        <v>11000</v>
      </c>
      <c r="K19" s="17"/>
      <c r="L19" s="18">
        <f t="shared" si="2"/>
        <v>20000</v>
      </c>
      <c r="M19" s="29">
        <f>SUM('план на 2016'!$L20:M20)-SUM('членские взносы'!$M20:'членские взносы'!M20)</f>
        <v>20800</v>
      </c>
      <c r="N19" s="29">
        <f>SUM('план на 2016'!$L20:N20)-SUM('членские взносы'!$M20:'членские взносы'!N20)</f>
        <v>21600</v>
      </c>
      <c r="O19" s="29">
        <f>SUM('план на 2016'!$L20:O20)-SUM('членские взносы'!$M20:'членские взносы'!O20)</f>
        <v>19400</v>
      </c>
      <c r="P19" s="29">
        <f>SUM('план на 2016'!$L20:P20)-SUM('членские взносы'!$M20:'членские взносы'!P20)</f>
        <v>20200</v>
      </c>
      <c r="Q19" s="29">
        <f>SUM('план на 2016'!$L20:Q20)-SUM('членские взносы'!$M20:'членские взносы'!Q20)</f>
        <v>21000</v>
      </c>
      <c r="R19" s="29">
        <f>SUM('план на 2016'!$L20:R20)-SUM('членские взносы'!$M20:'членские взносы'!R20)</f>
        <v>21800</v>
      </c>
      <c r="S19" s="29">
        <f>SUM('план на 2016'!$L20:S20)-SUM('членские взносы'!$M20:'членские взносы'!S20)</f>
        <v>22600</v>
      </c>
      <c r="T19" s="29">
        <f>SUM('план на 2016'!$L20:T20)-SUM('членские взносы'!$M20:'членские взносы'!T20)</f>
        <v>23400</v>
      </c>
      <c r="U19" s="29">
        <f>SUM('план на 2016'!$L20:U20)-SUM('членские взносы'!$M20:'членские взносы'!U20)</f>
        <v>24200</v>
      </c>
      <c r="V19" s="29">
        <f>SUM('план на 2016'!$L20:V20)-SUM('членские взносы'!$M20:'членские взносы'!V20)</f>
        <v>25000</v>
      </c>
      <c r="W19" s="29">
        <f>SUM('план на 2016'!$L20:W20)-SUM('членские взносы'!$M20:'членские взносы'!W20)</f>
        <v>25800</v>
      </c>
      <c r="X19" s="29">
        <f>SUM('план на 2016'!$L20:X20)-SUM('членские взносы'!$M20:'членские взносы'!X20)</f>
        <v>26600</v>
      </c>
      <c r="Y19" s="18">
        <f t="shared" si="4"/>
        <v>26600</v>
      </c>
    </row>
    <row r="20" spans="1:25">
      <c r="A20" s="41">
        <f>VLOOKUP(B20,справочник!$B$2:$E$322,4,FALSE)</f>
        <v>293</v>
      </c>
      <c r="B20" t="str">
        <f t="shared" si="3"/>
        <v>308Ахромеев Андрей Владимирович</v>
      </c>
      <c r="C20" s="1">
        <v>308</v>
      </c>
      <c r="D20" s="2" t="s">
        <v>18</v>
      </c>
      <c r="E20" s="1" t="s">
        <v>335</v>
      </c>
      <c r="F20" s="16">
        <v>40928</v>
      </c>
      <c r="G20" s="16">
        <v>40909</v>
      </c>
      <c r="H20" s="17">
        <f>INT(($H$326-G20)/30)</f>
        <v>48</v>
      </c>
      <c r="I20" s="1">
        <f t="shared" si="1"/>
        <v>48000</v>
      </c>
      <c r="J20" s="17">
        <f>11500+24500</f>
        <v>36000</v>
      </c>
      <c r="K20" s="17"/>
      <c r="L20" s="18">
        <f t="shared" si="2"/>
        <v>12000</v>
      </c>
      <c r="M20" s="29">
        <f>SUM('план на 2016'!$L21:M21)-SUM('членские взносы'!$M21:'членские взносы'!M21)</f>
        <v>12800</v>
      </c>
      <c r="N20" s="29">
        <f>SUM('план на 2016'!$L21:N21)-SUM('членские взносы'!$M21:'членские взносы'!N21)</f>
        <v>13600</v>
      </c>
      <c r="O20" s="29">
        <f>SUM('план на 2016'!$L21:O21)-SUM('членские взносы'!$M21:'членские взносы'!O21)</f>
        <v>14400</v>
      </c>
      <c r="P20" s="29">
        <f>SUM('план на 2016'!$L21:P21)-SUM('членские взносы'!$M21:'членские взносы'!P21)</f>
        <v>15200</v>
      </c>
      <c r="Q20" s="29">
        <f>SUM('план на 2016'!$L21:Q21)-SUM('членские взносы'!$M21:'членские взносы'!Q21)</f>
        <v>16000</v>
      </c>
      <c r="R20" s="29">
        <f>SUM('план на 2016'!$L21:R21)-SUM('членские взносы'!$M21:'членские взносы'!R21)</f>
        <v>16800</v>
      </c>
      <c r="S20" s="29">
        <f>SUM('план на 2016'!$L21:S21)-SUM('членские взносы'!$M21:'членские взносы'!S21)</f>
        <v>17600</v>
      </c>
      <c r="T20" s="29">
        <f>SUM('план на 2016'!$L21:T21)-SUM('членские взносы'!$M21:'членские взносы'!T21)</f>
        <v>18400</v>
      </c>
      <c r="U20" s="29">
        <f>SUM('план на 2016'!$L21:U21)-SUM('членские взносы'!$M21:'членские взносы'!U21)</f>
        <v>19200</v>
      </c>
      <c r="V20" s="29">
        <f>SUM('план на 2016'!$L21:V21)-SUM('членские взносы'!$M21:'членские взносы'!V21)</f>
        <v>20000</v>
      </c>
      <c r="W20" s="29">
        <f>SUM('план на 2016'!$L21:W21)-SUM('членские взносы'!$M21:'членские взносы'!W21)</f>
        <v>20800</v>
      </c>
      <c r="X20" s="29">
        <f>SUM('план на 2016'!$L21:X21)-SUM('членские взносы'!$M21:'членские взносы'!X21)</f>
        <v>21600</v>
      </c>
      <c r="Y20" s="18">
        <f t="shared" si="4"/>
        <v>21600</v>
      </c>
    </row>
    <row r="21" spans="1:25">
      <c r="A21" s="41">
        <f>VLOOKUP(B21,справочник!$B$2:$E$322,4,FALSE)</f>
        <v>191</v>
      </c>
      <c r="B21" t="str">
        <f t="shared" si="3"/>
        <v>199Бадирьян Тамара Викторовна</v>
      </c>
      <c r="C21" s="1">
        <v>199</v>
      </c>
      <c r="D21" s="2" t="s">
        <v>19</v>
      </c>
      <c r="E21" s="1" t="s">
        <v>336</v>
      </c>
      <c r="F21" s="1"/>
      <c r="G21" s="1"/>
      <c r="H21" s="17"/>
      <c r="I21" s="1">
        <f t="shared" si="1"/>
        <v>0</v>
      </c>
      <c r="J21" s="17"/>
      <c r="K21" s="17"/>
      <c r="L21" s="18">
        <f t="shared" si="2"/>
        <v>0</v>
      </c>
      <c r="M21" s="29">
        <f>SUM('план на 2016'!$L22:M22)-SUM('членские взносы'!$M22:'членские взносы'!M22)</f>
        <v>800</v>
      </c>
      <c r="N21" s="29">
        <f>SUM('план на 2016'!$L22:N22)-SUM('членские взносы'!$M22:'членские взносы'!N22)</f>
        <v>1600</v>
      </c>
      <c r="O21" s="29">
        <f>SUM('план на 2016'!$L22:O22)-SUM('членские взносы'!$M22:'членские взносы'!O22)</f>
        <v>2400</v>
      </c>
      <c r="P21" s="29">
        <f>SUM('план на 2016'!$L22:P22)-SUM('членские взносы'!$M22:'членские взносы'!P22)</f>
        <v>3200</v>
      </c>
      <c r="Q21" s="29">
        <f>SUM('план на 2016'!$L22:Q22)-SUM('членские взносы'!$M22:'членские взносы'!Q22)</f>
        <v>4000</v>
      </c>
      <c r="R21" s="29">
        <f>SUM('план на 2016'!$L22:R22)-SUM('членские взносы'!$M22:'членские взносы'!R22)</f>
        <v>4800</v>
      </c>
      <c r="S21" s="29">
        <f>SUM('план на 2016'!$L22:S22)-SUM('членские взносы'!$M22:'членские взносы'!S22)</f>
        <v>5600</v>
      </c>
      <c r="T21" s="29">
        <f>SUM('план на 2016'!$L22:T22)-SUM('членские взносы'!$M22:'членские взносы'!T22)</f>
        <v>6400</v>
      </c>
      <c r="U21" s="29">
        <f>SUM('план на 2016'!$L22:U22)-SUM('членские взносы'!$M22:'членские взносы'!U22)</f>
        <v>7200</v>
      </c>
      <c r="V21" s="29">
        <f>SUM('план на 2016'!$L22:V22)-SUM('членские взносы'!$M22:'членские взносы'!V22)</f>
        <v>8000</v>
      </c>
      <c r="W21" s="29">
        <f>SUM('план на 2016'!$L22:W22)-SUM('членские взносы'!$M22:'членские взносы'!W22)</f>
        <v>8800</v>
      </c>
      <c r="X21" s="29">
        <f>SUM('план на 2016'!$L22:X22)-SUM('членские взносы'!$M22:'членские взносы'!X22)</f>
        <v>9600</v>
      </c>
      <c r="Y21" s="18">
        <f t="shared" si="4"/>
        <v>9600</v>
      </c>
    </row>
    <row r="22" spans="1:25" ht="24">
      <c r="A22" s="41">
        <f>VLOOKUP(B22,справочник!$B$2:$E$322,4,FALSE)</f>
        <v>249</v>
      </c>
      <c r="B22" t="str">
        <f t="shared" si="3"/>
        <v>260Байбикова Рузалия Равилевна / Байбикова Руфия Равилевна</v>
      </c>
      <c r="C22" s="1">
        <v>260</v>
      </c>
      <c r="D22" s="2" t="s">
        <v>20</v>
      </c>
      <c r="E22" s="1" t="s">
        <v>337</v>
      </c>
      <c r="F22" s="16">
        <v>41604</v>
      </c>
      <c r="G22" s="16">
        <v>41609</v>
      </c>
      <c r="H22" s="17">
        <f t="shared" ref="H22:H73" si="5">INT(($H$326-G22)/30)</f>
        <v>25</v>
      </c>
      <c r="I22" s="1">
        <f t="shared" si="1"/>
        <v>25000</v>
      </c>
      <c r="J22" s="17">
        <f>1000</f>
        <v>1000</v>
      </c>
      <c r="K22" s="17"/>
      <c r="L22" s="18">
        <f t="shared" si="2"/>
        <v>24000</v>
      </c>
      <c r="M22" s="29">
        <f>SUM('план на 2016'!$L23:M23)-SUM('членские взносы'!$M23:'членские взносы'!M23)</f>
        <v>24800</v>
      </c>
      <c r="N22" s="29">
        <f>SUM('план на 2016'!$L23:N23)-SUM('членские взносы'!$M23:'членские взносы'!N23)</f>
        <v>25600</v>
      </c>
      <c r="O22" s="29">
        <f>SUM('план на 2016'!$L23:O23)-SUM('членские взносы'!$M23:'членские взносы'!O23)</f>
        <v>26400</v>
      </c>
      <c r="P22" s="29">
        <f>SUM('план на 2016'!$L23:P23)-SUM('членские взносы'!$M23:'членские взносы'!P23)</f>
        <v>27200</v>
      </c>
      <c r="Q22" s="29">
        <f>SUM('план на 2016'!$L23:Q23)-SUM('членские взносы'!$M23:'членские взносы'!Q23)</f>
        <v>28000</v>
      </c>
      <c r="R22" s="29">
        <f>SUM('план на 2016'!$L23:R23)-SUM('членские взносы'!$M23:'членские взносы'!R23)</f>
        <v>28800</v>
      </c>
      <c r="S22" s="29">
        <f>SUM('план на 2016'!$L23:S23)-SUM('членские взносы'!$M23:'членские взносы'!S23)</f>
        <v>29600</v>
      </c>
      <c r="T22" s="29">
        <f>SUM('план на 2016'!$L23:T23)-SUM('членские взносы'!$M23:'членские взносы'!T23)</f>
        <v>30400</v>
      </c>
      <c r="U22" s="29">
        <f>SUM('план на 2016'!$L23:U23)-SUM('членские взносы'!$M23:'членские взносы'!U23)</f>
        <v>31200</v>
      </c>
      <c r="V22" s="29">
        <f>SUM('план на 2016'!$L23:V23)-SUM('членские взносы'!$M23:'членские взносы'!V23)</f>
        <v>32000</v>
      </c>
      <c r="W22" s="29">
        <f>SUM('план на 2016'!$L23:W23)-SUM('членские взносы'!$M23:'членские взносы'!W23)</f>
        <v>32800</v>
      </c>
      <c r="X22" s="29">
        <f>SUM('план на 2016'!$L23:X23)-SUM('членские взносы'!$M23:'членские взносы'!X23)</f>
        <v>33600</v>
      </c>
      <c r="Y22" s="18">
        <f t="shared" si="4"/>
        <v>33600</v>
      </c>
    </row>
    <row r="23" spans="1:25">
      <c r="A23" s="41">
        <f>VLOOKUP(B23,справочник!$B$2:$E$322,4,FALSE)</f>
        <v>72</v>
      </c>
      <c r="B23" t="str">
        <f t="shared" si="3"/>
        <v>78Лещёва Ольга Владимировна</v>
      </c>
      <c r="C23" s="1">
        <v>78</v>
      </c>
      <c r="D23" s="2" t="s">
        <v>21</v>
      </c>
      <c r="E23" s="1" t="s">
        <v>338</v>
      </c>
      <c r="F23" s="16">
        <v>40793</v>
      </c>
      <c r="G23" s="16">
        <v>40787</v>
      </c>
      <c r="H23" s="17">
        <f t="shared" si="5"/>
        <v>52</v>
      </c>
      <c r="I23" s="1">
        <f t="shared" si="1"/>
        <v>52000</v>
      </c>
      <c r="J23" s="17">
        <f>19000+1500+2500+23000</f>
        <v>46000</v>
      </c>
      <c r="K23" s="17"/>
      <c r="L23" s="18">
        <f t="shared" si="2"/>
        <v>6000</v>
      </c>
      <c r="M23" s="29">
        <f>SUM('план на 2016'!$L24:M24)-SUM('членские взносы'!$M24:'членские взносы'!M24)</f>
        <v>6800</v>
      </c>
      <c r="N23" s="29">
        <f>SUM('план на 2016'!$L24:N24)-SUM('членские взносы'!$M24:'членские взносы'!N24)</f>
        <v>7600</v>
      </c>
      <c r="O23" s="29">
        <f>SUM('план на 2016'!$L24:O24)-SUM('членские взносы'!$M24:'членские взносы'!O24)</f>
        <v>8400</v>
      </c>
      <c r="P23" s="29">
        <f>SUM('план на 2016'!$L24:P24)-SUM('членские взносы'!$M24:'членские взносы'!P24)</f>
        <v>9200</v>
      </c>
      <c r="Q23" s="29">
        <f>SUM('план на 2016'!$L24:Q24)-SUM('членские взносы'!$M24:'членские взносы'!Q24)</f>
        <v>10000</v>
      </c>
      <c r="R23" s="29">
        <f>SUM('план на 2016'!$L24:R24)-SUM('членские взносы'!$M24:'членские взносы'!R24)</f>
        <v>10800</v>
      </c>
      <c r="S23" s="29">
        <f>SUM('план на 2016'!$L24:S24)-SUM('членские взносы'!$M24:'членские взносы'!S24)</f>
        <v>11600</v>
      </c>
      <c r="T23" s="29">
        <f>SUM('план на 2016'!$L24:T24)-SUM('членские взносы'!$M24:'членские взносы'!T24)</f>
        <v>12400</v>
      </c>
      <c r="U23" s="29">
        <f>SUM('план на 2016'!$L24:U24)-SUM('членские взносы'!$M24:'членские взносы'!U24)</f>
        <v>13200</v>
      </c>
      <c r="V23" s="29">
        <f>SUM('план на 2016'!$L24:V24)-SUM('членские взносы'!$M24:'членские взносы'!V24)</f>
        <v>14000</v>
      </c>
      <c r="W23" s="29">
        <f>SUM('план на 2016'!$L24:W24)-SUM('членские взносы'!$M24:'членские взносы'!W24)</f>
        <v>14800</v>
      </c>
      <c r="X23" s="29">
        <f>SUM('план на 2016'!$L24:X24)-SUM('членские взносы'!$M24:'членские взносы'!X24)</f>
        <v>15600</v>
      </c>
      <c r="Y23" s="18">
        <f t="shared" si="4"/>
        <v>15600</v>
      </c>
    </row>
    <row r="24" spans="1:25">
      <c r="A24" s="41">
        <f>VLOOKUP(B24,справочник!$B$2:$E$322,4,FALSE)</f>
        <v>125</v>
      </c>
      <c r="B24" t="str">
        <f t="shared" si="3"/>
        <v>130Безбородова Людмила Михайловна</v>
      </c>
      <c r="C24" s="1">
        <v>130</v>
      </c>
      <c r="D24" s="2" t="s">
        <v>22</v>
      </c>
      <c r="E24" s="1" t="s">
        <v>339</v>
      </c>
      <c r="F24" s="16">
        <v>41948</v>
      </c>
      <c r="G24" s="16">
        <v>41974</v>
      </c>
      <c r="H24" s="17">
        <f t="shared" si="5"/>
        <v>13</v>
      </c>
      <c r="I24" s="1">
        <f t="shared" si="1"/>
        <v>13000</v>
      </c>
      <c r="J24" s="17">
        <v>8000</v>
      </c>
      <c r="K24" s="17"/>
      <c r="L24" s="18">
        <f t="shared" si="2"/>
        <v>5000</v>
      </c>
      <c r="M24" s="29">
        <f>SUM('план на 2016'!$L25:M25)-SUM('членские взносы'!$M25:'членские взносы'!M25)</f>
        <v>5800</v>
      </c>
      <c r="N24" s="29">
        <f>SUM('план на 2016'!$L25:N25)-SUM('членские взносы'!$M25:'членские взносы'!N25)</f>
        <v>6600</v>
      </c>
      <c r="O24" s="29">
        <f>SUM('план на 2016'!$L25:O25)-SUM('членские взносы'!$M25:'членские взносы'!O25)</f>
        <v>7400</v>
      </c>
      <c r="P24" s="29">
        <f>SUM('план на 2016'!$L25:P25)-SUM('членские взносы'!$M25:'членские взносы'!P25)</f>
        <v>8200</v>
      </c>
      <c r="Q24" s="29">
        <f>SUM('план на 2016'!$L25:Q25)-SUM('членские взносы'!$M25:'членские взносы'!Q25)</f>
        <v>9000</v>
      </c>
      <c r="R24" s="29">
        <f>SUM('план на 2016'!$L25:R25)-SUM('членские взносы'!$M25:'членские взносы'!R25)</f>
        <v>6800</v>
      </c>
      <c r="S24" s="29">
        <f>SUM('план на 2016'!$L25:S25)-SUM('членские взносы'!$M25:'членские взносы'!S25)</f>
        <v>7600</v>
      </c>
      <c r="T24" s="29">
        <f>SUM('план на 2016'!$L25:T25)-SUM('членские взносы'!$M25:'членские взносы'!T25)</f>
        <v>8400</v>
      </c>
      <c r="U24" s="29">
        <f>SUM('план на 2016'!$L25:U25)-SUM('членские взносы'!$M25:'членские взносы'!U25)</f>
        <v>6200</v>
      </c>
      <c r="V24" s="29">
        <f>SUM('план на 2016'!$L25:V25)-SUM('членские взносы'!$M25:'членские взносы'!V25)</f>
        <v>7000</v>
      </c>
      <c r="W24" s="29">
        <f>SUM('план на 2016'!$L25:W25)-SUM('членские взносы'!$M25:'членские взносы'!W25)</f>
        <v>4800</v>
      </c>
      <c r="X24" s="29">
        <f>SUM('план на 2016'!$L25:X25)-SUM('членские взносы'!$M25:'членские взносы'!X25)</f>
        <v>5600</v>
      </c>
      <c r="Y24" s="18">
        <f t="shared" si="4"/>
        <v>5600</v>
      </c>
    </row>
    <row r="25" spans="1:25">
      <c r="A25" s="41">
        <f>VLOOKUP(B25,справочник!$B$2:$E$322,4,FALSE)</f>
        <v>229</v>
      </c>
      <c r="B25" t="str">
        <f t="shared" si="3"/>
        <v>238Безменова Татьяна Игоревна</v>
      </c>
      <c r="C25" s="1">
        <v>238</v>
      </c>
      <c r="D25" s="2" t="s">
        <v>23</v>
      </c>
      <c r="E25" s="1" t="s">
        <v>340</v>
      </c>
      <c r="F25" s="16">
        <v>41373</v>
      </c>
      <c r="G25" s="16">
        <v>41395</v>
      </c>
      <c r="H25" s="17">
        <f t="shared" si="5"/>
        <v>32</v>
      </c>
      <c r="I25" s="1">
        <f t="shared" si="1"/>
        <v>32000</v>
      </c>
      <c r="J25" s="17">
        <v>9000</v>
      </c>
      <c r="K25" s="17"/>
      <c r="L25" s="18">
        <f t="shared" si="2"/>
        <v>23000</v>
      </c>
      <c r="M25" s="29">
        <f>SUM('план на 2016'!$L26:M26)-SUM('членские взносы'!$M26:'членские взносы'!M26)</f>
        <v>23800</v>
      </c>
      <c r="N25" s="29">
        <f>SUM('план на 2016'!$L26:N26)-SUM('членские взносы'!$M26:'членские взносы'!N26)</f>
        <v>24600</v>
      </c>
      <c r="O25" s="29">
        <f>SUM('план на 2016'!$L26:O26)-SUM('членские взносы'!$M26:'членские взносы'!O26)</f>
        <v>25400</v>
      </c>
      <c r="P25" s="29">
        <f>SUM('план на 2016'!$L26:P26)-SUM('членские взносы'!$M26:'членские взносы'!P26)</f>
        <v>26200</v>
      </c>
      <c r="Q25" s="29">
        <f>SUM('план на 2016'!$L26:Q26)-SUM('членские взносы'!$M26:'членские взносы'!Q26)</f>
        <v>27000</v>
      </c>
      <c r="R25" s="29">
        <f>SUM('план на 2016'!$L26:R26)-SUM('членские взносы'!$M26:'членские взносы'!R26)</f>
        <v>27800</v>
      </c>
      <c r="S25" s="29">
        <f>SUM('план на 2016'!$L26:S26)-SUM('членские взносы'!$M26:'членские взносы'!S26)</f>
        <v>28600</v>
      </c>
      <c r="T25" s="29">
        <f>SUM('план на 2016'!$L26:T26)-SUM('членские взносы'!$M26:'членские взносы'!T26)</f>
        <v>29400</v>
      </c>
      <c r="U25" s="29">
        <f>SUM('план на 2016'!$L26:U26)-SUM('членские взносы'!$M26:'членские взносы'!U26)</f>
        <v>30200</v>
      </c>
      <c r="V25" s="29">
        <f>SUM('план на 2016'!$L26:V26)-SUM('членские взносы'!$M26:'членские взносы'!V26)</f>
        <v>31000</v>
      </c>
      <c r="W25" s="29">
        <f>SUM('план на 2016'!$L26:W26)-SUM('членские взносы'!$M26:'членские взносы'!W26)</f>
        <v>31800</v>
      </c>
      <c r="X25" s="29">
        <f>SUM('план на 2016'!$L26:X26)-SUM('членские взносы'!$M26:'членские взносы'!X26)</f>
        <v>32600</v>
      </c>
      <c r="Y25" s="18">
        <f t="shared" si="4"/>
        <v>32600</v>
      </c>
    </row>
    <row r="26" spans="1:25">
      <c r="A26" s="41">
        <f>VLOOKUP(B26,справочник!$B$2:$E$322,4,FALSE)</f>
        <v>296</v>
      </c>
      <c r="B26" t="str">
        <f t="shared" si="3"/>
        <v>311Бекмансурова Динара Василевна</v>
      </c>
      <c r="C26" s="1">
        <v>311</v>
      </c>
      <c r="D26" s="2" t="s">
        <v>24</v>
      </c>
      <c r="E26" s="1" t="s">
        <v>341</v>
      </c>
      <c r="F26" s="16">
        <v>41008</v>
      </c>
      <c r="G26" s="16">
        <v>41000</v>
      </c>
      <c r="H26" s="17">
        <f t="shared" si="5"/>
        <v>45</v>
      </c>
      <c r="I26" s="1">
        <f t="shared" si="1"/>
        <v>45000</v>
      </c>
      <c r="J26" s="17">
        <v>1000</v>
      </c>
      <c r="K26" s="17"/>
      <c r="L26" s="18">
        <f t="shared" si="2"/>
        <v>44000</v>
      </c>
      <c r="M26" s="29">
        <f>SUM('план на 2016'!$L27:M27)-SUM('членские взносы'!$M27:'членские взносы'!M27)</f>
        <v>44800</v>
      </c>
      <c r="N26" s="29">
        <f>SUM('план на 2016'!$L27:N27)-SUM('членские взносы'!$M27:'членские взносы'!N27)</f>
        <v>45600</v>
      </c>
      <c r="O26" s="29">
        <f>SUM('план на 2016'!$L27:O27)-SUM('членские взносы'!$M27:'членские взносы'!O27)</f>
        <v>46400</v>
      </c>
      <c r="P26" s="29">
        <f>SUM('план на 2016'!$L27:P27)-SUM('членские взносы'!$M27:'членские взносы'!P27)</f>
        <v>47200</v>
      </c>
      <c r="Q26" s="29">
        <f>SUM('план на 2016'!$L27:Q27)-SUM('членские взносы'!$M27:'членские взносы'!Q27)</f>
        <v>48000</v>
      </c>
      <c r="R26" s="29">
        <f>SUM('план на 2016'!$L27:R27)-SUM('членские взносы'!$M27:'членские взносы'!R27)</f>
        <v>48800</v>
      </c>
      <c r="S26" s="29">
        <f>SUM('план на 2016'!$L27:S27)-SUM('членские взносы'!$M27:'членские взносы'!S27)</f>
        <v>49600</v>
      </c>
      <c r="T26" s="29">
        <f>SUM('план на 2016'!$L27:T27)-SUM('членские взносы'!$M27:'членские взносы'!T27)</f>
        <v>50400</v>
      </c>
      <c r="U26" s="29">
        <f>SUM('план на 2016'!$L27:U27)-SUM('членские взносы'!$M27:'членские взносы'!U27)</f>
        <v>51200</v>
      </c>
      <c r="V26" s="29">
        <f>SUM('план на 2016'!$L27:V27)-SUM('членские взносы'!$M27:'членские взносы'!V27)</f>
        <v>52000</v>
      </c>
      <c r="W26" s="29">
        <f>SUM('план на 2016'!$L27:W27)-SUM('членские взносы'!$M27:'членские взносы'!W27)</f>
        <v>52800</v>
      </c>
      <c r="X26" s="29">
        <f>SUM('план на 2016'!$L27:X27)-SUM('членские взносы'!$M27:'членские взносы'!X27)</f>
        <v>53600</v>
      </c>
      <c r="Y26" s="18">
        <f t="shared" si="4"/>
        <v>53600</v>
      </c>
    </row>
    <row r="27" spans="1:25">
      <c r="A27" s="41">
        <f>VLOOKUP(B27,справочник!$B$2:$E$322,4,FALSE)</f>
        <v>281</v>
      </c>
      <c r="B27" t="str">
        <f t="shared" si="3"/>
        <v xml:space="preserve">293Белов Семён Иванович          </v>
      </c>
      <c r="C27" s="1">
        <v>293</v>
      </c>
      <c r="D27" s="2" t="s">
        <v>25</v>
      </c>
      <c r="E27" s="1" t="s">
        <v>342</v>
      </c>
      <c r="F27" s="16">
        <v>41766</v>
      </c>
      <c r="G27" s="16">
        <v>41791</v>
      </c>
      <c r="H27" s="17">
        <f t="shared" si="5"/>
        <v>19</v>
      </c>
      <c r="I27" s="1">
        <f t="shared" si="1"/>
        <v>19000</v>
      </c>
      <c r="J27" s="17">
        <v>1000</v>
      </c>
      <c r="K27" s="17"/>
      <c r="L27" s="18">
        <f t="shared" si="2"/>
        <v>18000</v>
      </c>
      <c r="M27" s="29">
        <f>SUM('план на 2016'!$L28:M28)-SUM('членские взносы'!$M28:'членские взносы'!M28)</f>
        <v>18800</v>
      </c>
      <c r="N27" s="29">
        <f>SUM('план на 2016'!$L28:N28)-SUM('членские взносы'!$M28:'членские взносы'!N28)</f>
        <v>19600</v>
      </c>
      <c r="O27" s="29">
        <f>SUM('план на 2016'!$L28:O28)-SUM('членские взносы'!$M28:'членские взносы'!O28)</f>
        <v>20400</v>
      </c>
      <c r="P27" s="29">
        <f>SUM('план на 2016'!$L28:P28)-SUM('членские взносы'!$M28:'членские взносы'!P28)</f>
        <v>21200</v>
      </c>
      <c r="Q27" s="29">
        <f>SUM('план на 2016'!$L28:Q28)-SUM('членские взносы'!$M28:'членские взносы'!Q28)</f>
        <v>22000</v>
      </c>
      <c r="R27" s="29">
        <f>SUM('план на 2016'!$L28:R28)-SUM('членские взносы'!$M28:'членские взносы'!R28)</f>
        <v>22800</v>
      </c>
      <c r="S27" s="29">
        <f>SUM('план на 2016'!$L28:S28)-SUM('членские взносы'!$M28:'членские взносы'!S28)</f>
        <v>23600</v>
      </c>
      <c r="T27" s="29">
        <f>SUM('план на 2016'!$L28:T28)-SUM('членские взносы'!$M28:'членские взносы'!T28)</f>
        <v>24400</v>
      </c>
      <c r="U27" s="29">
        <f>SUM('план на 2016'!$L28:U28)-SUM('членские взносы'!$M28:'членские взносы'!U28)</f>
        <v>15200</v>
      </c>
      <c r="V27" s="29">
        <f>SUM('план на 2016'!$L28:V28)-SUM('членские взносы'!$M28:'членские взносы'!V28)</f>
        <v>16000</v>
      </c>
      <c r="W27" s="29">
        <f>SUM('план на 2016'!$L28:W28)-SUM('членские взносы'!$M28:'членские взносы'!W28)</f>
        <v>16800</v>
      </c>
      <c r="X27" s="29">
        <f>SUM('план на 2016'!$L28:X28)-SUM('членские взносы'!$M28:'членские взносы'!X28)</f>
        <v>17600</v>
      </c>
      <c r="Y27" s="18">
        <f t="shared" si="4"/>
        <v>17600</v>
      </c>
    </row>
    <row r="28" spans="1:25">
      <c r="A28" s="41">
        <f>VLOOKUP(B28,справочник!$B$2:$E$322,4,FALSE)</f>
        <v>198</v>
      </c>
      <c r="B28" t="str">
        <f t="shared" si="3"/>
        <v>206Белоглазова Людмила Ивановна</v>
      </c>
      <c r="C28" s="1">
        <v>206</v>
      </c>
      <c r="D28" s="2" t="s">
        <v>26</v>
      </c>
      <c r="E28" s="1" t="s">
        <v>343</v>
      </c>
      <c r="F28" s="16">
        <v>40816</v>
      </c>
      <c r="G28" s="16">
        <v>40787</v>
      </c>
      <c r="H28" s="17">
        <f t="shared" si="5"/>
        <v>52</v>
      </c>
      <c r="I28" s="1">
        <f t="shared" si="1"/>
        <v>52000</v>
      </c>
      <c r="J28" s="17">
        <f>50000+1000</f>
        <v>51000</v>
      </c>
      <c r="K28" s="17">
        <v>1000</v>
      </c>
      <c r="L28" s="18">
        <f t="shared" si="2"/>
        <v>0</v>
      </c>
      <c r="M28" s="29">
        <f>SUM('план на 2016'!$L29:M29)-SUM('членские взносы'!$M29:'членские взносы'!M29)</f>
        <v>800</v>
      </c>
      <c r="N28" s="29">
        <f>SUM('план на 2016'!$L29:N29)-SUM('членские взносы'!$M29:'членские взносы'!N29)</f>
        <v>1600</v>
      </c>
      <c r="O28" s="29">
        <f>SUM('план на 2016'!$L29:O29)-SUM('членские взносы'!$M29:'членские взносы'!O29)</f>
        <v>-800</v>
      </c>
      <c r="P28" s="29">
        <f>SUM('план на 2016'!$L29:P29)-SUM('членские взносы'!$M29:'членские взносы'!P29)</f>
        <v>0</v>
      </c>
      <c r="Q28" s="29">
        <f>SUM('план на 2016'!$L29:Q29)-SUM('членские взносы'!$M29:'членские взносы'!Q29)</f>
        <v>0</v>
      </c>
      <c r="R28" s="29">
        <f>SUM('план на 2016'!$L29:R29)-SUM('членские взносы'!$M29:'членские взносы'!R29)</f>
        <v>800</v>
      </c>
      <c r="S28" s="29">
        <f>SUM('план на 2016'!$L29:S29)-SUM('членские взносы'!$M29:'членские взносы'!S29)</f>
        <v>1600</v>
      </c>
      <c r="T28" s="29">
        <f>SUM('план на 2016'!$L29:T29)-SUM('членские взносы'!$M29:'членские взносы'!T29)</f>
        <v>-800</v>
      </c>
      <c r="U28" s="29">
        <f>SUM('план на 2016'!$L29:U29)-SUM('членские взносы'!$M29:'членские взносы'!U29)</f>
        <v>0</v>
      </c>
      <c r="V28" s="29">
        <f>SUM('план на 2016'!$L29:V29)-SUM('членские взносы'!$M29:'членские взносы'!V29)</f>
        <v>0</v>
      </c>
      <c r="W28" s="29">
        <f>SUM('план на 2016'!$L29:W29)-SUM('членские взносы'!$M29:'членские взносы'!W29)</f>
        <v>-800</v>
      </c>
      <c r="X28" s="29">
        <f>SUM('план на 2016'!$L29:X29)-SUM('членские взносы'!$M29:'членские взносы'!X29)</f>
        <v>0</v>
      </c>
      <c r="Y28" s="18">
        <f t="shared" si="4"/>
        <v>0</v>
      </c>
    </row>
    <row r="29" spans="1:25">
      <c r="A29" s="41">
        <f>VLOOKUP(B29,справочник!$B$2:$E$322,4,FALSE)</f>
        <v>52</v>
      </c>
      <c r="B29" t="str">
        <f t="shared" si="3"/>
        <v>54Бельская Светлана Александровна (Владимир)</v>
      </c>
      <c r="C29" s="1">
        <v>54</v>
      </c>
      <c r="D29" s="2" t="s">
        <v>27</v>
      </c>
      <c r="E29" s="1" t="s">
        <v>344</v>
      </c>
      <c r="F29" s="16">
        <v>41016</v>
      </c>
      <c r="G29" s="16">
        <v>41000</v>
      </c>
      <c r="H29" s="17">
        <f t="shared" si="5"/>
        <v>45</v>
      </c>
      <c r="I29" s="1">
        <f t="shared" si="1"/>
        <v>45000</v>
      </c>
      <c r="J29" s="17">
        <v>40000</v>
      </c>
      <c r="K29" s="17">
        <v>5000</v>
      </c>
      <c r="L29" s="18">
        <v>5000</v>
      </c>
      <c r="M29" s="29">
        <f>SUM('план на 2016'!$L30:M30)-SUM('членские взносы'!$M30:'членские взносы'!M30)</f>
        <v>2800</v>
      </c>
      <c r="N29" s="29">
        <f>SUM('план на 2016'!$L30:N30)-SUM('членские взносы'!$M30:'членские взносы'!N30)</f>
        <v>1600</v>
      </c>
      <c r="O29" s="29">
        <f>SUM('план на 2016'!$L30:O30)-SUM('членские взносы'!$M30:'членские взносы'!O30)</f>
        <v>1600</v>
      </c>
      <c r="P29" s="29">
        <f>SUM('план на 2016'!$L30:P30)-SUM('членские взносы'!$M30:'членские взносы'!P30)</f>
        <v>2400</v>
      </c>
      <c r="Q29" s="29">
        <f>SUM('план на 2016'!$L30:Q30)-SUM('членские взносы'!$M30:'членские взносы'!Q30)</f>
        <v>1600</v>
      </c>
      <c r="R29" s="29">
        <f>SUM('план на 2016'!$L30:R30)-SUM('членские взносы'!$M30:'членские взносы'!R30)</f>
        <v>2400</v>
      </c>
      <c r="S29" s="29">
        <f>SUM('план на 2016'!$L30:S30)-SUM('членские взносы'!$M30:'членские взносы'!S30)</f>
        <v>3200</v>
      </c>
      <c r="T29" s="29">
        <f>SUM('план на 2016'!$L30:T30)-SUM('членские взносы'!$M30:'членские взносы'!T30)</f>
        <v>2400</v>
      </c>
      <c r="U29" s="29">
        <f>SUM('план на 2016'!$L30:U30)-SUM('членские взносы'!$M30:'членские взносы'!U30)</f>
        <v>3200</v>
      </c>
      <c r="V29" s="29">
        <f>SUM('план на 2016'!$L30:V30)-SUM('членские взносы'!$M30:'членские взносы'!V30)</f>
        <v>3200</v>
      </c>
      <c r="W29" s="29">
        <f>SUM('план на 2016'!$L30:W30)-SUM('членские взносы'!$M30:'членские взносы'!W30)</f>
        <v>3200</v>
      </c>
      <c r="X29" s="29">
        <f>SUM('план на 2016'!$L30:X30)-SUM('членские взносы'!$M30:'членские взносы'!X30)</f>
        <v>4000</v>
      </c>
      <c r="Y29" s="18">
        <f t="shared" si="4"/>
        <v>4000</v>
      </c>
    </row>
    <row r="30" spans="1:25">
      <c r="A30" s="41">
        <f>VLOOKUP(B30,справочник!$B$2:$E$322,4,FALSE)</f>
        <v>51</v>
      </c>
      <c r="B30" t="str">
        <f t="shared" si="3"/>
        <v>53Бельский Владимир Владимирович (Светлана)</v>
      </c>
      <c r="C30" s="1">
        <v>53</v>
      </c>
      <c r="D30" s="2" t="s">
        <v>28</v>
      </c>
      <c r="E30" s="1" t="s">
        <v>345</v>
      </c>
      <c r="F30" s="16">
        <v>41016</v>
      </c>
      <c r="G30" s="16">
        <v>41000</v>
      </c>
      <c r="H30" s="17">
        <f t="shared" si="5"/>
        <v>45</v>
      </c>
      <c r="I30" s="1">
        <f t="shared" si="1"/>
        <v>45000</v>
      </c>
      <c r="J30" s="17">
        <v>28000</v>
      </c>
      <c r="K30" s="17">
        <v>7000</v>
      </c>
      <c r="L30" s="18">
        <v>5000</v>
      </c>
      <c r="M30" s="29">
        <f>SUM('план на 2016'!$L31:M31)-SUM('членские взносы'!$M31:'членские взносы'!M31)</f>
        <v>2800</v>
      </c>
      <c r="N30" s="29">
        <f>SUM('план на 2016'!$L31:N31)-SUM('членские взносы'!$M31:'членские взносы'!N31)</f>
        <v>1600</v>
      </c>
      <c r="O30" s="29">
        <f>SUM('план на 2016'!$L31:O31)-SUM('членские взносы'!$M31:'членские взносы'!O31)</f>
        <v>1600</v>
      </c>
      <c r="P30" s="29">
        <f>SUM('план на 2016'!$L31:P31)-SUM('членские взносы'!$M31:'членские взносы'!P31)</f>
        <v>2400</v>
      </c>
      <c r="Q30" s="29">
        <f>SUM('план на 2016'!$L31:Q31)-SUM('членские взносы'!$M31:'членские взносы'!Q31)</f>
        <v>1600</v>
      </c>
      <c r="R30" s="29">
        <f>SUM('план на 2016'!$L31:R31)-SUM('членские взносы'!$M31:'членские взносы'!R31)</f>
        <v>2400</v>
      </c>
      <c r="S30" s="29">
        <f>SUM('план на 2016'!$L31:S31)-SUM('членские взносы'!$M31:'членские взносы'!S31)</f>
        <v>3200</v>
      </c>
      <c r="T30" s="29">
        <f>SUM('план на 2016'!$L31:T31)-SUM('членские взносы'!$M31:'членские взносы'!T31)</f>
        <v>2400</v>
      </c>
      <c r="U30" s="29">
        <f>SUM('план на 2016'!$L31:U31)-SUM('членские взносы'!$M31:'членские взносы'!U31)</f>
        <v>2400</v>
      </c>
      <c r="V30" s="29">
        <f>SUM('план на 2016'!$L31:V31)-SUM('членские взносы'!$M31:'членские взносы'!V31)</f>
        <v>3200</v>
      </c>
      <c r="W30" s="29">
        <f>SUM('план на 2016'!$L31:W31)-SUM('членские взносы'!$M31:'членские взносы'!W31)</f>
        <v>3200</v>
      </c>
      <c r="X30" s="29">
        <f>SUM('план на 2016'!$L31:X31)-SUM('членские взносы'!$M31:'членские взносы'!X31)</f>
        <v>4000</v>
      </c>
      <c r="Y30" s="18">
        <f t="shared" si="4"/>
        <v>4000</v>
      </c>
    </row>
    <row r="31" spans="1:25">
      <c r="A31" s="41">
        <f>VLOOKUP(B31,справочник!$B$2:$E$322,4,FALSE)</f>
        <v>136</v>
      </c>
      <c r="B31" t="str">
        <f t="shared" si="3"/>
        <v>144Беляков Виктор Михайлович</v>
      </c>
      <c r="C31" s="1">
        <v>144</v>
      </c>
      <c r="D31" s="2" t="s">
        <v>29</v>
      </c>
      <c r="E31" s="1" t="s">
        <v>346</v>
      </c>
      <c r="F31" s="16">
        <v>41204</v>
      </c>
      <c r="G31" s="16">
        <v>41214</v>
      </c>
      <c r="H31" s="17">
        <f t="shared" si="5"/>
        <v>38</v>
      </c>
      <c r="I31" s="1">
        <f t="shared" si="1"/>
        <v>38000</v>
      </c>
      <c r="J31" s="17">
        <v>28000</v>
      </c>
      <c r="K31" s="17"/>
      <c r="L31" s="18">
        <f t="shared" ref="L31:L94" si="6">I31-J31-K31</f>
        <v>10000</v>
      </c>
      <c r="M31" s="29">
        <f>SUM('план на 2016'!$L32:M32)-SUM('членские взносы'!$M32:'членские взносы'!M32)</f>
        <v>10800</v>
      </c>
      <c r="N31" s="29">
        <f>SUM('план на 2016'!$L32:N32)-SUM('членские взносы'!$M32:'членские взносы'!N32)</f>
        <v>11600</v>
      </c>
      <c r="O31" s="29">
        <f>SUM('план на 2016'!$L32:O32)-SUM('членские взносы'!$M32:'членские взносы'!O32)</f>
        <v>12400</v>
      </c>
      <c r="P31" s="29">
        <f>SUM('план на 2016'!$L32:P32)-SUM('членские взносы'!$M32:'членские взносы'!P32)</f>
        <v>13200</v>
      </c>
      <c r="Q31" s="29">
        <f>SUM('план на 2016'!$L32:Q32)-SUM('членские взносы'!$M32:'членские взносы'!Q32)</f>
        <v>14000</v>
      </c>
      <c r="R31" s="29">
        <f>SUM('план на 2016'!$L32:R32)-SUM('членские взносы'!$M32:'членские взносы'!R32)</f>
        <v>14800</v>
      </c>
      <c r="S31" s="29">
        <f>SUM('план на 2016'!$L32:S32)-SUM('членские взносы'!$M32:'членские взносы'!S32)</f>
        <v>9600</v>
      </c>
      <c r="T31" s="29">
        <f>SUM('план на 2016'!$L32:T32)-SUM('членские взносы'!$M32:'членские взносы'!T32)</f>
        <v>5600</v>
      </c>
      <c r="U31" s="29">
        <f>SUM('план на 2016'!$L32:U32)-SUM('членские взносы'!$M32:'членские взносы'!U32)</f>
        <v>6400</v>
      </c>
      <c r="V31" s="29">
        <f>SUM('план на 2016'!$L32:V32)-SUM('членские взносы'!$M32:'членские взносы'!V32)</f>
        <v>7200</v>
      </c>
      <c r="W31" s="29">
        <f>SUM('план на 2016'!$L32:W32)-SUM('членские взносы'!$M32:'членские взносы'!W32)</f>
        <v>8000</v>
      </c>
      <c r="X31" s="29">
        <f>SUM('план на 2016'!$L32:X32)-SUM('членские взносы'!$M32:'членские взносы'!X32)</f>
        <v>4000</v>
      </c>
      <c r="Y31" s="18">
        <f t="shared" si="4"/>
        <v>4000</v>
      </c>
    </row>
    <row r="32" spans="1:25">
      <c r="A32" s="41">
        <f>VLOOKUP(B32,справочник!$B$2:$E$322,4,FALSE)</f>
        <v>11</v>
      </c>
      <c r="B32" t="str">
        <f t="shared" si="3"/>
        <v>11Бенгя Владимир Михайлович (Диана)</v>
      </c>
      <c r="C32" s="1">
        <v>11</v>
      </c>
      <c r="D32" s="2" t="s">
        <v>30</v>
      </c>
      <c r="E32" s="1" t="s">
        <v>347</v>
      </c>
      <c r="F32" s="16">
        <v>41204</v>
      </c>
      <c r="G32" s="16">
        <v>41214</v>
      </c>
      <c r="H32" s="17">
        <f t="shared" si="5"/>
        <v>38</v>
      </c>
      <c r="I32" s="1">
        <f t="shared" si="1"/>
        <v>38000</v>
      </c>
      <c r="J32" s="17">
        <v>26000</v>
      </c>
      <c r="K32" s="17"/>
      <c r="L32" s="18">
        <f t="shared" si="6"/>
        <v>12000</v>
      </c>
      <c r="M32" s="29">
        <f>SUM('план на 2016'!$L33:M33)-SUM('членские взносы'!$M33:'членские взносы'!M33)</f>
        <v>12800</v>
      </c>
      <c r="N32" s="29">
        <f>SUM('план на 2016'!$L33:N33)-SUM('членские взносы'!$M33:'членские взносы'!N33)</f>
        <v>13600</v>
      </c>
      <c r="O32" s="29">
        <f>SUM('план на 2016'!$L33:O33)-SUM('членские взносы'!$M33:'членские взносы'!O33)</f>
        <v>14400</v>
      </c>
      <c r="P32" s="29">
        <f>SUM('план на 2016'!$L33:P33)-SUM('членские взносы'!$M33:'членские взносы'!P33)</f>
        <v>15200</v>
      </c>
      <c r="Q32" s="29">
        <f>SUM('план на 2016'!$L33:Q33)-SUM('членские взносы'!$M33:'членские взносы'!Q33)</f>
        <v>16000</v>
      </c>
      <c r="R32" s="29">
        <f>SUM('план на 2016'!$L33:R33)-SUM('членские взносы'!$M33:'членские взносы'!R33)</f>
        <v>16800</v>
      </c>
      <c r="S32" s="29">
        <f>SUM('план на 2016'!$L33:S33)-SUM('членские взносы'!$M33:'членские взносы'!S33)</f>
        <v>17600</v>
      </c>
      <c r="T32" s="29">
        <f>SUM('план на 2016'!$L33:T33)-SUM('членские взносы'!$M33:'членские взносы'!T33)</f>
        <v>18400</v>
      </c>
      <c r="U32" s="29">
        <f>SUM('план на 2016'!$L33:U33)-SUM('членские взносы'!$M33:'членские взносы'!U33)</f>
        <v>19200</v>
      </c>
      <c r="V32" s="29">
        <f>SUM('план на 2016'!$L33:V33)-SUM('членские взносы'!$M33:'членские взносы'!V33)</f>
        <v>20000</v>
      </c>
      <c r="W32" s="29">
        <f>SUM('план на 2016'!$L33:W33)-SUM('членские взносы'!$M33:'членские взносы'!W33)</f>
        <v>20800</v>
      </c>
      <c r="X32" s="29">
        <f>SUM('план на 2016'!$L33:X33)-SUM('членские взносы'!$M33:'членские взносы'!X33)</f>
        <v>21600</v>
      </c>
      <c r="Y32" s="18">
        <f t="shared" si="4"/>
        <v>21600</v>
      </c>
    </row>
    <row r="33" spans="1:25">
      <c r="A33" s="41">
        <f>VLOOKUP(B33,справочник!$B$2:$E$322,4,FALSE)</f>
        <v>114</v>
      </c>
      <c r="B33" t="str">
        <f t="shared" si="3"/>
        <v>119Беспаленко Зинаида Александровна</v>
      </c>
      <c r="C33" s="1">
        <v>119</v>
      </c>
      <c r="D33" s="2" t="s">
        <v>31</v>
      </c>
      <c r="E33" s="1" t="s">
        <v>348</v>
      </c>
      <c r="F33" s="16">
        <v>41262</v>
      </c>
      <c r="G33" s="16">
        <v>41275</v>
      </c>
      <c r="H33" s="17">
        <f t="shared" si="5"/>
        <v>36</v>
      </c>
      <c r="I33" s="1">
        <f t="shared" si="1"/>
        <v>36000</v>
      </c>
      <c r="J33" s="17">
        <v>1000</v>
      </c>
      <c r="K33" s="17"/>
      <c r="L33" s="18">
        <f t="shared" si="6"/>
        <v>35000</v>
      </c>
      <c r="M33" s="29">
        <f>SUM('план на 2016'!$L34:M34)-SUM('членские взносы'!$M34:'членские взносы'!M34)</f>
        <v>35800</v>
      </c>
      <c r="N33" s="29">
        <f>SUM('план на 2016'!$L34:N34)-SUM('членские взносы'!$M34:'членские взносы'!N34)</f>
        <v>36600</v>
      </c>
      <c r="O33" s="29">
        <f>SUM('план на 2016'!$L34:O34)-SUM('членские взносы'!$M34:'членские взносы'!O34)</f>
        <v>37400</v>
      </c>
      <c r="P33" s="29">
        <f>SUM('план на 2016'!$L34:P34)-SUM('членские взносы'!$M34:'членские взносы'!P34)</f>
        <v>38200</v>
      </c>
      <c r="Q33" s="29">
        <f>SUM('план на 2016'!$L34:Q34)-SUM('членские взносы'!$M34:'членские взносы'!Q34)</f>
        <v>39000</v>
      </c>
      <c r="R33" s="29">
        <f>SUM('план на 2016'!$L34:R34)-SUM('членские взносы'!$M34:'членские взносы'!R34)</f>
        <v>39800</v>
      </c>
      <c r="S33" s="29">
        <f>SUM('план на 2016'!$L34:S34)-SUM('членские взносы'!$M34:'членские взносы'!S34)</f>
        <v>40600</v>
      </c>
      <c r="T33" s="29">
        <f>SUM('план на 2016'!$L34:T34)-SUM('членские взносы'!$M34:'членские взносы'!T34)</f>
        <v>41400</v>
      </c>
      <c r="U33" s="29">
        <f>SUM('план на 2016'!$L34:U34)-SUM('членские взносы'!$M34:'членские взносы'!U34)</f>
        <v>42200</v>
      </c>
      <c r="V33" s="29">
        <f>SUM('план на 2016'!$L34:V34)-SUM('членские взносы'!$M34:'членские взносы'!V34)</f>
        <v>43000</v>
      </c>
      <c r="W33" s="29">
        <f>SUM('план на 2016'!$L34:W34)-SUM('членские взносы'!$M34:'членские взносы'!W34)</f>
        <v>43800</v>
      </c>
      <c r="X33" s="29">
        <f>SUM('план на 2016'!$L34:X34)-SUM('членские взносы'!$M34:'членские взносы'!X34)</f>
        <v>44600</v>
      </c>
      <c r="Y33" s="18">
        <f t="shared" si="4"/>
        <v>44600</v>
      </c>
    </row>
    <row r="34" spans="1:25">
      <c r="A34" s="41">
        <f>VLOOKUP(B34,справочник!$B$2:$E$322,4,FALSE)</f>
        <v>151</v>
      </c>
      <c r="B34" t="str">
        <f t="shared" si="3"/>
        <v>159Бирюков Александр Сергеевич</v>
      </c>
      <c r="C34" s="1">
        <v>159</v>
      </c>
      <c r="D34" s="2" t="s">
        <v>32</v>
      </c>
      <c r="E34" s="1" t="s">
        <v>349</v>
      </c>
      <c r="F34" s="16">
        <v>41121</v>
      </c>
      <c r="G34" s="16">
        <v>41122</v>
      </c>
      <c r="H34" s="17">
        <f t="shared" si="5"/>
        <v>41</v>
      </c>
      <c r="I34" s="1">
        <f t="shared" si="1"/>
        <v>41000</v>
      </c>
      <c r="J34" s="17">
        <v>17000</v>
      </c>
      <c r="K34" s="17"/>
      <c r="L34" s="18">
        <f t="shared" si="6"/>
        <v>24000</v>
      </c>
      <c r="M34" s="29">
        <f>SUM('план на 2016'!$L35:M35)-SUM('членские взносы'!$M35:'членские взносы'!M35)</f>
        <v>24800</v>
      </c>
      <c r="N34" s="29">
        <f>SUM('план на 2016'!$L35:N35)-SUM('членские взносы'!$M35:'членские взносы'!N35)</f>
        <v>25600</v>
      </c>
      <c r="O34" s="29">
        <f>SUM('план на 2016'!$L35:O35)-SUM('членские взносы'!$M35:'членские взносы'!O35)</f>
        <v>26400</v>
      </c>
      <c r="P34" s="29">
        <f>SUM('план на 2016'!$L35:P35)-SUM('членские взносы'!$M35:'членские взносы'!P35)</f>
        <v>27200</v>
      </c>
      <c r="Q34" s="29">
        <f>SUM('план на 2016'!$L35:Q35)-SUM('членские взносы'!$M35:'членские взносы'!Q35)</f>
        <v>28000</v>
      </c>
      <c r="R34" s="29">
        <f>SUM('план на 2016'!$L35:R35)-SUM('членские взносы'!$M35:'членские взносы'!R35)</f>
        <v>28800</v>
      </c>
      <c r="S34" s="29">
        <f>SUM('план на 2016'!$L35:S35)-SUM('членские взносы'!$M35:'членские взносы'!S35)</f>
        <v>29600</v>
      </c>
      <c r="T34" s="29">
        <f>SUM('план на 2016'!$L35:T35)-SUM('членские взносы'!$M35:'членские взносы'!T35)</f>
        <v>30400</v>
      </c>
      <c r="U34" s="29">
        <f>SUM('план на 2016'!$L35:U35)-SUM('членские взносы'!$M35:'членские взносы'!U35)</f>
        <v>31200</v>
      </c>
      <c r="V34" s="29">
        <f>SUM('план на 2016'!$L35:V35)-SUM('членские взносы'!$M35:'членские взносы'!V35)</f>
        <v>32000</v>
      </c>
      <c r="W34" s="29">
        <f>SUM('план на 2016'!$L35:W35)-SUM('членские взносы'!$M35:'членские взносы'!W35)</f>
        <v>32800</v>
      </c>
      <c r="X34" s="29">
        <f>SUM('план на 2016'!$L35:X35)-SUM('членские взносы'!$M35:'членские взносы'!X35)</f>
        <v>33600</v>
      </c>
      <c r="Y34" s="18">
        <f t="shared" si="4"/>
        <v>33600</v>
      </c>
    </row>
    <row r="35" spans="1:25">
      <c r="A35" s="41">
        <f>VLOOKUP(B35,справочник!$B$2:$E$322,4,FALSE)</f>
        <v>142</v>
      </c>
      <c r="B35" t="str">
        <f t="shared" si="3"/>
        <v>150Блинков Анатолий Сергеевич</v>
      </c>
      <c r="C35" s="1">
        <v>150</v>
      </c>
      <c r="D35" s="2" t="s">
        <v>33</v>
      </c>
      <c r="E35" s="1" t="s">
        <v>350</v>
      </c>
      <c r="F35" s="16">
        <v>40771</v>
      </c>
      <c r="G35" s="16">
        <v>40787</v>
      </c>
      <c r="H35" s="17">
        <f t="shared" si="5"/>
        <v>52</v>
      </c>
      <c r="I35" s="1">
        <f t="shared" si="1"/>
        <v>52000</v>
      </c>
      <c r="J35" s="17">
        <f>32000+1000</f>
        <v>33000</v>
      </c>
      <c r="K35" s="17">
        <v>19000</v>
      </c>
      <c r="L35" s="18">
        <f t="shared" si="6"/>
        <v>0</v>
      </c>
      <c r="M35" s="29">
        <f>SUM('план на 2016'!$L36:M36)-SUM('членские взносы'!$M36:'членские взносы'!M36)</f>
        <v>800</v>
      </c>
      <c r="N35" s="29">
        <f>SUM('план на 2016'!$L36:N36)-SUM('членские взносы'!$M36:'членские взносы'!N36)</f>
        <v>1600</v>
      </c>
      <c r="O35" s="29">
        <f>SUM('план на 2016'!$L36:O36)-SUM('членские взносы'!$M36:'членские взносы'!O36)</f>
        <v>2400</v>
      </c>
      <c r="P35" s="29">
        <f>SUM('план на 2016'!$L36:P36)-SUM('членские взносы'!$M36:'членские взносы'!P36)</f>
        <v>3200</v>
      </c>
      <c r="Q35" s="29">
        <f>SUM('план на 2016'!$L36:Q36)-SUM('членские взносы'!$M36:'членские взносы'!Q36)</f>
        <v>4000</v>
      </c>
      <c r="R35" s="29">
        <f>SUM('план на 2016'!$L36:R36)-SUM('членские взносы'!$M36:'членские взносы'!R36)</f>
        <v>4800</v>
      </c>
      <c r="S35" s="29">
        <f>SUM('план на 2016'!$L36:S36)-SUM('членские взносы'!$M36:'членские взносы'!S36)</f>
        <v>-800</v>
      </c>
      <c r="T35" s="29">
        <f>SUM('план на 2016'!$L36:T36)-SUM('членские взносы'!$M36:'членские взносы'!T36)</f>
        <v>0</v>
      </c>
      <c r="U35" s="29">
        <f>SUM('план на 2016'!$L36:U36)-SUM('членские взносы'!$M36:'членские взносы'!U36)</f>
        <v>800</v>
      </c>
      <c r="V35" s="29">
        <f>SUM('план на 2016'!$L36:V36)-SUM('членские взносы'!$M36:'членские взносы'!V36)</f>
        <v>1600</v>
      </c>
      <c r="W35" s="29">
        <f>SUM('план на 2016'!$L36:W36)-SUM('членские взносы'!$M36:'членские взносы'!W36)</f>
        <v>2400</v>
      </c>
      <c r="X35" s="29">
        <f>SUM('план на 2016'!$L36:X36)-SUM('членские взносы'!$M36:'членские взносы'!X36)</f>
        <v>3200</v>
      </c>
      <c r="Y35" s="18">
        <f t="shared" si="4"/>
        <v>3200</v>
      </c>
    </row>
    <row r="36" spans="1:25">
      <c r="A36" s="41">
        <f>VLOOKUP(B36,справочник!$B$2:$E$322,4,FALSE)</f>
        <v>245</v>
      </c>
      <c r="B36" t="str">
        <f t="shared" si="3"/>
        <v>256Бондарев Станислав Дмитриевич</v>
      </c>
      <c r="C36" s="1">
        <v>256</v>
      </c>
      <c r="D36" s="2" t="s">
        <v>34</v>
      </c>
      <c r="E36" s="1" t="s">
        <v>351</v>
      </c>
      <c r="F36" s="16">
        <v>41930</v>
      </c>
      <c r="G36" s="16">
        <v>41944</v>
      </c>
      <c r="H36" s="17">
        <f t="shared" si="5"/>
        <v>14</v>
      </c>
      <c r="I36" s="1">
        <f t="shared" si="1"/>
        <v>14000</v>
      </c>
      <c r="J36" s="17">
        <v>9000</v>
      </c>
      <c r="K36" s="17"/>
      <c r="L36" s="18">
        <f t="shared" si="6"/>
        <v>5000</v>
      </c>
      <c r="M36" s="29">
        <f>SUM('план на 2016'!$L37:M37)-SUM('членские взносы'!$M37:'членские взносы'!M37)</f>
        <v>5800</v>
      </c>
      <c r="N36" s="29">
        <f>SUM('план на 2016'!$L37:N37)-SUM('членские взносы'!$M37:'членские взносы'!N37)</f>
        <v>6600</v>
      </c>
      <c r="O36" s="29">
        <f>SUM('план на 2016'!$L37:O37)-SUM('членские взносы'!$M37:'членские взносы'!O37)</f>
        <v>7400</v>
      </c>
      <c r="P36" s="29">
        <f>SUM('план на 2016'!$L37:P37)-SUM('членские взносы'!$M37:'членские взносы'!P37)</f>
        <v>8200</v>
      </c>
      <c r="Q36" s="29">
        <f>SUM('план на 2016'!$L37:Q37)-SUM('членские взносы'!$M37:'членские взносы'!Q37)</f>
        <v>9000</v>
      </c>
      <c r="R36" s="29">
        <f>SUM('план на 2016'!$L37:R37)-SUM('членские взносы'!$M37:'членские взносы'!R37)</f>
        <v>800</v>
      </c>
      <c r="S36" s="29">
        <f>SUM('план на 2016'!$L37:S37)-SUM('членские взносы'!$M37:'членские взносы'!S37)</f>
        <v>1600</v>
      </c>
      <c r="T36" s="29">
        <f>SUM('план на 2016'!$L37:T37)-SUM('членские взносы'!$M37:'членские взносы'!T37)</f>
        <v>2400</v>
      </c>
      <c r="U36" s="29">
        <f>SUM('план на 2016'!$L37:U37)-SUM('членские взносы'!$M37:'членские взносы'!U37)</f>
        <v>3200</v>
      </c>
      <c r="V36" s="29">
        <f>SUM('план на 2016'!$L37:V37)-SUM('членские взносы'!$M37:'членские взносы'!V37)</f>
        <v>4000</v>
      </c>
      <c r="W36" s="29">
        <f>SUM('план на 2016'!$L37:W37)-SUM('членские взносы'!$M37:'членские взносы'!W37)</f>
        <v>4800</v>
      </c>
      <c r="X36" s="29">
        <f>SUM('план на 2016'!$L37:X37)-SUM('членские взносы'!$M37:'членские взносы'!X37)</f>
        <v>5600</v>
      </c>
      <c r="Y36" s="18">
        <f t="shared" si="4"/>
        <v>5600</v>
      </c>
    </row>
    <row r="37" spans="1:25">
      <c r="A37" s="41">
        <f>VLOOKUP(B37,справочник!$B$2:$E$322,4,FALSE)</f>
        <v>188</v>
      </c>
      <c r="B37" t="str">
        <f t="shared" si="3"/>
        <v>196Бондаренко Владимир Иванович</v>
      </c>
      <c r="C37" s="1">
        <v>196</v>
      </c>
      <c r="D37" s="2" t="s">
        <v>35</v>
      </c>
      <c r="E37" s="1" t="s">
        <v>352</v>
      </c>
      <c r="F37" s="19">
        <v>41674</v>
      </c>
      <c r="G37" s="19">
        <v>41699</v>
      </c>
      <c r="H37" s="20">
        <f t="shared" si="5"/>
        <v>22</v>
      </c>
      <c r="I37" s="5">
        <f t="shared" si="1"/>
        <v>22000</v>
      </c>
      <c r="J37" s="20">
        <v>10000</v>
      </c>
      <c r="K37" s="20"/>
      <c r="L37" s="21">
        <f t="shared" si="6"/>
        <v>12000</v>
      </c>
      <c r="M37" s="29">
        <f>SUM('план на 2016'!$L38:M38)-SUM('членские взносы'!$M38:'членские взносы'!M38)</f>
        <v>12800</v>
      </c>
      <c r="N37" s="29">
        <f>SUM('план на 2016'!$L38:N38)-SUM('членские взносы'!$M38:'членские взносы'!N38)</f>
        <v>13600</v>
      </c>
      <c r="O37" s="29">
        <f>SUM('план на 2016'!$L38:O38)-SUM('членские взносы'!$M38:'членские взносы'!O38)</f>
        <v>14400</v>
      </c>
      <c r="P37" s="29">
        <f>SUM('план на 2016'!$L38:P38)-SUM('членские взносы'!$M38:'членские взносы'!P38)</f>
        <v>15200</v>
      </c>
      <c r="Q37" s="29">
        <f>SUM('план на 2016'!$L38:Q38)-SUM('членские взносы'!$M38:'членские взносы'!Q38)</f>
        <v>16000</v>
      </c>
      <c r="R37" s="29">
        <f>SUM('план на 2016'!$L38:R38)-SUM('членские взносы'!$M38:'членские взносы'!R38)</f>
        <v>16800</v>
      </c>
      <c r="S37" s="29">
        <f>SUM('план на 2016'!$L38:S38)-SUM('членские взносы'!$M38:'членские взносы'!S38)</f>
        <v>17600</v>
      </c>
      <c r="T37" s="29">
        <f>SUM('план на 2016'!$L38:T38)-SUM('членские взносы'!$M38:'членские взносы'!T38)</f>
        <v>18400</v>
      </c>
      <c r="U37" s="29">
        <f>SUM('план на 2016'!$L38:U38)-SUM('членские взносы'!$M38:'членские взносы'!U38)</f>
        <v>19200</v>
      </c>
      <c r="V37" s="29">
        <f>SUM('план на 2016'!$L38:V38)-SUM('членские взносы'!$M38:'членские взносы'!V38)</f>
        <v>20000</v>
      </c>
      <c r="W37" s="29">
        <f>SUM('план на 2016'!$L38:W38)-SUM('членские взносы'!$M38:'членские взносы'!W38)</f>
        <v>20800</v>
      </c>
      <c r="X37" s="29">
        <f>SUM('план на 2016'!$L38:X38)-SUM('членские взносы'!$M38:'членские взносы'!X38)</f>
        <v>21600</v>
      </c>
      <c r="Y37" s="18">
        <f t="shared" si="4"/>
        <v>21600</v>
      </c>
    </row>
    <row r="38" spans="1:25">
      <c r="A38" s="41">
        <f>VLOOKUP(B38,справочник!$B$2:$E$322,4,FALSE)</f>
        <v>188</v>
      </c>
      <c r="B38" t="str">
        <f t="shared" si="3"/>
        <v>197Бондаренко Владимир Иванович</v>
      </c>
      <c r="C38" s="1">
        <v>197</v>
      </c>
      <c r="D38" s="2" t="s">
        <v>35</v>
      </c>
      <c r="E38" s="1"/>
      <c r="F38" s="19">
        <v>41674</v>
      </c>
      <c r="G38" s="19">
        <v>41699</v>
      </c>
      <c r="H38" s="20">
        <f t="shared" si="5"/>
        <v>22</v>
      </c>
      <c r="I38" s="5">
        <f t="shared" si="1"/>
        <v>22000</v>
      </c>
      <c r="J38" s="20"/>
      <c r="K38" s="20"/>
      <c r="L38" s="21">
        <f t="shared" si="6"/>
        <v>22000</v>
      </c>
      <c r="M38" s="29">
        <f>SUM('план на 2016'!$L39:M39)-SUM('членские взносы'!$M39:'членские взносы'!M39)</f>
        <v>22000</v>
      </c>
      <c r="N38" s="29">
        <f>SUM('план на 2016'!$L39:N39)-SUM('членские взносы'!$M39:'членские взносы'!N39)</f>
        <v>22000</v>
      </c>
      <c r="O38" s="29">
        <f>SUM('план на 2016'!$L39:O39)-SUM('членские взносы'!$M39:'членские взносы'!O39)</f>
        <v>22000</v>
      </c>
      <c r="P38" s="29">
        <f>SUM('план на 2016'!$L39:P39)-SUM('членские взносы'!$M39:'членские взносы'!P39)</f>
        <v>22000</v>
      </c>
      <c r="Q38" s="29">
        <f>SUM('план на 2016'!$L39:Q39)-SUM('членские взносы'!$M39:'членские взносы'!Q39)</f>
        <v>22000</v>
      </c>
      <c r="R38" s="29">
        <f>SUM('план на 2016'!$L39:R39)-SUM('членские взносы'!$M39:'членские взносы'!R39)</f>
        <v>22000</v>
      </c>
      <c r="S38" s="29">
        <f>SUM('план на 2016'!$L39:S39)-SUM('членские взносы'!$M39:'членские взносы'!S39)</f>
        <v>22000</v>
      </c>
      <c r="T38" s="29">
        <f>SUM('план на 2016'!$L39:T39)-SUM('членские взносы'!$M39:'членские взносы'!T39)</f>
        <v>22000</v>
      </c>
      <c r="U38" s="29">
        <f>SUM('план на 2016'!$L39:U39)-SUM('членские взносы'!$M39:'членские взносы'!U39)</f>
        <v>22000</v>
      </c>
      <c r="V38" s="29">
        <f>SUM('план на 2016'!$L39:V39)-SUM('членские взносы'!$M39:'членские взносы'!V39)</f>
        <v>22000</v>
      </c>
      <c r="W38" s="29">
        <f>SUM('план на 2016'!$L39:W39)-SUM('членские взносы'!$M39:'членские взносы'!W39)</f>
        <v>22000</v>
      </c>
      <c r="X38" s="29">
        <f>SUM('план на 2016'!$L39:X39)-SUM('членские взносы'!$M39:'членские взносы'!X39)</f>
        <v>22000</v>
      </c>
      <c r="Y38" s="18">
        <f t="shared" si="4"/>
        <v>22000</v>
      </c>
    </row>
    <row r="39" spans="1:25">
      <c r="A39" s="41">
        <f>VLOOKUP(B39,справочник!$B$2:$E$322,4,FALSE)</f>
        <v>219</v>
      </c>
      <c r="B39" t="str">
        <f t="shared" si="3"/>
        <v>228Бондарь Василий Дмитриевич</v>
      </c>
      <c r="C39" s="1">
        <v>228</v>
      </c>
      <c r="D39" s="2" t="s">
        <v>36</v>
      </c>
      <c r="E39" s="1" t="s">
        <v>353</v>
      </c>
      <c r="F39" s="16">
        <v>41848</v>
      </c>
      <c r="G39" s="16">
        <v>41883</v>
      </c>
      <c r="H39" s="17">
        <f t="shared" si="5"/>
        <v>16</v>
      </c>
      <c r="I39" s="1">
        <f t="shared" si="1"/>
        <v>16000</v>
      </c>
      <c r="J39" s="17">
        <v>13000</v>
      </c>
      <c r="K39" s="17">
        <v>3000</v>
      </c>
      <c r="L39" s="18">
        <f t="shared" si="6"/>
        <v>0</v>
      </c>
      <c r="M39" s="29">
        <f>SUM('план на 2016'!$L40:M40)-SUM('членские взносы'!$M40:'членские взносы'!M40)</f>
        <v>800</v>
      </c>
      <c r="N39" s="29">
        <f>SUM('план на 2016'!$L40:N40)-SUM('членские взносы'!$M40:'членские взносы'!N40)</f>
        <v>1600</v>
      </c>
      <c r="O39" s="29">
        <f>SUM('план на 2016'!$L40:O40)-SUM('членские взносы'!$M40:'членские взносы'!O40)</f>
        <v>-600</v>
      </c>
      <c r="P39" s="29">
        <f>SUM('план на 2016'!$L40:P40)-SUM('членские взносы'!$M40:'членские взносы'!P40)</f>
        <v>200</v>
      </c>
      <c r="Q39" s="29">
        <f>SUM('план на 2016'!$L40:Q40)-SUM('членские взносы'!$M40:'членские взносы'!Q40)</f>
        <v>1000</v>
      </c>
      <c r="R39" s="29">
        <f>SUM('план на 2016'!$L40:R40)-SUM('членские взносы'!$M40:'членские взносы'!R40)</f>
        <v>-1200</v>
      </c>
      <c r="S39" s="29">
        <f>SUM('план на 2016'!$L40:S40)-SUM('членские взносы'!$M40:'членские взносы'!S40)</f>
        <v>-400</v>
      </c>
      <c r="T39" s="29">
        <f>SUM('план на 2016'!$L40:T40)-SUM('членские взносы'!$M40:'членские взносы'!T40)</f>
        <v>400</v>
      </c>
      <c r="U39" s="29">
        <f>SUM('план на 2016'!$L40:U40)-SUM('членские взносы'!$M40:'членские взносы'!U40)</f>
        <v>-1800</v>
      </c>
      <c r="V39" s="29">
        <f>SUM('план на 2016'!$L40:V40)-SUM('членские взносы'!$M40:'членские взносы'!V40)</f>
        <v>-5200</v>
      </c>
      <c r="W39" s="29">
        <f>SUM('план на 2016'!$L40:W40)-SUM('членские взносы'!$M40:'членские взносы'!W40)</f>
        <v>-4400</v>
      </c>
      <c r="X39" s="29">
        <f>SUM('план на 2016'!$L40:X40)-SUM('членские взносы'!$M40:'членские взносы'!X40)</f>
        <v>-3600</v>
      </c>
      <c r="Y39" s="18">
        <f t="shared" si="4"/>
        <v>-3600</v>
      </c>
    </row>
    <row r="40" spans="1:25">
      <c r="A40" s="41">
        <f>VLOOKUP(B40,справочник!$B$2:$E$322,4,FALSE)</f>
        <v>223</v>
      </c>
      <c r="B40" t="str">
        <f t="shared" si="3"/>
        <v>232Борисов Олег Александрович</v>
      </c>
      <c r="C40" s="1">
        <v>232</v>
      </c>
      <c r="D40" s="2" t="s">
        <v>37</v>
      </c>
      <c r="E40" s="1" t="s">
        <v>354</v>
      </c>
      <c r="F40" s="16">
        <v>40955</v>
      </c>
      <c r="G40" s="16">
        <v>40940</v>
      </c>
      <c r="H40" s="17">
        <f t="shared" si="5"/>
        <v>47</v>
      </c>
      <c r="I40" s="1">
        <f t="shared" si="1"/>
        <v>47000</v>
      </c>
      <c r="J40" s="17">
        <v>1000</v>
      </c>
      <c r="K40" s="17"/>
      <c r="L40" s="18">
        <f t="shared" si="6"/>
        <v>46000</v>
      </c>
      <c r="M40" s="29">
        <f>SUM('план на 2016'!$L41:M41)-SUM('членские взносы'!$M41:'членские взносы'!M41)</f>
        <v>1800</v>
      </c>
      <c r="N40" s="29">
        <f>SUM('план на 2016'!$L41:N41)-SUM('членские взносы'!$M41:'членские взносы'!N41)</f>
        <v>2600</v>
      </c>
      <c r="O40" s="29">
        <f>SUM('план на 2016'!$L41:O41)-SUM('членские взносы'!$M41:'членские взносы'!O41)</f>
        <v>3400</v>
      </c>
      <c r="P40" s="29">
        <f>SUM('план на 2016'!$L41:P41)-SUM('членские взносы'!$M41:'членские взносы'!P41)</f>
        <v>4200</v>
      </c>
      <c r="Q40" s="29">
        <f>SUM('план на 2016'!$L41:Q41)-SUM('членские взносы'!$M41:'членские взносы'!Q41)</f>
        <v>5000</v>
      </c>
      <c r="R40" s="29">
        <f>SUM('план на 2016'!$L41:R41)-SUM('членские взносы'!$M41:'членские взносы'!R41)</f>
        <v>5800</v>
      </c>
      <c r="S40" s="29">
        <f>SUM('план на 2016'!$L41:S41)-SUM('членские взносы'!$M41:'членские взносы'!S41)</f>
        <v>6600</v>
      </c>
      <c r="T40" s="29">
        <f>SUM('план на 2016'!$L41:T41)-SUM('членские взносы'!$M41:'членские взносы'!T41)</f>
        <v>7400</v>
      </c>
      <c r="U40" s="29">
        <f>SUM('план на 2016'!$L41:U41)-SUM('членские взносы'!$M41:'членские взносы'!U41)</f>
        <v>-1800</v>
      </c>
      <c r="V40" s="29">
        <f>SUM('план на 2016'!$L41:V41)-SUM('членские взносы'!$M41:'членские взносы'!V41)</f>
        <v>-1000</v>
      </c>
      <c r="W40" s="29">
        <f>SUM('план на 2016'!$L41:W41)-SUM('членские взносы'!$M41:'членские взносы'!W41)</f>
        <v>-200</v>
      </c>
      <c r="X40" s="29">
        <f>SUM('план на 2016'!$L41:X41)-SUM('членские взносы'!$M41:'членские взносы'!X41)</f>
        <v>600</v>
      </c>
      <c r="Y40" s="18">
        <f t="shared" si="4"/>
        <v>600</v>
      </c>
    </row>
    <row r="41" spans="1:25">
      <c r="A41" s="41">
        <f>VLOOKUP(B41,справочник!$B$2:$E$322,4,FALSE)</f>
        <v>137</v>
      </c>
      <c r="B41" t="str">
        <f t="shared" si="3"/>
        <v>145Бранцова Татьяна Валерьевна</v>
      </c>
      <c r="C41" s="1">
        <v>145</v>
      </c>
      <c r="D41" s="2" t="s">
        <v>38</v>
      </c>
      <c r="E41" s="1" t="s">
        <v>355</v>
      </c>
      <c r="F41" s="16">
        <v>41030</v>
      </c>
      <c r="G41" s="16">
        <v>41030</v>
      </c>
      <c r="H41" s="17">
        <f t="shared" si="5"/>
        <v>44</v>
      </c>
      <c r="I41" s="1">
        <f t="shared" si="1"/>
        <v>44000</v>
      </c>
      <c r="J41" s="17">
        <v>44000</v>
      </c>
      <c r="K41" s="17"/>
      <c r="L41" s="18">
        <f t="shared" si="6"/>
        <v>0</v>
      </c>
      <c r="M41" s="29">
        <f>SUM('план на 2016'!$L42:M42)-SUM('членские взносы'!$M42:'членские взносы'!M42)</f>
        <v>800</v>
      </c>
      <c r="N41" s="29">
        <f>SUM('план на 2016'!$L42:N42)-SUM('членские взносы'!$M42:'членские взносы'!N42)</f>
        <v>0</v>
      </c>
      <c r="O41" s="29">
        <f>SUM('план на 2016'!$L42:O42)-SUM('членские взносы'!$M42:'членские взносы'!O42)</f>
        <v>800</v>
      </c>
      <c r="P41" s="29">
        <f>SUM('план на 2016'!$L42:P42)-SUM('членские взносы'!$M42:'членские взносы'!P42)</f>
        <v>1600</v>
      </c>
      <c r="Q41" s="29">
        <f>SUM('план на 2016'!$L42:Q42)-SUM('членские взносы'!$M42:'членские взносы'!Q42)</f>
        <v>2400</v>
      </c>
      <c r="R41" s="29">
        <f>SUM('план на 2016'!$L42:R42)-SUM('членские взносы'!$M42:'членские взносы'!R42)</f>
        <v>2400</v>
      </c>
      <c r="S41" s="29">
        <f>SUM('план на 2016'!$L42:S42)-SUM('членские взносы'!$M42:'членские взносы'!S42)</f>
        <v>3200</v>
      </c>
      <c r="T41" s="29">
        <f>SUM('план на 2016'!$L42:T42)-SUM('членские взносы'!$M42:'членские взносы'!T42)</f>
        <v>4000</v>
      </c>
      <c r="U41" s="29">
        <f>SUM('план на 2016'!$L42:U42)-SUM('членские взносы'!$M42:'членские взносы'!U42)</f>
        <v>4800</v>
      </c>
      <c r="V41" s="29">
        <f>SUM('план на 2016'!$L42:V42)-SUM('членские взносы'!$M42:'членские взносы'!V42)</f>
        <v>5600</v>
      </c>
      <c r="W41" s="29">
        <f>SUM('план на 2016'!$L42:W42)-SUM('членские взносы'!$M42:'членские взносы'!W42)</f>
        <v>6400</v>
      </c>
      <c r="X41" s="29">
        <f>SUM('план на 2016'!$L42:X42)-SUM('членские взносы'!$M42:'членские взносы'!X42)</f>
        <v>7200</v>
      </c>
      <c r="Y41" s="18">
        <f t="shared" si="4"/>
        <v>7200</v>
      </c>
    </row>
    <row r="42" spans="1:25">
      <c r="A42" s="41">
        <f>VLOOKUP(B42,справочник!$B$2:$E$322,4,FALSE)</f>
        <v>105</v>
      </c>
      <c r="B42" t="str">
        <f t="shared" si="3"/>
        <v>110Брылёв Андрей Вячеславович</v>
      </c>
      <c r="C42" s="1">
        <v>110</v>
      </c>
      <c r="D42" s="2" t="s">
        <v>39</v>
      </c>
      <c r="E42" s="1" t="s">
        <v>356</v>
      </c>
      <c r="F42" s="16">
        <v>40925</v>
      </c>
      <c r="G42" s="16">
        <v>40909</v>
      </c>
      <c r="H42" s="17">
        <f t="shared" si="5"/>
        <v>48</v>
      </c>
      <c r="I42" s="1">
        <f t="shared" si="1"/>
        <v>48000</v>
      </c>
      <c r="J42" s="17">
        <v>28000</v>
      </c>
      <c r="K42" s="17"/>
      <c r="L42" s="18">
        <f t="shared" si="6"/>
        <v>20000</v>
      </c>
      <c r="M42" s="29">
        <f>SUM('план на 2016'!$L43:M43)-SUM('членские взносы'!$M43:'членские взносы'!M43)</f>
        <v>17800</v>
      </c>
      <c r="N42" s="29">
        <f>SUM('план на 2016'!$L43:N43)-SUM('членские взносы'!$M43:'членские взносы'!N43)</f>
        <v>18600</v>
      </c>
      <c r="O42" s="29">
        <f>SUM('план на 2016'!$L43:O43)-SUM('членские взносы'!$M43:'членские взносы'!O43)</f>
        <v>19400</v>
      </c>
      <c r="P42" s="29">
        <f>SUM('план на 2016'!$L43:P43)-SUM('членские взносы'!$M43:'членские взносы'!P43)</f>
        <v>20200</v>
      </c>
      <c r="Q42" s="29">
        <f>SUM('план на 2016'!$L43:Q43)-SUM('членские взносы'!$M43:'членские взносы'!Q43)</f>
        <v>21000</v>
      </c>
      <c r="R42" s="29">
        <f>SUM('план на 2016'!$L43:R43)-SUM('членские взносы'!$M43:'членские взносы'!R43)</f>
        <v>21000</v>
      </c>
      <c r="S42" s="29">
        <f>SUM('план на 2016'!$L43:S43)-SUM('членские взносы'!$M43:'членские взносы'!S43)</f>
        <v>21800</v>
      </c>
      <c r="T42" s="29">
        <f>SUM('план на 2016'!$L43:T43)-SUM('членские взносы'!$M43:'членские взносы'!T43)</f>
        <v>22600</v>
      </c>
      <c r="U42" s="29">
        <f>SUM('план на 2016'!$L43:U43)-SUM('членские взносы'!$M43:'членские взносы'!U43)</f>
        <v>21800</v>
      </c>
      <c r="V42" s="29">
        <f>SUM('план на 2016'!$L43:V43)-SUM('членские взносы'!$M43:'членские взносы'!V43)</f>
        <v>22600</v>
      </c>
      <c r="W42" s="29">
        <f>SUM('план на 2016'!$L43:W43)-SUM('членские взносы'!$M43:'членские взносы'!W43)</f>
        <v>23400</v>
      </c>
      <c r="X42" s="29">
        <f>SUM('план на 2016'!$L43:X43)-SUM('членские взносы'!$M43:'членские взносы'!X43)</f>
        <v>23400</v>
      </c>
      <c r="Y42" s="18">
        <f t="shared" si="4"/>
        <v>23400</v>
      </c>
    </row>
    <row r="43" spans="1:25">
      <c r="A43" s="41">
        <f>VLOOKUP(B43,справочник!$B$2:$E$322,4,FALSE)</f>
        <v>98</v>
      </c>
      <c r="B43" t="str">
        <f t="shared" si="3"/>
        <v>103Бугрова Вероника Артуровна</v>
      </c>
      <c r="C43" s="1">
        <v>103</v>
      </c>
      <c r="D43" s="2" t="s">
        <v>40</v>
      </c>
      <c r="E43" s="1" t="s">
        <v>357</v>
      </c>
      <c r="F43" s="16">
        <v>40897</v>
      </c>
      <c r="G43" s="16">
        <v>40878</v>
      </c>
      <c r="H43" s="17">
        <f t="shared" si="5"/>
        <v>49</v>
      </c>
      <c r="I43" s="1">
        <f t="shared" si="1"/>
        <v>49000</v>
      </c>
      <c r="J43" s="17">
        <f>29000+1000</f>
        <v>30000</v>
      </c>
      <c r="K43" s="17"/>
      <c r="L43" s="18">
        <f t="shared" si="6"/>
        <v>19000</v>
      </c>
      <c r="M43" s="29">
        <f>SUM('план на 2016'!$L44:M44)-SUM('членские взносы'!$M44:'членские взносы'!M44)</f>
        <v>19800</v>
      </c>
      <c r="N43" s="29">
        <f>SUM('план на 2016'!$L44:N44)-SUM('членские взносы'!$M44:'членские взносы'!N44)</f>
        <v>20600</v>
      </c>
      <c r="O43" s="29">
        <f>SUM('план на 2016'!$L44:O44)-SUM('членские взносы'!$M44:'членские взносы'!O44)</f>
        <v>21400</v>
      </c>
      <c r="P43" s="29">
        <f>SUM('план на 2016'!$L44:P44)-SUM('членские взносы'!$M44:'членские взносы'!P44)</f>
        <v>22200</v>
      </c>
      <c r="Q43" s="29">
        <f>SUM('план на 2016'!$L44:Q44)-SUM('членские взносы'!$M44:'членские взносы'!Q44)</f>
        <v>23000</v>
      </c>
      <c r="R43" s="29">
        <f>SUM('план на 2016'!$L44:R44)-SUM('членские взносы'!$M44:'членские взносы'!R44)</f>
        <v>23800</v>
      </c>
      <c r="S43" s="29">
        <f>SUM('план на 2016'!$L44:S44)-SUM('членские взносы'!$M44:'членские взносы'!S44)</f>
        <v>24600</v>
      </c>
      <c r="T43" s="29">
        <f>SUM('план на 2016'!$L44:T44)-SUM('членские взносы'!$M44:'членские взносы'!T44)</f>
        <v>21400</v>
      </c>
      <c r="U43" s="29">
        <f>SUM('план на 2016'!$L44:U44)-SUM('членские взносы'!$M44:'членские взносы'!U44)</f>
        <v>22200</v>
      </c>
      <c r="V43" s="29">
        <f>SUM('план на 2016'!$L44:V44)-SUM('членские взносы'!$M44:'членские взносы'!V44)</f>
        <v>23000</v>
      </c>
      <c r="W43" s="29">
        <f>SUM('план на 2016'!$L44:W44)-SUM('членские взносы'!$M44:'членские взносы'!W44)</f>
        <v>23800</v>
      </c>
      <c r="X43" s="29">
        <f>SUM('план на 2016'!$L44:X44)-SUM('членские взносы'!$M44:'членские взносы'!X44)</f>
        <v>24600</v>
      </c>
      <c r="Y43" s="18">
        <f t="shared" si="4"/>
        <v>24600</v>
      </c>
    </row>
    <row r="44" spans="1:25">
      <c r="A44" s="41">
        <f>VLOOKUP(B44,справочник!$B$2:$E$322,4,FALSE)</f>
        <v>274</v>
      </c>
      <c r="B44" t="str">
        <f t="shared" si="3"/>
        <v>287Будаев Андрей Анатольевич</v>
      </c>
      <c r="C44" s="1">
        <v>287</v>
      </c>
      <c r="D44" s="2" t="s">
        <v>41</v>
      </c>
      <c r="E44" s="5"/>
      <c r="F44" s="19">
        <v>42023</v>
      </c>
      <c r="G44" s="19">
        <v>42036</v>
      </c>
      <c r="H44" s="20">
        <f t="shared" si="5"/>
        <v>11</v>
      </c>
      <c r="I44" s="5">
        <f t="shared" si="1"/>
        <v>11000</v>
      </c>
      <c r="J44" s="20">
        <v>2000</v>
      </c>
      <c r="K44" s="20"/>
      <c r="L44" s="21">
        <f t="shared" si="6"/>
        <v>9000</v>
      </c>
      <c r="M44" s="29">
        <f>SUM('план на 2016'!$L45:M45)-SUM('членские взносы'!$M45:'членские взносы'!M45)</f>
        <v>9800</v>
      </c>
      <c r="N44" s="29">
        <f>SUM('план на 2016'!$L45:N45)-SUM('членские взносы'!$M45:'членские взносы'!N45)</f>
        <v>10600</v>
      </c>
      <c r="O44" s="29">
        <f>SUM('план на 2016'!$L45:O45)-SUM('членские взносы'!$M45:'членские взносы'!O45)</f>
        <v>9800</v>
      </c>
      <c r="P44" s="29">
        <f>SUM('план на 2016'!$L45:P45)-SUM('членские взносы'!$M45:'членские взносы'!P45)</f>
        <v>10600</v>
      </c>
      <c r="Q44" s="29">
        <f>SUM('план на 2016'!$L45:Q45)-SUM('членские взносы'!$M45:'членские взносы'!Q45)</f>
        <v>11400</v>
      </c>
      <c r="R44" s="29">
        <f>SUM('план на 2016'!$L45:R45)-SUM('членские взносы'!$M45:'членские взносы'!R45)</f>
        <v>-14600</v>
      </c>
      <c r="S44" s="29">
        <f>SUM('план на 2016'!$L45:S45)-SUM('членские взносы'!$M45:'членские взносы'!S45)</f>
        <v>-14600</v>
      </c>
      <c r="T44" s="29">
        <f>SUM('план на 2016'!$L45:T45)-SUM('членские взносы'!$M45:'членские взносы'!T45)</f>
        <v>-13800</v>
      </c>
      <c r="U44" s="29">
        <f>SUM('план на 2016'!$L45:U45)-SUM('членские взносы'!$M45:'членские взносы'!U45)</f>
        <v>-13000</v>
      </c>
      <c r="V44" s="29">
        <f>SUM('план на 2016'!$L45:V45)-SUM('членские взносы'!$M45:'членские взносы'!V45)</f>
        <v>-12200</v>
      </c>
      <c r="W44" s="29">
        <f>SUM('план на 2016'!$L45:W45)-SUM('членские взносы'!$M45:'членские взносы'!W45)</f>
        <v>-11400</v>
      </c>
      <c r="X44" s="29">
        <f>SUM('план на 2016'!$L45:X45)-SUM('членские взносы'!$M45:'членские взносы'!X45)</f>
        <v>-10600</v>
      </c>
      <c r="Y44" s="18">
        <f t="shared" si="4"/>
        <v>-10600</v>
      </c>
    </row>
    <row r="45" spans="1:25">
      <c r="A45" s="41">
        <f>VLOOKUP(B45,справочник!$B$2:$E$322,4,FALSE)</f>
        <v>274</v>
      </c>
      <c r="B45" t="str">
        <f t="shared" si="3"/>
        <v>295Будаев Андрей Анатольевич</v>
      </c>
      <c r="C45" s="1">
        <v>295</v>
      </c>
      <c r="D45" s="2" t="s">
        <v>41</v>
      </c>
      <c r="E45" s="5"/>
      <c r="F45" s="19">
        <v>42023</v>
      </c>
      <c r="G45" s="19">
        <v>42036</v>
      </c>
      <c r="H45" s="20">
        <f t="shared" si="5"/>
        <v>11</v>
      </c>
      <c r="I45" s="5">
        <f t="shared" si="1"/>
        <v>11000</v>
      </c>
      <c r="J45" s="20"/>
      <c r="K45" s="20"/>
      <c r="L45" s="21">
        <f t="shared" si="6"/>
        <v>11000</v>
      </c>
      <c r="M45" s="29">
        <f>SUM('план на 2016'!$L46:M46)-SUM('членские взносы'!$M46:'членские взносы'!M46)</f>
        <v>11000</v>
      </c>
      <c r="N45" s="29">
        <f>SUM('план на 2016'!$L46:N46)-SUM('членские взносы'!$M46:'членские взносы'!N46)</f>
        <v>11000</v>
      </c>
      <c r="O45" s="29">
        <f>SUM('план на 2016'!$L46:O46)-SUM('членские взносы'!$M46:'членские взносы'!O46)</f>
        <v>11000</v>
      </c>
      <c r="P45" s="29">
        <f>SUM('план на 2016'!$L46:P46)-SUM('членские взносы'!$M46:'членские взносы'!P46)</f>
        <v>11000</v>
      </c>
      <c r="Q45" s="29">
        <f>SUM('план на 2016'!$L46:Q46)-SUM('членские взносы'!$M46:'членские взносы'!Q46)</f>
        <v>11000</v>
      </c>
      <c r="R45" s="29">
        <f>SUM('план на 2016'!$L46:R46)-SUM('членские взносы'!$M46:'членские взносы'!R46)</f>
        <v>11000</v>
      </c>
      <c r="S45" s="29">
        <f>SUM('план на 2016'!$L46:S46)-SUM('членские взносы'!$M46:'членские взносы'!S46)</f>
        <v>11000</v>
      </c>
      <c r="T45" s="29">
        <f>SUM('план на 2016'!$L46:T46)-SUM('членские взносы'!$M46:'членские взносы'!T46)</f>
        <v>11000</v>
      </c>
      <c r="U45" s="29">
        <f>SUM('план на 2016'!$L46:U46)-SUM('членские взносы'!$M46:'членские взносы'!U46)</f>
        <v>9400</v>
      </c>
      <c r="V45" s="29">
        <f>SUM('план на 2016'!$L46:V46)-SUM('членские взносы'!$M46:'членские взносы'!V46)</f>
        <v>8600</v>
      </c>
      <c r="W45" s="29">
        <f>SUM('план на 2016'!$L46:W46)-SUM('членские взносы'!$M46:'членские взносы'!W46)</f>
        <v>7800</v>
      </c>
      <c r="X45" s="29">
        <f>SUM('план на 2016'!$L46:X46)-SUM('членские взносы'!$M46:'членские взносы'!X46)</f>
        <v>7000</v>
      </c>
      <c r="Y45" s="18">
        <f t="shared" si="4"/>
        <v>7000</v>
      </c>
    </row>
    <row r="46" spans="1:25">
      <c r="A46" s="41">
        <f>VLOOKUP(B46,справочник!$B$2:$E$322,4,FALSE)</f>
        <v>175</v>
      </c>
      <c r="B46" t="str">
        <f t="shared" si="3"/>
        <v>183Буланова Лилия Михайловна</v>
      </c>
      <c r="C46" s="1">
        <v>183</v>
      </c>
      <c r="D46" s="2" t="s">
        <v>42</v>
      </c>
      <c r="E46" s="1" t="s">
        <v>358</v>
      </c>
      <c r="F46" s="19">
        <v>41865</v>
      </c>
      <c r="G46" s="19">
        <v>41883</v>
      </c>
      <c r="H46" s="20">
        <f t="shared" si="5"/>
        <v>16</v>
      </c>
      <c r="I46" s="5">
        <f t="shared" si="1"/>
        <v>16000</v>
      </c>
      <c r="J46" s="20"/>
      <c r="K46" s="20"/>
      <c r="L46" s="21">
        <f t="shared" si="6"/>
        <v>16000</v>
      </c>
      <c r="M46" s="29">
        <f>SUM('план на 2016'!$L47:M47)-SUM('членские взносы'!$M47:'членские взносы'!M47)</f>
        <v>16800</v>
      </c>
      <c r="N46" s="29">
        <f>SUM('план на 2016'!$L47:N47)-SUM('членские взносы'!$M47:'членские взносы'!N47)</f>
        <v>17600</v>
      </c>
      <c r="O46" s="29">
        <f>SUM('план на 2016'!$L47:O47)-SUM('членские взносы'!$M47:'членские взносы'!O47)</f>
        <v>18400</v>
      </c>
      <c r="P46" s="29">
        <f>SUM('план на 2016'!$L47:P47)-SUM('членские взносы'!$M47:'членские взносы'!P47)</f>
        <v>19200</v>
      </c>
      <c r="Q46" s="29">
        <f>SUM('план на 2016'!$L47:Q47)-SUM('членские взносы'!$M47:'членские взносы'!Q47)</f>
        <v>-1600</v>
      </c>
      <c r="R46" s="29">
        <f>SUM('план на 2016'!$L47:R47)-SUM('членские взносы'!$M47:'членские взносы'!R47)</f>
        <v>-800</v>
      </c>
      <c r="S46" s="29">
        <f>SUM('план на 2016'!$L47:S47)-SUM('членские взносы'!$M47:'членские взносы'!S47)</f>
        <v>0</v>
      </c>
      <c r="T46" s="29">
        <f>SUM('план на 2016'!$L47:T47)-SUM('членские взносы'!$M47:'членские взносы'!T47)</f>
        <v>800</v>
      </c>
      <c r="U46" s="29">
        <f>SUM('план на 2016'!$L47:U47)-SUM('членские взносы'!$M47:'членские взносы'!U47)</f>
        <v>-18400</v>
      </c>
      <c r="V46" s="29">
        <f>SUM('план на 2016'!$L47:V47)-SUM('членские взносы'!$M47:'членские взносы'!V47)</f>
        <v>-17600</v>
      </c>
      <c r="W46" s="29">
        <f>SUM('план на 2016'!$L47:W47)-SUM('членские взносы'!$M47:'членские взносы'!W47)</f>
        <v>-16800</v>
      </c>
      <c r="X46" s="29">
        <f>SUM('план на 2016'!$L47:X47)-SUM('членские взносы'!$M47:'членские взносы'!X47)</f>
        <v>-16000</v>
      </c>
      <c r="Y46" s="18">
        <f t="shared" si="4"/>
        <v>-16000</v>
      </c>
    </row>
    <row r="47" spans="1:25">
      <c r="A47" s="41">
        <f>VLOOKUP(B47,справочник!$B$2:$E$322,4,FALSE)</f>
        <v>175</v>
      </c>
      <c r="B47" t="str">
        <f t="shared" si="3"/>
        <v>187Буланова Лилия Михайловна</v>
      </c>
      <c r="C47" s="1">
        <v>187</v>
      </c>
      <c r="D47" s="2" t="s">
        <v>42</v>
      </c>
      <c r="E47" s="1" t="s">
        <v>359</v>
      </c>
      <c r="F47" s="19">
        <v>41865</v>
      </c>
      <c r="G47" s="19">
        <v>41883</v>
      </c>
      <c r="H47" s="20">
        <f t="shared" si="5"/>
        <v>16</v>
      </c>
      <c r="I47" s="5">
        <f t="shared" si="1"/>
        <v>16000</v>
      </c>
      <c r="J47" s="20"/>
      <c r="K47" s="20"/>
      <c r="L47" s="21">
        <f t="shared" si="6"/>
        <v>16000</v>
      </c>
      <c r="M47" s="29">
        <f>SUM('план на 2016'!$L48:M48)-SUM('членские взносы'!$M48:'членские взносы'!M48)</f>
        <v>16000</v>
      </c>
      <c r="N47" s="29">
        <f>SUM('план на 2016'!$L48:N48)-SUM('членские взносы'!$M48:'членские взносы'!N48)</f>
        <v>16000</v>
      </c>
      <c r="O47" s="29">
        <f>SUM('план на 2016'!$L48:O48)-SUM('членские взносы'!$M48:'членские взносы'!O48)</f>
        <v>16000</v>
      </c>
      <c r="P47" s="29">
        <f>SUM('план на 2016'!$L48:P48)-SUM('членские взносы'!$M48:'членские взносы'!P48)</f>
        <v>16000</v>
      </c>
      <c r="Q47" s="29">
        <f>SUM('план на 2016'!$L48:Q48)-SUM('членские взносы'!$M48:'членские взносы'!Q48)</f>
        <v>16000</v>
      </c>
      <c r="R47" s="29">
        <f>SUM('план на 2016'!$L48:R48)-SUM('членские взносы'!$M48:'членские взносы'!R48)</f>
        <v>16000</v>
      </c>
      <c r="S47" s="29">
        <f>SUM('план на 2016'!$L48:S48)-SUM('членские взносы'!$M48:'членские взносы'!S48)</f>
        <v>16000</v>
      </c>
      <c r="T47" s="29">
        <f>SUM('план на 2016'!$L48:T48)-SUM('членские взносы'!$M48:'членские взносы'!T48)</f>
        <v>16000</v>
      </c>
      <c r="U47" s="29">
        <f>SUM('план на 2016'!$L48:U48)-SUM('членские взносы'!$M48:'членские взносы'!U48)</f>
        <v>16000</v>
      </c>
      <c r="V47" s="29">
        <f>SUM('план на 2016'!$L48:V48)-SUM('членские взносы'!$M48:'членские взносы'!V48)</f>
        <v>16000</v>
      </c>
      <c r="W47" s="29">
        <f>SUM('план на 2016'!$L48:W48)-SUM('членские взносы'!$M48:'членские взносы'!W48)</f>
        <v>16000</v>
      </c>
      <c r="X47" s="29">
        <f>SUM('план на 2016'!$L48:X48)-SUM('членские взносы'!$M48:'членские взносы'!X48)</f>
        <v>16000</v>
      </c>
      <c r="Y47" s="18">
        <f t="shared" si="4"/>
        <v>16000</v>
      </c>
    </row>
    <row r="48" spans="1:25">
      <c r="A48" s="41">
        <f>VLOOKUP(B48,справочник!$B$2:$E$322,4,FALSE)</f>
        <v>303</v>
      </c>
      <c r="B48" t="str">
        <f t="shared" si="3"/>
        <v>318Бурдух Юрие</v>
      </c>
      <c r="C48" s="1">
        <v>318</v>
      </c>
      <c r="D48" s="2" t="s">
        <v>43</v>
      </c>
      <c r="E48" s="1" t="s">
        <v>360</v>
      </c>
      <c r="F48" s="19">
        <v>42002</v>
      </c>
      <c r="G48" s="19">
        <v>42005</v>
      </c>
      <c r="H48" s="20">
        <f t="shared" si="5"/>
        <v>12</v>
      </c>
      <c r="I48" s="5">
        <f t="shared" si="1"/>
        <v>12000</v>
      </c>
      <c r="J48" s="20"/>
      <c r="K48" s="20"/>
      <c r="L48" s="21">
        <f t="shared" si="6"/>
        <v>12000</v>
      </c>
      <c r="M48" s="29">
        <f>SUM('план на 2016'!$L49:M49)-SUM('членские взносы'!$M49:'членские взносы'!M49)</f>
        <v>12800</v>
      </c>
      <c r="N48" s="29">
        <f>SUM('план на 2016'!$L49:N49)-SUM('членские взносы'!$M49:'членские взносы'!N49)</f>
        <v>13600</v>
      </c>
      <c r="O48" s="29">
        <f>SUM('план на 2016'!$L49:O49)-SUM('членские взносы'!$M49:'членские взносы'!O49)</f>
        <v>14400</v>
      </c>
      <c r="P48" s="29">
        <f>SUM('план на 2016'!$L49:P49)-SUM('членские взносы'!$M49:'членские взносы'!P49)</f>
        <v>15200</v>
      </c>
      <c r="Q48" s="29">
        <f>SUM('план на 2016'!$L49:Q49)-SUM('членские взносы'!$M49:'членские взносы'!Q49)</f>
        <v>16000</v>
      </c>
      <c r="R48" s="29">
        <f>SUM('план на 2016'!$L49:R49)-SUM('членские взносы'!$M49:'членские взносы'!R49)</f>
        <v>16800</v>
      </c>
      <c r="S48" s="29">
        <f>SUM('план на 2016'!$L49:S49)-SUM('членские взносы'!$M49:'членские взносы'!S49)</f>
        <v>17600</v>
      </c>
      <c r="T48" s="29">
        <f>SUM('план на 2016'!$L49:T49)-SUM('членские взносы'!$M49:'членские взносы'!T49)</f>
        <v>18400</v>
      </c>
      <c r="U48" s="29">
        <f>SUM('план на 2016'!$L49:U49)-SUM('членские взносы'!$M49:'членские взносы'!U49)</f>
        <v>19200</v>
      </c>
      <c r="V48" s="29">
        <f>SUM('план на 2016'!$L49:V49)-SUM('членские взносы'!$M49:'членские взносы'!V49)</f>
        <v>20000</v>
      </c>
      <c r="W48" s="29">
        <f>SUM('план на 2016'!$L49:W49)-SUM('членские взносы'!$M49:'членские взносы'!W49)</f>
        <v>20800</v>
      </c>
      <c r="X48" s="29">
        <f>SUM('план на 2016'!$L49:X49)-SUM('членские взносы'!$M49:'членские взносы'!X49)</f>
        <v>21600</v>
      </c>
      <c r="Y48" s="18">
        <f t="shared" si="4"/>
        <v>21600</v>
      </c>
    </row>
    <row r="49" spans="1:25">
      <c r="A49" s="41">
        <f>VLOOKUP(B49,справочник!$B$2:$E$322,4,FALSE)</f>
        <v>303</v>
      </c>
      <c r="B49" t="str">
        <f t="shared" si="3"/>
        <v>319Бурдух Юрие</v>
      </c>
      <c r="C49" s="1">
        <v>319</v>
      </c>
      <c r="D49" s="2" t="s">
        <v>43</v>
      </c>
      <c r="E49" s="1" t="s">
        <v>361</v>
      </c>
      <c r="F49" s="19">
        <v>42002</v>
      </c>
      <c r="G49" s="19">
        <v>42005</v>
      </c>
      <c r="H49" s="20">
        <f t="shared" si="5"/>
        <v>12</v>
      </c>
      <c r="I49" s="5">
        <f t="shared" si="1"/>
        <v>12000</v>
      </c>
      <c r="J49" s="20"/>
      <c r="K49" s="20"/>
      <c r="L49" s="21">
        <f t="shared" si="6"/>
        <v>12000</v>
      </c>
      <c r="M49" s="29">
        <f>SUM('план на 2016'!$L50:M50)-SUM('членские взносы'!$M50:'членские взносы'!M50)</f>
        <v>12000</v>
      </c>
      <c r="N49" s="29">
        <f>SUM('план на 2016'!$L50:N50)-SUM('членские взносы'!$M50:'членские взносы'!N50)</f>
        <v>12000</v>
      </c>
      <c r="O49" s="29">
        <f>SUM('план на 2016'!$L50:O50)-SUM('членские взносы'!$M50:'членские взносы'!O50)</f>
        <v>12000</v>
      </c>
      <c r="P49" s="29">
        <f>SUM('план на 2016'!$L50:P50)-SUM('членские взносы'!$M50:'членские взносы'!P50)</f>
        <v>12000</v>
      </c>
      <c r="Q49" s="29">
        <f>SUM('план на 2016'!$L50:Q50)-SUM('членские взносы'!$M50:'членские взносы'!Q50)</f>
        <v>12000</v>
      </c>
      <c r="R49" s="29">
        <f>SUM('план на 2016'!$L50:R50)-SUM('членские взносы'!$M50:'членские взносы'!R50)</f>
        <v>12000</v>
      </c>
      <c r="S49" s="29">
        <f>SUM('план на 2016'!$L50:S50)-SUM('членские взносы'!$M50:'членские взносы'!S50)</f>
        <v>12000</v>
      </c>
      <c r="T49" s="29">
        <f>SUM('план на 2016'!$L50:T50)-SUM('членские взносы'!$M50:'членские взносы'!T50)</f>
        <v>12000</v>
      </c>
      <c r="U49" s="29">
        <f>SUM('план на 2016'!$L50:U50)-SUM('членские взносы'!$M50:'членские взносы'!U50)</f>
        <v>12000</v>
      </c>
      <c r="V49" s="29">
        <f>SUM('план на 2016'!$L50:V50)-SUM('членские взносы'!$M50:'членские взносы'!V50)</f>
        <v>12000</v>
      </c>
      <c r="W49" s="29">
        <f>SUM('план на 2016'!$L50:W50)-SUM('членские взносы'!$M50:'членские взносы'!W50)</f>
        <v>12000</v>
      </c>
      <c r="X49" s="29">
        <f>SUM('план на 2016'!$L50:X50)-SUM('членские взносы'!$M50:'членские взносы'!X50)</f>
        <v>12000</v>
      </c>
      <c r="Y49" s="18">
        <f t="shared" si="4"/>
        <v>12000</v>
      </c>
    </row>
    <row r="50" spans="1:25">
      <c r="A50" s="41">
        <f>VLOOKUP(B50,справочник!$B$2:$E$322,4,FALSE)</f>
        <v>90</v>
      </c>
      <c r="B50" t="str">
        <f t="shared" si="3"/>
        <v>95Быданцева Нина Юрьевна</v>
      </c>
      <c r="C50" s="1">
        <v>95</v>
      </c>
      <c r="D50" s="2" t="s">
        <v>44</v>
      </c>
      <c r="E50" s="1" t="s">
        <v>362</v>
      </c>
      <c r="F50" s="16">
        <v>40795</v>
      </c>
      <c r="G50" s="16">
        <v>40787</v>
      </c>
      <c r="H50" s="17">
        <f t="shared" si="5"/>
        <v>52</v>
      </c>
      <c r="I50" s="1">
        <f t="shared" si="1"/>
        <v>52000</v>
      </c>
      <c r="J50" s="17">
        <f>36000+4000+12000</f>
        <v>52000</v>
      </c>
      <c r="K50" s="17"/>
      <c r="L50" s="18">
        <f t="shared" si="6"/>
        <v>0</v>
      </c>
      <c r="M50" s="29">
        <f>SUM('план на 2016'!$L51:M51)-SUM('членские взносы'!$M51:'членские взносы'!M51)</f>
        <v>800</v>
      </c>
      <c r="N50" s="29">
        <f>SUM('план на 2016'!$L51:N51)-SUM('членские взносы'!$M51:'членские взносы'!N51)</f>
        <v>1600</v>
      </c>
      <c r="O50" s="29">
        <f>SUM('план на 2016'!$L51:O51)-SUM('членские взносы'!$M51:'членские взносы'!O51)</f>
        <v>2400</v>
      </c>
      <c r="P50" s="29">
        <f>SUM('план на 2016'!$L51:P51)-SUM('членские взносы'!$M51:'членские взносы'!P51)</f>
        <v>-1600</v>
      </c>
      <c r="Q50" s="29">
        <f>SUM('план на 2016'!$L51:Q51)-SUM('членские взносы'!$M51:'членские взносы'!Q51)</f>
        <v>-800</v>
      </c>
      <c r="R50" s="29">
        <f>SUM('план на 2016'!$L51:R51)-SUM('членские взносы'!$M51:'членские взносы'!R51)</f>
        <v>0</v>
      </c>
      <c r="S50" s="29">
        <f>SUM('план на 2016'!$L51:S51)-SUM('членские взносы'!$M51:'членские взносы'!S51)</f>
        <v>800</v>
      </c>
      <c r="T50" s="29">
        <f>SUM('план на 2016'!$L51:T51)-SUM('членские взносы'!$M51:'членские взносы'!T51)</f>
        <v>1600</v>
      </c>
      <c r="U50" s="29">
        <f>SUM('план на 2016'!$L51:U51)-SUM('членские взносы'!$M51:'членские взносы'!U51)</f>
        <v>-2400</v>
      </c>
      <c r="V50" s="29">
        <f>SUM('план на 2016'!$L51:V51)-SUM('членские взносы'!$M51:'членские взносы'!V51)</f>
        <v>-1600</v>
      </c>
      <c r="W50" s="29">
        <f>SUM('план на 2016'!$L51:W51)-SUM('членские взносы'!$M51:'членские взносы'!W51)</f>
        <v>-800</v>
      </c>
      <c r="X50" s="29">
        <f>SUM('план на 2016'!$L51:X51)-SUM('членские взносы'!$M51:'членские взносы'!X51)</f>
        <v>0</v>
      </c>
      <c r="Y50" s="18">
        <f t="shared" si="4"/>
        <v>0</v>
      </c>
    </row>
    <row r="51" spans="1:25">
      <c r="A51" s="41">
        <f>VLOOKUP(B51,справочник!$B$2:$E$322,4,FALSE)</f>
        <v>206</v>
      </c>
      <c r="B51" t="str">
        <f t="shared" si="3"/>
        <v>216Валеев Артур Рашидович</v>
      </c>
      <c r="C51" s="1">
        <v>216</v>
      </c>
      <c r="D51" s="2" t="s">
        <v>45</v>
      </c>
      <c r="E51" s="1" t="s">
        <v>363</v>
      </c>
      <c r="F51" s="16">
        <v>40953</v>
      </c>
      <c r="G51" s="16">
        <v>40940</v>
      </c>
      <c r="H51" s="17">
        <f t="shared" si="5"/>
        <v>47</v>
      </c>
      <c r="I51" s="1">
        <f t="shared" si="1"/>
        <v>47000</v>
      </c>
      <c r="J51" s="17">
        <v>38000</v>
      </c>
      <c r="K51" s="17"/>
      <c r="L51" s="18">
        <f t="shared" si="6"/>
        <v>9000</v>
      </c>
      <c r="M51" s="29">
        <f>SUM('план на 2016'!$L52:M52)-SUM('членские взносы'!$M52:'членские взносы'!M52)</f>
        <v>9800</v>
      </c>
      <c r="N51" s="29">
        <f>SUM('план на 2016'!$L52:N52)-SUM('членские взносы'!$M52:'членские взносы'!N52)</f>
        <v>10600</v>
      </c>
      <c r="O51" s="29">
        <f>SUM('план на 2016'!$L52:O52)-SUM('членские взносы'!$M52:'членские взносы'!O52)</f>
        <v>11400</v>
      </c>
      <c r="P51" s="29">
        <f>SUM('план на 2016'!$L52:P52)-SUM('членские взносы'!$M52:'членские взносы'!P52)</f>
        <v>12200</v>
      </c>
      <c r="Q51" s="29">
        <f>SUM('план на 2016'!$L52:Q52)-SUM('членские взносы'!$M52:'членские взносы'!Q52)</f>
        <v>13000</v>
      </c>
      <c r="R51" s="29">
        <f>SUM('план на 2016'!$L52:R52)-SUM('членские взносы'!$M52:'членские взносы'!R52)</f>
        <v>13800</v>
      </c>
      <c r="S51" s="29">
        <f>SUM('план на 2016'!$L52:S52)-SUM('членские взносы'!$M52:'членские взносы'!S52)</f>
        <v>14600</v>
      </c>
      <c r="T51" s="29">
        <f>SUM('план на 2016'!$L52:T52)-SUM('членские взносы'!$M52:'членские взносы'!T52)</f>
        <v>15400</v>
      </c>
      <c r="U51" s="29">
        <f>SUM('план на 2016'!$L52:U52)-SUM('членские взносы'!$M52:'членские взносы'!U52)</f>
        <v>16200</v>
      </c>
      <c r="V51" s="29">
        <f>SUM('план на 2016'!$L52:V52)-SUM('членские взносы'!$M52:'членские взносы'!V52)</f>
        <v>17000</v>
      </c>
      <c r="W51" s="29">
        <f>SUM('план на 2016'!$L52:W52)-SUM('членские взносы'!$M52:'членские взносы'!W52)</f>
        <v>17800</v>
      </c>
      <c r="X51" s="29">
        <f>SUM('план на 2016'!$L52:X52)-SUM('членские взносы'!$M52:'членские взносы'!X52)</f>
        <v>8600</v>
      </c>
      <c r="Y51" s="18">
        <f t="shared" si="4"/>
        <v>8600</v>
      </c>
    </row>
    <row r="52" spans="1:25">
      <c r="A52" s="41">
        <f>VLOOKUP(B52,справочник!$B$2:$E$322,4,FALSE)</f>
        <v>101</v>
      </c>
      <c r="B52" t="str">
        <f t="shared" si="3"/>
        <v>106Васильев Николай Владимирович</v>
      </c>
      <c r="C52" s="1">
        <v>106</v>
      </c>
      <c r="D52" s="2" t="s">
        <v>46</v>
      </c>
      <c r="E52" s="1" t="s">
        <v>364</v>
      </c>
      <c r="F52" s="16">
        <v>40816</v>
      </c>
      <c r="G52" s="16">
        <v>40787</v>
      </c>
      <c r="H52" s="17">
        <f t="shared" si="5"/>
        <v>52</v>
      </c>
      <c r="I52" s="1">
        <f t="shared" si="1"/>
        <v>52000</v>
      </c>
      <c r="J52" s="17">
        <f>42000+1000</f>
        <v>43000</v>
      </c>
      <c r="K52" s="17"/>
      <c r="L52" s="18">
        <f t="shared" si="6"/>
        <v>9000</v>
      </c>
      <c r="M52" s="29">
        <f>SUM('план на 2016'!$L53:M53)-SUM('членские взносы'!$M53:'членские взносы'!M53)</f>
        <v>2800</v>
      </c>
      <c r="N52" s="29">
        <f>SUM('план на 2016'!$L53:N53)-SUM('членские взносы'!$M53:'членские взносы'!N53)</f>
        <v>3600</v>
      </c>
      <c r="O52" s="29">
        <f>SUM('план на 2016'!$L53:O53)-SUM('членские взносы'!$M53:'членские взносы'!O53)</f>
        <v>4400</v>
      </c>
      <c r="P52" s="29">
        <f>SUM('план на 2016'!$L53:P53)-SUM('членские взносы'!$M53:'членские взносы'!P53)</f>
        <v>5200</v>
      </c>
      <c r="Q52" s="29">
        <f>SUM('план на 2016'!$L53:Q53)-SUM('членские взносы'!$M53:'членские взносы'!Q53)</f>
        <v>6000</v>
      </c>
      <c r="R52" s="29">
        <f>SUM('план на 2016'!$L53:R53)-SUM('членские взносы'!$M53:'членские взносы'!R53)</f>
        <v>2000</v>
      </c>
      <c r="S52" s="29">
        <f>SUM('план на 2016'!$L53:S53)-SUM('членские взносы'!$M53:'членские взносы'!S53)</f>
        <v>2800</v>
      </c>
      <c r="T52" s="29">
        <f>SUM('план на 2016'!$L53:T53)-SUM('членские взносы'!$M53:'членские взносы'!T53)</f>
        <v>3600</v>
      </c>
      <c r="U52" s="29">
        <f>SUM('план на 2016'!$L53:U53)-SUM('членские взносы'!$M53:'членские взносы'!U53)</f>
        <v>4400</v>
      </c>
      <c r="V52" s="29">
        <f>SUM('план на 2016'!$L53:V53)-SUM('членские взносы'!$M53:'членские взносы'!V53)</f>
        <v>5200</v>
      </c>
      <c r="W52" s="29">
        <f>SUM('план на 2016'!$L53:W53)-SUM('членские взносы'!$M53:'членские взносы'!W53)</f>
        <v>6000</v>
      </c>
      <c r="X52" s="29">
        <f>SUM('план на 2016'!$L53:X53)-SUM('членские взносы'!$M53:'членские взносы'!X53)</f>
        <v>6800</v>
      </c>
      <c r="Y52" s="18">
        <f t="shared" si="4"/>
        <v>6800</v>
      </c>
    </row>
    <row r="53" spans="1:25">
      <c r="A53" s="41">
        <f>VLOOKUP(B53,справочник!$B$2:$E$322,4,FALSE)</f>
        <v>86</v>
      </c>
      <c r="B53" t="str">
        <f t="shared" si="3"/>
        <v>91Васильева Ольга Александровна</v>
      </c>
      <c r="C53" s="1">
        <v>91</v>
      </c>
      <c r="D53" s="2" t="s">
        <v>47</v>
      </c>
      <c r="E53" s="1" t="s">
        <v>365</v>
      </c>
      <c r="F53" s="16">
        <v>40847</v>
      </c>
      <c r="G53" s="16">
        <v>40817</v>
      </c>
      <c r="H53" s="17">
        <f t="shared" si="5"/>
        <v>51</v>
      </c>
      <c r="I53" s="1">
        <f t="shared" si="1"/>
        <v>51000</v>
      </c>
      <c r="J53" s="17">
        <f>34000+13000</f>
        <v>47000</v>
      </c>
      <c r="K53" s="17">
        <v>4000</v>
      </c>
      <c r="L53" s="18">
        <f t="shared" si="6"/>
        <v>0</v>
      </c>
      <c r="M53" s="29">
        <f>SUM('план на 2016'!$L54:M54)-SUM('членские взносы'!$M54:'членские взносы'!M54)</f>
        <v>-200</v>
      </c>
      <c r="N53" s="29">
        <f>SUM('план на 2016'!$L54:N54)-SUM('членские взносы'!$M54:'членские взносы'!N54)</f>
        <v>-1400</v>
      </c>
      <c r="O53" s="29">
        <f>SUM('план на 2016'!$L54:O54)-SUM('членские взносы'!$M54:'членские взносы'!O54)</f>
        <v>-600</v>
      </c>
      <c r="P53" s="29">
        <f>SUM('план на 2016'!$L54:P54)-SUM('членские взносы'!$M54:'членские взносы'!P54)</f>
        <v>-800</v>
      </c>
      <c r="Q53" s="29">
        <f>SUM('план на 2016'!$L54:Q54)-SUM('членские взносы'!$M54:'членские взносы'!Q54)</f>
        <v>0</v>
      </c>
      <c r="R53" s="29">
        <f>SUM('план на 2016'!$L54:R54)-SUM('членские взносы'!$M54:'членские взносы'!R54)</f>
        <v>-800</v>
      </c>
      <c r="S53" s="29">
        <f>SUM('план на 2016'!$L54:S54)-SUM('членские взносы'!$M54:'членские взносы'!S54)</f>
        <v>0</v>
      </c>
      <c r="T53" s="29">
        <f>SUM('план на 2016'!$L54:T54)-SUM('членские взносы'!$M54:'членские взносы'!T54)</f>
        <v>0</v>
      </c>
      <c r="U53" s="29">
        <f>SUM('план на 2016'!$L54:U54)-SUM('членские взносы'!$M54:'членские взносы'!U54)</f>
        <v>0</v>
      </c>
      <c r="V53" s="29">
        <f>SUM('план на 2016'!$L54:V54)-SUM('членские взносы'!$M54:'членские взносы'!V54)</f>
        <v>800</v>
      </c>
      <c r="W53" s="29">
        <f>SUM('план на 2016'!$L54:W54)-SUM('членские взносы'!$M54:'членские взносы'!W54)</f>
        <v>-800</v>
      </c>
      <c r="X53" s="29">
        <f>SUM('план на 2016'!$L54:X54)-SUM('членские взносы'!$M54:'членские взносы'!X54)</f>
        <v>0</v>
      </c>
      <c r="Y53" s="18">
        <f t="shared" si="4"/>
        <v>0</v>
      </c>
    </row>
    <row r="54" spans="1:25">
      <c r="A54" s="41">
        <f>VLOOKUP(B54,справочник!$B$2:$E$322,4,FALSE)</f>
        <v>43</v>
      </c>
      <c r="B54" t="str">
        <f t="shared" si="3"/>
        <v>43Васильцова Елена Владимировна</v>
      </c>
      <c r="C54" s="1">
        <v>43</v>
      </c>
      <c r="D54" s="2" t="s">
        <v>48</v>
      </c>
      <c r="E54" s="1" t="s">
        <v>366</v>
      </c>
      <c r="F54" s="16">
        <v>40786</v>
      </c>
      <c r="G54" s="16">
        <v>40787</v>
      </c>
      <c r="H54" s="17">
        <f t="shared" si="5"/>
        <v>52</v>
      </c>
      <c r="I54" s="1">
        <f t="shared" si="1"/>
        <v>52000</v>
      </c>
      <c r="J54" s="17">
        <f>27000+2000</f>
        <v>29000</v>
      </c>
      <c r="K54" s="17"/>
      <c r="L54" s="18">
        <f t="shared" si="6"/>
        <v>23000</v>
      </c>
      <c r="M54" s="29">
        <f>SUM('план на 2016'!$L55:M55)-SUM('членские взносы'!$M55:'членские взносы'!M55)</f>
        <v>23800</v>
      </c>
      <c r="N54" s="29">
        <f>SUM('план на 2016'!$L55:N55)-SUM('членские взносы'!$M55:'членские взносы'!N55)</f>
        <v>24600</v>
      </c>
      <c r="O54" s="29">
        <f>SUM('план на 2016'!$L55:O55)-SUM('членские взносы'!$M55:'членские взносы'!O55)</f>
        <v>25400</v>
      </c>
      <c r="P54" s="29">
        <f>SUM('план на 2016'!$L55:P55)-SUM('членские взносы'!$M55:'членские взносы'!P55)</f>
        <v>26200</v>
      </c>
      <c r="Q54" s="29">
        <f>SUM('план на 2016'!$L55:Q55)-SUM('членские взносы'!$M55:'членские взносы'!Q55)</f>
        <v>27000</v>
      </c>
      <c r="R54" s="29">
        <f>SUM('план на 2016'!$L55:R55)-SUM('членские взносы'!$M55:'членские взносы'!R55)</f>
        <v>25800</v>
      </c>
      <c r="S54" s="29">
        <f>SUM('план на 2016'!$L55:S55)-SUM('членские взносы'!$M55:'членские взносы'!S55)</f>
        <v>26600</v>
      </c>
      <c r="T54" s="29">
        <f>SUM('план на 2016'!$L55:T55)-SUM('членские взносы'!$M55:'членские взносы'!T55)</f>
        <v>25400</v>
      </c>
      <c r="U54" s="29">
        <f>SUM('план на 2016'!$L55:U55)-SUM('членские взносы'!$M55:'членские взносы'!U55)</f>
        <v>24200</v>
      </c>
      <c r="V54" s="29">
        <f>SUM('план на 2016'!$L55:V55)-SUM('членские взносы'!$M55:'членские взносы'!V55)</f>
        <v>25000</v>
      </c>
      <c r="W54" s="29">
        <f>SUM('план на 2016'!$L55:W55)-SUM('членские взносы'!$M55:'членские взносы'!W55)</f>
        <v>25800</v>
      </c>
      <c r="X54" s="29">
        <f>SUM('план на 2016'!$L55:X55)-SUM('членские взносы'!$M55:'членские взносы'!X55)</f>
        <v>26600</v>
      </c>
      <c r="Y54" s="18">
        <f t="shared" si="4"/>
        <v>26600</v>
      </c>
    </row>
    <row r="55" spans="1:25">
      <c r="A55" s="41">
        <f>VLOOKUP(B55,справочник!$B$2:$E$322,4,FALSE)</f>
        <v>25</v>
      </c>
      <c r="B55" t="str">
        <f t="shared" si="3"/>
        <v>25Вершинина Елена Анатольевна</v>
      </c>
      <c r="C55" s="1">
        <v>25</v>
      </c>
      <c r="D55" s="2" t="s">
        <v>49</v>
      </c>
      <c r="E55" s="1" t="s">
        <v>367</v>
      </c>
      <c r="F55" s="16">
        <v>40955</v>
      </c>
      <c r="G55" s="16">
        <v>40940</v>
      </c>
      <c r="H55" s="17">
        <f t="shared" si="5"/>
        <v>47</v>
      </c>
      <c r="I55" s="1">
        <f t="shared" si="1"/>
        <v>47000</v>
      </c>
      <c r="J55" s="17">
        <f>33000+11000</f>
        <v>44000</v>
      </c>
      <c r="K55" s="17">
        <v>3000</v>
      </c>
      <c r="L55" s="18">
        <f t="shared" si="6"/>
        <v>0</v>
      </c>
      <c r="M55" s="29">
        <f>SUM('план на 2016'!$L56:M56)-SUM('членские взносы'!$M56:'членские взносы'!M56)</f>
        <v>800</v>
      </c>
      <c r="N55" s="29">
        <f>SUM('план на 2016'!$L56:N56)-SUM('членские взносы'!$M56:'членские взносы'!N56)</f>
        <v>1600</v>
      </c>
      <c r="O55" s="29">
        <f>SUM('план на 2016'!$L56:O56)-SUM('членские взносы'!$M56:'членские взносы'!O56)</f>
        <v>-600</v>
      </c>
      <c r="P55" s="29">
        <f>SUM('план на 2016'!$L56:P56)-SUM('членские взносы'!$M56:'членские взносы'!P56)</f>
        <v>200</v>
      </c>
      <c r="Q55" s="29">
        <f>SUM('план на 2016'!$L56:Q56)-SUM('членские взносы'!$M56:'членские взносы'!Q56)</f>
        <v>-2000</v>
      </c>
      <c r="R55" s="29">
        <f>SUM('план на 2016'!$L56:R56)-SUM('членские взносы'!$M56:'членские взносы'!R56)</f>
        <v>-2000</v>
      </c>
      <c r="S55" s="29">
        <f>SUM('план на 2016'!$L56:S56)-SUM('членские взносы'!$M56:'членские взносы'!S56)</f>
        <v>-1200</v>
      </c>
      <c r="T55" s="29">
        <f>SUM('план на 2016'!$L56:T56)-SUM('членские взносы'!$M56:'членские взносы'!T56)</f>
        <v>-3400</v>
      </c>
      <c r="U55" s="29">
        <f>SUM('план на 2016'!$L56:U56)-SUM('членские взносы'!$M56:'членские взносы'!U56)</f>
        <v>-2600</v>
      </c>
      <c r="V55" s="29">
        <f>SUM('план на 2016'!$L56:V56)-SUM('членские взносы'!$M56:'членские взносы'!V56)</f>
        <v>-4800</v>
      </c>
      <c r="W55" s="29">
        <f>SUM('план на 2016'!$L56:W56)-SUM('членские взносы'!$M56:'членские взносы'!W56)</f>
        <v>-4000</v>
      </c>
      <c r="X55" s="29">
        <f>SUM('план на 2016'!$L56:X56)-SUM('членские взносы'!$M56:'членские взносы'!X56)</f>
        <v>-3200</v>
      </c>
      <c r="Y55" s="18">
        <f t="shared" si="4"/>
        <v>-3200</v>
      </c>
    </row>
    <row r="56" spans="1:25">
      <c r="A56" s="41">
        <f>VLOOKUP(B56,справочник!$B$2:$E$322,4,FALSE)</f>
        <v>138</v>
      </c>
      <c r="B56" t="str">
        <f t="shared" si="3"/>
        <v>146Виноградова Наталья Дмитриевна (Николай)</v>
      </c>
      <c r="C56" s="1">
        <v>146</v>
      </c>
      <c r="D56" s="2" t="s">
        <v>50</v>
      </c>
      <c r="E56" s="1" t="s">
        <v>368</v>
      </c>
      <c r="F56" s="16">
        <v>40784</v>
      </c>
      <c r="G56" s="16">
        <v>40756</v>
      </c>
      <c r="H56" s="17">
        <f t="shared" si="5"/>
        <v>53</v>
      </c>
      <c r="I56" s="1">
        <f t="shared" si="1"/>
        <v>53000</v>
      </c>
      <c r="J56" s="17">
        <f>53000</f>
        <v>53000</v>
      </c>
      <c r="K56" s="17"/>
      <c r="L56" s="18">
        <f t="shared" si="6"/>
        <v>0</v>
      </c>
      <c r="M56" s="29">
        <f>SUM('план на 2016'!$L57:M57)-SUM('членские взносы'!$M57:'членские взносы'!M57)</f>
        <v>800</v>
      </c>
      <c r="N56" s="29">
        <f>SUM('план на 2016'!$L57:N57)-SUM('членские взносы'!$M57:'членские взносы'!N57)</f>
        <v>-1400</v>
      </c>
      <c r="O56" s="29">
        <f>SUM('план на 2016'!$L57:O57)-SUM('членские взносы'!$M57:'членские взносы'!O57)</f>
        <v>-600</v>
      </c>
      <c r="P56" s="29">
        <f>SUM('план на 2016'!$L57:P57)-SUM('членские взносы'!$M57:'членские взносы'!P57)</f>
        <v>200</v>
      </c>
      <c r="Q56" s="29">
        <f>SUM('план на 2016'!$L57:Q57)-SUM('членские взносы'!$M57:'членские взносы'!Q57)</f>
        <v>1000</v>
      </c>
      <c r="R56" s="29">
        <f>SUM('план на 2016'!$L57:R57)-SUM('членские взносы'!$M57:'членские взносы'!R57)</f>
        <v>-1100</v>
      </c>
      <c r="S56" s="29">
        <f>SUM('план на 2016'!$L57:S57)-SUM('членские взносы'!$M57:'членские взносы'!S57)</f>
        <v>-300</v>
      </c>
      <c r="T56" s="29">
        <f>SUM('план на 2016'!$L57:T57)-SUM('членские взносы'!$M57:'членские взносы'!T57)</f>
        <v>500</v>
      </c>
      <c r="U56" s="29">
        <f>SUM('план на 2016'!$L57:U57)-SUM('членские взносы'!$M57:'членские взносы'!U57)</f>
        <v>1300</v>
      </c>
      <c r="V56" s="29">
        <f>SUM('план на 2016'!$L57:V57)-SUM('членские взносы'!$M57:'членские взносы'!V57)</f>
        <v>2100</v>
      </c>
      <c r="W56" s="29">
        <f>SUM('план на 2016'!$L57:W57)-SUM('членские взносы'!$M57:'членские взносы'!W57)</f>
        <v>-2100</v>
      </c>
      <c r="X56" s="29">
        <f>SUM('план на 2016'!$L57:X57)-SUM('членские взносы'!$M57:'членские взносы'!X57)</f>
        <v>-1300</v>
      </c>
      <c r="Y56" s="18">
        <f t="shared" si="4"/>
        <v>-1300</v>
      </c>
    </row>
    <row r="57" spans="1:25">
      <c r="A57" s="41">
        <f>VLOOKUP(B57,справочник!$B$2:$E$322,4,FALSE)</f>
        <v>228</v>
      </c>
      <c r="B57" t="str">
        <f t="shared" si="3"/>
        <v>237Виртилецкий Денис Вячеславович</v>
      </c>
      <c r="C57" s="1">
        <v>237</v>
      </c>
      <c r="D57" s="2" t="s">
        <v>51</v>
      </c>
      <c r="E57" s="1" t="s">
        <v>369</v>
      </c>
      <c r="F57" s="16">
        <v>41703</v>
      </c>
      <c r="G57" s="16">
        <v>41730</v>
      </c>
      <c r="H57" s="17">
        <f t="shared" si="5"/>
        <v>21</v>
      </c>
      <c r="I57" s="1">
        <f t="shared" si="1"/>
        <v>21000</v>
      </c>
      <c r="J57" s="17"/>
      <c r="K57" s="17"/>
      <c r="L57" s="18">
        <f t="shared" si="6"/>
        <v>21000</v>
      </c>
      <c r="M57" s="29">
        <f>SUM('план на 2016'!$L58:M58)-SUM('членские взносы'!$M58:'членские взносы'!M58)</f>
        <v>21800</v>
      </c>
      <c r="N57" s="29">
        <f>SUM('план на 2016'!$L58:N58)-SUM('членские взносы'!$M58:'членские взносы'!N58)</f>
        <v>22600</v>
      </c>
      <c r="O57" s="29">
        <f>SUM('план на 2016'!$L58:O58)-SUM('членские взносы'!$M58:'членские взносы'!O58)</f>
        <v>23400</v>
      </c>
      <c r="P57" s="29">
        <f>SUM('план на 2016'!$L58:P58)-SUM('членские взносы'!$M58:'членские взносы'!P58)</f>
        <v>24200</v>
      </c>
      <c r="Q57" s="29">
        <f>SUM('план на 2016'!$L58:Q58)-SUM('членские взносы'!$M58:'членские взносы'!Q58)</f>
        <v>25000</v>
      </c>
      <c r="R57" s="29">
        <f>SUM('план на 2016'!$L58:R58)-SUM('членские взносы'!$M58:'членские взносы'!R58)</f>
        <v>25800</v>
      </c>
      <c r="S57" s="29">
        <f>SUM('план на 2016'!$L58:S58)-SUM('членские взносы'!$M58:'членские взносы'!S58)</f>
        <v>800</v>
      </c>
      <c r="T57" s="29">
        <f>SUM('план на 2016'!$L58:T58)-SUM('членские взносы'!$M58:'членские взносы'!T58)</f>
        <v>1600</v>
      </c>
      <c r="U57" s="29">
        <f>SUM('план на 2016'!$L58:U58)-SUM('членские взносы'!$M58:'членские взносы'!U58)</f>
        <v>2400</v>
      </c>
      <c r="V57" s="29">
        <f>SUM('план на 2016'!$L58:V58)-SUM('членские взносы'!$M58:'членские взносы'!V58)</f>
        <v>3200</v>
      </c>
      <c r="W57" s="29">
        <f>SUM('план на 2016'!$L58:W58)-SUM('членские взносы'!$M58:'членские взносы'!W58)</f>
        <v>4000</v>
      </c>
      <c r="X57" s="29">
        <f>SUM('план на 2016'!$L58:X58)-SUM('членские взносы'!$M58:'членские взносы'!X58)</f>
        <v>4800</v>
      </c>
      <c r="Y57" s="18">
        <f t="shared" si="4"/>
        <v>4800</v>
      </c>
    </row>
    <row r="58" spans="1:25">
      <c r="A58" s="41">
        <f>VLOOKUP(B58,справочник!$B$2:$E$322,4,FALSE)</f>
        <v>37</v>
      </c>
      <c r="B58" t="str">
        <f t="shared" si="3"/>
        <v>37Водянова Ольга Александровна</v>
      </c>
      <c r="C58" s="1">
        <v>37</v>
      </c>
      <c r="D58" s="2" t="s">
        <v>52</v>
      </c>
      <c r="E58" s="1" t="s">
        <v>370</v>
      </c>
      <c r="F58" s="16">
        <v>40795</v>
      </c>
      <c r="G58" s="16">
        <v>40787</v>
      </c>
      <c r="H58" s="17">
        <f t="shared" si="5"/>
        <v>52</v>
      </c>
      <c r="I58" s="1">
        <f t="shared" si="1"/>
        <v>52000</v>
      </c>
      <c r="J58" s="17">
        <f>48000+4000</f>
        <v>52000</v>
      </c>
      <c r="K58" s="17"/>
      <c r="L58" s="18">
        <f t="shared" si="6"/>
        <v>0</v>
      </c>
      <c r="M58" s="29">
        <f>SUM('план на 2016'!$L59:M59)-SUM('членские взносы'!$M59:'членские взносы'!M59)</f>
        <v>800</v>
      </c>
      <c r="N58" s="29">
        <f>SUM('план на 2016'!$L59:N59)-SUM('членские взносы'!$M59:'членские взносы'!N59)</f>
        <v>1600</v>
      </c>
      <c r="O58" s="29">
        <f>SUM('план на 2016'!$L59:O59)-SUM('членские взносы'!$M59:'членские взносы'!O59)</f>
        <v>2400</v>
      </c>
      <c r="P58" s="29">
        <f>SUM('план на 2016'!$L59:P59)-SUM('членские взносы'!$M59:'членские взносы'!P59)</f>
        <v>3200</v>
      </c>
      <c r="Q58" s="29">
        <f>SUM('план на 2016'!$L59:Q59)-SUM('членские взносы'!$M59:'членские взносы'!Q59)</f>
        <v>4000</v>
      </c>
      <c r="R58" s="29">
        <f>SUM('план на 2016'!$L59:R59)-SUM('членские взносы'!$M59:'членские взносы'!R59)</f>
        <v>4800</v>
      </c>
      <c r="S58" s="29">
        <f>SUM('план на 2016'!$L59:S59)-SUM('членские взносы'!$M59:'членские взносы'!S59)</f>
        <v>0</v>
      </c>
      <c r="T58" s="29">
        <f>SUM('план на 2016'!$L59:T59)-SUM('членские взносы'!$M59:'членские взносы'!T59)</f>
        <v>800</v>
      </c>
      <c r="U58" s="29">
        <f>SUM('план на 2016'!$L59:U59)-SUM('членские взносы'!$M59:'членские взносы'!U59)</f>
        <v>-2400</v>
      </c>
      <c r="V58" s="29">
        <f>SUM('план на 2016'!$L59:V59)-SUM('членские взносы'!$M59:'членские взносы'!V59)</f>
        <v>-1600</v>
      </c>
      <c r="W58" s="29">
        <f>SUM('план на 2016'!$L59:W59)-SUM('членские взносы'!$M59:'членские взносы'!W59)</f>
        <v>-800</v>
      </c>
      <c r="X58" s="29">
        <f>SUM('план на 2016'!$L59:X59)-SUM('членские взносы'!$M59:'членские взносы'!X59)</f>
        <v>0</v>
      </c>
      <c r="Y58" s="18">
        <f t="shared" si="4"/>
        <v>0</v>
      </c>
    </row>
    <row r="59" spans="1:25">
      <c r="A59" s="41">
        <f>VLOOKUP(B59,справочник!$B$2:$E$322,4,FALSE)</f>
        <v>126</v>
      </c>
      <c r="B59" t="str">
        <f t="shared" si="3"/>
        <v>131Волгушев Дмитрий Геннадиевич</v>
      </c>
      <c r="C59" s="1">
        <v>131</v>
      </c>
      <c r="D59" s="2" t="s">
        <v>53</v>
      </c>
      <c r="E59" s="1" t="s">
        <v>371</v>
      </c>
      <c r="F59" s="16">
        <v>41183</v>
      </c>
      <c r="G59" s="16">
        <v>41244</v>
      </c>
      <c r="H59" s="17">
        <f t="shared" si="5"/>
        <v>37</v>
      </c>
      <c r="I59" s="1">
        <f t="shared" si="1"/>
        <v>37000</v>
      </c>
      <c r="J59" s="17">
        <f>24000</f>
        <v>24000</v>
      </c>
      <c r="K59" s="17">
        <v>13000</v>
      </c>
      <c r="L59" s="18">
        <f t="shared" si="6"/>
        <v>0</v>
      </c>
      <c r="M59" s="29">
        <f>SUM('план на 2016'!$L60:M60)-SUM('членские взносы'!$M60:'членские взносы'!M60)</f>
        <v>800</v>
      </c>
      <c r="N59" s="29">
        <f>SUM('план на 2016'!$L60:N60)-SUM('членские взносы'!$M60:'членские взносы'!N60)</f>
        <v>1600</v>
      </c>
      <c r="O59" s="29">
        <f>SUM('план на 2016'!$L60:O60)-SUM('членские взносы'!$M60:'членские взносы'!O60)</f>
        <v>0</v>
      </c>
      <c r="P59" s="29">
        <f>SUM('план на 2016'!$L60:P60)-SUM('членские взносы'!$M60:'членские взносы'!P60)</f>
        <v>800</v>
      </c>
      <c r="Q59" s="29">
        <f>SUM('план на 2016'!$L60:Q60)-SUM('членские взносы'!$M60:'членские взносы'!Q60)</f>
        <v>1600</v>
      </c>
      <c r="R59" s="29">
        <f>SUM('план на 2016'!$L60:R60)-SUM('членские взносы'!$M60:'членские взносы'!R60)</f>
        <v>2400</v>
      </c>
      <c r="S59" s="29">
        <f>SUM('план на 2016'!$L60:S60)-SUM('членские взносы'!$M60:'членские взносы'!S60)</f>
        <v>3200</v>
      </c>
      <c r="T59" s="29">
        <f>SUM('план на 2016'!$L60:T60)-SUM('членские взносы'!$M60:'членские взносы'!T60)</f>
        <v>4000</v>
      </c>
      <c r="U59" s="29">
        <f>SUM('план на 2016'!$L60:U60)-SUM('членские взносы'!$M60:'членские взносы'!U60)</f>
        <v>4800</v>
      </c>
      <c r="V59" s="29">
        <f>SUM('план на 2016'!$L60:V60)-SUM('членские взносы'!$M60:'членские взносы'!V60)</f>
        <v>5600</v>
      </c>
      <c r="W59" s="29">
        <f>SUM('план на 2016'!$L60:W60)-SUM('членские взносы'!$M60:'членские взносы'!W60)</f>
        <v>6400</v>
      </c>
      <c r="X59" s="29">
        <f>SUM('план на 2016'!$L60:X60)-SUM('членские взносы'!$M60:'членские взносы'!X60)</f>
        <v>7200</v>
      </c>
      <c r="Y59" s="18">
        <f t="shared" si="4"/>
        <v>7200</v>
      </c>
    </row>
    <row r="60" spans="1:25">
      <c r="A60" s="41">
        <f>VLOOKUP(B60,справочник!$B$2:$E$322,4,FALSE)</f>
        <v>58</v>
      </c>
      <c r="B60" t="str">
        <f t="shared" si="3"/>
        <v>60Володина Инна Александровна</v>
      </c>
      <c r="C60" s="1">
        <v>60</v>
      </c>
      <c r="D60" s="2" t="s">
        <v>54</v>
      </c>
      <c r="E60" s="1" t="s">
        <v>372</v>
      </c>
      <c r="F60" s="16">
        <v>41303</v>
      </c>
      <c r="G60" s="16">
        <v>41306</v>
      </c>
      <c r="H60" s="17">
        <f t="shared" si="5"/>
        <v>35</v>
      </c>
      <c r="I60" s="1">
        <f t="shared" si="1"/>
        <v>35000</v>
      </c>
      <c r="J60" s="17">
        <f>31000</f>
        <v>31000</v>
      </c>
      <c r="K60" s="17"/>
      <c r="L60" s="18">
        <f t="shared" si="6"/>
        <v>4000</v>
      </c>
      <c r="M60" s="29">
        <f>SUM('план на 2016'!$L61:M61)-SUM('членские взносы'!$M61:'членские взносы'!M61)</f>
        <v>4800</v>
      </c>
      <c r="N60" s="29">
        <f>SUM('план на 2016'!$L61:N61)-SUM('членские взносы'!$M61:'членские взносы'!N61)</f>
        <v>5600</v>
      </c>
      <c r="O60" s="29">
        <f>SUM('план на 2016'!$L61:O61)-SUM('членские взносы'!$M61:'членские взносы'!O61)</f>
        <v>4000</v>
      </c>
      <c r="P60" s="29">
        <f>SUM('план на 2016'!$L61:P61)-SUM('членские взносы'!$M61:'членские взносы'!P61)</f>
        <v>4800</v>
      </c>
      <c r="Q60" s="29">
        <f>SUM('план на 2016'!$L61:Q61)-SUM('членские взносы'!$M61:'членские взносы'!Q61)</f>
        <v>5600</v>
      </c>
      <c r="R60" s="29">
        <f>SUM('план на 2016'!$L61:R61)-SUM('членские взносы'!$M61:'членские взносы'!R61)</f>
        <v>800</v>
      </c>
      <c r="S60" s="29">
        <f>SUM('план на 2016'!$L61:S61)-SUM('членские взносы'!$M61:'членские взносы'!S61)</f>
        <v>1600</v>
      </c>
      <c r="T60" s="29">
        <f>SUM('план на 2016'!$L61:T61)-SUM('членские взносы'!$M61:'членские взносы'!T61)</f>
        <v>2400</v>
      </c>
      <c r="U60" s="29">
        <f>SUM('план на 2016'!$L61:U61)-SUM('членские взносы'!$M61:'членские взносы'!U61)</f>
        <v>3200</v>
      </c>
      <c r="V60" s="29">
        <f>SUM('план на 2016'!$L61:V61)-SUM('членские взносы'!$M61:'членские взносы'!V61)</f>
        <v>4000</v>
      </c>
      <c r="W60" s="29">
        <f>SUM('план на 2016'!$L61:W61)-SUM('членские взносы'!$M61:'членские взносы'!W61)</f>
        <v>4800</v>
      </c>
      <c r="X60" s="29">
        <f>SUM('план на 2016'!$L61:X61)-SUM('членские взносы'!$M61:'членские взносы'!X61)</f>
        <v>5600</v>
      </c>
      <c r="Y60" s="18">
        <f t="shared" si="4"/>
        <v>5600</v>
      </c>
    </row>
    <row r="61" spans="1:25">
      <c r="A61" s="41">
        <f>VLOOKUP(B61,справочник!$B$2:$E$322,4,FALSE)</f>
        <v>117</v>
      </c>
      <c r="B61" t="str">
        <f t="shared" si="3"/>
        <v>122Вольский Андрей Юрьевич</v>
      </c>
      <c r="C61" s="1">
        <v>122</v>
      </c>
      <c r="D61" s="2" t="s">
        <v>55</v>
      </c>
      <c r="E61" s="1" t="s">
        <v>373</v>
      </c>
      <c r="F61" s="16">
        <v>41407</v>
      </c>
      <c r="G61" s="16">
        <v>41426</v>
      </c>
      <c r="H61" s="17">
        <f t="shared" si="5"/>
        <v>31</v>
      </c>
      <c r="I61" s="1">
        <f t="shared" si="1"/>
        <v>31000</v>
      </c>
      <c r="J61" s="17">
        <f>12000</f>
        <v>12000</v>
      </c>
      <c r="K61" s="17"/>
      <c r="L61" s="18">
        <f t="shared" si="6"/>
        <v>19000</v>
      </c>
      <c r="M61" s="29">
        <f>SUM('план на 2016'!$L62:M62)-SUM('членские взносы'!$M62:'членские взносы'!M62)</f>
        <v>19800</v>
      </c>
      <c r="N61" s="29">
        <f>SUM('план на 2016'!$L62:N62)-SUM('членские взносы'!$M62:'членские взносы'!N62)</f>
        <v>20600</v>
      </c>
      <c r="O61" s="29">
        <f>SUM('план на 2016'!$L62:O62)-SUM('членские взносы'!$M62:'членские взносы'!O62)</f>
        <v>21400</v>
      </c>
      <c r="P61" s="29">
        <f>SUM('план на 2016'!$L62:P62)-SUM('членские взносы'!$M62:'членские взносы'!P62)</f>
        <v>22200</v>
      </c>
      <c r="Q61" s="29">
        <f>SUM('план на 2016'!$L62:Q62)-SUM('членские взносы'!$M62:'членские взносы'!Q62)</f>
        <v>23000</v>
      </c>
      <c r="R61" s="29">
        <f>SUM('план на 2016'!$L62:R62)-SUM('членские взносы'!$M62:'членские взносы'!R62)</f>
        <v>23800</v>
      </c>
      <c r="S61" s="29">
        <f>SUM('план на 2016'!$L62:S62)-SUM('членские взносы'!$M62:'членские взносы'!S62)</f>
        <v>24600</v>
      </c>
      <c r="T61" s="29">
        <f>SUM('план на 2016'!$L62:T62)-SUM('членские взносы'!$M62:'членские взносы'!T62)</f>
        <v>25400</v>
      </c>
      <c r="U61" s="29">
        <f>SUM('план на 2016'!$L62:U62)-SUM('членские взносы'!$M62:'членские взносы'!U62)</f>
        <v>26200</v>
      </c>
      <c r="V61" s="29">
        <f>SUM('план на 2016'!$L62:V62)-SUM('членские взносы'!$M62:'членские взносы'!V62)</f>
        <v>27000</v>
      </c>
      <c r="W61" s="29">
        <f>SUM('план на 2016'!$L62:W62)-SUM('членские взносы'!$M62:'членские взносы'!W62)</f>
        <v>27800</v>
      </c>
      <c r="X61" s="29">
        <f>SUM('план на 2016'!$L62:X62)-SUM('членские взносы'!$M62:'членские взносы'!X62)</f>
        <v>28600</v>
      </c>
      <c r="Y61" s="18">
        <f t="shared" si="4"/>
        <v>28600</v>
      </c>
    </row>
    <row r="62" spans="1:25">
      <c r="A62" s="41">
        <f>VLOOKUP(B62,справочник!$B$2:$E$322,4,FALSE)</f>
        <v>61</v>
      </c>
      <c r="B62" t="str">
        <f t="shared" si="3"/>
        <v>63Высоких Антон Маркович</v>
      </c>
      <c r="C62" s="1">
        <v>63</v>
      </c>
      <c r="D62" s="2" t="s">
        <v>56</v>
      </c>
      <c r="E62" s="1" t="s">
        <v>374</v>
      </c>
      <c r="F62" s="16">
        <v>40921</v>
      </c>
      <c r="G62" s="16">
        <v>40909</v>
      </c>
      <c r="H62" s="17">
        <f t="shared" si="5"/>
        <v>48</v>
      </c>
      <c r="I62" s="1">
        <f t="shared" si="1"/>
        <v>48000</v>
      </c>
      <c r="J62" s="17">
        <f>27000</f>
        <v>27000</v>
      </c>
      <c r="K62" s="17"/>
      <c r="L62" s="18">
        <f t="shared" si="6"/>
        <v>21000</v>
      </c>
      <c r="M62" s="29">
        <f>SUM('план на 2016'!$L63:M63)-SUM('членские взносы'!$M63:'членские взносы'!M63)</f>
        <v>21800</v>
      </c>
      <c r="N62" s="29">
        <f>SUM('план на 2016'!$L63:N63)-SUM('членские взносы'!$M63:'членские взносы'!N63)</f>
        <v>22600</v>
      </c>
      <c r="O62" s="29">
        <f>SUM('план на 2016'!$L63:O63)-SUM('членские взносы'!$M63:'членские взносы'!O63)</f>
        <v>23400</v>
      </c>
      <c r="P62" s="29">
        <f>SUM('план на 2016'!$L63:P63)-SUM('членские взносы'!$M63:'членские взносы'!P63)</f>
        <v>24200</v>
      </c>
      <c r="Q62" s="29">
        <f>SUM('план на 2016'!$L63:Q63)-SUM('членские взносы'!$M63:'членские взносы'!Q63)</f>
        <v>25000</v>
      </c>
      <c r="R62" s="29">
        <f>SUM('план на 2016'!$L63:R63)-SUM('членские взносы'!$M63:'членские взносы'!R63)</f>
        <v>25800</v>
      </c>
      <c r="S62" s="29">
        <f>SUM('план на 2016'!$L63:S63)-SUM('членские взносы'!$M63:'членские взносы'!S63)</f>
        <v>26600</v>
      </c>
      <c r="T62" s="29">
        <f>SUM('план на 2016'!$L63:T63)-SUM('членские взносы'!$M63:'членские взносы'!T63)</f>
        <v>27400</v>
      </c>
      <c r="U62" s="29">
        <f>SUM('план на 2016'!$L63:U63)-SUM('членские взносы'!$M63:'членские взносы'!U63)</f>
        <v>28200</v>
      </c>
      <c r="V62" s="29">
        <f>SUM('план на 2016'!$L63:V63)-SUM('членские взносы'!$M63:'членские взносы'!V63)</f>
        <v>29000</v>
      </c>
      <c r="W62" s="29">
        <f>SUM('план на 2016'!$L63:W63)-SUM('членские взносы'!$M63:'членские взносы'!W63)</f>
        <v>29800</v>
      </c>
      <c r="X62" s="29">
        <f>SUM('план на 2016'!$L63:X63)-SUM('членские взносы'!$M63:'членские взносы'!X63)</f>
        <v>30600</v>
      </c>
      <c r="Y62" s="18">
        <f t="shared" si="4"/>
        <v>30600</v>
      </c>
    </row>
    <row r="63" spans="1:25">
      <c r="A63" s="41">
        <f>VLOOKUP(B63,справочник!$B$2:$E$322,4,FALSE)</f>
        <v>294</v>
      </c>
      <c r="B63" t="str">
        <f t="shared" si="3"/>
        <v>309Гайкова (Дьякова) Мария Викторовна</v>
      </c>
      <c r="C63" s="1">
        <v>309</v>
      </c>
      <c r="D63" s="2" t="s">
        <v>57</v>
      </c>
      <c r="E63" s="1" t="s">
        <v>375</v>
      </c>
      <c r="F63" s="16">
        <v>40953</v>
      </c>
      <c r="G63" s="16">
        <v>40940</v>
      </c>
      <c r="H63" s="17">
        <f t="shared" si="5"/>
        <v>47</v>
      </c>
      <c r="I63" s="1">
        <f t="shared" si="1"/>
        <v>47000</v>
      </c>
      <c r="J63" s="17">
        <v>47000</v>
      </c>
      <c r="K63" s="17"/>
      <c r="L63" s="18">
        <f t="shared" si="6"/>
        <v>0</v>
      </c>
      <c r="M63" s="29">
        <f>SUM('план на 2016'!$L64:M64)-SUM('членские взносы'!$M64:'членские взносы'!M64)</f>
        <v>-8800</v>
      </c>
      <c r="N63" s="29">
        <f>SUM('план на 2016'!$L64:N64)-SUM('членские взносы'!$M64:'членские взносы'!N64)</f>
        <v>-8000</v>
      </c>
      <c r="O63" s="29">
        <f>SUM('план на 2016'!$L64:O64)-SUM('членские взносы'!$M64:'членские взносы'!O64)</f>
        <v>-7200</v>
      </c>
      <c r="P63" s="29">
        <f>SUM('план на 2016'!$L64:P64)-SUM('членские взносы'!$M64:'членские взносы'!P64)</f>
        <v>-6400</v>
      </c>
      <c r="Q63" s="29">
        <f>SUM('план на 2016'!$L64:Q64)-SUM('членские взносы'!$M64:'членские взносы'!Q64)</f>
        <v>-5600</v>
      </c>
      <c r="R63" s="29">
        <f>SUM('план на 2016'!$L64:R64)-SUM('членские взносы'!$M64:'членские взносы'!R64)</f>
        <v>-4800</v>
      </c>
      <c r="S63" s="29">
        <f>SUM('план на 2016'!$L64:S64)-SUM('членские взносы'!$M64:'членские взносы'!S64)</f>
        <v>-4000</v>
      </c>
      <c r="T63" s="29">
        <f>SUM('план на 2016'!$L64:T64)-SUM('членские взносы'!$M64:'членские взносы'!T64)</f>
        <v>-3200</v>
      </c>
      <c r="U63" s="29">
        <f>SUM('план на 2016'!$L64:U64)-SUM('членские взносы'!$M64:'членские взносы'!U64)</f>
        <v>-2400</v>
      </c>
      <c r="V63" s="29">
        <f>SUM('план на 2016'!$L64:V64)-SUM('членские взносы'!$M64:'членские взносы'!V64)</f>
        <v>-1600</v>
      </c>
      <c r="W63" s="29">
        <f>SUM('план на 2016'!$L64:W64)-SUM('членские взносы'!$M64:'членские взносы'!W64)</f>
        <v>-800</v>
      </c>
      <c r="X63" s="29">
        <f>SUM('план на 2016'!$L64:X64)-SUM('членские взносы'!$M64:'членские взносы'!X64)</f>
        <v>0</v>
      </c>
      <c r="Y63" s="18">
        <f t="shared" si="4"/>
        <v>0</v>
      </c>
    </row>
    <row r="64" spans="1:25">
      <c r="A64" s="41">
        <f>VLOOKUP(B64,справочник!$B$2:$E$322,4,FALSE)</f>
        <v>286</v>
      </c>
      <c r="B64" t="str">
        <f t="shared" si="3"/>
        <v>298Ганин Александр Борисович</v>
      </c>
      <c r="C64" s="1">
        <v>298</v>
      </c>
      <c r="D64" s="2" t="s">
        <v>58</v>
      </c>
      <c r="E64" s="1" t="s">
        <v>376</v>
      </c>
      <c r="F64" s="16">
        <v>41791</v>
      </c>
      <c r="G64" s="16">
        <v>41791</v>
      </c>
      <c r="H64" s="17">
        <f t="shared" si="5"/>
        <v>19</v>
      </c>
      <c r="I64" s="1">
        <f t="shared" si="1"/>
        <v>19000</v>
      </c>
      <c r="J64" s="17">
        <v>19000</v>
      </c>
      <c r="K64" s="17"/>
      <c r="L64" s="18">
        <f t="shared" si="6"/>
        <v>0</v>
      </c>
      <c r="M64" s="29">
        <f>SUM('план на 2016'!$L65:M65)-SUM('членские взносы'!$M65:'членские взносы'!M65)</f>
        <v>800</v>
      </c>
      <c r="N64" s="29">
        <f>SUM('план на 2016'!$L65:N65)-SUM('членские взносы'!$M65:'членские взносы'!N65)</f>
        <v>-6400</v>
      </c>
      <c r="O64" s="29">
        <f>SUM('план на 2016'!$L65:O65)-SUM('членские взносы'!$M65:'членские взносы'!O65)</f>
        <v>-5600</v>
      </c>
      <c r="P64" s="29">
        <f>SUM('план на 2016'!$L65:P65)-SUM('членские взносы'!$M65:'членские взносы'!P65)</f>
        <v>-4800</v>
      </c>
      <c r="Q64" s="29">
        <f>SUM('план на 2016'!$L65:Q65)-SUM('членские взносы'!$M65:'членские взносы'!Q65)</f>
        <v>-4000</v>
      </c>
      <c r="R64" s="29">
        <f>SUM('план на 2016'!$L65:R65)-SUM('членские взносы'!$M65:'членские взносы'!R65)</f>
        <v>-7200</v>
      </c>
      <c r="S64" s="29">
        <f>SUM('план на 2016'!$L65:S65)-SUM('членские взносы'!$M65:'членские взносы'!S65)</f>
        <v>-9400</v>
      </c>
      <c r="T64" s="29">
        <f>SUM('план на 2016'!$L65:T65)-SUM('членские взносы'!$M65:'членские взносы'!T65)</f>
        <v>-8600</v>
      </c>
      <c r="U64" s="29">
        <f>SUM('план на 2016'!$L65:U65)-SUM('членские взносы'!$M65:'членские взносы'!U65)</f>
        <v>-7800</v>
      </c>
      <c r="V64" s="29">
        <f>SUM('план на 2016'!$L65:V65)-SUM('членские взносы'!$M65:'членские взносы'!V65)</f>
        <v>-7000</v>
      </c>
      <c r="W64" s="29">
        <f>SUM('план на 2016'!$L65:W65)-SUM('членские взносы'!$M65:'членские взносы'!W65)</f>
        <v>-6200</v>
      </c>
      <c r="X64" s="29">
        <f>SUM('план на 2016'!$L65:X65)-SUM('членские взносы'!$M65:'членские взносы'!X65)</f>
        <v>-11400</v>
      </c>
      <c r="Y64" s="18">
        <f t="shared" si="4"/>
        <v>-11400</v>
      </c>
    </row>
    <row r="65" spans="1:25">
      <c r="A65" s="41">
        <f>VLOOKUP(B65,справочник!$B$2:$E$322,4,FALSE)</f>
        <v>64</v>
      </c>
      <c r="B65" t="str">
        <f t="shared" si="3"/>
        <v>66Горбунов Владимир Александрович</v>
      </c>
      <c r="C65" s="1">
        <v>66</v>
      </c>
      <c r="D65" s="2" t="s">
        <v>59</v>
      </c>
      <c r="E65" s="1" t="s">
        <v>377</v>
      </c>
      <c r="F65" s="16">
        <v>40772</v>
      </c>
      <c r="G65" s="16">
        <v>40756</v>
      </c>
      <c r="H65" s="17">
        <f t="shared" si="5"/>
        <v>53</v>
      </c>
      <c r="I65" s="1">
        <f t="shared" si="1"/>
        <v>53000</v>
      </c>
      <c r="J65" s="17">
        <f>1000+45000</f>
        <v>46000</v>
      </c>
      <c r="K65" s="17"/>
      <c r="L65" s="18">
        <f t="shared" si="6"/>
        <v>7000</v>
      </c>
      <c r="M65" s="29">
        <f>SUM('план на 2016'!$L66:M66)-SUM('членские взносы'!$M66:'членские взносы'!M66)</f>
        <v>4800</v>
      </c>
      <c r="N65" s="29">
        <f>SUM('план на 2016'!$L66:N66)-SUM('членские взносы'!$M66:'членские взносы'!N66)</f>
        <v>5600</v>
      </c>
      <c r="O65" s="29">
        <f>SUM('план на 2016'!$L66:O66)-SUM('членские взносы'!$M66:'членские взносы'!O66)</f>
        <v>4800</v>
      </c>
      <c r="P65" s="29">
        <f>SUM('план на 2016'!$L66:P66)-SUM('членские взносы'!$M66:'членские взносы'!P66)</f>
        <v>5600</v>
      </c>
      <c r="Q65" s="29">
        <f>SUM('план на 2016'!$L66:Q66)-SUM('членские взносы'!$M66:'членские взносы'!Q66)</f>
        <v>6400</v>
      </c>
      <c r="R65" s="29">
        <f>SUM('план на 2016'!$L66:R66)-SUM('членские взносы'!$M66:'членские взносы'!R66)</f>
        <v>5600</v>
      </c>
      <c r="S65" s="29">
        <f>SUM('план на 2016'!$L66:S66)-SUM('членские взносы'!$M66:'членские взносы'!S66)</f>
        <v>2400</v>
      </c>
      <c r="T65" s="29">
        <f>SUM('план на 2016'!$L66:T66)-SUM('членские взносы'!$M66:'членские взносы'!T66)</f>
        <v>3200</v>
      </c>
      <c r="U65" s="29">
        <f>SUM('план на 2016'!$L66:U66)-SUM('членские взносы'!$M66:'членские взносы'!U66)</f>
        <v>3200</v>
      </c>
      <c r="V65" s="29">
        <f>SUM('план на 2016'!$L66:V66)-SUM('членские взносы'!$M66:'членские взносы'!V66)</f>
        <v>3200</v>
      </c>
      <c r="W65" s="29">
        <f>SUM('план на 2016'!$L66:W66)-SUM('членские взносы'!$M66:'членские взносы'!W66)</f>
        <v>3200</v>
      </c>
      <c r="X65" s="29">
        <f>SUM('план на 2016'!$L66:X66)-SUM('членские взносы'!$M66:'членские взносы'!X66)</f>
        <v>2400</v>
      </c>
      <c r="Y65" s="18">
        <f t="shared" si="4"/>
        <v>2400</v>
      </c>
    </row>
    <row r="66" spans="1:25">
      <c r="A66" s="41">
        <f>VLOOKUP(B66,справочник!$B$2:$E$322,4,FALSE)</f>
        <v>94</v>
      </c>
      <c r="B66" t="str">
        <f t="shared" si="3"/>
        <v>99Горбунов Максим Николаевич</v>
      </c>
      <c r="C66" s="1">
        <v>99</v>
      </c>
      <c r="D66" s="2" t="s">
        <v>60</v>
      </c>
      <c r="E66" s="1" t="s">
        <v>378</v>
      </c>
      <c r="F66" s="16">
        <v>40774</v>
      </c>
      <c r="G66" s="16">
        <v>40756</v>
      </c>
      <c r="H66" s="17">
        <f t="shared" si="5"/>
        <v>53</v>
      </c>
      <c r="I66" s="1">
        <f t="shared" si="1"/>
        <v>53000</v>
      </c>
      <c r="J66" s="17">
        <f>42000+5000</f>
        <v>47000</v>
      </c>
      <c r="K66" s="17"/>
      <c r="L66" s="18">
        <f t="shared" si="6"/>
        <v>6000</v>
      </c>
      <c r="M66" s="29">
        <f>SUM('план на 2016'!$L67:M67)-SUM('членские взносы'!$M67:'членские взносы'!M67)</f>
        <v>6800</v>
      </c>
      <c r="N66" s="29">
        <f>SUM('план на 2016'!$L67:N67)-SUM('членские взносы'!$M67:'членские взносы'!N67)</f>
        <v>7600</v>
      </c>
      <c r="O66" s="29">
        <f>SUM('план на 2016'!$L67:O67)-SUM('членские взносы'!$M67:'членские взносы'!O67)</f>
        <v>8400</v>
      </c>
      <c r="P66" s="29">
        <f>SUM('план на 2016'!$L67:P67)-SUM('членские взносы'!$M67:'членские взносы'!P67)</f>
        <v>9200</v>
      </c>
      <c r="Q66" s="29">
        <f>SUM('план на 2016'!$L67:Q67)-SUM('членские взносы'!$M67:'членские взносы'!Q67)</f>
        <v>10000</v>
      </c>
      <c r="R66" s="29">
        <f>SUM('план на 2016'!$L67:R67)-SUM('членские взносы'!$M67:'членские взносы'!R67)</f>
        <v>10800</v>
      </c>
      <c r="S66" s="29">
        <f>SUM('план на 2016'!$L67:S67)-SUM('членские взносы'!$M67:'членские взносы'!S67)</f>
        <v>11600</v>
      </c>
      <c r="T66" s="29">
        <f>SUM('план на 2016'!$L67:T67)-SUM('членские взносы'!$M67:'членские взносы'!T67)</f>
        <v>12400</v>
      </c>
      <c r="U66" s="29">
        <f>SUM('план на 2016'!$L67:U67)-SUM('членские взносы'!$M67:'членские взносы'!U67)</f>
        <v>13200</v>
      </c>
      <c r="V66" s="29">
        <f>SUM('план на 2016'!$L67:V67)-SUM('членские взносы'!$M67:'членские взносы'!V67)</f>
        <v>14000</v>
      </c>
      <c r="W66" s="29">
        <f>SUM('план на 2016'!$L67:W67)-SUM('членские взносы'!$M67:'членские взносы'!W67)</f>
        <v>14800</v>
      </c>
      <c r="X66" s="29">
        <f>SUM('план на 2016'!$L67:X67)-SUM('членские взносы'!$M67:'членские взносы'!X67)</f>
        <v>15600</v>
      </c>
      <c r="Y66" s="18">
        <f t="shared" si="4"/>
        <v>15600</v>
      </c>
    </row>
    <row r="67" spans="1:25">
      <c r="A67" s="41">
        <f>VLOOKUP(B67,справочник!$B$2:$E$322,4,FALSE)</f>
        <v>39</v>
      </c>
      <c r="B67" t="str">
        <f t="shared" si="3"/>
        <v>39Гордейчик Игорь Борисович</v>
      </c>
      <c r="C67" s="1">
        <v>39</v>
      </c>
      <c r="D67" s="2" t="s">
        <v>61</v>
      </c>
      <c r="E67" s="1" t="s">
        <v>379</v>
      </c>
      <c r="F67" s="16">
        <v>40698</v>
      </c>
      <c r="G67" s="16">
        <v>40695</v>
      </c>
      <c r="H67" s="17">
        <f t="shared" si="5"/>
        <v>55</v>
      </c>
      <c r="I67" s="1">
        <f>H67*1000</f>
        <v>55000</v>
      </c>
      <c r="J67" s="17">
        <f>1000+42000</f>
        <v>43000</v>
      </c>
      <c r="K67" s="17"/>
      <c r="L67" s="18">
        <f t="shared" si="6"/>
        <v>12000</v>
      </c>
      <c r="M67" s="29">
        <f>SUM('план на 2016'!$L68:M68)-SUM('членские взносы'!$M68:'членские взносы'!M68)</f>
        <v>12800</v>
      </c>
      <c r="N67" s="29">
        <f>SUM('план на 2016'!$L68:N68)-SUM('членские взносы'!$M68:'членские взносы'!N68)</f>
        <v>13600</v>
      </c>
      <c r="O67" s="29">
        <f>SUM('план на 2016'!$L68:O68)-SUM('членские взносы'!$M68:'членские взносы'!O68)</f>
        <v>14400</v>
      </c>
      <c r="P67" s="29">
        <f>SUM('план на 2016'!$L68:P68)-SUM('членские взносы'!$M68:'членские взносы'!P68)</f>
        <v>15200</v>
      </c>
      <c r="Q67" s="29">
        <f>SUM('план на 2016'!$L68:Q68)-SUM('членские взносы'!$M68:'членские взносы'!Q68)</f>
        <v>16000</v>
      </c>
      <c r="R67" s="29">
        <f>SUM('план на 2016'!$L68:R68)-SUM('членские взносы'!$M68:'членские взносы'!R68)</f>
        <v>16800</v>
      </c>
      <c r="S67" s="29">
        <f>SUM('план на 2016'!$L68:S68)-SUM('членские взносы'!$M68:'членские взносы'!S68)</f>
        <v>17600</v>
      </c>
      <c r="T67" s="29">
        <f>SUM('план на 2016'!$L68:T68)-SUM('членские взносы'!$M68:'членские взносы'!T68)</f>
        <v>18400</v>
      </c>
      <c r="U67" s="29">
        <f>SUM('план на 2016'!$L68:U68)-SUM('членские взносы'!$M68:'членские взносы'!U68)</f>
        <v>9600</v>
      </c>
      <c r="V67" s="29">
        <f>SUM('план на 2016'!$L68:V68)-SUM('членские взносы'!$M68:'членские взносы'!V68)</f>
        <v>10400</v>
      </c>
      <c r="W67" s="29">
        <f>SUM('план на 2016'!$L68:W68)-SUM('членские взносы'!$M68:'членские взносы'!W68)</f>
        <v>11200</v>
      </c>
      <c r="X67" s="29">
        <f>SUM('план на 2016'!$L68:X68)-SUM('членские взносы'!$M68:'членские взносы'!X68)</f>
        <v>12000</v>
      </c>
      <c r="Y67" s="18">
        <f t="shared" si="4"/>
        <v>12000</v>
      </c>
    </row>
    <row r="68" spans="1:25">
      <c r="A68" s="41">
        <f>VLOOKUP(B68,справочник!$B$2:$E$322,4,FALSE)</f>
        <v>276</v>
      </c>
      <c r="B68" t="str">
        <f t="shared" si="3"/>
        <v>289Горянов Михаил Андреевич</v>
      </c>
      <c r="C68" s="1">
        <v>289</v>
      </c>
      <c r="D68" s="2" t="s">
        <v>62</v>
      </c>
      <c r="E68" s="1" t="s">
        <v>380</v>
      </c>
      <c r="F68" s="16">
        <v>40890</v>
      </c>
      <c r="G68" s="16">
        <v>40878</v>
      </c>
      <c r="H68" s="17">
        <f t="shared" si="5"/>
        <v>49</v>
      </c>
      <c r="I68" s="1">
        <f>H68*1000</f>
        <v>49000</v>
      </c>
      <c r="J68" s="17">
        <f>1000+36000</f>
        <v>37000</v>
      </c>
      <c r="K68" s="17"/>
      <c r="L68" s="18">
        <f t="shared" si="6"/>
        <v>12000</v>
      </c>
      <c r="M68" s="29">
        <f>SUM('план на 2016'!$L69:M69)-SUM('членские взносы'!$M69:'членские взносы'!M69)</f>
        <v>12800</v>
      </c>
      <c r="N68" s="29">
        <f>SUM('план на 2016'!$L69:N69)-SUM('членские взносы'!$M69:'членские взносы'!N69)</f>
        <v>13600</v>
      </c>
      <c r="O68" s="29">
        <f>SUM('план на 2016'!$L69:O69)-SUM('членские взносы'!$M69:'членские взносы'!O69)</f>
        <v>14400</v>
      </c>
      <c r="P68" s="29">
        <f>SUM('план на 2016'!$L69:P69)-SUM('членские взносы'!$M69:'членские взносы'!P69)</f>
        <v>15200</v>
      </c>
      <c r="Q68" s="29">
        <f>SUM('план на 2016'!$L69:Q69)-SUM('членские взносы'!$M69:'членские взносы'!Q69)</f>
        <v>16000</v>
      </c>
      <c r="R68" s="29">
        <f>SUM('план на 2016'!$L69:R69)-SUM('членские взносы'!$M69:'членские взносы'!R69)</f>
        <v>-4800</v>
      </c>
      <c r="S68" s="29">
        <f>SUM('план на 2016'!$L69:S69)-SUM('членские взносы'!$M69:'членские взносы'!S69)</f>
        <v>-4000</v>
      </c>
      <c r="T68" s="29">
        <f>SUM('план на 2016'!$L69:T69)-SUM('членские взносы'!$M69:'членские взносы'!T69)</f>
        <v>-3200</v>
      </c>
      <c r="U68" s="29">
        <f>SUM('план на 2016'!$L69:U69)-SUM('членские взносы'!$M69:'членские взносы'!U69)</f>
        <v>-2400</v>
      </c>
      <c r="V68" s="29">
        <f>SUM('план на 2016'!$L69:V69)-SUM('членские взносы'!$M69:'членские взносы'!V69)</f>
        <v>-1600</v>
      </c>
      <c r="W68" s="29">
        <f>SUM('план на 2016'!$L69:W69)-SUM('членские взносы'!$M69:'членские взносы'!W69)</f>
        <v>-800</v>
      </c>
      <c r="X68" s="29">
        <f>SUM('план на 2016'!$L69:X69)-SUM('членские взносы'!$M69:'членские взносы'!X69)</f>
        <v>0</v>
      </c>
      <c r="Y68" s="18">
        <f t="shared" si="4"/>
        <v>0</v>
      </c>
    </row>
    <row r="69" spans="1:25">
      <c r="A69" s="41">
        <f>VLOOKUP(B69,справочник!$B$2:$E$322,4,FALSE)</f>
        <v>148</v>
      </c>
      <c r="B69" t="str">
        <f t="shared" ref="B69:B132" si="7">CONCATENATE(C69,D69)</f>
        <v>156Горячев Дмитрий Николаевич</v>
      </c>
      <c r="C69" s="1">
        <v>156</v>
      </c>
      <c r="D69" s="2" t="s">
        <v>63</v>
      </c>
      <c r="E69" s="1" t="s">
        <v>381</v>
      </c>
      <c r="F69" s="16">
        <v>41008</v>
      </c>
      <c r="G69" s="16">
        <v>41000</v>
      </c>
      <c r="H69" s="17">
        <f t="shared" si="5"/>
        <v>45</v>
      </c>
      <c r="I69" s="1">
        <f>H69*1000</f>
        <v>45000</v>
      </c>
      <c r="J69" s="17">
        <f>12000</f>
        <v>12000</v>
      </c>
      <c r="K69" s="17"/>
      <c r="L69" s="18">
        <f t="shared" si="6"/>
        <v>33000</v>
      </c>
      <c r="M69" s="29">
        <f>SUM('план на 2016'!$L70:M70)-SUM('членские взносы'!$M70:'членские взносы'!M70)</f>
        <v>33800</v>
      </c>
      <c r="N69" s="29">
        <f>SUM('план на 2016'!$L70:N70)-SUM('членские взносы'!$M70:'членские взносы'!N70)</f>
        <v>32800</v>
      </c>
      <c r="O69" s="29">
        <f>SUM('план на 2016'!$L70:O70)-SUM('членские взносы'!$M70:'членские взносы'!O70)</f>
        <v>31800</v>
      </c>
      <c r="P69" s="29">
        <f>SUM('план на 2016'!$L70:P70)-SUM('членские взносы'!$M70:'членские взносы'!P70)</f>
        <v>30800</v>
      </c>
      <c r="Q69" s="29">
        <f>SUM('план на 2016'!$L70:Q70)-SUM('членские взносы'!$M70:'членские взносы'!Q70)</f>
        <v>31600</v>
      </c>
      <c r="R69" s="29">
        <f>SUM('план на 2016'!$L70:R70)-SUM('членские взносы'!$M70:'членские взносы'!R70)</f>
        <v>32400</v>
      </c>
      <c r="S69" s="29">
        <f>SUM('план на 2016'!$L70:S70)-SUM('членские взносы'!$M70:'членские взносы'!S70)</f>
        <v>33200</v>
      </c>
      <c r="T69" s="29">
        <f>SUM('план на 2016'!$L70:T70)-SUM('членские взносы'!$M70:'членские взносы'!T70)</f>
        <v>34000</v>
      </c>
      <c r="U69" s="29">
        <f>SUM('план на 2016'!$L70:U70)-SUM('членские взносы'!$M70:'членские взносы'!U70)</f>
        <v>34800</v>
      </c>
      <c r="V69" s="29">
        <f>SUM('план на 2016'!$L70:V70)-SUM('членские взносы'!$M70:'членские взносы'!V70)</f>
        <v>35600</v>
      </c>
      <c r="W69" s="29">
        <f>SUM('план на 2016'!$L70:W70)-SUM('членские взносы'!$M70:'членские взносы'!W70)</f>
        <v>36400</v>
      </c>
      <c r="X69" s="29">
        <f>SUM('план на 2016'!$L70:X70)-SUM('членские взносы'!$M70:'членские взносы'!X70)</f>
        <v>37200</v>
      </c>
      <c r="Y69" s="18">
        <f t="shared" ref="Y69:Y132" si="8">X69</f>
        <v>37200</v>
      </c>
    </row>
    <row r="70" spans="1:25">
      <c r="A70" s="41">
        <f>VLOOKUP(B70,справочник!$B$2:$E$322,4,FALSE)</f>
        <v>308</v>
      </c>
      <c r="B70" t="str">
        <f t="shared" si="7"/>
        <v>323Губарева Татьяна Григорьевна</v>
      </c>
      <c r="C70" s="1">
        <v>323</v>
      </c>
      <c r="D70" s="2" t="s">
        <v>64</v>
      </c>
      <c r="E70" s="1" t="s">
        <v>382</v>
      </c>
      <c r="F70" s="16">
        <v>42025</v>
      </c>
      <c r="G70" s="16">
        <v>42036</v>
      </c>
      <c r="H70" s="17">
        <f t="shared" si="5"/>
        <v>11</v>
      </c>
      <c r="I70" s="1">
        <f>H70*1000</f>
        <v>11000</v>
      </c>
      <c r="J70" s="17">
        <v>3000</v>
      </c>
      <c r="K70" s="17"/>
      <c r="L70" s="18">
        <f t="shared" si="6"/>
        <v>8000</v>
      </c>
      <c r="M70" s="29">
        <f>SUM('план на 2016'!$L71:M71)-SUM('членские взносы'!$M71:'членские взносы'!M71)</f>
        <v>8800</v>
      </c>
      <c r="N70" s="29">
        <f>SUM('план на 2016'!$L71:N71)-SUM('членские взносы'!$M71:'членские взносы'!N71)</f>
        <v>9600</v>
      </c>
      <c r="O70" s="29">
        <f>SUM('план на 2016'!$L71:O71)-SUM('членские взносы'!$M71:'членские взносы'!O71)</f>
        <v>10400</v>
      </c>
      <c r="P70" s="29">
        <f>SUM('план на 2016'!$L71:P71)-SUM('членские взносы'!$M71:'членские взносы'!P71)</f>
        <v>11200</v>
      </c>
      <c r="Q70" s="29">
        <f>SUM('план на 2016'!$L71:Q71)-SUM('членские взносы'!$M71:'членские взносы'!Q71)</f>
        <v>12000</v>
      </c>
      <c r="R70" s="29">
        <f>SUM('план на 2016'!$L71:R71)-SUM('членские взносы'!$M71:'членские взносы'!R71)</f>
        <v>12800</v>
      </c>
      <c r="S70" s="29">
        <f>SUM('план на 2016'!$L71:S71)-SUM('членские взносы'!$M71:'членские взносы'!S71)</f>
        <v>8800</v>
      </c>
      <c r="T70" s="29">
        <f>SUM('план на 2016'!$L71:T71)-SUM('членские взносы'!$M71:'членские взносы'!T71)</f>
        <v>9600</v>
      </c>
      <c r="U70" s="29">
        <f>SUM('план на 2016'!$L71:U71)-SUM('членские взносы'!$M71:'членские взносы'!U71)</f>
        <v>10400</v>
      </c>
      <c r="V70" s="29">
        <f>SUM('план на 2016'!$L71:V71)-SUM('членские взносы'!$M71:'членские взносы'!V71)</f>
        <v>11200</v>
      </c>
      <c r="W70" s="29">
        <f>SUM('план на 2016'!$L71:W71)-SUM('членские взносы'!$M71:'членские взносы'!W71)</f>
        <v>12000</v>
      </c>
      <c r="X70" s="29">
        <f>SUM('план на 2016'!$L71:X71)-SUM('членские взносы'!$M71:'членские взносы'!X71)</f>
        <v>12800</v>
      </c>
      <c r="Y70" s="18">
        <f t="shared" si="8"/>
        <v>12800</v>
      </c>
    </row>
    <row r="71" spans="1:25">
      <c r="A71" s="41">
        <f>VLOOKUP(B71,справочник!$B$2:$E$322,4,FALSE)</f>
        <v>318</v>
      </c>
      <c r="B71" t="str">
        <f t="shared" si="7"/>
        <v>71-72Гусева Светлана Григорьевна</v>
      </c>
      <c r="C71" s="1" t="s">
        <v>65</v>
      </c>
      <c r="D71" s="2" t="s">
        <v>66</v>
      </c>
      <c r="E71" s="1" t="s">
        <v>383</v>
      </c>
      <c r="F71" s="16">
        <v>40694</v>
      </c>
      <c r="G71" s="16">
        <v>40725</v>
      </c>
      <c r="H71" s="17">
        <f t="shared" si="5"/>
        <v>54</v>
      </c>
      <c r="I71" s="1">
        <f>H71*1000*2</f>
        <v>108000</v>
      </c>
      <c r="J71" s="17">
        <f>2000+102000</f>
        <v>104000</v>
      </c>
      <c r="K71" s="17">
        <v>4000</v>
      </c>
      <c r="L71" s="22">
        <f t="shared" si="6"/>
        <v>0</v>
      </c>
      <c r="M71" s="29">
        <f>SUM('план на 2016'!$L72:M72)-SUM('членские взносы'!$M72:'членские взносы'!M72)</f>
        <v>800</v>
      </c>
      <c r="N71" s="29">
        <f>SUM('план на 2016'!$L72:N72)-SUM('членские взносы'!$M72:'членские взносы'!N72)</f>
        <v>-3200</v>
      </c>
      <c r="O71" s="29">
        <f>SUM('план на 2016'!$L72:O72)-SUM('членские взносы'!$M72:'членские взносы'!O72)</f>
        <v>-2400</v>
      </c>
      <c r="P71" s="29">
        <f>SUM('план на 2016'!$L72:P72)-SUM('членские взносы'!$M72:'членские взносы'!P72)</f>
        <v>-6400</v>
      </c>
      <c r="Q71" s="29">
        <f>SUM('план на 2016'!$L72:Q72)-SUM('членские взносы'!$M72:'членские взносы'!Q72)</f>
        <v>-5600</v>
      </c>
      <c r="R71" s="29">
        <f>SUM('план на 2016'!$L72:R72)-SUM('членские взносы'!$M72:'членские взносы'!R72)</f>
        <v>-4800</v>
      </c>
      <c r="S71" s="29">
        <f>SUM('план на 2016'!$L72:S72)-SUM('членские взносы'!$M72:'членские взносы'!S72)</f>
        <v>-8800</v>
      </c>
      <c r="T71" s="29">
        <f>SUM('план на 2016'!$L72:T72)-SUM('членские взносы'!$M72:'членские взносы'!T72)</f>
        <v>-8000</v>
      </c>
      <c r="U71" s="29">
        <f>SUM('план на 2016'!$L72:U72)-SUM('членские взносы'!$M72:'членские взносы'!U72)</f>
        <v>-7200</v>
      </c>
      <c r="V71" s="29">
        <f>SUM('план на 2016'!$L72:V72)-SUM('членские взносы'!$M72:'членские взносы'!V72)</f>
        <v>-11200</v>
      </c>
      <c r="W71" s="29">
        <f>SUM('план на 2016'!$L72:W72)-SUM('членские взносы'!$M72:'членские взносы'!W72)</f>
        <v>-10400</v>
      </c>
      <c r="X71" s="29">
        <f>SUM('план на 2016'!$L72:X72)-SUM('членские взносы'!$M72:'членские взносы'!X72)</f>
        <v>-9600</v>
      </c>
      <c r="Y71" s="18">
        <f t="shared" si="8"/>
        <v>-9600</v>
      </c>
    </row>
    <row r="72" spans="1:25">
      <c r="A72" s="41">
        <f>VLOOKUP(B72,справочник!$B$2:$E$322,4,FALSE)</f>
        <v>236</v>
      </c>
      <c r="B72" t="str">
        <f t="shared" si="7"/>
        <v>245Давыдова Анна Сергеевна</v>
      </c>
      <c r="C72" s="1">
        <v>245</v>
      </c>
      <c r="D72" s="2" t="s">
        <v>67</v>
      </c>
      <c r="E72" s="1" t="s">
        <v>384</v>
      </c>
      <c r="F72" s="16">
        <v>40945</v>
      </c>
      <c r="G72" s="16">
        <v>40940</v>
      </c>
      <c r="H72" s="17">
        <f t="shared" si="5"/>
        <v>47</v>
      </c>
      <c r="I72" s="1">
        <f>H72*1000</f>
        <v>47000</v>
      </c>
      <c r="J72" s="17">
        <f>18000+11000</f>
        <v>29000</v>
      </c>
      <c r="K72" s="17"/>
      <c r="L72" s="18">
        <f t="shared" si="6"/>
        <v>18000</v>
      </c>
      <c r="M72" s="29">
        <f>SUM('план на 2016'!$L73:M73)-SUM('членские взносы'!$M73:'членские взносы'!M73)</f>
        <v>18800</v>
      </c>
      <c r="N72" s="29">
        <f>SUM('план на 2016'!$L73:N73)-SUM('членские взносы'!$M73:'членские взносы'!N73)</f>
        <v>19600</v>
      </c>
      <c r="O72" s="29">
        <f>SUM('план на 2016'!$L73:O73)-SUM('членские взносы'!$M73:'членские взносы'!O73)</f>
        <v>20400</v>
      </c>
      <c r="P72" s="29">
        <f>SUM('план на 2016'!$L73:P73)-SUM('членские взносы'!$M73:'членские взносы'!P73)</f>
        <v>21200</v>
      </c>
      <c r="Q72" s="29">
        <f>SUM('план на 2016'!$L73:Q73)-SUM('членские взносы'!$M73:'членские взносы'!Q73)</f>
        <v>-3000</v>
      </c>
      <c r="R72" s="29">
        <f>SUM('план на 2016'!$L73:R73)-SUM('членские взносы'!$M73:'членские взносы'!R73)</f>
        <v>-2200</v>
      </c>
      <c r="S72" s="29">
        <f>SUM('план на 2016'!$L73:S73)-SUM('членские взносы'!$M73:'членские взносы'!S73)</f>
        <v>-1400</v>
      </c>
      <c r="T72" s="29">
        <f>SUM('план на 2016'!$L73:T73)-SUM('членские взносы'!$M73:'членские взносы'!T73)</f>
        <v>-600</v>
      </c>
      <c r="U72" s="29">
        <f>SUM('план на 2016'!$L73:U73)-SUM('членские взносы'!$M73:'членские взносы'!U73)</f>
        <v>200</v>
      </c>
      <c r="V72" s="29">
        <f>SUM('план на 2016'!$L73:V73)-SUM('членские взносы'!$M73:'членские взносы'!V73)</f>
        <v>-1600</v>
      </c>
      <c r="W72" s="29">
        <f>SUM('план на 2016'!$L73:W73)-SUM('членские взносы'!$M73:'членские взносы'!W73)</f>
        <v>-800</v>
      </c>
      <c r="X72" s="29">
        <f>SUM('план на 2016'!$L73:X73)-SUM('членские взносы'!$M73:'членские взносы'!X73)</f>
        <v>0</v>
      </c>
      <c r="Y72" s="18">
        <f t="shared" si="8"/>
        <v>0</v>
      </c>
    </row>
    <row r="73" spans="1:25">
      <c r="A73" s="41">
        <f>VLOOKUP(B73,справочник!$B$2:$E$322,4,FALSE)</f>
        <v>226</v>
      </c>
      <c r="B73" t="str">
        <f t="shared" si="7"/>
        <v xml:space="preserve">235Данильянц Юрий Константинович   </v>
      </c>
      <c r="C73" s="1">
        <v>235</v>
      </c>
      <c r="D73" s="2" t="s">
        <v>68</v>
      </c>
      <c r="E73" s="1" t="s">
        <v>385</v>
      </c>
      <c r="F73" s="16">
        <v>41739</v>
      </c>
      <c r="G73" s="16">
        <v>41760</v>
      </c>
      <c r="H73" s="17">
        <f t="shared" si="5"/>
        <v>20</v>
      </c>
      <c r="I73" s="1">
        <f>H73*1000</f>
        <v>20000</v>
      </c>
      <c r="J73" s="17"/>
      <c r="K73" s="17"/>
      <c r="L73" s="18">
        <f t="shared" si="6"/>
        <v>20000</v>
      </c>
      <c r="M73" s="29">
        <f>SUM('план на 2016'!$L74:M74)-SUM('членские взносы'!$M74:'членские взносы'!M74)</f>
        <v>20800</v>
      </c>
      <c r="N73" s="29">
        <f>SUM('план на 2016'!$L74:N74)-SUM('членские взносы'!$M74:'членские взносы'!N74)</f>
        <v>21600</v>
      </c>
      <c r="O73" s="29">
        <f>SUM('план на 2016'!$L74:O74)-SUM('членские взносы'!$M74:'членские взносы'!O74)</f>
        <v>22400</v>
      </c>
      <c r="P73" s="29">
        <f>SUM('план на 2016'!$L74:P74)-SUM('членские взносы'!$M74:'членские взносы'!P74)</f>
        <v>23200</v>
      </c>
      <c r="Q73" s="29">
        <f>SUM('план на 2016'!$L74:Q74)-SUM('членские взносы'!$M74:'членские взносы'!Q74)</f>
        <v>24000</v>
      </c>
      <c r="R73" s="29">
        <f>SUM('план на 2016'!$L74:R74)-SUM('членские взносы'!$M74:'членские взносы'!R74)</f>
        <v>24800</v>
      </c>
      <c r="S73" s="29">
        <f>SUM('план на 2016'!$L74:S74)-SUM('членские взносы'!$M74:'членские взносы'!S74)</f>
        <v>25600</v>
      </c>
      <c r="T73" s="29">
        <f>SUM('план на 2016'!$L74:T74)-SUM('членские взносы'!$M74:'членские взносы'!T74)</f>
        <v>26400</v>
      </c>
      <c r="U73" s="29">
        <f>SUM('план на 2016'!$L74:U74)-SUM('членские взносы'!$M74:'членские взносы'!U74)</f>
        <v>23200</v>
      </c>
      <c r="V73" s="29">
        <f>SUM('план на 2016'!$L74:V74)-SUM('членские взносы'!$M74:'членские взносы'!V74)</f>
        <v>24000</v>
      </c>
      <c r="W73" s="29">
        <f>SUM('план на 2016'!$L74:W74)-SUM('членские взносы'!$M74:'членские взносы'!W74)</f>
        <v>24800</v>
      </c>
      <c r="X73" s="29">
        <f>SUM('план на 2016'!$L74:X74)-SUM('членские взносы'!$M74:'членские взносы'!X74)</f>
        <v>25600</v>
      </c>
      <c r="Y73" s="18">
        <f t="shared" si="8"/>
        <v>25600</v>
      </c>
    </row>
    <row r="74" spans="1:25">
      <c r="A74" s="41">
        <f>VLOOKUP(B74,справочник!$B$2:$E$322,4,FALSE)</f>
        <v>285</v>
      </c>
      <c r="B74" t="str">
        <f t="shared" si="7"/>
        <v>297Даточный Алексей Валерьевич</v>
      </c>
      <c r="C74" s="1">
        <v>297</v>
      </c>
      <c r="D74" s="2" t="s">
        <v>69</v>
      </c>
      <c r="E74" s="1" t="s">
        <v>386</v>
      </c>
      <c r="F74" s="1"/>
      <c r="G74" s="1"/>
      <c r="H74" s="17"/>
      <c r="I74" s="1">
        <v>19000</v>
      </c>
      <c r="J74" s="17">
        <v>19000</v>
      </c>
      <c r="K74" s="17"/>
      <c r="L74" s="18">
        <f t="shared" si="6"/>
        <v>0</v>
      </c>
      <c r="M74" s="29">
        <f>SUM('план на 2016'!$L75:M75)-SUM('членские взносы'!$M75:'членские взносы'!M75)</f>
        <v>800</v>
      </c>
      <c r="N74" s="29">
        <f>SUM('план на 2016'!$L75:N75)-SUM('членские взносы'!$M75:'членские взносы'!N75)</f>
        <v>-6400</v>
      </c>
      <c r="O74" s="29">
        <f>SUM('план на 2016'!$L75:O75)-SUM('членские взносы'!$M75:'членские взносы'!O75)</f>
        <v>-5600</v>
      </c>
      <c r="P74" s="29">
        <f>SUM('план на 2016'!$L75:P75)-SUM('членские взносы'!$M75:'членские взносы'!P75)</f>
        <v>-4800</v>
      </c>
      <c r="Q74" s="29">
        <f>SUM('план на 2016'!$L75:Q75)-SUM('членские взносы'!$M75:'членские взносы'!Q75)</f>
        <v>-4000</v>
      </c>
      <c r="R74" s="29">
        <f>SUM('план на 2016'!$L75:R75)-SUM('членские взносы'!$M75:'членские взносы'!R75)</f>
        <v>-7200</v>
      </c>
      <c r="S74" s="29">
        <f>SUM('план на 2016'!$L75:S75)-SUM('членские взносы'!$M75:'членские взносы'!S75)</f>
        <v>-6400</v>
      </c>
      <c r="T74" s="29">
        <f>SUM('план на 2016'!$L75:T75)-SUM('членские взносы'!$M75:'членские взносы'!T75)</f>
        <v>-5600</v>
      </c>
      <c r="U74" s="29">
        <f>SUM('план на 2016'!$L75:U75)-SUM('членские взносы'!$M75:'членские взносы'!U75)</f>
        <v>-4800</v>
      </c>
      <c r="V74" s="29">
        <f>SUM('план на 2016'!$L75:V75)-SUM('членские взносы'!$M75:'членские взносы'!V75)</f>
        <v>-4000</v>
      </c>
      <c r="W74" s="29">
        <f>SUM('план на 2016'!$L75:W75)-SUM('членские взносы'!$M75:'членские взносы'!W75)</f>
        <v>-3200</v>
      </c>
      <c r="X74" s="29">
        <f>SUM('план на 2016'!$L75:X75)-SUM('членские взносы'!$M75:'членские взносы'!X75)</f>
        <v>-8400</v>
      </c>
      <c r="Y74" s="18">
        <f t="shared" si="8"/>
        <v>-8400</v>
      </c>
    </row>
    <row r="75" spans="1:25">
      <c r="A75" s="41">
        <f>VLOOKUP(B75,справочник!$B$2:$E$322,4,FALSE)</f>
        <v>24</v>
      </c>
      <c r="B75" t="str">
        <f t="shared" si="7"/>
        <v>24Двойрина Юлия Владимировна</v>
      </c>
      <c r="C75" s="1">
        <v>24</v>
      </c>
      <c r="D75" s="2" t="s">
        <v>70</v>
      </c>
      <c r="E75" s="1" t="s">
        <v>387</v>
      </c>
      <c r="F75" s="16">
        <v>41141</v>
      </c>
      <c r="G75" s="16">
        <v>41153</v>
      </c>
      <c r="H75" s="17">
        <f t="shared" ref="H75:H88" si="9">INT(($H$326-G75)/30)</f>
        <v>40</v>
      </c>
      <c r="I75" s="1">
        <f t="shared" ref="I75:I138" si="10">H75*1000</f>
        <v>40000</v>
      </c>
      <c r="J75" s="17">
        <v>30000</v>
      </c>
      <c r="K75" s="17"/>
      <c r="L75" s="18">
        <f t="shared" si="6"/>
        <v>10000</v>
      </c>
      <c r="M75" s="29">
        <f>SUM('план на 2016'!$L76:M76)-SUM('членские взносы'!$M76:'членские взносы'!M76)</f>
        <v>10800</v>
      </c>
      <c r="N75" s="29">
        <f>SUM('план на 2016'!$L76:N76)-SUM('членские взносы'!$M76:'членские взносы'!N76)</f>
        <v>11600</v>
      </c>
      <c r="O75" s="29">
        <f>SUM('план на 2016'!$L76:O76)-SUM('членские взносы'!$M76:'членские взносы'!O76)</f>
        <v>12400</v>
      </c>
      <c r="P75" s="29">
        <f>SUM('план на 2016'!$L76:P76)-SUM('членские взносы'!$M76:'членские взносы'!P76)</f>
        <v>13200</v>
      </c>
      <c r="Q75" s="29">
        <f>SUM('план на 2016'!$L76:Q76)-SUM('членские взносы'!$M76:'членские взносы'!Q76)</f>
        <v>14000</v>
      </c>
      <c r="R75" s="29">
        <f>SUM('план на 2016'!$L76:R76)-SUM('членские взносы'!$M76:'членские взносы'!R76)</f>
        <v>14800</v>
      </c>
      <c r="S75" s="29">
        <f>SUM('план на 2016'!$L76:S76)-SUM('членские взносы'!$M76:'членские взносы'!S76)</f>
        <v>15600</v>
      </c>
      <c r="T75" s="29">
        <f>SUM('план на 2016'!$L76:T76)-SUM('членские взносы'!$M76:'членские взносы'!T76)</f>
        <v>16400</v>
      </c>
      <c r="U75" s="29">
        <f>SUM('план на 2016'!$L76:U76)-SUM('членские взносы'!$M76:'членские взносы'!U76)</f>
        <v>17200</v>
      </c>
      <c r="V75" s="29">
        <f>SUM('план на 2016'!$L76:V76)-SUM('членские взносы'!$M76:'членские взносы'!V76)</f>
        <v>18000</v>
      </c>
      <c r="W75" s="29">
        <f>SUM('план на 2016'!$L76:W76)-SUM('членские взносы'!$M76:'членские взносы'!W76)</f>
        <v>18800</v>
      </c>
      <c r="X75" s="29">
        <f>SUM('план на 2016'!$L76:X76)-SUM('членские взносы'!$M76:'членские взносы'!X76)</f>
        <v>19600</v>
      </c>
      <c r="Y75" s="18">
        <f t="shared" si="8"/>
        <v>19600</v>
      </c>
    </row>
    <row r="76" spans="1:25">
      <c r="A76" s="41">
        <f>VLOOKUP(B76,справочник!$B$2:$E$322,4,FALSE)</f>
        <v>50</v>
      </c>
      <c r="B76" t="str">
        <f t="shared" si="7"/>
        <v>50Денисов Дмитрий Алексеевич</v>
      </c>
      <c r="C76" s="1">
        <v>50</v>
      </c>
      <c r="D76" s="2" t="s">
        <v>71</v>
      </c>
      <c r="E76" s="1" t="s">
        <v>388</v>
      </c>
      <c r="F76" s="16">
        <v>40793</v>
      </c>
      <c r="G76" s="16">
        <v>40787</v>
      </c>
      <c r="H76" s="17">
        <f t="shared" si="9"/>
        <v>52</v>
      </c>
      <c r="I76" s="1">
        <f t="shared" si="10"/>
        <v>52000</v>
      </c>
      <c r="J76" s="17">
        <f>1000+41000</f>
        <v>42000</v>
      </c>
      <c r="K76" s="17"/>
      <c r="L76" s="18">
        <f t="shared" si="6"/>
        <v>10000</v>
      </c>
      <c r="M76" s="29">
        <f>SUM('план на 2016'!$L77:M77)-SUM('членские взносы'!$M77:'членские взносы'!M77)</f>
        <v>10800</v>
      </c>
      <c r="N76" s="29">
        <f>SUM('план на 2016'!$L77:N77)-SUM('членские взносы'!$M77:'членские взносы'!N77)</f>
        <v>11600</v>
      </c>
      <c r="O76" s="29">
        <f>SUM('план на 2016'!$L77:O77)-SUM('членские взносы'!$M77:'членские взносы'!O77)</f>
        <v>400</v>
      </c>
      <c r="P76" s="29">
        <f>SUM('план на 2016'!$L77:P77)-SUM('членские взносы'!$M77:'членские взносы'!P77)</f>
        <v>1200</v>
      </c>
      <c r="Q76" s="29">
        <f>SUM('план на 2016'!$L77:Q77)-SUM('членские взносы'!$M77:'членские взносы'!Q77)</f>
        <v>2000</v>
      </c>
      <c r="R76" s="29">
        <f>SUM('план на 2016'!$L77:R77)-SUM('членские взносы'!$M77:'членские взносы'!R77)</f>
        <v>2800</v>
      </c>
      <c r="S76" s="29">
        <f>SUM('план на 2016'!$L77:S77)-SUM('членские взносы'!$M77:'членские взносы'!S77)</f>
        <v>400</v>
      </c>
      <c r="T76" s="29">
        <f>SUM('план на 2016'!$L77:T77)-SUM('членские взносы'!$M77:'членские взносы'!T77)</f>
        <v>1200</v>
      </c>
      <c r="U76" s="29">
        <f>SUM('план на 2016'!$L77:U77)-SUM('членские взносы'!$M77:'членские взносы'!U77)</f>
        <v>2000</v>
      </c>
      <c r="V76" s="29">
        <f>SUM('план на 2016'!$L77:V77)-SUM('членские взносы'!$M77:'членские взносы'!V77)</f>
        <v>2800</v>
      </c>
      <c r="W76" s="29">
        <f>SUM('план на 2016'!$L77:W77)-SUM('членские взносы'!$M77:'членские взносы'!W77)</f>
        <v>3600</v>
      </c>
      <c r="X76" s="29">
        <f>SUM('план на 2016'!$L77:X77)-SUM('членские взносы'!$M77:'членские взносы'!X77)</f>
        <v>4400</v>
      </c>
      <c r="Y76" s="18">
        <f t="shared" si="8"/>
        <v>4400</v>
      </c>
    </row>
    <row r="77" spans="1:25">
      <c r="A77" s="41">
        <f>VLOOKUP(B77,справочник!$B$2:$E$322,4,FALSE)</f>
        <v>122</v>
      </c>
      <c r="B77" t="str">
        <f t="shared" si="7"/>
        <v>127Денисов Сергей Александрович</v>
      </c>
      <c r="C77" s="1">
        <v>127</v>
      </c>
      <c r="D77" s="2" t="s">
        <v>72</v>
      </c>
      <c r="E77" s="1" t="s">
        <v>389</v>
      </c>
      <c r="F77" s="16">
        <v>40938</v>
      </c>
      <c r="G77" s="16">
        <v>40940</v>
      </c>
      <c r="H77" s="17">
        <f t="shared" si="9"/>
        <v>47</v>
      </c>
      <c r="I77" s="1">
        <f t="shared" si="10"/>
        <v>47000</v>
      </c>
      <c r="J77" s="17">
        <v>37000</v>
      </c>
      <c r="K77" s="17">
        <v>5000</v>
      </c>
      <c r="L77" s="18">
        <f t="shared" si="6"/>
        <v>5000</v>
      </c>
      <c r="M77" s="29">
        <f>SUM('план на 2016'!$L78:M78)-SUM('членские взносы'!$M78:'членские взносы'!M78)</f>
        <v>800</v>
      </c>
      <c r="N77" s="29">
        <f>SUM('план на 2016'!$L78:N78)-SUM('членские взносы'!$M78:'членские взносы'!N78)</f>
        <v>-400</v>
      </c>
      <c r="O77" s="29">
        <f>SUM('план на 2016'!$L78:O78)-SUM('членские взносы'!$M78:'членские взносы'!O78)</f>
        <v>400</v>
      </c>
      <c r="P77" s="29">
        <f>SUM('план на 2016'!$L78:P78)-SUM('членские взносы'!$M78:'членские взносы'!P78)</f>
        <v>-800</v>
      </c>
      <c r="Q77" s="29">
        <f>SUM('план на 2016'!$L78:Q78)-SUM('членские взносы'!$M78:'членские взносы'!Q78)</f>
        <v>0</v>
      </c>
      <c r="R77" s="29">
        <f>SUM('план на 2016'!$L78:R78)-SUM('членские взносы'!$M78:'членские взносы'!R78)</f>
        <v>800</v>
      </c>
      <c r="S77" s="29">
        <f>SUM('план на 2016'!$L78:S78)-SUM('членские взносы'!$M78:'членские взносы'!S78)</f>
        <v>1600</v>
      </c>
      <c r="T77" s="29">
        <f>SUM('план на 2016'!$L78:T78)-SUM('членские взносы'!$M78:'членские взносы'!T78)</f>
        <v>2400</v>
      </c>
      <c r="U77" s="29">
        <f>SUM('план на 2016'!$L78:U78)-SUM('членские взносы'!$M78:'членские взносы'!U78)</f>
        <v>0</v>
      </c>
      <c r="V77" s="29">
        <f>SUM('план на 2016'!$L78:V78)-SUM('членские взносы'!$M78:'членские взносы'!V78)</f>
        <v>800</v>
      </c>
      <c r="W77" s="29">
        <f>SUM('план на 2016'!$L78:W78)-SUM('членские взносы'!$M78:'членские взносы'!W78)</f>
        <v>1600</v>
      </c>
      <c r="X77" s="29">
        <f>SUM('план на 2016'!$L78:X78)-SUM('членские взносы'!$M78:'членские взносы'!X78)</f>
        <v>0</v>
      </c>
      <c r="Y77" s="18">
        <f t="shared" si="8"/>
        <v>0</v>
      </c>
    </row>
    <row r="78" spans="1:25">
      <c r="A78" s="41">
        <f>VLOOKUP(B78,справочник!$B$2:$E$322,4,FALSE)</f>
        <v>301</v>
      </c>
      <c r="B78" t="str">
        <f t="shared" si="7"/>
        <v>316Десюкова Марина Александровна</v>
      </c>
      <c r="C78" s="1">
        <v>316</v>
      </c>
      <c r="D78" s="2" t="s">
        <v>73</v>
      </c>
      <c r="E78" s="1" t="s">
        <v>390</v>
      </c>
      <c r="F78" s="16">
        <v>41969</v>
      </c>
      <c r="G78" s="16">
        <v>41974</v>
      </c>
      <c r="H78" s="17">
        <f t="shared" si="9"/>
        <v>13</v>
      </c>
      <c r="I78" s="1">
        <f t="shared" si="10"/>
        <v>13000</v>
      </c>
      <c r="J78" s="17">
        <v>1000</v>
      </c>
      <c r="K78" s="17"/>
      <c r="L78" s="18">
        <f t="shared" si="6"/>
        <v>12000</v>
      </c>
      <c r="M78" s="29">
        <f>SUM('план на 2016'!$L79:M79)-SUM('членские взносы'!$M79:'членские взносы'!M79)</f>
        <v>12800</v>
      </c>
      <c r="N78" s="29">
        <f>SUM('план на 2016'!$L79:N79)-SUM('членские взносы'!$M79:'членские взносы'!N79)</f>
        <v>13600</v>
      </c>
      <c r="O78" s="29">
        <f>SUM('план на 2016'!$L79:O79)-SUM('членские взносы'!$M79:'членские взносы'!O79)</f>
        <v>14400</v>
      </c>
      <c r="P78" s="29">
        <f>SUM('план на 2016'!$L79:P79)-SUM('членские взносы'!$M79:'членские взносы'!P79)</f>
        <v>15200</v>
      </c>
      <c r="Q78" s="29">
        <f>SUM('план на 2016'!$L79:Q79)-SUM('членские взносы'!$M79:'членские взносы'!Q79)</f>
        <v>16000</v>
      </c>
      <c r="R78" s="29">
        <f>SUM('план на 2016'!$L79:R79)-SUM('членские взносы'!$M79:'членские взносы'!R79)</f>
        <v>16800</v>
      </c>
      <c r="S78" s="29">
        <f>SUM('план на 2016'!$L79:S79)-SUM('членские взносы'!$M79:'членские взносы'!S79)</f>
        <v>17600</v>
      </c>
      <c r="T78" s="29">
        <f>SUM('план на 2016'!$L79:T79)-SUM('членские взносы'!$M79:'членские взносы'!T79)</f>
        <v>18400</v>
      </c>
      <c r="U78" s="29">
        <f>SUM('план на 2016'!$L79:U79)-SUM('членские взносы'!$M79:'членские взносы'!U79)</f>
        <v>19200</v>
      </c>
      <c r="V78" s="29">
        <f>SUM('план на 2016'!$L79:V79)-SUM('членские взносы'!$M79:'членские взносы'!V79)</f>
        <v>20000</v>
      </c>
      <c r="W78" s="29">
        <f>SUM('план на 2016'!$L79:W79)-SUM('членские взносы'!$M79:'членские взносы'!W79)</f>
        <v>20800</v>
      </c>
      <c r="X78" s="29">
        <f>SUM('план на 2016'!$L79:X79)-SUM('членские взносы'!$M79:'членские взносы'!X79)</f>
        <v>21600</v>
      </c>
      <c r="Y78" s="18">
        <f t="shared" si="8"/>
        <v>21600</v>
      </c>
    </row>
    <row r="79" spans="1:25">
      <c r="A79" s="41">
        <f>VLOOKUP(B79,справочник!$B$2:$E$322,4,FALSE)</f>
        <v>18</v>
      </c>
      <c r="B79" t="str">
        <f t="shared" si="7"/>
        <v>18Дидушко Денис Васильевич (Василий)</v>
      </c>
      <c r="C79" s="1">
        <v>18</v>
      </c>
      <c r="D79" s="2" t="s">
        <v>74</v>
      </c>
      <c r="E79" s="1" t="s">
        <v>391</v>
      </c>
      <c r="F79" s="16">
        <v>41429</v>
      </c>
      <c r="G79" s="16">
        <v>41487</v>
      </c>
      <c r="H79" s="17">
        <f t="shared" si="9"/>
        <v>29</v>
      </c>
      <c r="I79" s="1">
        <f t="shared" si="10"/>
        <v>29000</v>
      </c>
      <c r="J79" s="17">
        <v>29000</v>
      </c>
      <c r="K79" s="17"/>
      <c r="L79" s="18">
        <f t="shared" si="6"/>
        <v>0</v>
      </c>
      <c r="M79" s="29">
        <f>SUM('план на 2016'!$L80:M80)-SUM('членские взносы'!$M80:'членские взносы'!M80)</f>
        <v>800</v>
      </c>
      <c r="N79" s="29">
        <f>SUM('план на 2016'!$L80:N80)-SUM('членские взносы'!$M80:'членские взносы'!N80)</f>
        <v>1600</v>
      </c>
      <c r="O79" s="29">
        <f>SUM('план на 2016'!$L80:O80)-SUM('членские взносы'!$M80:'членские взносы'!O80)</f>
        <v>2400</v>
      </c>
      <c r="P79" s="29">
        <f>SUM('план на 2016'!$L80:P80)-SUM('членские взносы'!$M80:'членские взносы'!P80)</f>
        <v>3200</v>
      </c>
      <c r="Q79" s="29">
        <f>SUM('план на 2016'!$L80:Q80)-SUM('членские взносы'!$M80:'членские взносы'!Q80)</f>
        <v>4000</v>
      </c>
      <c r="R79" s="29">
        <f>SUM('план на 2016'!$L80:R80)-SUM('членские взносы'!$M80:'членские взносы'!R80)</f>
        <v>4800</v>
      </c>
      <c r="S79" s="29">
        <f>SUM('план на 2016'!$L80:S80)-SUM('членские взносы'!$M80:'членские взносы'!S80)</f>
        <v>5600</v>
      </c>
      <c r="T79" s="29">
        <f>SUM('план на 2016'!$L80:T80)-SUM('членские взносы'!$M80:'членские взносы'!T80)</f>
        <v>6400</v>
      </c>
      <c r="U79" s="29">
        <f>SUM('план на 2016'!$L80:U80)-SUM('членские взносы'!$M80:'членские взносы'!U80)</f>
        <v>7200</v>
      </c>
      <c r="V79" s="29">
        <f>SUM('план на 2016'!$L80:V80)-SUM('членские взносы'!$M80:'членские взносы'!V80)</f>
        <v>8000</v>
      </c>
      <c r="W79" s="29">
        <f>SUM('план на 2016'!$L80:W80)-SUM('членские взносы'!$M80:'членские взносы'!W80)</f>
        <v>8800</v>
      </c>
      <c r="X79" s="29">
        <f>SUM('план на 2016'!$L80:X80)-SUM('членские взносы'!$M80:'членские взносы'!X80)</f>
        <v>9600</v>
      </c>
      <c r="Y79" s="18">
        <f t="shared" si="8"/>
        <v>9600</v>
      </c>
    </row>
    <row r="80" spans="1:25">
      <c r="A80" s="41">
        <f>VLOOKUP(B80,справочник!$B$2:$E$322,4,FALSE)</f>
        <v>155</v>
      </c>
      <c r="B80" t="str">
        <f t="shared" si="7"/>
        <v>163Дорошенко Владимир Алексеевич</v>
      </c>
      <c r="C80" s="1">
        <v>163</v>
      </c>
      <c r="D80" s="2" t="s">
        <v>75</v>
      </c>
      <c r="E80" s="1" t="s">
        <v>392</v>
      </c>
      <c r="F80" s="16">
        <v>41491</v>
      </c>
      <c r="G80" s="16">
        <v>41518</v>
      </c>
      <c r="H80" s="17">
        <f t="shared" si="9"/>
        <v>28</v>
      </c>
      <c r="I80" s="1">
        <f t="shared" si="10"/>
        <v>28000</v>
      </c>
      <c r="J80" s="17">
        <v>28000</v>
      </c>
      <c r="K80" s="17">
        <v>2000</v>
      </c>
      <c r="L80" s="18">
        <f t="shared" si="6"/>
        <v>-2000</v>
      </c>
      <c r="M80" s="29">
        <f>SUM('план на 2016'!$L81:M81)-SUM('членские взносы'!$M81:'членские взносы'!M81)</f>
        <v>-1200</v>
      </c>
      <c r="N80" s="29">
        <f>SUM('план на 2016'!$L81:N81)-SUM('членские взносы'!$M81:'членские взносы'!N81)</f>
        <v>-1000</v>
      </c>
      <c r="O80" s="29">
        <f>SUM('план на 2016'!$L81:O81)-SUM('членские взносы'!$M81:'членские взносы'!O81)</f>
        <v>-1800</v>
      </c>
      <c r="P80" s="29">
        <f>SUM('план на 2016'!$L81:P81)-SUM('членские взносы'!$M81:'членские взносы'!P81)</f>
        <v>-1000</v>
      </c>
      <c r="Q80" s="29">
        <f>SUM('план на 2016'!$L81:Q81)-SUM('членские взносы'!$M81:'членские взносы'!Q81)</f>
        <v>-1800</v>
      </c>
      <c r="R80" s="29">
        <f>SUM('план на 2016'!$L81:R81)-SUM('членские взносы'!$M81:'членские взносы'!R81)</f>
        <v>-1000</v>
      </c>
      <c r="S80" s="29">
        <f>SUM('план на 2016'!$L81:S81)-SUM('членские взносы'!$M81:'членские взносы'!S81)</f>
        <v>-1800</v>
      </c>
      <c r="T80" s="29">
        <f>SUM('план на 2016'!$L81:T81)-SUM('членские взносы'!$M81:'членские взносы'!T81)</f>
        <v>-1000</v>
      </c>
      <c r="U80" s="29">
        <f>SUM('план на 2016'!$L81:U81)-SUM('членские взносы'!$M81:'членские взносы'!U81)</f>
        <v>-200</v>
      </c>
      <c r="V80" s="29">
        <f>SUM('план на 2016'!$L81:V81)-SUM('членские взносы'!$M81:'членские взносы'!V81)</f>
        <v>-1000</v>
      </c>
      <c r="W80" s="29">
        <f>SUM('план на 2016'!$L81:W81)-SUM('членские взносы'!$M81:'членские взносы'!W81)</f>
        <v>-1800</v>
      </c>
      <c r="X80" s="29">
        <f>SUM('план на 2016'!$L81:X81)-SUM('членские взносы'!$M81:'членские взносы'!X81)</f>
        <v>-1000</v>
      </c>
      <c r="Y80" s="18">
        <f t="shared" si="8"/>
        <v>-1000</v>
      </c>
    </row>
    <row r="81" spans="1:25">
      <c r="A81" s="41">
        <f>VLOOKUP(B81,справочник!$B$2:$E$322,4,FALSE)</f>
        <v>44</v>
      </c>
      <c r="B81" t="str">
        <f t="shared" si="7"/>
        <v>44Дубов Александр Сергеевич</v>
      </c>
      <c r="C81" s="1">
        <v>44</v>
      </c>
      <c r="D81" s="2" t="s">
        <v>76</v>
      </c>
      <c r="E81" s="23" t="s">
        <v>338</v>
      </c>
      <c r="F81" s="24">
        <v>41100</v>
      </c>
      <c r="G81" s="24">
        <v>41091</v>
      </c>
      <c r="H81" s="17">
        <f t="shared" si="9"/>
        <v>42</v>
      </c>
      <c r="I81" s="1">
        <f t="shared" si="10"/>
        <v>42000</v>
      </c>
      <c r="J81" s="17">
        <f>21000+6000</f>
        <v>27000</v>
      </c>
      <c r="K81" s="17">
        <v>13000</v>
      </c>
      <c r="L81" s="18">
        <f t="shared" si="6"/>
        <v>2000</v>
      </c>
      <c r="M81" s="29">
        <f>SUM('план на 2016'!$L82:M82)-SUM('членские взносы'!$M82:'членские взносы'!M82)</f>
        <v>2800</v>
      </c>
      <c r="N81" s="29">
        <f>SUM('план на 2016'!$L82:N82)-SUM('членские взносы'!$M82:'членские взносы'!N82)</f>
        <v>3600</v>
      </c>
      <c r="O81" s="29">
        <f>SUM('план на 2016'!$L82:O82)-SUM('членские взносы'!$M82:'членские взносы'!O82)</f>
        <v>4400</v>
      </c>
      <c r="P81" s="29">
        <f>SUM('план на 2016'!$L82:P82)-SUM('членские взносы'!$M82:'членские взносы'!P82)</f>
        <v>5200</v>
      </c>
      <c r="Q81" s="29">
        <f>SUM('план на 2016'!$L82:Q82)-SUM('членские взносы'!$M82:'членские взносы'!Q82)</f>
        <v>6000</v>
      </c>
      <c r="R81" s="29">
        <f>SUM('план на 2016'!$L82:R82)-SUM('членские взносы'!$M82:'членские взносы'!R82)</f>
        <v>6800</v>
      </c>
      <c r="S81" s="29">
        <f>SUM('план на 2016'!$L82:S82)-SUM('членские взносы'!$M82:'членские взносы'!S82)</f>
        <v>7600</v>
      </c>
      <c r="T81" s="29">
        <f>SUM('план на 2016'!$L82:T82)-SUM('членские взносы'!$M82:'членские взносы'!T82)</f>
        <v>8400</v>
      </c>
      <c r="U81" s="29">
        <f>SUM('план на 2016'!$L82:U82)-SUM('членские взносы'!$M82:'членские взносы'!U82)</f>
        <v>9200</v>
      </c>
      <c r="V81" s="29">
        <f>SUM('план на 2016'!$L82:V82)-SUM('членские взносы'!$M82:'членские взносы'!V82)</f>
        <v>10000</v>
      </c>
      <c r="W81" s="29">
        <f>SUM('план на 2016'!$L82:W82)-SUM('членские взносы'!$M82:'членские взносы'!W82)</f>
        <v>10800</v>
      </c>
      <c r="X81" s="29">
        <f>SUM('план на 2016'!$L82:X82)-SUM('членские взносы'!$M82:'членские взносы'!X82)</f>
        <v>11600</v>
      </c>
      <c r="Y81" s="18">
        <f t="shared" si="8"/>
        <v>11600</v>
      </c>
    </row>
    <row r="82" spans="1:25">
      <c r="A82" s="41">
        <f>VLOOKUP(B82,справочник!$B$2:$E$322,4,FALSE)</f>
        <v>132</v>
      </c>
      <c r="B82" t="str">
        <f t="shared" si="7"/>
        <v>139Евглевская Ольга Борисовна</v>
      </c>
      <c r="C82" s="1">
        <v>139</v>
      </c>
      <c r="D82" s="2" t="s">
        <v>77</v>
      </c>
      <c r="E82" s="1" t="s">
        <v>393</v>
      </c>
      <c r="F82" s="16">
        <v>40690</v>
      </c>
      <c r="G82" s="16">
        <v>40695</v>
      </c>
      <c r="H82" s="17">
        <f t="shared" si="9"/>
        <v>55</v>
      </c>
      <c r="I82" s="1">
        <f t="shared" si="10"/>
        <v>55000</v>
      </c>
      <c r="J82" s="17">
        <f>41000+1000</f>
        <v>42000</v>
      </c>
      <c r="K82" s="17"/>
      <c r="L82" s="18">
        <f t="shared" si="6"/>
        <v>13000</v>
      </c>
      <c r="M82" s="29">
        <f>SUM('план на 2016'!$L83:M83)-SUM('членские взносы'!$M83:'членские взносы'!M83)</f>
        <v>13800</v>
      </c>
      <c r="N82" s="29">
        <f>SUM('план на 2016'!$L83:N83)-SUM('членские взносы'!$M83:'членские взносы'!N83)</f>
        <v>14600</v>
      </c>
      <c r="O82" s="29">
        <f>SUM('план на 2016'!$L83:O83)-SUM('членские взносы'!$M83:'членские взносы'!O83)</f>
        <v>15400</v>
      </c>
      <c r="P82" s="29">
        <f>SUM('план на 2016'!$L83:P83)-SUM('членские взносы'!$M83:'членские взносы'!P83)</f>
        <v>16200</v>
      </c>
      <c r="Q82" s="29">
        <f>SUM('план на 2016'!$L83:Q83)-SUM('членские взносы'!$M83:'членские взносы'!Q83)</f>
        <v>17000</v>
      </c>
      <c r="R82" s="29">
        <f>SUM('план на 2016'!$L83:R83)-SUM('членские взносы'!$M83:'членские взносы'!R83)</f>
        <v>17800</v>
      </c>
      <c r="S82" s="29">
        <f>SUM('план на 2016'!$L83:S83)-SUM('членские взносы'!$M83:'членские взносы'!S83)</f>
        <v>18600</v>
      </c>
      <c r="T82" s="29">
        <f>SUM('план на 2016'!$L83:T83)-SUM('членские взносы'!$M83:'членские взносы'!T83)</f>
        <v>19400</v>
      </c>
      <c r="U82" s="29">
        <f>SUM('план на 2016'!$L83:U83)-SUM('членские взносы'!$M83:'членские взносы'!U83)</f>
        <v>20200</v>
      </c>
      <c r="V82" s="29">
        <f>SUM('план на 2016'!$L83:V83)-SUM('членские взносы'!$M83:'членские взносы'!V83)</f>
        <v>21000</v>
      </c>
      <c r="W82" s="29">
        <f>SUM('план на 2016'!$L83:W83)-SUM('членские взносы'!$M83:'членские взносы'!W83)</f>
        <v>21800</v>
      </c>
      <c r="X82" s="29">
        <f>SUM('план на 2016'!$L83:X83)-SUM('членские взносы'!$M83:'членские взносы'!X83)</f>
        <v>22600</v>
      </c>
      <c r="Y82" s="18">
        <f t="shared" si="8"/>
        <v>22600</v>
      </c>
    </row>
    <row r="83" spans="1:25">
      <c r="A83" s="41">
        <f>VLOOKUP(B83,справочник!$B$2:$E$322,4,FALSE)</f>
        <v>159</v>
      </c>
      <c r="B83" t="str">
        <f t="shared" si="7"/>
        <v>167Евсеев Александр Сергеевич</v>
      </c>
      <c r="C83" s="1">
        <v>167</v>
      </c>
      <c r="D83" s="2" t="s">
        <v>78</v>
      </c>
      <c r="E83" s="1" t="s">
        <v>394</v>
      </c>
      <c r="F83" s="16">
        <v>41044</v>
      </c>
      <c r="G83" s="16">
        <v>41030</v>
      </c>
      <c r="H83" s="17">
        <f t="shared" si="9"/>
        <v>44</v>
      </c>
      <c r="I83" s="1">
        <f t="shared" si="10"/>
        <v>44000</v>
      </c>
      <c r="J83" s="17">
        <f>32000</f>
        <v>32000</v>
      </c>
      <c r="K83" s="17"/>
      <c r="L83" s="18">
        <f t="shared" si="6"/>
        <v>12000</v>
      </c>
      <c r="M83" s="29">
        <f>SUM('план на 2016'!$L84:M84)-SUM('членские взносы'!$M84:'членские взносы'!M84)</f>
        <v>12800</v>
      </c>
      <c r="N83" s="29">
        <f>SUM('план на 2016'!$L84:N84)-SUM('членские взносы'!$M84:'членские взносы'!N84)</f>
        <v>1600</v>
      </c>
      <c r="O83" s="29">
        <f>SUM('план на 2016'!$L84:O84)-SUM('членские взносы'!$M84:'членские взносы'!O84)</f>
        <v>2400</v>
      </c>
      <c r="P83" s="29">
        <f>SUM('план на 2016'!$L84:P84)-SUM('членские взносы'!$M84:'членские взносы'!P84)</f>
        <v>3200</v>
      </c>
      <c r="Q83" s="29">
        <f>SUM('план на 2016'!$L84:Q84)-SUM('членские взносы'!$M84:'членские взносы'!Q84)</f>
        <v>4000</v>
      </c>
      <c r="R83" s="29">
        <f>SUM('план на 2016'!$L84:R84)-SUM('членские взносы'!$M84:'членские взносы'!R84)</f>
        <v>4800</v>
      </c>
      <c r="S83" s="29">
        <f>SUM('план на 2016'!$L84:S84)-SUM('членские взносы'!$M84:'членские взносы'!S84)</f>
        <v>0</v>
      </c>
      <c r="T83" s="29">
        <f>SUM('план на 2016'!$L84:T84)-SUM('членские взносы'!$M84:'членские взносы'!T84)</f>
        <v>800</v>
      </c>
      <c r="U83" s="29">
        <f>SUM('план на 2016'!$L84:U84)-SUM('членские взносы'!$M84:'членские взносы'!U84)</f>
        <v>1600</v>
      </c>
      <c r="V83" s="29">
        <f>SUM('план на 2016'!$L84:V84)-SUM('членские взносы'!$M84:'членские взносы'!V84)</f>
        <v>2400</v>
      </c>
      <c r="W83" s="29">
        <f>SUM('план на 2016'!$L84:W84)-SUM('членские взносы'!$M84:'членские взносы'!W84)</f>
        <v>3200</v>
      </c>
      <c r="X83" s="29">
        <f>SUM('план на 2016'!$L84:X84)-SUM('членские взносы'!$M84:'членские взносы'!X84)</f>
        <v>0</v>
      </c>
      <c r="Y83" s="18">
        <f t="shared" si="8"/>
        <v>0</v>
      </c>
    </row>
    <row r="84" spans="1:25">
      <c r="A84" s="41">
        <f>VLOOKUP(B84,справочник!$B$2:$E$322,4,FALSE)</f>
        <v>181</v>
      </c>
      <c r="B84" t="str">
        <f t="shared" si="7"/>
        <v xml:space="preserve">189Елисеев Сергей Вячеславович          </v>
      </c>
      <c r="C84" s="1">
        <v>189</v>
      </c>
      <c r="D84" s="2" t="s">
        <v>79</v>
      </c>
      <c r="E84" s="1" t="s">
        <v>395</v>
      </c>
      <c r="F84" s="16">
        <v>41734</v>
      </c>
      <c r="G84" s="16">
        <v>41760</v>
      </c>
      <c r="H84" s="17">
        <f t="shared" si="9"/>
        <v>20</v>
      </c>
      <c r="I84" s="1">
        <f t="shared" si="10"/>
        <v>20000</v>
      </c>
      <c r="J84" s="17">
        <v>17000</v>
      </c>
      <c r="K84" s="17"/>
      <c r="L84" s="18">
        <f t="shared" si="6"/>
        <v>3000</v>
      </c>
      <c r="M84" s="29">
        <f>SUM('план на 2016'!$L85:M85)-SUM('членские взносы'!$M85:'членские взносы'!M85)</f>
        <v>3800</v>
      </c>
      <c r="N84" s="29">
        <f>SUM('план на 2016'!$L85:N85)-SUM('членские взносы'!$M85:'членские взносы'!N85)</f>
        <v>4600</v>
      </c>
      <c r="O84" s="29">
        <f>SUM('план на 2016'!$L85:O85)-SUM('членские взносы'!$M85:'членские взносы'!O85)</f>
        <v>5400</v>
      </c>
      <c r="P84" s="29">
        <f>SUM('план на 2016'!$L85:P85)-SUM('членские взносы'!$M85:'членские взносы'!P85)</f>
        <v>6200</v>
      </c>
      <c r="Q84" s="29">
        <f>SUM('план на 2016'!$L85:Q85)-SUM('членские взносы'!$M85:'членские взносы'!Q85)</f>
        <v>0</v>
      </c>
      <c r="R84" s="29">
        <f>SUM('план на 2016'!$L85:R85)-SUM('членские взносы'!$M85:'членские взносы'!R85)</f>
        <v>800</v>
      </c>
      <c r="S84" s="29">
        <f>SUM('план на 2016'!$L85:S85)-SUM('членские взносы'!$M85:'членские взносы'!S85)</f>
        <v>1600</v>
      </c>
      <c r="T84" s="29">
        <f>SUM('план на 2016'!$L85:T85)-SUM('членские взносы'!$M85:'членские взносы'!T85)</f>
        <v>2400</v>
      </c>
      <c r="U84" s="29">
        <f>SUM('план на 2016'!$L85:U85)-SUM('членские взносы'!$M85:'членские взносы'!U85)</f>
        <v>3200</v>
      </c>
      <c r="V84" s="29">
        <f>SUM('план на 2016'!$L85:V85)-SUM('членские взносы'!$M85:'членские взносы'!V85)</f>
        <v>4000</v>
      </c>
      <c r="W84" s="29">
        <f>SUM('план на 2016'!$L85:W85)-SUM('членские взносы'!$M85:'членские взносы'!W85)</f>
        <v>4800</v>
      </c>
      <c r="X84" s="29">
        <f>SUM('план на 2016'!$L85:X85)-SUM('членские взносы'!$M85:'членские взносы'!X85)</f>
        <v>5600</v>
      </c>
      <c r="Y84" s="18">
        <f t="shared" si="8"/>
        <v>5600</v>
      </c>
    </row>
    <row r="85" spans="1:25">
      <c r="A85" s="41">
        <f>VLOOKUP(B85,справочник!$B$2:$E$322,4,FALSE)</f>
        <v>284</v>
      </c>
      <c r="B85" t="str">
        <f t="shared" si="7"/>
        <v>296Епанчинцева Людмила Филипповна</v>
      </c>
      <c r="C85" s="1">
        <v>296</v>
      </c>
      <c r="D85" s="2" t="s">
        <v>80</v>
      </c>
      <c r="E85" s="1" t="s">
        <v>396</v>
      </c>
      <c r="F85" s="16">
        <v>41549</v>
      </c>
      <c r="G85" s="16">
        <v>41579</v>
      </c>
      <c r="H85" s="17">
        <f t="shared" si="9"/>
        <v>26</v>
      </c>
      <c r="I85" s="1">
        <f t="shared" si="10"/>
        <v>26000</v>
      </c>
      <c r="J85" s="17">
        <f>12000</f>
        <v>12000</v>
      </c>
      <c r="K85" s="17">
        <v>5000</v>
      </c>
      <c r="L85" s="18">
        <f t="shared" si="6"/>
        <v>9000</v>
      </c>
      <c r="M85" s="29">
        <f>SUM('план на 2016'!$L86:M86)-SUM('членские взносы'!$M86:'членские взносы'!M86)</f>
        <v>9800</v>
      </c>
      <c r="N85" s="29">
        <f>SUM('план на 2016'!$L86:N86)-SUM('членские взносы'!$M86:'членские взносы'!N86)</f>
        <v>10600</v>
      </c>
      <c r="O85" s="29">
        <f>SUM('план на 2016'!$L86:O86)-SUM('членские взносы'!$M86:'членские взносы'!O86)</f>
        <v>5400</v>
      </c>
      <c r="P85" s="29">
        <f>SUM('план на 2016'!$L86:P86)-SUM('членские взносы'!$M86:'членские взносы'!P86)</f>
        <v>6200</v>
      </c>
      <c r="Q85" s="29">
        <f>SUM('план на 2016'!$L86:Q86)-SUM('членские взносы'!$M86:'членские взносы'!Q86)</f>
        <v>7000</v>
      </c>
      <c r="R85" s="29">
        <f>SUM('план на 2016'!$L86:R86)-SUM('членские взносы'!$M86:'членские взносы'!R86)</f>
        <v>7800</v>
      </c>
      <c r="S85" s="29">
        <f>SUM('план на 2016'!$L86:S86)-SUM('членские взносы'!$M86:'членские взносы'!S86)</f>
        <v>6200</v>
      </c>
      <c r="T85" s="29">
        <f>SUM('план на 2016'!$L86:T86)-SUM('членские взносы'!$M86:'членские взносы'!T86)</f>
        <v>7000</v>
      </c>
      <c r="U85" s="29">
        <f>SUM('план на 2016'!$L86:U86)-SUM('членские взносы'!$M86:'членские взносы'!U86)</f>
        <v>7800</v>
      </c>
      <c r="V85" s="29">
        <f>SUM('план на 2016'!$L86:V86)-SUM('членские взносы'!$M86:'членские взносы'!V86)</f>
        <v>5400</v>
      </c>
      <c r="W85" s="29">
        <f>SUM('план на 2016'!$L86:W86)-SUM('членские взносы'!$M86:'членские взносы'!W86)</f>
        <v>6200</v>
      </c>
      <c r="X85" s="29">
        <f>SUM('план на 2016'!$L86:X86)-SUM('членские взносы'!$M86:'членские взносы'!X86)</f>
        <v>7000</v>
      </c>
      <c r="Y85" s="18">
        <f t="shared" si="8"/>
        <v>7000</v>
      </c>
    </row>
    <row r="86" spans="1:25">
      <c r="A86" s="41">
        <f>VLOOKUP(B86,справочник!$B$2:$E$322,4,FALSE)</f>
        <v>264</v>
      </c>
      <c r="B86" t="str">
        <f t="shared" si="7"/>
        <v>277Еременко Виктор Александрович (Валентина)</v>
      </c>
      <c r="C86" s="1">
        <v>277</v>
      </c>
      <c r="D86" s="2" t="s">
        <v>81</v>
      </c>
      <c r="E86" s="1" t="s">
        <v>397</v>
      </c>
      <c r="F86" s="16">
        <v>41093</v>
      </c>
      <c r="G86" s="16">
        <v>41091</v>
      </c>
      <c r="H86" s="17">
        <f t="shared" si="9"/>
        <v>42</v>
      </c>
      <c r="I86" s="1">
        <f t="shared" si="10"/>
        <v>42000</v>
      </c>
      <c r="J86" s="17">
        <f>38000</f>
        <v>38000</v>
      </c>
      <c r="K86" s="17"/>
      <c r="L86" s="18">
        <f t="shared" si="6"/>
        <v>4000</v>
      </c>
      <c r="M86" s="29">
        <f>SUM('план на 2016'!$L87:M87)-SUM('членские взносы'!$M87:'членские взносы'!M87)</f>
        <v>800</v>
      </c>
      <c r="N86" s="29">
        <f>SUM('план на 2016'!$L87:N87)-SUM('членские взносы'!$M87:'членские взносы'!N87)</f>
        <v>1600</v>
      </c>
      <c r="O86" s="29">
        <f>SUM('план на 2016'!$L87:O87)-SUM('членские взносы'!$M87:'членские взносы'!O87)</f>
        <v>400</v>
      </c>
      <c r="P86" s="29">
        <f>SUM('план на 2016'!$L87:P87)-SUM('членские взносы'!$M87:'членские взносы'!P87)</f>
        <v>1200</v>
      </c>
      <c r="Q86" s="29">
        <f>SUM('план на 2016'!$L87:Q87)-SUM('членские взносы'!$M87:'членские взносы'!Q87)</f>
        <v>2000</v>
      </c>
      <c r="R86" s="29">
        <f>SUM('план на 2016'!$L87:R87)-SUM('членские взносы'!$M87:'членские взносы'!R87)</f>
        <v>2800</v>
      </c>
      <c r="S86" s="29">
        <f>SUM('план на 2016'!$L87:S87)-SUM('членские взносы'!$M87:'членские взносы'!S87)</f>
        <v>-2400</v>
      </c>
      <c r="T86" s="29">
        <f>SUM('план на 2016'!$L87:T87)-SUM('членские взносы'!$M87:'членские взносы'!T87)</f>
        <v>-1600</v>
      </c>
      <c r="U86" s="29">
        <f>SUM('план на 2016'!$L87:U87)-SUM('членские взносы'!$M87:'членские взносы'!U87)</f>
        <v>-800</v>
      </c>
      <c r="V86" s="29">
        <f>SUM('план на 2016'!$L87:V87)-SUM('членские взносы'!$M87:'членские взносы'!V87)</f>
        <v>0</v>
      </c>
      <c r="W86" s="29">
        <f>SUM('план на 2016'!$L87:W87)-SUM('членские взносы'!$M87:'членские взносы'!W87)</f>
        <v>800</v>
      </c>
      <c r="X86" s="29">
        <f>SUM('план на 2016'!$L87:X87)-SUM('членские взносы'!$M87:'членские взносы'!X87)</f>
        <v>1600</v>
      </c>
      <c r="Y86" s="18">
        <f t="shared" si="8"/>
        <v>1600</v>
      </c>
    </row>
    <row r="87" spans="1:25">
      <c r="A87" s="41">
        <f>VLOOKUP(B87,справочник!$B$2:$E$322,4,FALSE)</f>
        <v>32</v>
      </c>
      <c r="B87" t="str">
        <f t="shared" si="7"/>
        <v>32Ермакова Татьяна Викторовна</v>
      </c>
      <c r="C87" s="1">
        <v>32</v>
      </c>
      <c r="D87" s="2" t="s">
        <v>82</v>
      </c>
      <c r="E87" s="1" t="s">
        <v>398</v>
      </c>
      <c r="F87" s="16">
        <v>40695</v>
      </c>
      <c r="G87" s="16">
        <v>40695</v>
      </c>
      <c r="H87" s="17">
        <f t="shared" si="9"/>
        <v>55</v>
      </c>
      <c r="I87" s="1">
        <f t="shared" si="10"/>
        <v>55000</v>
      </c>
      <c r="J87" s="17">
        <f>7000+48000</f>
        <v>55000</v>
      </c>
      <c r="K87" s="17"/>
      <c r="L87" s="18">
        <f t="shared" si="6"/>
        <v>0</v>
      </c>
      <c r="M87" s="29">
        <f>SUM('план на 2016'!$L88:M88)-SUM('членские взносы'!$M88:'членские взносы'!M88)</f>
        <v>-1600</v>
      </c>
      <c r="N87" s="29">
        <f>SUM('план на 2016'!$L88:N88)-SUM('членские взносы'!$M88:'членские взносы'!N88)</f>
        <v>-800</v>
      </c>
      <c r="O87" s="29">
        <f>SUM('план на 2016'!$L88:O88)-SUM('членские взносы'!$M88:'членские взносы'!O88)</f>
        <v>0</v>
      </c>
      <c r="P87" s="29">
        <f>SUM('план на 2016'!$L88:P88)-SUM('членские взносы'!$M88:'членские взносы'!P88)</f>
        <v>800</v>
      </c>
      <c r="Q87" s="29">
        <f>SUM('план на 2016'!$L88:Q88)-SUM('членские взносы'!$M88:'членские взносы'!Q88)</f>
        <v>1600</v>
      </c>
      <c r="R87" s="29">
        <f>SUM('план на 2016'!$L88:R88)-SUM('членские взносы'!$M88:'членские взносы'!R88)</f>
        <v>0</v>
      </c>
      <c r="S87" s="29">
        <f>SUM('план на 2016'!$L88:S88)-SUM('членские взносы'!$M88:'членские взносы'!S88)</f>
        <v>-4000</v>
      </c>
      <c r="T87" s="29">
        <f>SUM('план на 2016'!$L88:T88)-SUM('членские взносы'!$M88:'членские взносы'!T88)</f>
        <v>-3200</v>
      </c>
      <c r="U87" s="29">
        <f>SUM('план на 2016'!$L88:U88)-SUM('членские взносы'!$M88:'членские взносы'!U88)</f>
        <v>-2400</v>
      </c>
      <c r="V87" s="29">
        <f>SUM('план на 2016'!$L88:V88)-SUM('членские взносы'!$M88:'членские взносы'!V88)</f>
        <v>-1600</v>
      </c>
      <c r="W87" s="29">
        <f>SUM('план на 2016'!$L88:W88)-SUM('членские взносы'!$M88:'членские взносы'!W88)</f>
        <v>-800</v>
      </c>
      <c r="X87" s="29">
        <f>SUM('план на 2016'!$L88:X88)-SUM('членские взносы'!$M88:'членские взносы'!X88)</f>
        <v>0</v>
      </c>
      <c r="Y87" s="18">
        <f t="shared" si="8"/>
        <v>0</v>
      </c>
    </row>
    <row r="88" spans="1:25">
      <c r="A88" s="41">
        <f>VLOOKUP(B88,справочник!$B$2:$E$322,4,FALSE)</f>
        <v>49</v>
      </c>
      <c r="B88" t="str">
        <f t="shared" si="7"/>
        <v>49Ермолаева Виктория Александровна</v>
      </c>
      <c r="C88" s="1">
        <v>49</v>
      </c>
      <c r="D88" s="2" t="s">
        <v>83</v>
      </c>
      <c r="E88" s="1" t="s">
        <v>399</v>
      </c>
      <c r="F88" s="16">
        <v>40729</v>
      </c>
      <c r="G88" s="16">
        <v>40756</v>
      </c>
      <c r="H88" s="17">
        <f t="shared" si="9"/>
        <v>53</v>
      </c>
      <c r="I88" s="1">
        <f t="shared" si="10"/>
        <v>53000</v>
      </c>
      <c r="J88" s="17">
        <f>42000</f>
        <v>42000</v>
      </c>
      <c r="K88" s="17"/>
      <c r="L88" s="18">
        <f t="shared" si="6"/>
        <v>11000</v>
      </c>
      <c r="M88" s="29">
        <f>SUM('план на 2016'!$L89:M89)-SUM('членские взносы'!$M89:'членские взносы'!M89)</f>
        <v>11800</v>
      </c>
      <c r="N88" s="29">
        <f>SUM('план на 2016'!$L89:N89)-SUM('членские взносы'!$M89:'членские взносы'!N89)</f>
        <v>12600</v>
      </c>
      <c r="O88" s="29">
        <f>SUM('план на 2016'!$L89:O89)-SUM('членские взносы'!$M89:'членские взносы'!O89)</f>
        <v>13400</v>
      </c>
      <c r="P88" s="29">
        <f>SUM('план на 2016'!$L89:P89)-SUM('членские взносы'!$M89:'членские взносы'!P89)</f>
        <v>14200</v>
      </c>
      <c r="Q88" s="29">
        <f>SUM('план на 2016'!$L89:Q89)-SUM('членские взносы'!$M89:'членские взносы'!Q89)</f>
        <v>10200</v>
      </c>
      <c r="R88" s="29">
        <f>SUM('план на 2016'!$L89:R89)-SUM('членские взносы'!$M89:'членские взносы'!R89)</f>
        <v>800</v>
      </c>
      <c r="S88" s="29">
        <f>SUM('план на 2016'!$L89:S89)-SUM('членские взносы'!$M89:'членские взносы'!S89)</f>
        <v>1600</v>
      </c>
      <c r="T88" s="29">
        <f>SUM('план на 2016'!$L89:T89)-SUM('членские взносы'!$M89:'членские взносы'!T89)</f>
        <v>2400</v>
      </c>
      <c r="U88" s="29">
        <f>SUM('план на 2016'!$L89:U89)-SUM('членские взносы'!$M89:'членские взносы'!U89)</f>
        <v>3200</v>
      </c>
      <c r="V88" s="29">
        <f>SUM('план на 2016'!$L89:V89)-SUM('членские взносы'!$M89:'членские взносы'!V89)</f>
        <v>4000</v>
      </c>
      <c r="W88" s="29">
        <f>SUM('план на 2016'!$L89:W89)-SUM('членские взносы'!$M89:'членские взносы'!W89)</f>
        <v>4800</v>
      </c>
      <c r="X88" s="29">
        <f>SUM('план на 2016'!$L89:X89)-SUM('членские взносы'!$M89:'членские взносы'!X89)</f>
        <v>800</v>
      </c>
      <c r="Y88" s="18">
        <f t="shared" si="8"/>
        <v>800</v>
      </c>
    </row>
    <row r="89" spans="1:25">
      <c r="A89" s="41">
        <f>VLOOKUP(B89,справочник!$B$2:$E$322,4,FALSE)</f>
        <v>234</v>
      </c>
      <c r="B89" t="str">
        <f t="shared" si="7"/>
        <v>243Ермошина Татьяна Евгеньевна (Владимир)</v>
      </c>
      <c r="C89" s="1">
        <v>243</v>
      </c>
      <c r="D89" s="2" t="s">
        <v>84</v>
      </c>
      <c r="E89" s="5" t="s">
        <v>400</v>
      </c>
      <c r="F89" s="19">
        <v>41248</v>
      </c>
      <c r="G89" s="19">
        <v>41365</v>
      </c>
      <c r="H89" s="20">
        <v>3</v>
      </c>
      <c r="I89" s="5">
        <f t="shared" si="10"/>
        <v>3000</v>
      </c>
      <c r="J89" s="20"/>
      <c r="K89" s="20">
        <v>3000</v>
      </c>
      <c r="L89" s="21">
        <f t="shared" si="6"/>
        <v>0</v>
      </c>
      <c r="M89" s="29">
        <f>SUM('план на 2016'!$L90:M90)-SUM('членские взносы'!$M90:'членские взносы'!M90)</f>
        <v>0</v>
      </c>
      <c r="N89" s="29">
        <f>SUM('план на 2016'!$L90:N90)-SUM('членские взносы'!$M90:'членские взносы'!N90)</f>
        <v>-4800</v>
      </c>
      <c r="O89" s="29">
        <f>SUM('план на 2016'!$L90:O90)-SUM('членские взносы'!$M90:'членские взносы'!O90)</f>
        <v>-4800</v>
      </c>
      <c r="P89" s="29">
        <f>SUM('план на 2016'!$L90:P90)-SUM('членские взносы'!$M90:'членские взносы'!P90)</f>
        <v>-4800</v>
      </c>
      <c r="Q89" s="29">
        <f>SUM('план на 2016'!$L90:Q90)-SUM('членские взносы'!$M90:'членские взносы'!Q90)</f>
        <v>-4800</v>
      </c>
      <c r="R89" s="29">
        <f>SUM('план на 2016'!$L90:R90)-SUM('членские взносы'!$M90:'членские взносы'!R90)</f>
        <v>-4800</v>
      </c>
      <c r="S89" s="29">
        <f>SUM('план на 2016'!$L90:S90)-SUM('членские взносы'!$M90:'членские взносы'!S90)</f>
        <v>-4800</v>
      </c>
      <c r="T89" s="29">
        <f>SUM('план на 2016'!$L90:T90)-SUM('членские взносы'!$M90:'членские взносы'!T90)</f>
        <v>-7300</v>
      </c>
      <c r="U89" s="29">
        <f>SUM('план на 2016'!$L90:U90)-SUM('членские взносы'!$M90:'членские взносы'!U90)</f>
        <v>-9600</v>
      </c>
      <c r="V89" s="29">
        <f>SUM('план на 2016'!$L90:V90)-SUM('членские взносы'!$M90:'членские взносы'!V90)</f>
        <v>-9600</v>
      </c>
      <c r="W89" s="29">
        <f>SUM('план на 2016'!$L90:W90)-SUM('членские взносы'!$M90:'членские взносы'!W90)</f>
        <v>-9600</v>
      </c>
      <c r="X89" s="29">
        <f>SUM('план на 2016'!$L90:X90)-SUM('членские взносы'!$M90:'членские взносы'!X90)</f>
        <v>-9600</v>
      </c>
      <c r="Y89" s="18">
        <f t="shared" si="8"/>
        <v>-9600</v>
      </c>
    </row>
    <row r="90" spans="1:25">
      <c r="A90" s="41">
        <f>VLOOKUP(B90,справочник!$B$2:$E$322,4,FALSE)</f>
        <v>234</v>
      </c>
      <c r="B90" t="str">
        <f t="shared" si="7"/>
        <v>244Ермошина Татьяна Евгеньевна (Владимир)</v>
      </c>
      <c r="C90" s="1">
        <v>244</v>
      </c>
      <c r="D90" s="2" t="s">
        <v>84</v>
      </c>
      <c r="E90" s="5"/>
      <c r="F90" s="19">
        <v>41248</v>
      </c>
      <c r="G90" s="19">
        <v>41365</v>
      </c>
      <c r="H90" s="20">
        <v>3</v>
      </c>
      <c r="I90" s="5">
        <f t="shared" si="10"/>
        <v>3000</v>
      </c>
      <c r="J90" s="20"/>
      <c r="K90" s="20">
        <v>3000</v>
      </c>
      <c r="L90" s="21">
        <f t="shared" si="6"/>
        <v>0</v>
      </c>
      <c r="M90" s="29">
        <f>SUM('план на 2016'!$L91:M91)-SUM('членские взносы'!$M91:'членские взносы'!M91)</f>
        <v>0</v>
      </c>
      <c r="N90" s="29">
        <f>SUM('план на 2016'!$L91:N91)-SUM('членские взносы'!$M91:'членские взносы'!N91)</f>
        <v>0</v>
      </c>
      <c r="O90" s="29">
        <f>SUM('план на 2016'!$L91:O91)-SUM('членские взносы'!$M91:'членские взносы'!O91)</f>
        <v>0</v>
      </c>
      <c r="P90" s="29">
        <f>SUM('план на 2016'!$L91:P91)-SUM('членские взносы'!$M91:'членские взносы'!P91)</f>
        <v>0</v>
      </c>
      <c r="Q90" s="29">
        <f>SUM('план на 2016'!$L91:Q91)-SUM('членские взносы'!$M91:'членские взносы'!Q91)</f>
        <v>0</v>
      </c>
      <c r="R90" s="29">
        <f>SUM('план на 2016'!$L91:R91)-SUM('членские взносы'!$M91:'членские взносы'!R91)</f>
        <v>0</v>
      </c>
      <c r="S90" s="29">
        <f>SUM('план на 2016'!$L91:S91)-SUM('членские взносы'!$M91:'членские взносы'!S91)</f>
        <v>0</v>
      </c>
      <c r="T90" s="29">
        <f>SUM('план на 2016'!$L91:T91)-SUM('членские взносы'!$M91:'членские взносы'!T91)</f>
        <v>0</v>
      </c>
      <c r="U90" s="29">
        <f>SUM('план на 2016'!$L91:U91)-SUM('членские взносы'!$M91:'членские взносы'!U91)</f>
        <v>0</v>
      </c>
      <c r="V90" s="29">
        <f>SUM('план на 2016'!$L91:V91)-SUM('членские взносы'!$M91:'членские взносы'!V91)</f>
        <v>0</v>
      </c>
      <c r="W90" s="29">
        <f>SUM('план на 2016'!$L91:W91)-SUM('членские взносы'!$M91:'членские взносы'!W91)</f>
        <v>0</v>
      </c>
      <c r="X90" s="29">
        <f>SUM('план на 2016'!$L91:X91)-SUM('членские взносы'!$M91:'членские взносы'!X91)</f>
        <v>0</v>
      </c>
      <c r="Y90" s="18">
        <f t="shared" si="8"/>
        <v>0</v>
      </c>
    </row>
    <row r="91" spans="1:25">
      <c r="A91" s="41">
        <f>VLOOKUP(B91,справочник!$B$2:$E$322,4,FALSE)</f>
        <v>234</v>
      </c>
      <c r="B91" t="str">
        <f t="shared" si="7"/>
        <v>243-244Ермошина Татьяна Евгеньевна (Владимир)</v>
      </c>
      <c r="C91" s="1" t="s">
        <v>85</v>
      </c>
      <c r="D91" s="2" t="s">
        <v>84</v>
      </c>
      <c r="E91" s="5"/>
      <c r="F91" s="19">
        <v>41456</v>
      </c>
      <c r="G91" s="19">
        <v>41456</v>
      </c>
      <c r="H91" s="20">
        <f t="shared" ref="H91:H118" si="11">INT(($H$326-G91)/30)</f>
        <v>30</v>
      </c>
      <c r="I91" s="5">
        <f t="shared" si="10"/>
        <v>30000</v>
      </c>
      <c r="J91" s="20"/>
      <c r="K91" s="20">
        <v>30000</v>
      </c>
      <c r="L91" s="21">
        <f t="shared" si="6"/>
        <v>0</v>
      </c>
      <c r="M91" s="29">
        <f>SUM('план на 2016'!$L92:M92)-SUM('членские взносы'!$M92:'членские взносы'!M92)</f>
        <v>800</v>
      </c>
      <c r="N91" s="29">
        <f>SUM('план на 2016'!$L92:N92)-SUM('членские взносы'!$M92:'членские взносы'!N92)</f>
        <v>1600</v>
      </c>
      <c r="O91" s="29">
        <f>SUM('план на 2016'!$L92:O92)-SUM('членские взносы'!$M92:'членские взносы'!O92)</f>
        <v>2400</v>
      </c>
      <c r="P91" s="29">
        <f>SUM('план на 2016'!$L92:P92)-SUM('членские взносы'!$M92:'членские взносы'!P92)</f>
        <v>3200</v>
      </c>
      <c r="Q91" s="29">
        <f>SUM('план на 2016'!$L92:Q92)-SUM('членские взносы'!$M92:'членские взносы'!Q92)</f>
        <v>4000</v>
      </c>
      <c r="R91" s="29">
        <f>SUM('план на 2016'!$L92:R92)-SUM('членские взносы'!$M92:'членские взносы'!R92)</f>
        <v>4800</v>
      </c>
      <c r="S91" s="29">
        <f>SUM('план на 2016'!$L92:S92)-SUM('членские взносы'!$M92:'членские взносы'!S92)</f>
        <v>5600</v>
      </c>
      <c r="T91" s="29">
        <f>SUM('план на 2016'!$L92:T92)-SUM('членские взносы'!$M92:'членские взносы'!T92)</f>
        <v>6400</v>
      </c>
      <c r="U91" s="29">
        <f>SUM('план на 2016'!$L92:U92)-SUM('членские взносы'!$M92:'членские взносы'!U92)</f>
        <v>7200</v>
      </c>
      <c r="V91" s="29">
        <f>SUM('план на 2016'!$L92:V92)-SUM('членские взносы'!$M92:'членские взносы'!V92)</f>
        <v>8000</v>
      </c>
      <c r="W91" s="29">
        <f>SUM('план на 2016'!$L92:W92)-SUM('членские взносы'!$M92:'членские взносы'!W92)</f>
        <v>8800</v>
      </c>
      <c r="X91" s="29">
        <f>SUM('план на 2016'!$L92:X92)-SUM('членские взносы'!$M92:'членские взносы'!X92)</f>
        <v>9600</v>
      </c>
      <c r="Y91" s="18">
        <f t="shared" si="8"/>
        <v>9600</v>
      </c>
    </row>
    <row r="92" spans="1:25">
      <c r="A92" s="41">
        <f>VLOOKUP(B92,справочник!$B$2:$E$322,4,FALSE)</f>
        <v>254</v>
      </c>
      <c r="B92" t="str">
        <f t="shared" si="7"/>
        <v>267Ершова Виктория Львовна</v>
      </c>
      <c r="C92" s="1">
        <v>267</v>
      </c>
      <c r="D92" s="2" t="s">
        <v>86</v>
      </c>
      <c r="E92" s="1" t="s">
        <v>401</v>
      </c>
      <c r="F92" s="16">
        <v>40953</v>
      </c>
      <c r="G92" s="16">
        <v>40940</v>
      </c>
      <c r="H92" s="17">
        <f t="shared" si="11"/>
        <v>47</v>
      </c>
      <c r="I92" s="1">
        <f t="shared" si="10"/>
        <v>47000</v>
      </c>
      <c r="J92" s="17">
        <f>39000+5000</f>
        <v>44000</v>
      </c>
      <c r="K92" s="17"/>
      <c r="L92" s="18">
        <f t="shared" si="6"/>
        <v>3000</v>
      </c>
      <c r="M92" s="29">
        <f>SUM('план на 2016'!$L93:M93)-SUM('членские взносы'!$M93:'членские взносы'!M93)</f>
        <v>3800</v>
      </c>
      <c r="N92" s="29">
        <f>SUM('план на 2016'!$L93:N93)-SUM('членские взносы'!$M93:'членские взносы'!N93)</f>
        <v>4600</v>
      </c>
      <c r="O92" s="29">
        <f>SUM('план на 2016'!$L93:O93)-SUM('членские взносы'!$M93:'членские взносы'!O93)</f>
        <v>5400</v>
      </c>
      <c r="P92" s="29">
        <f>SUM('план на 2016'!$L93:P93)-SUM('членские взносы'!$M93:'членские взносы'!P93)</f>
        <v>6200</v>
      </c>
      <c r="Q92" s="29">
        <f>SUM('план на 2016'!$L93:Q93)-SUM('членские взносы'!$M93:'членские взносы'!Q93)</f>
        <v>7000</v>
      </c>
      <c r="R92" s="29">
        <f>SUM('план на 2016'!$L93:R93)-SUM('членские взносы'!$M93:'членские взносы'!R93)</f>
        <v>7800</v>
      </c>
      <c r="S92" s="29">
        <f>SUM('план на 2016'!$L93:S93)-SUM('членские взносы'!$M93:'членские взносы'!S93)</f>
        <v>8600</v>
      </c>
      <c r="T92" s="29">
        <f>SUM('план на 2016'!$L93:T93)-SUM('членские взносы'!$M93:'членские взносы'!T93)</f>
        <v>9400</v>
      </c>
      <c r="U92" s="29">
        <f>SUM('план на 2016'!$L93:U93)-SUM('членские взносы'!$M93:'членские взносы'!U93)</f>
        <v>10200</v>
      </c>
      <c r="V92" s="29">
        <f>SUM('план на 2016'!$L93:V93)-SUM('членские взносы'!$M93:'членские взносы'!V93)</f>
        <v>11000</v>
      </c>
      <c r="W92" s="29">
        <f>SUM('план на 2016'!$L93:W93)-SUM('членские взносы'!$M93:'членские взносы'!W93)</f>
        <v>11800</v>
      </c>
      <c r="X92" s="29">
        <f>SUM('план на 2016'!$L93:X93)-SUM('членские взносы'!$M93:'членские взносы'!X93)</f>
        <v>12600</v>
      </c>
      <c r="Y92" s="18">
        <f t="shared" si="8"/>
        <v>12600</v>
      </c>
    </row>
    <row r="93" spans="1:25">
      <c r="A93" s="41">
        <f>VLOOKUP(B93,справочник!$B$2:$E$322,4,FALSE)</f>
        <v>230</v>
      </c>
      <c r="B93" t="str">
        <f t="shared" si="7"/>
        <v>239Жарикова Светлана Юрьевна</v>
      </c>
      <c r="C93" s="1">
        <v>239</v>
      </c>
      <c r="D93" s="2" t="s">
        <v>87</v>
      </c>
      <c r="E93" s="5" t="s">
        <v>402</v>
      </c>
      <c r="F93" s="19">
        <v>41590</v>
      </c>
      <c r="G93" s="19">
        <v>41579</v>
      </c>
      <c r="H93" s="20">
        <f t="shared" si="11"/>
        <v>26</v>
      </c>
      <c r="I93" s="5">
        <f t="shared" si="10"/>
        <v>26000</v>
      </c>
      <c r="J93" s="20">
        <v>26000</v>
      </c>
      <c r="K93" s="20"/>
      <c r="L93" s="21">
        <f t="shared" si="6"/>
        <v>0</v>
      </c>
      <c r="M93" s="29">
        <f>SUM('план на 2016'!$L94:M94)-SUM('членские взносы'!$M94:'членские взносы'!M94)</f>
        <v>800</v>
      </c>
      <c r="N93" s="29">
        <f>SUM('план на 2016'!$L94:N94)-SUM('членские взносы'!$M94:'членские взносы'!N94)</f>
        <v>1600</v>
      </c>
      <c r="O93" s="29">
        <f>SUM('план на 2016'!$L94:O94)-SUM('членские взносы'!$M94:'членские взносы'!O94)</f>
        <v>2400</v>
      </c>
      <c r="P93" s="29">
        <f>SUM('план на 2016'!$L94:P94)-SUM('членские взносы'!$M94:'членские взносы'!P94)</f>
        <v>3200</v>
      </c>
      <c r="Q93" s="29">
        <f>SUM('план на 2016'!$L94:Q94)-SUM('членские взносы'!$M94:'членские взносы'!Q94)</f>
        <v>4000</v>
      </c>
      <c r="R93" s="29">
        <f>SUM('план на 2016'!$L94:R94)-SUM('членские взносы'!$M94:'членские взносы'!R94)</f>
        <v>4800</v>
      </c>
      <c r="S93" s="29">
        <f>SUM('план на 2016'!$L94:S94)-SUM('членские взносы'!$M94:'членские взносы'!S94)</f>
        <v>5600</v>
      </c>
      <c r="T93" s="29">
        <f>SUM('план на 2016'!$L94:T94)-SUM('членские взносы'!$M94:'членские взносы'!T94)</f>
        <v>6400</v>
      </c>
      <c r="U93" s="29">
        <f>SUM('план на 2016'!$L94:U94)-SUM('членские взносы'!$M94:'членские взносы'!U94)</f>
        <v>7200</v>
      </c>
      <c r="V93" s="29">
        <f>SUM('план на 2016'!$L94:V94)-SUM('членские взносы'!$M94:'членские взносы'!V94)</f>
        <v>8000</v>
      </c>
      <c r="W93" s="29">
        <f>SUM('план на 2016'!$L94:W94)-SUM('членские взносы'!$M94:'членские взносы'!W94)</f>
        <v>8800</v>
      </c>
      <c r="X93" s="29">
        <f>SUM('план на 2016'!$L94:X94)-SUM('членские взносы'!$M94:'членские взносы'!X94)</f>
        <v>9600</v>
      </c>
      <c r="Y93" s="18">
        <f t="shared" si="8"/>
        <v>9600</v>
      </c>
    </row>
    <row r="94" spans="1:25">
      <c r="A94" s="41">
        <f>VLOOKUP(B94,справочник!$B$2:$E$322,4,FALSE)</f>
        <v>230</v>
      </c>
      <c r="B94" t="str">
        <f t="shared" si="7"/>
        <v>257Жарикова Светлана Юрьевна</v>
      </c>
      <c r="C94" s="1">
        <v>257</v>
      </c>
      <c r="D94" s="2" t="s">
        <v>87</v>
      </c>
      <c r="E94" s="5" t="s">
        <v>403</v>
      </c>
      <c r="F94" s="19">
        <v>41882</v>
      </c>
      <c r="G94" s="19">
        <v>41944</v>
      </c>
      <c r="H94" s="20">
        <f t="shared" si="11"/>
        <v>14</v>
      </c>
      <c r="I94" s="5">
        <f t="shared" si="10"/>
        <v>14000</v>
      </c>
      <c r="J94" s="20">
        <v>0</v>
      </c>
      <c r="K94" s="20">
        <v>4000</v>
      </c>
      <c r="L94" s="21">
        <f t="shared" si="6"/>
        <v>10000</v>
      </c>
      <c r="M94" s="29">
        <f>SUM('план на 2016'!$L95:M95)-SUM('членские взносы'!$M95:'членские взносы'!M95)</f>
        <v>10000</v>
      </c>
      <c r="N94" s="29">
        <f>SUM('план на 2016'!$L95:N95)-SUM('членские взносы'!$M95:'членские взносы'!N95)</f>
        <v>-2100</v>
      </c>
      <c r="O94" s="29">
        <f>SUM('план на 2016'!$L95:O95)-SUM('членские взносы'!$M95:'членские взносы'!O95)</f>
        <v>-2100</v>
      </c>
      <c r="P94" s="29">
        <f>SUM('план на 2016'!$L95:P95)-SUM('членские взносы'!$M95:'членские взносы'!P95)</f>
        <v>-2100</v>
      </c>
      <c r="Q94" s="29">
        <f>SUM('план на 2016'!$L95:Q95)-SUM('членские взносы'!$M95:'членские взносы'!Q95)</f>
        <v>-5600</v>
      </c>
      <c r="R94" s="29">
        <f>SUM('план на 2016'!$L95:R95)-SUM('членские взносы'!$M95:'членские взносы'!R95)</f>
        <v>-5600</v>
      </c>
      <c r="S94" s="29">
        <f>SUM('план на 2016'!$L95:S95)-SUM('членские взносы'!$M95:'членские взносы'!S95)</f>
        <v>-5600</v>
      </c>
      <c r="T94" s="29">
        <f>SUM('план на 2016'!$L95:T95)-SUM('членские взносы'!$M95:'членские взносы'!T95)</f>
        <v>-8300</v>
      </c>
      <c r="U94" s="29">
        <f>SUM('план на 2016'!$L95:U95)-SUM('членские взносы'!$M95:'членские взносы'!U95)</f>
        <v>-8300</v>
      </c>
      <c r="V94" s="29">
        <f>SUM('план на 2016'!$L95:V95)-SUM('членские взносы'!$M95:'членские взносы'!V95)</f>
        <v>-8300</v>
      </c>
      <c r="W94" s="29">
        <f>SUM('план на 2016'!$L95:W95)-SUM('членские взносы'!$M95:'членские взносы'!W95)</f>
        <v>-8300</v>
      </c>
      <c r="X94" s="29">
        <f>SUM('план на 2016'!$L95:X95)-SUM('членские взносы'!$M95:'членские взносы'!X95)</f>
        <v>-8300</v>
      </c>
      <c r="Y94" s="18">
        <f t="shared" si="8"/>
        <v>-8300</v>
      </c>
    </row>
    <row r="95" spans="1:25">
      <c r="A95" s="41">
        <f>VLOOKUP(B95,справочник!$B$2:$E$322,4,FALSE)</f>
        <v>4</v>
      </c>
      <c r="B95" t="str">
        <f t="shared" si="7"/>
        <v>4Жигунов Юрий Александрович</v>
      </c>
      <c r="C95" s="1">
        <v>4</v>
      </c>
      <c r="D95" s="2" t="s">
        <v>88</v>
      </c>
      <c r="E95" s="1" t="s">
        <v>404</v>
      </c>
      <c r="F95" s="16">
        <v>41436</v>
      </c>
      <c r="G95" s="16">
        <v>41456</v>
      </c>
      <c r="H95" s="17">
        <f t="shared" si="11"/>
        <v>30</v>
      </c>
      <c r="I95" s="1">
        <f t="shared" si="10"/>
        <v>30000</v>
      </c>
      <c r="J95" s="17">
        <v>27000</v>
      </c>
      <c r="K95" s="17"/>
      <c r="L95" s="18">
        <f t="shared" ref="L95:L131" si="12">I95-J95-K95</f>
        <v>3000</v>
      </c>
      <c r="M95" s="29">
        <f>SUM('план на 2016'!$L96:M96)-SUM('членские взносы'!$M96:'членские взносы'!M96)</f>
        <v>3800</v>
      </c>
      <c r="N95" s="29">
        <f>SUM('план на 2016'!$L96:N96)-SUM('членские взносы'!$M96:'членские взносы'!N96)</f>
        <v>4600</v>
      </c>
      <c r="O95" s="29">
        <f>SUM('план на 2016'!$L96:O96)-SUM('членские взносы'!$M96:'членские взносы'!O96)</f>
        <v>5400</v>
      </c>
      <c r="P95" s="29">
        <f>SUM('план на 2016'!$L96:P96)-SUM('членские взносы'!$M96:'членские взносы'!P96)</f>
        <v>6200</v>
      </c>
      <c r="Q95" s="29">
        <f>SUM('план на 2016'!$L96:Q96)-SUM('членские взносы'!$M96:'членские взносы'!Q96)</f>
        <v>2000</v>
      </c>
      <c r="R95" s="29">
        <f>SUM('план на 2016'!$L96:R96)-SUM('членские взносы'!$M96:'членские взносы'!R96)</f>
        <v>2800</v>
      </c>
      <c r="S95" s="29">
        <f>SUM('план на 2016'!$L96:S96)-SUM('членские взносы'!$M96:'членские взносы'!S96)</f>
        <v>3600</v>
      </c>
      <c r="T95" s="29">
        <f>SUM('план на 2016'!$L96:T96)-SUM('членские взносы'!$M96:'членские взносы'!T96)</f>
        <v>4400</v>
      </c>
      <c r="U95" s="29">
        <f>SUM('план на 2016'!$L96:U96)-SUM('членские взносы'!$M96:'членские взносы'!U96)</f>
        <v>5200</v>
      </c>
      <c r="V95" s="29">
        <f>SUM('план на 2016'!$L96:V96)-SUM('членские взносы'!$M96:'членские взносы'!V96)</f>
        <v>6000</v>
      </c>
      <c r="W95" s="29">
        <f>SUM('план на 2016'!$L96:W96)-SUM('членские взносы'!$M96:'членские взносы'!W96)</f>
        <v>6800</v>
      </c>
      <c r="X95" s="29">
        <f>SUM('план на 2016'!$L96:X96)-SUM('членские взносы'!$M96:'членские взносы'!X96)</f>
        <v>7600</v>
      </c>
      <c r="Y95" s="18">
        <f t="shared" si="8"/>
        <v>7600</v>
      </c>
    </row>
    <row r="96" spans="1:25">
      <c r="A96" s="41">
        <f>VLOOKUP(B96,справочник!$B$2:$E$322,4,FALSE)</f>
        <v>213</v>
      </c>
      <c r="B96" t="str">
        <f t="shared" si="7"/>
        <v>222Жирная Татьяна Сергеевна</v>
      </c>
      <c r="C96" s="1">
        <v>222</v>
      </c>
      <c r="D96" s="2" t="s">
        <v>89</v>
      </c>
      <c r="E96" s="1" t="s">
        <v>405</v>
      </c>
      <c r="F96" s="16">
        <v>41766</v>
      </c>
      <c r="G96" s="16">
        <v>41791</v>
      </c>
      <c r="H96" s="17">
        <f t="shared" si="11"/>
        <v>19</v>
      </c>
      <c r="I96" s="1">
        <f t="shared" si="10"/>
        <v>19000</v>
      </c>
      <c r="J96" s="17">
        <v>500</v>
      </c>
      <c r="K96" s="17"/>
      <c r="L96" s="18">
        <f t="shared" si="12"/>
        <v>18500</v>
      </c>
      <c r="M96" s="29">
        <f>SUM('план на 2016'!$L97:M97)-SUM('членские взносы'!$M97:'членские взносы'!M97)</f>
        <v>19300</v>
      </c>
      <c r="N96" s="29">
        <f>SUM('план на 2016'!$L97:N97)-SUM('членские взносы'!$M97:'членские взносы'!N97)</f>
        <v>20100</v>
      </c>
      <c r="O96" s="29">
        <f>SUM('план на 2016'!$L97:O97)-SUM('членские взносы'!$M97:'членские взносы'!O97)</f>
        <v>20900</v>
      </c>
      <c r="P96" s="29">
        <f>SUM('план на 2016'!$L97:P97)-SUM('членские взносы'!$M97:'членские взносы'!P97)</f>
        <v>21700</v>
      </c>
      <c r="Q96" s="29">
        <f>SUM('план на 2016'!$L97:Q97)-SUM('членские взносы'!$M97:'членские взносы'!Q97)</f>
        <v>22500</v>
      </c>
      <c r="R96" s="29">
        <f>SUM('план на 2016'!$L97:R97)-SUM('членские взносы'!$M97:'членские взносы'!R97)</f>
        <v>23300</v>
      </c>
      <c r="S96" s="29">
        <f>SUM('план на 2016'!$L97:S97)-SUM('членские взносы'!$M97:'членские взносы'!S97)</f>
        <v>24100</v>
      </c>
      <c r="T96" s="29">
        <f>SUM('план на 2016'!$L97:T97)-SUM('членские взносы'!$M97:'членские взносы'!T97)</f>
        <v>24900</v>
      </c>
      <c r="U96" s="29">
        <f>SUM('план на 2016'!$L97:U97)-SUM('членские взносы'!$M97:'членские взносы'!U97)</f>
        <v>25700</v>
      </c>
      <c r="V96" s="29">
        <f>SUM('план на 2016'!$L97:V97)-SUM('членские взносы'!$M97:'членские взносы'!V97)</f>
        <v>26500</v>
      </c>
      <c r="W96" s="29">
        <f>SUM('план на 2016'!$L97:W97)-SUM('членские взносы'!$M97:'членские взносы'!W97)</f>
        <v>27300</v>
      </c>
      <c r="X96" s="29">
        <f>SUM('план на 2016'!$L97:X97)-SUM('членские взносы'!$M97:'членские взносы'!X97)</f>
        <v>28100</v>
      </c>
      <c r="Y96" s="18">
        <f t="shared" si="8"/>
        <v>28100</v>
      </c>
    </row>
    <row r="97" spans="1:25">
      <c r="A97" s="41">
        <f>VLOOKUP(B97,справочник!$B$2:$E$322,4,FALSE)</f>
        <v>127</v>
      </c>
      <c r="B97" t="str">
        <f t="shared" si="7"/>
        <v>132Жохова Елена Сергеевна</v>
      </c>
      <c r="C97" s="1">
        <v>132</v>
      </c>
      <c r="D97" s="2" t="s">
        <v>90</v>
      </c>
      <c r="E97" s="1" t="s">
        <v>406</v>
      </c>
      <c r="F97" s="16">
        <v>40701</v>
      </c>
      <c r="G97" s="16">
        <v>40695</v>
      </c>
      <c r="H97" s="17">
        <f t="shared" si="11"/>
        <v>55</v>
      </c>
      <c r="I97" s="1">
        <f t="shared" si="10"/>
        <v>55000</v>
      </c>
      <c r="J97" s="17">
        <f>36000+7000</f>
        <v>43000</v>
      </c>
      <c r="K97" s="17"/>
      <c r="L97" s="18">
        <f t="shared" si="12"/>
        <v>12000</v>
      </c>
      <c r="M97" s="29">
        <f>SUM('план на 2016'!$L98:M98)-SUM('членские взносы'!$M98:'членские взносы'!M98)</f>
        <v>800</v>
      </c>
      <c r="N97" s="29">
        <f>SUM('план на 2016'!$L98:N98)-SUM('членские взносы'!$M98:'членские взносы'!N98)</f>
        <v>0</v>
      </c>
      <c r="O97" s="29">
        <f>SUM('план на 2016'!$L98:O98)-SUM('членские взносы'!$M98:'членские взносы'!O98)</f>
        <v>800</v>
      </c>
      <c r="P97" s="29">
        <f>SUM('план на 2016'!$L98:P98)-SUM('членские взносы'!$M98:'членские взносы'!P98)</f>
        <v>1600</v>
      </c>
      <c r="Q97" s="29">
        <f>SUM('план на 2016'!$L98:Q98)-SUM('членские взносы'!$M98:'членские взносы'!Q98)</f>
        <v>2400</v>
      </c>
      <c r="R97" s="29">
        <f>SUM('план на 2016'!$L98:R98)-SUM('членские взносы'!$M98:'членские взносы'!R98)</f>
        <v>3200</v>
      </c>
      <c r="S97" s="29">
        <f>SUM('план на 2016'!$L98:S98)-SUM('членские взносы'!$M98:'членские взносы'!S98)</f>
        <v>4000</v>
      </c>
      <c r="T97" s="29">
        <f>SUM('план на 2016'!$L98:T98)-SUM('членские взносы'!$M98:'членские взносы'!T98)</f>
        <v>2400</v>
      </c>
      <c r="U97" s="29">
        <f>SUM('план на 2016'!$L98:U98)-SUM('членские взносы'!$M98:'членские взносы'!U98)</f>
        <v>3200</v>
      </c>
      <c r="V97" s="29">
        <f>SUM('план на 2016'!$L98:V98)-SUM('членские взносы'!$M98:'членские взносы'!V98)</f>
        <v>4000</v>
      </c>
      <c r="W97" s="29">
        <f>SUM('план на 2016'!$L98:W98)-SUM('членские взносы'!$M98:'членские взносы'!W98)</f>
        <v>4800</v>
      </c>
      <c r="X97" s="29">
        <f>SUM('план на 2016'!$L98:X98)-SUM('членские взносы'!$M98:'членские взносы'!X98)</f>
        <v>5600</v>
      </c>
      <c r="Y97" s="18">
        <f t="shared" si="8"/>
        <v>5600</v>
      </c>
    </row>
    <row r="98" spans="1:25">
      <c r="A98" s="41">
        <f>VLOOKUP(B98,справочник!$B$2:$E$322,4,FALSE)</f>
        <v>66</v>
      </c>
      <c r="B98" t="str">
        <f t="shared" si="7"/>
        <v>68Заборская Светлана Анатольевна (Андрей)</v>
      </c>
      <c r="C98" s="1">
        <v>68</v>
      </c>
      <c r="D98" s="2" t="s">
        <v>91</v>
      </c>
      <c r="E98" s="1" t="s">
        <v>407</v>
      </c>
      <c r="F98" s="16">
        <v>41100</v>
      </c>
      <c r="G98" s="16">
        <v>41091</v>
      </c>
      <c r="H98" s="17">
        <f t="shared" si="11"/>
        <v>42</v>
      </c>
      <c r="I98" s="1">
        <f t="shared" si="10"/>
        <v>42000</v>
      </c>
      <c r="J98" s="17">
        <v>39780</v>
      </c>
      <c r="K98" s="17"/>
      <c r="L98" s="18">
        <f t="shared" si="12"/>
        <v>2220</v>
      </c>
      <c r="M98" s="29">
        <f>SUM('план на 2016'!$L99:M99)-SUM('членские взносы'!$M99:'членские взносы'!M99)</f>
        <v>3020</v>
      </c>
      <c r="N98" s="29">
        <f>SUM('план на 2016'!$L99:N99)-SUM('членские взносы'!$M99:'членские взносы'!N99)</f>
        <v>3820</v>
      </c>
      <c r="O98" s="29">
        <f>SUM('план на 2016'!$L99:O99)-SUM('членские взносы'!$M99:'членские взносы'!O99)</f>
        <v>4620</v>
      </c>
      <c r="P98" s="29">
        <f>SUM('план на 2016'!$L99:P99)-SUM('членские взносы'!$M99:'членские взносы'!P99)</f>
        <v>5420</v>
      </c>
      <c r="Q98" s="29">
        <f>SUM('план на 2016'!$L99:Q99)-SUM('членские взносы'!$M99:'членские взносы'!Q99)</f>
        <v>6220</v>
      </c>
      <c r="R98" s="29">
        <f>SUM('план на 2016'!$L99:R99)-SUM('членские взносы'!$M99:'членские взносы'!R99)</f>
        <v>7020</v>
      </c>
      <c r="S98" s="29">
        <f>SUM('план на 2016'!$L99:S99)-SUM('членские взносы'!$M99:'членские взносы'!S99)</f>
        <v>7820</v>
      </c>
      <c r="T98" s="29">
        <f>SUM('план на 2016'!$L99:T99)-SUM('членские взносы'!$M99:'членские взносы'!T99)</f>
        <v>8620</v>
      </c>
      <c r="U98" s="29">
        <f>SUM('план на 2016'!$L99:U99)-SUM('членские взносы'!$M99:'членские взносы'!U99)</f>
        <v>9420</v>
      </c>
      <c r="V98" s="29">
        <f>SUM('план на 2016'!$L99:V99)-SUM('членские взносы'!$M99:'членские взносы'!V99)</f>
        <v>10220</v>
      </c>
      <c r="W98" s="29">
        <f>SUM('план на 2016'!$L99:W99)-SUM('членские взносы'!$M99:'членские взносы'!W99)</f>
        <v>3020</v>
      </c>
      <c r="X98" s="29">
        <f>SUM('план на 2016'!$L99:X99)-SUM('членские взносы'!$M99:'членские взносы'!X99)</f>
        <v>3820</v>
      </c>
      <c r="Y98" s="18">
        <f t="shared" si="8"/>
        <v>3820</v>
      </c>
    </row>
    <row r="99" spans="1:25">
      <c r="A99" s="41">
        <f>VLOOKUP(B99,справочник!$B$2:$E$322,4,FALSE)</f>
        <v>36</v>
      </c>
      <c r="B99" t="str">
        <f t="shared" si="7"/>
        <v>36Закревская Марина Владимировна</v>
      </c>
      <c r="C99" s="1">
        <v>36</v>
      </c>
      <c r="D99" s="2" t="s">
        <v>92</v>
      </c>
      <c r="E99" s="1" t="s">
        <v>408</v>
      </c>
      <c r="F99" s="16">
        <v>40736</v>
      </c>
      <c r="G99" s="16">
        <v>40756</v>
      </c>
      <c r="H99" s="17">
        <f t="shared" si="11"/>
        <v>53</v>
      </c>
      <c r="I99" s="1">
        <f t="shared" si="10"/>
        <v>53000</v>
      </c>
      <c r="J99" s="17">
        <f>42000+1000</f>
        <v>43000</v>
      </c>
      <c r="K99" s="17"/>
      <c r="L99" s="18">
        <f t="shared" si="12"/>
        <v>10000</v>
      </c>
      <c r="M99" s="29">
        <f>SUM('план на 2016'!$L100:M100)-SUM('членские взносы'!$M100:'членские взносы'!M100)</f>
        <v>10800</v>
      </c>
      <c r="N99" s="29">
        <f>SUM('план на 2016'!$L100:N100)-SUM('членские взносы'!$M100:'членские взносы'!N100)</f>
        <v>11600</v>
      </c>
      <c r="O99" s="29">
        <f>SUM('план на 2016'!$L100:O100)-SUM('членские взносы'!$M100:'членские взносы'!O100)</f>
        <v>12400</v>
      </c>
      <c r="P99" s="29">
        <f>SUM('план на 2016'!$L100:P100)-SUM('членские взносы'!$M100:'членские взносы'!P100)</f>
        <v>13200</v>
      </c>
      <c r="Q99" s="29">
        <f>SUM('план на 2016'!$L100:Q100)-SUM('членские взносы'!$M100:'членские взносы'!Q100)</f>
        <v>14000</v>
      </c>
      <c r="R99" s="29">
        <f>SUM('план на 2016'!$L100:R100)-SUM('членские взносы'!$M100:'членские взносы'!R100)</f>
        <v>14800</v>
      </c>
      <c r="S99" s="29">
        <f>SUM('план на 2016'!$L100:S100)-SUM('членские взносы'!$M100:'членские взносы'!S100)</f>
        <v>15600</v>
      </c>
      <c r="T99" s="29">
        <f>SUM('план на 2016'!$L100:T100)-SUM('членские взносы'!$M100:'членские взносы'!T100)</f>
        <v>12400</v>
      </c>
      <c r="U99" s="29">
        <f>SUM('план на 2016'!$L100:U100)-SUM('членские взносы'!$M100:'членские взносы'!U100)</f>
        <v>13200</v>
      </c>
      <c r="V99" s="29">
        <f>SUM('план на 2016'!$L100:V100)-SUM('членские взносы'!$M100:'членские взносы'!V100)</f>
        <v>14000</v>
      </c>
      <c r="W99" s="29">
        <f>SUM('план на 2016'!$L100:W100)-SUM('членские взносы'!$M100:'членские взносы'!W100)</f>
        <v>14800</v>
      </c>
      <c r="X99" s="29">
        <f>SUM('план на 2016'!$L100:X100)-SUM('членские взносы'!$M100:'членские взносы'!X100)</f>
        <v>12800</v>
      </c>
      <c r="Y99" s="18">
        <f t="shared" si="8"/>
        <v>12800</v>
      </c>
    </row>
    <row r="100" spans="1:25">
      <c r="A100" s="41">
        <f>VLOOKUP(B100,справочник!$B$2:$E$322,4,FALSE)</f>
        <v>38</v>
      </c>
      <c r="B100" t="str">
        <f t="shared" si="7"/>
        <v>255Заручинский Вячеслав Владимирович</v>
      </c>
      <c r="C100" s="1">
        <v>255</v>
      </c>
      <c r="D100" s="2" t="s">
        <v>93</v>
      </c>
      <c r="E100" s="5" t="s">
        <v>409</v>
      </c>
      <c r="F100" s="19">
        <v>40770</v>
      </c>
      <c r="G100" s="19">
        <v>40787</v>
      </c>
      <c r="H100" s="20">
        <f t="shared" si="11"/>
        <v>52</v>
      </c>
      <c r="I100" s="5">
        <f t="shared" si="10"/>
        <v>52000</v>
      </c>
      <c r="J100" s="20">
        <f>5000+18000+29000</f>
        <v>52000</v>
      </c>
      <c r="K100" s="20"/>
      <c r="L100" s="21">
        <f t="shared" si="12"/>
        <v>0</v>
      </c>
      <c r="M100" s="29">
        <f>SUM('план на 2016'!$L101:M101)-SUM('членские взносы'!$M101:'членские взносы'!M101)</f>
        <v>0</v>
      </c>
      <c r="N100" s="29">
        <f>SUM('план на 2016'!$L101:N101)-SUM('членские взносы'!$M101:'членские взносы'!N101)</f>
        <v>0</v>
      </c>
      <c r="O100" s="29">
        <f>SUM('план на 2016'!$L101:O101)-SUM('членские взносы'!$M101:'членские взносы'!O101)</f>
        <v>0</v>
      </c>
      <c r="P100" s="29">
        <f>SUM('план на 2016'!$L101:P101)-SUM('членские взносы'!$M101:'членские взносы'!P101)</f>
        <v>0</v>
      </c>
      <c r="Q100" s="29">
        <f>SUM('план на 2016'!$L101:Q101)-SUM('членские взносы'!$M101:'членские взносы'!Q101)</f>
        <v>0</v>
      </c>
      <c r="R100" s="29">
        <f>SUM('план на 2016'!$L101:R101)-SUM('членские взносы'!$M101:'членские взносы'!R101)</f>
        <v>-1600</v>
      </c>
      <c r="S100" s="29">
        <f>SUM('план на 2016'!$L101:S101)-SUM('членские взносы'!$M101:'членские взносы'!S101)</f>
        <v>-2400</v>
      </c>
      <c r="T100" s="29">
        <f>SUM('план на 2016'!$L101:T101)-SUM('членские взносы'!$M101:'членские взносы'!T101)</f>
        <v>-4000</v>
      </c>
      <c r="U100" s="29">
        <f>SUM('план на 2016'!$L101:U101)-SUM('членские взносы'!$M101:'членские взносы'!U101)</f>
        <v>-6161.78</v>
      </c>
      <c r="V100" s="29">
        <f>SUM('план на 2016'!$L101:V101)-SUM('членские взносы'!$M101:'членские взносы'!V101)</f>
        <v>-6161.78</v>
      </c>
      <c r="W100" s="29">
        <f>SUM('план на 2016'!$L101:W101)-SUM('членские взносы'!$M101:'членские взносы'!W101)</f>
        <v>-6961.78</v>
      </c>
      <c r="X100" s="29">
        <f>SUM('план на 2016'!$L101:X101)-SUM('членские взносы'!$M101:'членские взносы'!X101)</f>
        <v>-7761.78</v>
      </c>
      <c r="Y100" s="18">
        <f t="shared" si="8"/>
        <v>-7761.78</v>
      </c>
    </row>
    <row r="101" spans="1:25">
      <c r="A101" s="41">
        <f>VLOOKUP(B101,справочник!$B$2:$E$322,4,FALSE)</f>
        <v>38</v>
      </c>
      <c r="B101" t="str">
        <f t="shared" si="7"/>
        <v>38Заручинский Вячеслав Владимирович</v>
      </c>
      <c r="C101" s="1">
        <v>38</v>
      </c>
      <c r="D101" s="2" t="s">
        <v>93</v>
      </c>
      <c r="E101" s="5" t="s">
        <v>410</v>
      </c>
      <c r="F101" s="19">
        <v>41100</v>
      </c>
      <c r="G101" s="19">
        <v>41091</v>
      </c>
      <c r="H101" s="20">
        <f t="shared" si="11"/>
        <v>42</v>
      </c>
      <c r="I101" s="5">
        <f t="shared" si="10"/>
        <v>42000</v>
      </c>
      <c r="J101" s="20">
        <v>35000</v>
      </c>
      <c r="K101" s="20"/>
      <c r="L101" s="21">
        <f t="shared" si="12"/>
        <v>7000</v>
      </c>
      <c r="M101" s="29">
        <f>SUM('план на 2016'!$L102:M102)-SUM('членские взносы'!$M102:'членские взносы'!M102)</f>
        <v>7800</v>
      </c>
      <c r="N101" s="29">
        <f>SUM('план на 2016'!$L102:N102)-SUM('членские взносы'!$M102:'членские взносы'!N102)</f>
        <v>8600</v>
      </c>
      <c r="O101" s="29">
        <f>SUM('план на 2016'!$L102:O102)-SUM('членские взносы'!$M102:'членские взносы'!O102)</f>
        <v>9400</v>
      </c>
      <c r="P101" s="29">
        <f>SUM('план на 2016'!$L102:P102)-SUM('членские взносы'!$M102:'членские взносы'!P102)</f>
        <v>10200</v>
      </c>
      <c r="Q101" s="29">
        <f>SUM('план на 2016'!$L102:Q102)-SUM('членские взносы'!$M102:'членские взносы'!Q102)</f>
        <v>11000</v>
      </c>
      <c r="R101" s="29">
        <f>SUM('план на 2016'!$L102:R102)-SUM('членские взносы'!$M102:'членские взносы'!R102)</f>
        <v>11800</v>
      </c>
      <c r="S101" s="29">
        <f>SUM('план на 2016'!$L102:S102)-SUM('членские взносы'!$M102:'членские взносы'!S102)</f>
        <v>12600</v>
      </c>
      <c r="T101" s="29">
        <f>SUM('план на 2016'!$L102:T102)-SUM('членские взносы'!$M102:'членские взносы'!T102)</f>
        <v>13400</v>
      </c>
      <c r="U101" s="29">
        <f>SUM('план на 2016'!$L102:U102)-SUM('членские взносы'!$M102:'членские взносы'!U102)</f>
        <v>14200</v>
      </c>
      <c r="V101" s="29">
        <f>SUM('план на 2016'!$L102:V102)-SUM('членские взносы'!$M102:'членские взносы'!V102)</f>
        <v>13861.78</v>
      </c>
      <c r="W101" s="29">
        <f>SUM('план на 2016'!$L102:W102)-SUM('членские взносы'!$M102:'членские взносы'!W102)</f>
        <v>14661.78</v>
      </c>
      <c r="X101" s="29">
        <f>SUM('план на 2016'!$L102:X102)-SUM('членские взносы'!$M102:'членские взносы'!X102)</f>
        <v>14761.78</v>
      </c>
      <c r="Y101" s="18">
        <f t="shared" si="8"/>
        <v>14761.78</v>
      </c>
    </row>
    <row r="102" spans="1:25">
      <c r="A102" s="41">
        <f>VLOOKUP(B102,справочник!$B$2:$E$322,4,FALSE)</f>
        <v>12</v>
      </c>
      <c r="B102" t="str">
        <f t="shared" si="7"/>
        <v>12Захаренкова Светлана Евгеньевна</v>
      </c>
      <c r="C102" s="1">
        <v>12</v>
      </c>
      <c r="D102" s="2" t="s">
        <v>94</v>
      </c>
      <c r="E102" s="1" t="s">
        <v>411</v>
      </c>
      <c r="F102" s="16">
        <v>41414</v>
      </c>
      <c r="G102" s="16">
        <v>41426</v>
      </c>
      <c r="H102" s="17">
        <f t="shared" si="11"/>
        <v>31</v>
      </c>
      <c r="I102" s="1">
        <f t="shared" si="10"/>
        <v>31000</v>
      </c>
      <c r="J102" s="17">
        <v>5000</v>
      </c>
      <c r="K102" s="17"/>
      <c r="L102" s="18">
        <f t="shared" si="12"/>
        <v>26000</v>
      </c>
      <c r="M102" s="29">
        <f>SUM('план на 2016'!$L103:M103)-SUM('членские взносы'!$M103:'членские взносы'!M103)</f>
        <v>26800</v>
      </c>
      <c r="N102" s="29">
        <f>SUM('план на 2016'!$L103:N103)-SUM('членские взносы'!$M103:'членские взносы'!N103)</f>
        <v>27600</v>
      </c>
      <c r="O102" s="29">
        <f>SUM('план на 2016'!$L103:O103)-SUM('членские взносы'!$M103:'членские взносы'!O103)</f>
        <v>28400</v>
      </c>
      <c r="P102" s="29">
        <f>SUM('план на 2016'!$L103:P103)-SUM('членские взносы'!$M103:'членские взносы'!P103)</f>
        <v>29200</v>
      </c>
      <c r="Q102" s="29">
        <f>SUM('план на 2016'!$L103:Q103)-SUM('членские взносы'!$M103:'членские взносы'!Q103)</f>
        <v>30000</v>
      </c>
      <c r="R102" s="29">
        <f>SUM('план на 2016'!$L103:R103)-SUM('членские взносы'!$M103:'членские взносы'!R103)</f>
        <v>30800</v>
      </c>
      <c r="S102" s="29">
        <f>SUM('план на 2016'!$L103:S103)-SUM('членские взносы'!$M103:'членские взносы'!S103)</f>
        <v>31600</v>
      </c>
      <c r="T102" s="29">
        <f>SUM('план на 2016'!$L103:T103)-SUM('членские взносы'!$M103:'членские взносы'!T103)</f>
        <v>28400</v>
      </c>
      <c r="U102" s="29">
        <f>SUM('план на 2016'!$L103:U103)-SUM('членские взносы'!$M103:'членские взносы'!U103)</f>
        <v>29200</v>
      </c>
      <c r="V102" s="29">
        <f>SUM('план на 2016'!$L103:V103)-SUM('членские взносы'!$M103:'членские взносы'!V103)</f>
        <v>30000</v>
      </c>
      <c r="W102" s="29">
        <f>SUM('план на 2016'!$L103:W103)-SUM('членские взносы'!$M103:'членские взносы'!W103)</f>
        <v>30800</v>
      </c>
      <c r="X102" s="29">
        <f>SUM('план на 2016'!$L103:X103)-SUM('членские взносы'!$M103:'членские взносы'!X103)</f>
        <v>31600</v>
      </c>
      <c r="Y102" s="18">
        <f t="shared" si="8"/>
        <v>31600</v>
      </c>
    </row>
    <row r="103" spans="1:25">
      <c r="A103" s="41">
        <f>VLOOKUP(B103,справочник!$B$2:$E$322,4,FALSE)</f>
        <v>63</v>
      </c>
      <c r="B103" t="str">
        <f t="shared" si="7"/>
        <v>65Захаров Михаил Сергеевич</v>
      </c>
      <c r="C103" s="1">
        <v>65</v>
      </c>
      <c r="D103" s="2" t="s">
        <v>95</v>
      </c>
      <c r="E103" s="1" t="s">
        <v>412</v>
      </c>
      <c r="F103" s="16">
        <v>41513</v>
      </c>
      <c r="G103" s="16">
        <v>41518</v>
      </c>
      <c r="H103" s="17">
        <f t="shared" si="11"/>
        <v>28</v>
      </c>
      <c r="I103" s="1">
        <f t="shared" si="10"/>
        <v>28000</v>
      </c>
      <c r="J103" s="17">
        <v>0</v>
      </c>
      <c r="K103" s="17"/>
      <c r="L103" s="18">
        <f t="shared" si="12"/>
        <v>28000</v>
      </c>
      <c r="M103" s="29">
        <f>SUM('план на 2016'!$L104:M104)-SUM('членские взносы'!$M104:'членские взносы'!M104)</f>
        <v>28800</v>
      </c>
      <c r="N103" s="29">
        <f>SUM('план на 2016'!$L104:N104)-SUM('членские взносы'!$M104:'членские взносы'!N104)</f>
        <v>29600</v>
      </c>
      <c r="O103" s="29">
        <f>SUM('план на 2016'!$L104:O104)-SUM('членские взносы'!$M104:'членские взносы'!O104)</f>
        <v>30400</v>
      </c>
      <c r="P103" s="29">
        <f>SUM('план на 2016'!$L104:P104)-SUM('членские взносы'!$M104:'членские взносы'!P104)</f>
        <v>31200</v>
      </c>
      <c r="Q103" s="29">
        <f>SUM('план на 2016'!$L104:Q104)-SUM('членские взносы'!$M104:'членские взносы'!Q104)</f>
        <v>32000</v>
      </c>
      <c r="R103" s="29">
        <f>SUM('план на 2016'!$L104:R104)-SUM('членские взносы'!$M104:'членские взносы'!R104)</f>
        <v>32000</v>
      </c>
      <c r="S103" s="29">
        <f>SUM('план на 2016'!$L104:S104)-SUM('членские взносы'!$M104:'членские взносы'!S104)</f>
        <v>32800</v>
      </c>
      <c r="T103" s="29">
        <f>SUM('план на 2016'!$L104:T104)-SUM('членские взносы'!$M104:'членские взносы'!T104)</f>
        <v>33600</v>
      </c>
      <c r="U103" s="29">
        <f>SUM('план на 2016'!$L104:U104)-SUM('членские взносы'!$M104:'членские взносы'!U104)</f>
        <v>34400</v>
      </c>
      <c r="V103" s="29">
        <f>SUM('план на 2016'!$L104:V104)-SUM('членские взносы'!$M104:'членские взносы'!V104)</f>
        <v>35200</v>
      </c>
      <c r="W103" s="29">
        <f>SUM('план на 2016'!$L104:W104)-SUM('членские взносы'!$M104:'членские взносы'!W104)</f>
        <v>36000</v>
      </c>
      <c r="X103" s="29">
        <f>SUM('план на 2016'!$L104:X104)-SUM('членские взносы'!$M104:'членские взносы'!X104)</f>
        <v>36000</v>
      </c>
      <c r="Y103" s="18">
        <f t="shared" si="8"/>
        <v>36000</v>
      </c>
    </row>
    <row r="104" spans="1:25">
      <c r="A104" s="41">
        <f>VLOOKUP(B104,справочник!$B$2:$E$322,4,FALSE)</f>
        <v>16</v>
      </c>
      <c r="B104" t="str">
        <f t="shared" si="7"/>
        <v>16Захарова Людмила Захаровна</v>
      </c>
      <c r="C104" s="1">
        <v>16</v>
      </c>
      <c r="D104" s="2" t="s">
        <v>96</v>
      </c>
      <c r="E104" s="1" t="s">
        <v>413</v>
      </c>
      <c r="F104" s="16">
        <v>41254</v>
      </c>
      <c r="G104" s="16">
        <v>41275</v>
      </c>
      <c r="H104" s="17">
        <f t="shared" si="11"/>
        <v>36</v>
      </c>
      <c r="I104" s="1">
        <f t="shared" si="10"/>
        <v>36000</v>
      </c>
      <c r="J104" s="17">
        <v>36000</v>
      </c>
      <c r="K104" s="17"/>
      <c r="L104" s="18">
        <f t="shared" si="12"/>
        <v>0</v>
      </c>
      <c r="M104" s="29">
        <f>SUM('план на 2016'!$L105:M105)-SUM('членские взносы'!$M105:'членские взносы'!M105)</f>
        <v>800</v>
      </c>
      <c r="N104" s="29">
        <f>SUM('план на 2016'!$L105:N105)-SUM('членские взносы'!$M105:'членские взносы'!N105)</f>
        <v>1600</v>
      </c>
      <c r="O104" s="29">
        <f>SUM('план на 2016'!$L105:O105)-SUM('членские взносы'!$M105:'членские взносы'!O105)</f>
        <v>2400</v>
      </c>
      <c r="P104" s="29">
        <f>SUM('план на 2016'!$L105:P105)-SUM('членские взносы'!$M105:'членские взносы'!P105)</f>
        <v>3200</v>
      </c>
      <c r="Q104" s="29">
        <f>SUM('план на 2016'!$L105:Q105)-SUM('членские взносы'!$M105:'членские взносы'!Q105)</f>
        <v>4000</v>
      </c>
      <c r="R104" s="29">
        <f>SUM('план на 2016'!$L105:R105)-SUM('членские взносы'!$M105:'членские взносы'!R105)</f>
        <v>-7200</v>
      </c>
      <c r="S104" s="29">
        <f>SUM('план на 2016'!$L105:S105)-SUM('членские взносы'!$M105:'членские взносы'!S105)</f>
        <v>-6400</v>
      </c>
      <c r="T104" s="29">
        <f>SUM('план на 2016'!$L105:T105)-SUM('членские взносы'!$M105:'членские взносы'!T105)</f>
        <v>-5600</v>
      </c>
      <c r="U104" s="29">
        <f>SUM('план на 2016'!$L105:U105)-SUM('членские взносы'!$M105:'членские взносы'!U105)</f>
        <v>-4800</v>
      </c>
      <c r="V104" s="29">
        <f>SUM('план на 2016'!$L105:V105)-SUM('членские взносы'!$M105:'членские взносы'!V105)</f>
        <v>-4000</v>
      </c>
      <c r="W104" s="29">
        <f>SUM('план на 2016'!$L105:W105)-SUM('членские взносы'!$M105:'членские взносы'!W105)</f>
        <v>-3200</v>
      </c>
      <c r="X104" s="29">
        <f>SUM('план на 2016'!$L105:X105)-SUM('членские взносы'!$M105:'членские взносы'!X105)</f>
        <v>-2400</v>
      </c>
      <c r="Y104" s="18">
        <f t="shared" si="8"/>
        <v>-2400</v>
      </c>
    </row>
    <row r="105" spans="1:25">
      <c r="A105" s="41">
        <f>VLOOKUP(B105,справочник!$B$2:$E$322,4,FALSE)</f>
        <v>121</v>
      </c>
      <c r="B105" t="str">
        <f t="shared" si="7"/>
        <v>126Зиннатов Рафаэль Шакурович</v>
      </c>
      <c r="C105" s="1">
        <v>126</v>
      </c>
      <c r="D105" s="2" t="s">
        <v>97</v>
      </c>
      <c r="E105" s="1" t="s">
        <v>414</v>
      </c>
      <c r="F105" s="16">
        <v>41190</v>
      </c>
      <c r="G105" s="16">
        <v>41214</v>
      </c>
      <c r="H105" s="17">
        <f t="shared" si="11"/>
        <v>38</v>
      </c>
      <c r="I105" s="1">
        <f t="shared" si="10"/>
        <v>38000</v>
      </c>
      <c r="J105" s="17">
        <v>32000</v>
      </c>
      <c r="K105" s="17"/>
      <c r="L105" s="18">
        <f t="shared" si="12"/>
        <v>6000</v>
      </c>
      <c r="M105" s="29">
        <f>SUM('план на 2016'!$L106:M106)-SUM('членские взносы'!$M106:'членские взносы'!M106)</f>
        <v>3800</v>
      </c>
      <c r="N105" s="29">
        <f>SUM('план на 2016'!$L106:N106)-SUM('членские взносы'!$M106:'членские взносы'!N106)</f>
        <v>4600</v>
      </c>
      <c r="O105" s="29">
        <f>SUM('план на 2016'!$L106:O106)-SUM('членские взносы'!$M106:'членские взносы'!O106)</f>
        <v>5400</v>
      </c>
      <c r="P105" s="29">
        <f>SUM('план на 2016'!$L106:P106)-SUM('членские взносы'!$M106:'членские взносы'!P106)</f>
        <v>3000</v>
      </c>
      <c r="Q105" s="29">
        <f>SUM('план на 2016'!$L106:Q106)-SUM('членские взносы'!$M106:'членские взносы'!Q106)</f>
        <v>3800</v>
      </c>
      <c r="R105" s="29">
        <f>SUM('план на 2016'!$L106:R106)-SUM('членские взносы'!$M106:'членские взносы'!R106)</f>
        <v>4600</v>
      </c>
      <c r="S105" s="29">
        <f>SUM('план на 2016'!$L106:S106)-SUM('членские взносы'!$M106:'членские взносы'!S106)</f>
        <v>5400</v>
      </c>
      <c r="T105" s="29">
        <f>SUM('план на 2016'!$L106:T106)-SUM('членские взносы'!$M106:'членские взносы'!T106)</f>
        <v>3000</v>
      </c>
      <c r="U105" s="29">
        <f>SUM('план на 2016'!$L106:U106)-SUM('членские взносы'!$M106:'членские взносы'!U106)</f>
        <v>3800</v>
      </c>
      <c r="V105" s="29">
        <f>SUM('план на 2016'!$L106:V106)-SUM('членские взносы'!$M106:'членские взносы'!V106)</f>
        <v>600</v>
      </c>
      <c r="W105" s="29">
        <f>SUM('план на 2016'!$L106:W106)-SUM('членские взносы'!$M106:'членские взносы'!W106)</f>
        <v>1400</v>
      </c>
      <c r="X105" s="29">
        <f>SUM('план на 2016'!$L106:X106)-SUM('членские взносы'!$M106:'членские взносы'!X106)</f>
        <v>2200</v>
      </c>
      <c r="Y105" s="18">
        <f t="shared" si="8"/>
        <v>2200</v>
      </c>
    </row>
    <row r="106" spans="1:25">
      <c r="A106" s="41">
        <f>VLOOKUP(B106,справочник!$B$2:$E$322,4,FALSE)</f>
        <v>156</v>
      </c>
      <c r="B106" t="str">
        <f t="shared" si="7"/>
        <v>164Иваненко Петр Олегович</v>
      </c>
      <c r="C106" s="1">
        <v>164</v>
      </c>
      <c r="D106" s="2" t="s">
        <v>98</v>
      </c>
      <c r="E106" s="1" t="s">
        <v>415</v>
      </c>
      <c r="F106" s="16">
        <v>41394</v>
      </c>
      <c r="G106" s="16">
        <v>41426</v>
      </c>
      <c r="H106" s="17">
        <f t="shared" si="11"/>
        <v>31</v>
      </c>
      <c r="I106" s="1">
        <f t="shared" si="10"/>
        <v>31000</v>
      </c>
      <c r="J106" s="17">
        <v>28000</v>
      </c>
      <c r="K106" s="17"/>
      <c r="L106" s="18">
        <f t="shared" si="12"/>
        <v>3000</v>
      </c>
      <c r="M106" s="29">
        <f>SUM('план на 2016'!$L107:M107)-SUM('членские взносы'!$M107:'членские взносы'!M107)</f>
        <v>3800</v>
      </c>
      <c r="N106" s="29">
        <f>SUM('план на 2016'!$L107:N107)-SUM('членские взносы'!$M107:'членские взносы'!N107)</f>
        <v>-400</v>
      </c>
      <c r="O106" s="29">
        <f>SUM('план на 2016'!$L107:O107)-SUM('членские взносы'!$M107:'членские взносы'!O107)</f>
        <v>-600</v>
      </c>
      <c r="P106" s="29">
        <f>SUM('план на 2016'!$L107:P107)-SUM('членские взносы'!$M107:'членские взносы'!P107)</f>
        <v>-800</v>
      </c>
      <c r="Q106" s="29">
        <f>SUM('план на 2016'!$L107:Q107)-SUM('членские взносы'!$M107:'членские взносы'!Q107)</f>
        <v>-1000</v>
      </c>
      <c r="R106" s="29">
        <f>SUM('план на 2016'!$L107:R107)-SUM('членские взносы'!$M107:'членские взносы'!R107)</f>
        <v>-1200</v>
      </c>
      <c r="S106" s="29">
        <f>SUM('план на 2016'!$L107:S107)-SUM('членские взносы'!$M107:'членские взносы'!S107)</f>
        <v>-1400</v>
      </c>
      <c r="T106" s="29">
        <f>SUM('план на 2016'!$L107:T107)-SUM('членские взносы'!$M107:'членские взносы'!T107)</f>
        <v>-1600</v>
      </c>
      <c r="U106" s="29">
        <f>SUM('план на 2016'!$L107:U107)-SUM('членские взносы'!$M107:'членские взносы'!U107)</f>
        <v>-1800</v>
      </c>
      <c r="V106" s="29">
        <f>SUM('план на 2016'!$L107:V107)-SUM('членские взносы'!$M107:'членские взносы'!V107)</f>
        <v>-2000</v>
      </c>
      <c r="W106" s="29">
        <f>SUM('план на 2016'!$L107:W107)-SUM('членские взносы'!$M107:'членские взносы'!W107)</f>
        <v>-2200</v>
      </c>
      <c r="X106" s="29">
        <f>SUM('план на 2016'!$L107:X107)-SUM('членские взносы'!$M107:'членские взносы'!X107)</f>
        <v>-2400</v>
      </c>
      <c r="Y106" s="18">
        <f t="shared" si="8"/>
        <v>-2400</v>
      </c>
    </row>
    <row r="107" spans="1:25">
      <c r="A107" s="41">
        <f>VLOOKUP(B107,справочник!$B$2:$E$322,4,FALSE)</f>
        <v>5</v>
      </c>
      <c r="B107" t="str">
        <f t="shared" si="7"/>
        <v>5Иванов Владимир Николаевич</v>
      </c>
      <c r="C107" s="1">
        <v>5</v>
      </c>
      <c r="D107" s="2" t="s">
        <v>99</v>
      </c>
      <c r="E107" s="1" t="s">
        <v>416</v>
      </c>
      <c r="F107" s="16">
        <v>41071</v>
      </c>
      <c r="G107" s="16">
        <v>41061</v>
      </c>
      <c r="H107" s="17">
        <f t="shared" si="11"/>
        <v>43</v>
      </c>
      <c r="I107" s="1">
        <f t="shared" si="10"/>
        <v>43000</v>
      </c>
      <c r="J107" s="17">
        <f>32000</f>
        <v>32000</v>
      </c>
      <c r="K107" s="17"/>
      <c r="L107" s="18">
        <f t="shared" si="12"/>
        <v>11000</v>
      </c>
      <c r="M107" s="29">
        <f>SUM('план на 2016'!$L108:M108)-SUM('членские взносы'!$M108:'членские взносы'!M108)</f>
        <v>11800</v>
      </c>
      <c r="N107" s="29">
        <f>SUM('план на 2016'!$L108:N108)-SUM('членские взносы'!$M108:'членские взносы'!N108)</f>
        <v>12600</v>
      </c>
      <c r="O107" s="29">
        <f>SUM('план на 2016'!$L108:O108)-SUM('членские взносы'!$M108:'членские взносы'!O108)</f>
        <v>13400</v>
      </c>
      <c r="P107" s="29">
        <f>SUM('план на 2016'!$L108:P108)-SUM('членские взносы'!$M108:'членские взносы'!P108)</f>
        <v>14200</v>
      </c>
      <c r="Q107" s="29">
        <f>SUM('план на 2016'!$L108:Q108)-SUM('членские взносы'!$M108:'членские взносы'!Q108)</f>
        <v>15000</v>
      </c>
      <c r="R107" s="29">
        <f>SUM('план на 2016'!$L108:R108)-SUM('членские взносы'!$M108:'членские взносы'!R108)</f>
        <v>15800</v>
      </c>
      <c r="S107" s="29">
        <f>SUM('план на 2016'!$L108:S108)-SUM('членские взносы'!$M108:'членские взносы'!S108)</f>
        <v>16600</v>
      </c>
      <c r="T107" s="29">
        <f>SUM('план на 2016'!$L108:T108)-SUM('членские взносы'!$M108:'членские взносы'!T108)</f>
        <v>17400</v>
      </c>
      <c r="U107" s="29">
        <f>SUM('план на 2016'!$L108:U108)-SUM('членские взносы'!$M108:'членские взносы'!U108)</f>
        <v>18200</v>
      </c>
      <c r="V107" s="29">
        <f>SUM('план на 2016'!$L108:V108)-SUM('членские взносы'!$M108:'членские взносы'!V108)</f>
        <v>19000</v>
      </c>
      <c r="W107" s="29">
        <f>SUM('план на 2016'!$L108:W108)-SUM('членские взносы'!$M108:'членские взносы'!W108)</f>
        <v>19800</v>
      </c>
      <c r="X107" s="29">
        <f>SUM('план на 2016'!$L108:X108)-SUM('членские взносы'!$M108:'членские взносы'!X108)</f>
        <v>20600</v>
      </c>
      <c r="Y107" s="18">
        <f t="shared" si="8"/>
        <v>20600</v>
      </c>
    </row>
    <row r="108" spans="1:25">
      <c r="A108" s="41">
        <f>VLOOKUP(B108,справочник!$B$2:$E$322,4,FALSE)</f>
        <v>214</v>
      </c>
      <c r="B108" t="str">
        <f t="shared" si="7"/>
        <v>223Иванов Денис Сильвестрович</v>
      </c>
      <c r="C108" s="1">
        <v>223</v>
      </c>
      <c r="D108" s="2" t="s">
        <v>100</v>
      </c>
      <c r="E108" s="1" t="s">
        <v>417</v>
      </c>
      <c r="F108" s="16">
        <v>41807</v>
      </c>
      <c r="G108" s="16">
        <v>41791</v>
      </c>
      <c r="H108" s="17">
        <f t="shared" si="11"/>
        <v>19</v>
      </c>
      <c r="I108" s="1">
        <f t="shared" si="10"/>
        <v>19000</v>
      </c>
      <c r="J108" s="17">
        <v>19000</v>
      </c>
      <c r="K108" s="17"/>
      <c r="L108" s="18">
        <f t="shared" si="12"/>
        <v>0</v>
      </c>
      <c r="M108" s="29">
        <f>SUM('план на 2016'!$L109:M109)-SUM('членские взносы'!$M109:'членские взносы'!M109)</f>
        <v>800</v>
      </c>
      <c r="N108" s="29">
        <f>SUM('план на 2016'!$L109:N109)-SUM('членские взносы'!$M109:'членские взносы'!N109)</f>
        <v>-1400</v>
      </c>
      <c r="O108" s="29">
        <f>SUM('план на 2016'!$L109:O109)-SUM('членские взносы'!$M109:'членские взносы'!O109)</f>
        <v>-600</v>
      </c>
      <c r="P108" s="29">
        <f>SUM('план на 2016'!$L109:P109)-SUM('членские взносы'!$M109:'членские взносы'!P109)</f>
        <v>200</v>
      </c>
      <c r="Q108" s="29">
        <f>SUM('план на 2016'!$L109:Q109)-SUM('членские взносы'!$M109:'членские взносы'!Q109)</f>
        <v>1000</v>
      </c>
      <c r="R108" s="29">
        <f>SUM('план на 2016'!$L109:R109)-SUM('членские взносы'!$M109:'членские взносы'!R109)</f>
        <v>-200</v>
      </c>
      <c r="S108" s="29">
        <f>SUM('план на 2016'!$L109:S109)-SUM('членские взносы'!$M109:'членские взносы'!S109)</f>
        <v>600</v>
      </c>
      <c r="T108" s="29">
        <f>SUM('план на 2016'!$L109:T109)-SUM('членские взносы'!$M109:'членские взносы'!T109)</f>
        <v>1400</v>
      </c>
      <c r="U108" s="29">
        <f>SUM('план на 2016'!$L109:U109)-SUM('членские взносы'!$M109:'членские взносы'!U109)</f>
        <v>0</v>
      </c>
      <c r="V108" s="29">
        <f>SUM('план на 2016'!$L109:V109)-SUM('членские взносы'!$M109:'членские взносы'!V109)</f>
        <v>800</v>
      </c>
      <c r="W108" s="29">
        <f>SUM('план на 2016'!$L109:W109)-SUM('членские взносы'!$M109:'членские взносы'!W109)</f>
        <v>800</v>
      </c>
      <c r="X108" s="29">
        <f>SUM('план на 2016'!$L109:X109)-SUM('членские взносы'!$M109:'членские взносы'!X109)</f>
        <v>0</v>
      </c>
      <c r="Y108" s="18">
        <f t="shared" si="8"/>
        <v>0</v>
      </c>
    </row>
    <row r="109" spans="1:25">
      <c r="A109" s="41">
        <f>VLOOKUP(B109,справочник!$B$2:$E$322,4,FALSE)</f>
        <v>279</v>
      </c>
      <c r="B109" t="str">
        <f t="shared" si="7"/>
        <v>291Иванова Светлана Сергеевна</v>
      </c>
      <c r="C109" s="1">
        <v>291</v>
      </c>
      <c r="D109" s="2" t="s">
        <v>101</v>
      </c>
      <c r="E109" s="1" t="s">
        <v>418</v>
      </c>
      <c r="F109" s="16">
        <v>40890</v>
      </c>
      <c r="G109" s="16">
        <v>40878</v>
      </c>
      <c r="H109" s="17">
        <f t="shared" si="11"/>
        <v>49</v>
      </c>
      <c r="I109" s="1">
        <f t="shared" si="10"/>
        <v>49000</v>
      </c>
      <c r="J109" s="17">
        <f>42000+1000</f>
        <v>43000</v>
      </c>
      <c r="K109" s="17"/>
      <c r="L109" s="18">
        <f t="shared" si="12"/>
        <v>6000</v>
      </c>
      <c r="M109" s="29">
        <f>SUM('план на 2016'!$L110:M110)-SUM('членские взносы'!$M110:'членские взносы'!M110)</f>
        <v>6800</v>
      </c>
      <c r="N109" s="29">
        <f>SUM('план на 2016'!$L110:N110)-SUM('членские взносы'!$M110:'членские взносы'!N110)</f>
        <v>7600</v>
      </c>
      <c r="O109" s="29">
        <f>SUM('план на 2016'!$L110:O110)-SUM('членские взносы'!$M110:'членские взносы'!O110)</f>
        <v>8400</v>
      </c>
      <c r="P109" s="29">
        <f>SUM('план на 2016'!$L110:P110)-SUM('членские взносы'!$M110:'членские взносы'!P110)</f>
        <v>9200</v>
      </c>
      <c r="Q109" s="29">
        <f>SUM('план на 2016'!$L110:Q110)-SUM('членские взносы'!$M110:'членские взносы'!Q110)</f>
        <v>10000</v>
      </c>
      <c r="R109" s="29">
        <f>SUM('план на 2016'!$L110:R110)-SUM('членские взносы'!$M110:'членские взносы'!R110)</f>
        <v>10800</v>
      </c>
      <c r="S109" s="29">
        <f>SUM('план на 2016'!$L110:S110)-SUM('членские взносы'!$M110:'членские взносы'!S110)</f>
        <v>11600</v>
      </c>
      <c r="T109" s="29">
        <f>SUM('план на 2016'!$L110:T110)-SUM('членские взносы'!$M110:'членские взносы'!T110)</f>
        <v>12400</v>
      </c>
      <c r="U109" s="29">
        <f>SUM('план на 2016'!$L110:U110)-SUM('членские взносы'!$M110:'членские взносы'!U110)</f>
        <v>13200</v>
      </c>
      <c r="V109" s="29">
        <f>SUM('план на 2016'!$L110:V110)-SUM('членские взносы'!$M110:'членские взносы'!V110)</f>
        <v>14000</v>
      </c>
      <c r="W109" s="29">
        <f>SUM('план на 2016'!$L110:W110)-SUM('членские взносы'!$M110:'членские взносы'!W110)</f>
        <v>14800</v>
      </c>
      <c r="X109" s="29">
        <f>SUM('план на 2016'!$L110:X110)-SUM('членские взносы'!$M110:'членские взносы'!X110)</f>
        <v>15600</v>
      </c>
      <c r="Y109" s="18">
        <f t="shared" si="8"/>
        <v>15600</v>
      </c>
    </row>
    <row r="110" spans="1:25">
      <c r="A110" s="41">
        <f>VLOOKUP(B110,справочник!$B$2:$E$322,4,FALSE)</f>
        <v>197</v>
      </c>
      <c r="B110" t="str">
        <f t="shared" si="7"/>
        <v>205Иванова Татьяна Викторовна</v>
      </c>
      <c r="C110" s="1">
        <v>205</v>
      </c>
      <c r="D110" s="2" t="s">
        <v>102</v>
      </c>
      <c r="E110" s="1" t="s">
        <v>419</v>
      </c>
      <c r="F110" s="16">
        <v>40862</v>
      </c>
      <c r="G110" s="16">
        <v>40848</v>
      </c>
      <c r="H110" s="17">
        <f t="shared" si="11"/>
        <v>50</v>
      </c>
      <c r="I110" s="1">
        <f t="shared" si="10"/>
        <v>50000</v>
      </c>
      <c r="J110" s="17">
        <v>16000</v>
      </c>
      <c r="K110" s="17"/>
      <c r="L110" s="18">
        <f t="shared" si="12"/>
        <v>34000</v>
      </c>
      <c r="M110" s="29">
        <f>SUM('план на 2016'!$L111:M111)-SUM('членские взносы'!$M111:'членские взносы'!M111)</f>
        <v>1800</v>
      </c>
      <c r="N110" s="29">
        <f>SUM('план на 2016'!$L111:N111)-SUM('членские взносы'!$M111:'членские взносы'!N111)</f>
        <v>2600</v>
      </c>
      <c r="O110" s="29">
        <f>SUM('план на 2016'!$L111:O111)-SUM('членские взносы'!$M111:'членские взносы'!O111)</f>
        <v>3400</v>
      </c>
      <c r="P110" s="29">
        <f>SUM('план на 2016'!$L111:P111)-SUM('членские взносы'!$M111:'членские взносы'!P111)</f>
        <v>4200</v>
      </c>
      <c r="Q110" s="29">
        <f>SUM('план на 2016'!$L111:Q111)-SUM('членские взносы'!$M111:'членские взносы'!Q111)</f>
        <v>5000</v>
      </c>
      <c r="R110" s="29">
        <f>SUM('план на 2016'!$L111:R111)-SUM('членские взносы'!$M111:'членские взносы'!R111)</f>
        <v>5800</v>
      </c>
      <c r="S110" s="29">
        <f>SUM('план на 2016'!$L111:S111)-SUM('членские взносы'!$M111:'членские взносы'!S111)</f>
        <v>0</v>
      </c>
      <c r="T110" s="29">
        <f>SUM('план на 2016'!$L111:T111)-SUM('членские взносы'!$M111:'членские взносы'!T111)</f>
        <v>800</v>
      </c>
      <c r="U110" s="29">
        <f>SUM('план на 2016'!$L111:U111)-SUM('членские взносы'!$M111:'членские взносы'!U111)</f>
        <v>1600</v>
      </c>
      <c r="V110" s="29">
        <f>SUM('план на 2016'!$L111:V111)-SUM('членские взносы'!$M111:'членские взносы'!V111)</f>
        <v>2400</v>
      </c>
      <c r="W110" s="29">
        <f>SUM('план на 2016'!$L111:W111)-SUM('членские взносы'!$M111:'членские взносы'!W111)</f>
        <v>3200</v>
      </c>
      <c r="X110" s="29">
        <f>SUM('план на 2016'!$L111:X111)-SUM('членские взносы'!$M111:'членские взносы'!X111)</f>
        <v>4000</v>
      </c>
      <c r="Y110" s="18">
        <f t="shared" si="8"/>
        <v>4000</v>
      </c>
    </row>
    <row r="111" spans="1:25">
      <c r="A111" s="41">
        <f>VLOOKUP(B111,справочник!$B$2:$E$322,4,FALSE)</f>
        <v>295</v>
      </c>
      <c r="B111" t="str">
        <f t="shared" si="7"/>
        <v>310Измайлов Михаил Михайлович</v>
      </c>
      <c r="C111" s="1">
        <v>310</v>
      </c>
      <c r="D111" s="2" t="s">
        <v>103</v>
      </c>
      <c r="E111" s="1" t="s">
        <v>420</v>
      </c>
      <c r="F111" s="16">
        <v>41994</v>
      </c>
      <c r="G111" s="16">
        <v>42005</v>
      </c>
      <c r="H111" s="17">
        <f t="shared" si="11"/>
        <v>12</v>
      </c>
      <c r="I111" s="1">
        <f t="shared" si="10"/>
        <v>12000</v>
      </c>
      <c r="J111" s="17"/>
      <c r="K111" s="17"/>
      <c r="L111" s="18">
        <f t="shared" si="12"/>
        <v>12000</v>
      </c>
      <c r="M111" s="29">
        <f>SUM('план на 2016'!$L112:M112)-SUM('членские взносы'!$M112:'членские взносы'!M112)</f>
        <v>12800</v>
      </c>
      <c r="N111" s="29">
        <f>SUM('план на 2016'!$L112:N112)-SUM('членские взносы'!$M112:'членские взносы'!N112)</f>
        <v>13600</v>
      </c>
      <c r="O111" s="29">
        <f>SUM('план на 2016'!$L112:O112)-SUM('членские взносы'!$M112:'членские взносы'!O112)</f>
        <v>14400</v>
      </c>
      <c r="P111" s="29">
        <f>SUM('план на 2016'!$L112:P112)-SUM('членские взносы'!$M112:'членские взносы'!P112)</f>
        <v>15200</v>
      </c>
      <c r="Q111" s="29">
        <f>SUM('план на 2016'!$L112:Q112)-SUM('членские взносы'!$M112:'членские взносы'!Q112)</f>
        <v>16000</v>
      </c>
      <c r="R111" s="29">
        <f>SUM('план на 2016'!$L112:R112)-SUM('членские взносы'!$M112:'членские взносы'!R112)</f>
        <v>16800</v>
      </c>
      <c r="S111" s="29">
        <f>SUM('план на 2016'!$L112:S112)-SUM('членские взносы'!$M112:'членские взносы'!S112)</f>
        <v>17600</v>
      </c>
      <c r="T111" s="29">
        <f>SUM('план на 2016'!$L112:T112)-SUM('членские взносы'!$M112:'членские взносы'!T112)</f>
        <v>250</v>
      </c>
      <c r="U111" s="29">
        <f>SUM('план на 2016'!$L112:U112)-SUM('членские взносы'!$M112:'членские взносы'!U112)</f>
        <v>1050</v>
      </c>
      <c r="V111" s="29">
        <f>SUM('план на 2016'!$L112:V112)-SUM('членские взносы'!$M112:'членские взносы'!V112)</f>
        <v>1850</v>
      </c>
      <c r="W111" s="29">
        <f>SUM('план на 2016'!$L112:W112)-SUM('членские взносы'!$M112:'членские взносы'!W112)</f>
        <v>2650</v>
      </c>
      <c r="X111" s="29">
        <f>SUM('план на 2016'!$L112:X112)-SUM('членские взносы'!$M112:'членские взносы'!X112)</f>
        <v>3450</v>
      </c>
      <c r="Y111" s="18">
        <f t="shared" si="8"/>
        <v>3450</v>
      </c>
    </row>
    <row r="112" spans="1:25">
      <c r="A112" s="41">
        <f>VLOOKUP(B112,справочник!$B$2:$E$322,4,FALSE)</f>
        <v>196</v>
      </c>
      <c r="B112" t="str">
        <f t="shared" si="7"/>
        <v>204Казарин Сергей Викторович</v>
      </c>
      <c r="C112" s="1">
        <v>204</v>
      </c>
      <c r="D112" s="2" t="s">
        <v>104</v>
      </c>
      <c r="E112" s="1" t="s">
        <v>421</v>
      </c>
      <c r="F112" s="16">
        <v>40945</v>
      </c>
      <c r="G112" s="16">
        <v>40969</v>
      </c>
      <c r="H112" s="17">
        <f t="shared" si="11"/>
        <v>46</v>
      </c>
      <c r="I112" s="1">
        <f t="shared" si="10"/>
        <v>46000</v>
      </c>
      <c r="J112" s="17">
        <f>46000</f>
        <v>46000</v>
      </c>
      <c r="K112" s="17"/>
      <c r="L112" s="18">
        <f t="shared" si="12"/>
        <v>0</v>
      </c>
      <c r="M112" s="29">
        <f>SUM('план на 2016'!$L113:M113)-SUM('членские взносы'!$M113:'членские взносы'!M113)</f>
        <v>800</v>
      </c>
      <c r="N112" s="29">
        <f>SUM('план на 2016'!$L113:N113)-SUM('членские взносы'!$M113:'членские взносы'!N113)</f>
        <v>1600</v>
      </c>
      <c r="O112" s="29">
        <f>SUM('план на 2016'!$L113:O113)-SUM('членские взносы'!$M113:'членские взносы'!O113)</f>
        <v>-2400</v>
      </c>
      <c r="P112" s="29">
        <f>SUM('план на 2016'!$L113:P113)-SUM('членские взносы'!$M113:'членские взносы'!P113)</f>
        <v>-1600</v>
      </c>
      <c r="Q112" s="29">
        <f>SUM('план на 2016'!$L113:Q113)-SUM('членские взносы'!$M113:'членские взносы'!Q113)</f>
        <v>-800</v>
      </c>
      <c r="R112" s="29">
        <f>SUM('план на 2016'!$L113:R113)-SUM('членские взносы'!$M113:'членские взносы'!R113)</f>
        <v>0</v>
      </c>
      <c r="S112" s="29">
        <f>SUM('план на 2016'!$L113:S113)-SUM('членские взносы'!$M113:'членские взносы'!S113)</f>
        <v>800</v>
      </c>
      <c r="T112" s="29">
        <f>SUM('план на 2016'!$L113:T113)-SUM('членские взносы'!$M113:'членские взносы'!T113)</f>
        <v>-800</v>
      </c>
      <c r="U112" s="29">
        <f>SUM('план на 2016'!$L113:U113)-SUM('членские взносы'!$M113:'членские взносы'!U113)</f>
        <v>0</v>
      </c>
      <c r="V112" s="29">
        <f>SUM('план на 2016'!$L113:V113)-SUM('членские взносы'!$M113:'членские взносы'!V113)</f>
        <v>800</v>
      </c>
      <c r="W112" s="29">
        <f>SUM('план на 2016'!$L113:W113)-SUM('членские взносы'!$M113:'членские взносы'!W113)</f>
        <v>-800</v>
      </c>
      <c r="X112" s="29">
        <f>SUM('план на 2016'!$L113:X113)-SUM('членские взносы'!$M113:'членские взносы'!X113)</f>
        <v>0</v>
      </c>
      <c r="Y112" s="18">
        <f t="shared" si="8"/>
        <v>0</v>
      </c>
    </row>
    <row r="113" spans="1:25" ht="24">
      <c r="A113" s="41">
        <f>VLOOKUP(B113,справочник!$B$2:$E$322,4,FALSE)</f>
        <v>124</v>
      </c>
      <c r="B113" t="str">
        <f t="shared" si="7"/>
        <v>129Казымов Горхмаз Гамид/Лавренчук Александр Владиславович</v>
      </c>
      <c r="C113" s="1">
        <v>129</v>
      </c>
      <c r="D113" s="2" t="s">
        <v>105</v>
      </c>
      <c r="E113" s="1" t="s">
        <v>422</v>
      </c>
      <c r="F113" s="16">
        <v>41580</v>
      </c>
      <c r="G113" s="16">
        <v>41609</v>
      </c>
      <c r="H113" s="17">
        <f t="shared" si="11"/>
        <v>25</v>
      </c>
      <c r="I113" s="1">
        <f t="shared" si="10"/>
        <v>25000</v>
      </c>
      <c r="J113" s="17">
        <f>5000+1500+5000</f>
        <v>11500</v>
      </c>
      <c r="K113" s="17"/>
      <c r="L113" s="18">
        <f t="shared" si="12"/>
        <v>13500</v>
      </c>
      <c r="M113" s="29">
        <f>SUM('план на 2016'!$L114:M114)-SUM('членские взносы'!$M114:'членские взносы'!M114)</f>
        <v>14300</v>
      </c>
      <c r="N113" s="29">
        <f>SUM('план на 2016'!$L114:N114)-SUM('членские взносы'!$M114:'членские взносы'!N114)</f>
        <v>15100</v>
      </c>
      <c r="O113" s="29">
        <f>SUM('план на 2016'!$L114:O114)-SUM('членские взносы'!$M114:'членские взносы'!O114)</f>
        <v>15900</v>
      </c>
      <c r="P113" s="29">
        <f>SUM('план на 2016'!$L114:P114)-SUM('членские взносы'!$M114:'членские взносы'!P114)</f>
        <v>16700</v>
      </c>
      <c r="Q113" s="29">
        <f>SUM('план на 2016'!$L114:Q114)-SUM('членские взносы'!$M114:'членские взносы'!Q114)</f>
        <v>17500</v>
      </c>
      <c r="R113" s="29">
        <f>SUM('план на 2016'!$L114:R114)-SUM('членские взносы'!$M114:'членские взносы'!R114)</f>
        <v>18300</v>
      </c>
      <c r="S113" s="29">
        <f>SUM('план на 2016'!$L114:S114)-SUM('членские взносы'!$M114:'членские взносы'!S114)</f>
        <v>19100</v>
      </c>
      <c r="T113" s="29">
        <f>SUM('план на 2016'!$L114:T114)-SUM('членские взносы'!$M114:'членские взносы'!T114)</f>
        <v>19900</v>
      </c>
      <c r="U113" s="29">
        <f>SUM('план на 2016'!$L114:U114)-SUM('членские взносы'!$M114:'членские взносы'!U114)</f>
        <v>20700</v>
      </c>
      <c r="V113" s="29">
        <f>SUM('план на 2016'!$L114:V114)-SUM('членские взносы'!$M114:'членские взносы'!V114)</f>
        <v>21500</v>
      </c>
      <c r="W113" s="29">
        <f>SUM('план на 2016'!$L114:W114)-SUM('членские взносы'!$M114:'членские взносы'!W114)</f>
        <v>22300</v>
      </c>
      <c r="X113" s="29">
        <f>SUM('план на 2016'!$L114:X114)-SUM('членские взносы'!$M114:'членские взносы'!X114)</f>
        <v>23100</v>
      </c>
      <c r="Y113" s="18">
        <f t="shared" si="8"/>
        <v>23100</v>
      </c>
    </row>
    <row r="114" spans="1:25">
      <c r="A114" s="41">
        <f>VLOOKUP(B114,справочник!$B$2:$E$322,4,FALSE)</f>
        <v>250</v>
      </c>
      <c r="B114" t="str">
        <f t="shared" si="7"/>
        <v>261Каляникова Наталья Сергеевна</v>
      </c>
      <c r="C114" s="1">
        <v>261</v>
      </c>
      <c r="D114" s="2" t="s">
        <v>106</v>
      </c>
      <c r="E114" s="1" t="s">
        <v>423</v>
      </c>
      <c r="F114" s="16">
        <v>41498</v>
      </c>
      <c r="G114" s="16">
        <v>41518</v>
      </c>
      <c r="H114" s="17">
        <f t="shared" si="11"/>
        <v>28</v>
      </c>
      <c r="I114" s="1">
        <f t="shared" si="10"/>
        <v>28000</v>
      </c>
      <c r="J114" s="17">
        <v>13000</v>
      </c>
      <c r="K114" s="17">
        <v>1000</v>
      </c>
      <c r="L114" s="18">
        <f t="shared" si="12"/>
        <v>14000</v>
      </c>
      <c r="M114" s="29">
        <f>SUM('план на 2016'!$L115:M115)-SUM('членские взносы'!$M115:'членские взносы'!M115)</f>
        <v>14800</v>
      </c>
      <c r="N114" s="29">
        <f>SUM('план на 2016'!$L115:N115)-SUM('членские взносы'!$M115:'членские взносы'!N115)</f>
        <v>15600</v>
      </c>
      <c r="O114" s="29">
        <f>SUM('план на 2016'!$L115:O115)-SUM('членские взносы'!$M115:'членские взносы'!O115)</f>
        <v>15400</v>
      </c>
      <c r="P114" s="29">
        <f>SUM('план на 2016'!$L115:P115)-SUM('членские взносы'!$M115:'членские взносы'!P115)</f>
        <v>15200</v>
      </c>
      <c r="Q114" s="29">
        <f>SUM('план на 2016'!$L115:Q115)-SUM('членские взносы'!$M115:'членские взносы'!Q115)</f>
        <v>15000</v>
      </c>
      <c r="R114" s="29">
        <f>SUM('план на 2016'!$L115:R115)-SUM('членские взносы'!$M115:'членские взносы'!R115)</f>
        <v>15800</v>
      </c>
      <c r="S114" s="29">
        <f>SUM('план на 2016'!$L115:S115)-SUM('членские взносы'!$M115:'членские взносы'!S115)</f>
        <v>15600</v>
      </c>
      <c r="T114" s="29">
        <f>SUM('план на 2016'!$L115:T115)-SUM('членские взносы'!$M115:'членские взносы'!T115)</f>
        <v>16400</v>
      </c>
      <c r="U114" s="29">
        <f>SUM('план на 2016'!$L115:U115)-SUM('членские взносы'!$M115:'членские взносы'!U115)</f>
        <v>14700</v>
      </c>
      <c r="V114" s="29">
        <f>SUM('план на 2016'!$L115:V115)-SUM('членские взносы'!$M115:'членские взносы'!V115)</f>
        <v>14500</v>
      </c>
      <c r="W114" s="29">
        <f>SUM('план на 2016'!$L115:W115)-SUM('членские взносы'!$M115:'членские взносы'!W115)</f>
        <v>13300</v>
      </c>
      <c r="X114" s="29">
        <f>SUM('план на 2016'!$L115:X115)-SUM('членские взносы'!$M115:'членские взносы'!X115)</f>
        <v>14100</v>
      </c>
      <c r="Y114" s="18">
        <f t="shared" si="8"/>
        <v>14100</v>
      </c>
    </row>
    <row r="115" spans="1:25">
      <c r="A115" s="41">
        <f>VLOOKUP(B115,справочник!$B$2:$E$322,4,FALSE)</f>
        <v>153</v>
      </c>
      <c r="B115" t="str">
        <f t="shared" si="7"/>
        <v>161Канышкина Юлия Юрьевна</v>
      </c>
      <c r="C115" s="1">
        <v>161</v>
      </c>
      <c r="D115" s="2" t="s">
        <v>107</v>
      </c>
      <c r="E115" s="1" t="s">
        <v>424</v>
      </c>
      <c r="F115" s="16">
        <v>40994</v>
      </c>
      <c r="G115" s="16">
        <v>41000</v>
      </c>
      <c r="H115" s="17">
        <f t="shared" si="11"/>
        <v>45</v>
      </c>
      <c r="I115" s="1">
        <f t="shared" si="10"/>
        <v>45000</v>
      </c>
      <c r="J115" s="17">
        <v>41000</v>
      </c>
      <c r="K115" s="17"/>
      <c r="L115" s="18">
        <f t="shared" si="12"/>
        <v>4000</v>
      </c>
      <c r="M115" s="29">
        <f>SUM('план на 2016'!$L116:M116)-SUM('членские взносы'!$M116:'членские взносы'!M116)</f>
        <v>4800</v>
      </c>
      <c r="N115" s="29">
        <f>SUM('план на 2016'!$L116:N116)-SUM('членские взносы'!$M116:'членские взносы'!N116)</f>
        <v>5600</v>
      </c>
      <c r="O115" s="29">
        <f>SUM('план на 2016'!$L116:O116)-SUM('членские взносы'!$M116:'членские взносы'!O116)</f>
        <v>6400</v>
      </c>
      <c r="P115" s="29">
        <f>SUM('план на 2016'!$L116:P116)-SUM('членские взносы'!$M116:'членские взносы'!P116)</f>
        <v>0</v>
      </c>
      <c r="Q115" s="29">
        <f>SUM('план на 2016'!$L116:Q116)-SUM('членские взносы'!$M116:'членские взносы'!Q116)</f>
        <v>800</v>
      </c>
      <c r="R115" s="29">
        <f>SUM('план на 2016'!$L116:R116)-SUM('членские взносы'!$M116:'членские взносы'!R116)</f>
        <v>1600</v>
      </c>
      <c r="S115" s="29">
        <f>SUM('план на 2016'!$L116:S116)-SUM('членские взносы'!$M116:'членские взносы'!S116)</f>
        <v>800</v>
      </c>
      <c r="T115" s="29">
        <f>SUM('план на 2016'!$L116:T116)-SUM('членские взносы'!$M116:'членские взносы'!T116)</f>
        <v>1600</v>
      </c>
      <c r="U115" s="29">
        <f>SUM('план на 2016'!$L116:U116)-SUM('членские взносы'!$M116:'членские взносы'!U116)</f>
        <v>2400</v>
      </c>
      <c r="V115" s="29">
        <f>SUM('план на 2016'!$L116:V116)-SUM('членские взносы'!$M116:'членские взносы'!V116)</f>
        <v>3200</v>
      </c>
      <c r="W115" s="29">
        <f>SUM('план на 2016'!$L116:W116)-SUM('членские взносы'!$M116:'членские взносы'!W116)</f>
        <v>0</v>
      </c>
      <c r="X115" s="29">
        <f>SUM('план на 2016'!$L116:X116)-SUM('членские взносы'!$M116:'членские взносы'!X116)</f>
        <v>800</v>
      </c>
      <c r="Y115" s="18">
        <f t="shared" si="8"/>
        <v>800</v>
      </c>
    </row>
    <row r="116" spans="1:25">
      <c r="A116" s="41">
        <f>VLOOKUP(B116,справочник!$B$2:$E$322,4,FALSE)</f>
        <v>106</v>
      </c>
      <c r="B116" t="str">
        <f t="shared" si="7"/>
        <v>111Карпекина Лилия Рафаэльевна</v>
      </c>
      <c r="C116" s="1">
        <v>111</v>
      </c>
      <c r="D116" s="2" t="s">
        <v>108</v>
      </c>
      <c r="E116" s="1" t="s">
        <v>425</v>
      </c>
      <c r="F116" s="16">
        <v>41463</v>
      </c>
      <c r="G116" s="16">
        <v>41282</v>
      </c>
      <c r="H116" s="17">
        <f t="shared" si="11"/>
        <v>36</v>
      </c>
      <c r="I116" s="1">
        <f t="shared" si="10"/>
        <v>36000</v>
      </c>
      <c r="J116" s="17">
        <v>1000</v>
      </c>
      <c r="K116" s="17"/>
      <c r="L116" s="18">
        <f t="shared" si="12"/>
        <v>35000</v>
      </c>
      <c r="M116" s="29">
        <f>SUM('план на 2016'!$L117:M117)-SUM('членские взносы'!$M117:'членские взносы'!M117)</f>
        <v>35800</v>
      </c>
      <c r="N116" s="29">
        <f>SUM('план на 2016'!$L117:N117)-SUM('членские взносы'!$M117:'членские взносы'!N117)</f>
        <v>36600</v>
      </c>
      <c r="O116" s="29">
        <f>SUM('план на 2016'!$L117:O117)-SUM('членские взносы'!$M117:'членские взносы'!O117)</f>
        <v>37400</v>
      </c>
      <c r="P116" s="29">
        <f>SUM('план на 2016'!$L117:P117)-SUM('членские взносы'!$M117:'членские взносы'!P117)</f>
        <v>38200</v>
      </c>
      <c r="Q116" s="29">
        <f>SUM('план на 2016'!$L117:Q117)-SUM('членские взносы'!$M117:'членские взносы'!Q117)</f>
        <v>39000</v>
      </c>
      <c r="R116" s="29">
        <f>SUM('план на 2016'!$L117:R117)-SUM('членские взносы'!$M117:'членские взносы'!R117)</f>
        <v>39800</v>
      </c>
      <c r="S116" s="29">
        <f>SUM('план на 2016'!$L117:S117)-SUM('членские взносы'!$M117:'членские взносы'!S117)</f>
        <v>40600</v>
      </c>
      <c r="T116" s="29">
        <f>SUM('план на 2016'!$L117:T117)-SUM('членские взносы'!$M117:'членские взносы'!T117)</f>
        <v>41400</v>
      </c>
      <c r="U116" s="29">
        <f>SUM('план на 2016'!$L117:U117)-SUM('членские взносы'!$M117:'членские взносы'!U117)</f>
        <v>42200</v>
      </c>
      <c r="V116" s="29">
        <f>SUM('план на 2016'!$L117:V117)-SUM('членские взносы'!$M117:'членские взносы'!V117)</f>
        <v>43000</v>
      </c>
      <c r="W116" s="29">
        <f>SUM('план на 2016'!$L117:W117)-SUM('членские взносы'!$M117:'членские взносы'!W117)</f>
        <v>43800</v>
      </c>
      <c r="X116" s="29">
        <f>SUM('план на 2016'!$L117:X117)-SUM('членские взносы'!$M117:'членские взносы'!X117)</f>
        <v>44600</v>
      </c>
      <c r="Y116" s="18">
        <f t="shared" si="8"/>
        <v>44600</v>
      </c>
    </row>
    <row r="117" spans="1:25">
      <c r="A117" s="41">
        <f>VLOOKUP(B117,справочник!$B$2:$E$322,4,FALSE)</f>
        <v>222</v>
      </c>
      <c r="B117" t="str">
        <f t="shared" si="7"/>
        <v>231Карпова Елена Витальевна</v>
      </c>
      <c r="C117" s="1">
        <v>231</v>
      </c>
      <c r="D117" s="2" t="s">
        <v>109</v>
      </c>
      <c r="E117" s="1" t="s">
        <v>426</v>
      </c>
      <c r="F117" s="16">
        <v>41429</v>
      </c>
      <c r="G117" s="16">
        <v>41456</v>
      </c>
      <c r="H117" s="17">
        <f t="shared" si="11"/>
        <v>30</v>
      </c>
      <c r="I117" s="1">
        <f t="shared" si="10"/>
        <v>30000</v>
      </c>
      <c r="J117" s="17">
        <v>25000</v>
      </c>
      <c r="K117" s="17">
        <v>5000</v>
      </c>
      <c r="L117" s="18">
        <f t="shared" si="12"/>
        <v>0</v>
      </c>
      <c r="M117" s="29">
        <f>SUM('план на 2016'!$L118:M118)-SUM('членские взносы'!$M118:'членские взносы'!M118)</f>
        <v>800</v>
      </c>
      <c r="N117" s="29">
        <f>SUM('план на 2016'!$L118:N118)-SUM('членские взносы'!$M118:'членские взносы'!N118)</f>
        <v>-1600</v>
      </c>
      <c r="O117" s="29">
        <f>SUM('план на 2016'!$L118:O118)-SUM('членские взносы'!$M118:'членские взносы'!O118)</f>
        <v>-800</v>
      </c>
      <c r="P117" s="29">
        <f>SUM('план на 2016'!$L118:P118)-SUM('членские взносы'!$M118:'членские взносы'!P118)</f>
        <v>0</v>
      </c>
      <c r="Q117" s="29">
        <f>SUM('план на 2016'!$L118:Q118)-SUM('членские взносы'!$M118:'членские взносы'!Q118)</f>
        <v>-3200</v>
      </c>
      <c r="R117" s="29">
        <f>SUM('план на 2016'!$L118:R118)-SUM('членские взносы'!$M118:'членские взносы'!R118)</f>
        <v>-2400</v>
      </c>
      <c r="S117" s="29">
        <f>SUM('план на 2016'!$L118:S118)-SUM('членские взносы'!$M118:'членские взносы'!S118)</f>
        <v>-1600</v>
      </c>
      <c r="T117" s="29">
        <f>SUM('план на 2016'!$L118:T118)-SUM('членские взносы'!$M118:'членские взносы'!T118)</f>
        <v>-800</v>
      </c>
      <c r="U117" s="29">
        <f>SUM('план на 2016'!$L118:U118)-SUM('членские взносы'!$M118:'членские взносы'!U118)</f>
        <v>0</v>
      </c>
      <c r="V117" s="29">
        <f>SUM('план на 2016'!$L118:V118)-SUM('членские взносы'!$M118:'членские взносы'!V118)</f>
        <v>-1600</v>
      </c>
      <c r="W117" s="29">
        <f>SUM('план на 2016'!$L118:W118)-SUM('членские взносы'!$M118:'членские взносы'!W118)</f>
        <v>-800</v>
      </c>
      <c r="X117" s="29">
        <f>SUM('план на 2016'!$L118:X118)-SUM('членские взносы'!$M118:'членские взносы'!X118)</f>
        <v>0</v>
      </c>
      <c r="Y117" s="18">
        <f t="shared" si="8"/>
        <v>0</v>
      </c>
    </row>
    <row r="118" spans="1:25">
      <c r="A118" s="41">
        <f>VLOOKUP(B118,справочник!$B$2:$E$322,4,FALSE)</f>
        <v>208</v>
      </c>
      <c r="B118" t="str">
        <f t="shared" si="7"/>
        <v>218Катушкин Роман Юрьевич</v>
      </c>
      <c r="C118" s="1">
        <v>218</v>
      </c>
      <c r="D118" s="2" t="s">
        <v>110</v>
      </c>
      <c r="E118" s="1" t="s">
        <v>427</v>
      </c>
      <c r="F118" s="16">
        <v>41052</v>
      </c>
      <c r="G118" s="16">
        <v>41061</v>
      </c>
      <c r="H118" s="17">
        <f t="shared" si="11"/>
        <v>43</v>
      </c>
      <c r="I118" s="1">
        <f t="shared" si="10"/>
        <v>43000</v>
      </c>
      <c r="J118" s="17">
        <f>40500</f>
        <v>40500</v>
      </c>
      <c r="K118" s="17"/>
      <c r="L118" s="18">
        <f t="shared" si="12"/>
        <v>2500</v>
      </c>
      <c r="M118" s="29">
        <f>SUM('план на 2016'!$L119:M119)-SUM('членские взносы'!$M119:'членские взносы'!M119)</f>
        <v>3300</v>
      </c>
      <c r="N118" s="29">
        <f>SUM('план на 2016'!$L119:N119)-SUM('членские взносы'!$M119:'членские взносы'!N119)</f>
        <v>4100</v>
      </c>
      <c r="O118" s="29">
        <f>SUM('план на 2016'!$L119:O119)-SUM('членские взносы'!$M119:'членские взносы'!O119)</f>
        <v>4900</v>
      </c>
      <c r="P118" s="29">
        <f>SUM('план на 2016'!$L119:P119)-SUM('членские взносы'!$M119:'членские взносы'!P119)</f>
        <v>5700</v>
      </c>
      <c r="Q118" s="29">
        <f>SUM('план на 2016'!$L119:Q119)-SUM('членские взносы'!$M119:'членские взносы'!Q119)</f>
        <v>6500</v>
      </c>
      <c r="R118" s="29">
        <f>SUM('план на 2016'!$L119:R119)-SUM('членские взносы'!$M119:'членские взносы'!R119)</f>
        <v>7300</v>
      </c>
      <c r="S118" s="29">
        <f>SUM('план на 2016'!$L119:S119)-SUM('членские взносы'!$M119:'членские взносы'!S119)</f>
        <v>8100</v>
      </c>
      <c r="T118" s="29">
        <f>SUM('план на 2016'!$L119:T119)-SUM('членские взносы'!$M119:'членские взносы'!T119)</f>
        <v>5300</v>
      </c>
      <c r="U118" s="29">
        <f>SUM('план на 2016'!$L119:U119)-SUM('членские взносы'!$M119:'членские взносы'!U119)</f>
        <v>6100</v>
      </c>
      <c r="V118" s="29">
        <f>SUM('план на 2016'!$L119:V119)-SUM('членские взносы'!$M119:'членские взносы'!V119)</f>
        <v>6900</v>
      </c>
      <c r="W118" s="29">
        <f>SUM('план на 2016'!$L119:W119)-SUM('членские взносы'!$M119:'членские взносы'!W119)</f>
        <v>7700</v>
      </c>
      <c r="X118" s="29">
        <f>SUM('план на 2016'!$L119:X119)-SUM('членские взносы'!$M119:'членские взносы'!X119)</f>
        <v>8500</v>
      </c>
      <c r="Y118" s="18">
        <f t="shared" si="8"/>
        <v>8500</v>
      </c>
    </row>
    <row r="119" spans="1:25" ht="24">
      <c r="A119" s="41">
        <f>VLOOKUP(B119,справочник!$B$2:$E$322,4,FALSE)</f>
        <v>207</v>
      </c>
      <c r="B119" t="str">
        <f t="shared" si="7"/>
        <v>217Катушкин Роман Юрьевич//Валеев Артур Рашидович</v>
      </c>
      <c r="C119" s="1">
        <v>217</v>
      </c>
      <c r="D119" s="2" t="s">
        <v>111</v>
      </c>
      <c r="E119" s="1"/>
      <c r="F119" s="1"/>
      <c r="G119" s="1"/>
      <c r="H119" s="17"/>
      <c r="I119" s="1">
        <f t="shared" si="10"/>
        <v>0</v>
      </c>
      <c r="J119" s="17"/>
      <c r="K119" s="17"/>
      <c r="L119" s="18">
        <f t="shared" si="12"/>
        <v>0</v>
      </c>
      <c r="M119" s="29">
        <f>SUM('план на 2016'!$L120:M120)-SUM('членские взносы'!$M120:'членские взносы'!M120)</f>
        <v>800</v>
      </c>
      <c r="N119" s="29">
        <f>SUM('план на 2016'!$L120:N120)-SUM('членские взносы'!$M120:'членские взносы'!N120)</f>
        <v>1600</v>
      </c>
      <c r="O119" s="29">
        <f>SUM('план на 2016'!$L120:O120)-SUM('членские взносы'!$M120:'членские взносы'!O120)</f>
        <v>2400</v>
      </c>
      <c r="P119" s="29">
        <f>SUM('план на 2016'!$L120:P120)-SUM('членские взносы'!$M120:'членские взносы'!P120)</f>
        <v>3200</v>
      </c>
      <c r="Q119" s="29">
        <f>SUM('план на 2016'!$L120:Q120)-SUM('членские взносы'!$M120:'членские взносы'!Q120)</f>
        <v>4000</v>
      </c>
      <c r="R119" s="29">
        <f>SUM('план на 2016'!$L120:R120)-SUM('членские взносы'!$M120:'членские взносы'!R120)</f>
        <v>4800</v>
      </c>
      <c r="S119" s="29">
        <f>SUM('план на 2016'!$L120:S120)-SUM('членские взносы'!$M120:'членские взносы'!S120)</f>
        <v>5600</v>
      </c>
      <c r="T119" s="29">
        <f>SUM('план на 2016'!$L120:T120)-SUM('членские взносы'!$M120:'членские взносы'!T120)</f>
        <v>6400</v>
      </c>
      <c r="U119" s="29">
        <f>SUM('план на 2016'!$L120:U120)-SUM('членские взносы'!$M120:'членские взносы'!U120)</f>
        <v>7200</v>
      </c>
      <c r="V119" s="29">
        <f>SUM('план на 2016'!$L120:V120)-SUM('членские взносы'!$M120:'членские взносы'!V120)</f>
        <v>8000</v>
      </c>
      <c r="W119" s="29">
        <f>SUM('план на 2016'!$L120:W120)-SUM('членские взносы'!$M120:'членские взносы'!W120)</f>
        <v>8800</v>
      </c>
      <c r="X119" s="29">
        <f>SUM('план на 2016'!$L120:X120)-SUM('членские взносы'!$M120:'членские взносы'!X120)</f>
        <v>9600</v>
      </c>
      <c r="Y119" s="18">
        <f t="shared" si="8"/>
        <v>9600</v>
      </c>
    </row>
    <row r="120" spans="1:25">
      <c r="A120" s="41">
        <f>VLOOKUP(B120,справочник!$B$2:$E$322,4,FALSE)</f>
        <v>231</v>
      </c>
      <c r="B120" t="str">
        <f t="shared" si="7"/>
        <v>240Кашичкин Александр Борисович</v>
      </c>
      <c r="C120" s="1">
        <v>240</v>
      </c>
      <c r="D120" s="2" t="s">
        <v>112</v>
      </c>
      <c r="E120" s="1" t="s">
        <v>428</v>
      </c>
      <c r="F120" s="16">
        <v>41357</v>
      </c>
      <c r="G120" s="16">
        <v>41365</v>
      </c>
      <c r="H120" s="17">
        <f t="shared" ref="H120:H131" si="13">INT(($H$326-G120)/30)</f>
        <v>33</v>
      </c>
      <c r="I120" s="1">
        <f t="shared" si="10"/>
        <v>33000</v>
      </c>
      <c r="J120" s="17">
        <v>28000</v>
      </c>
      <c r="K120" s="17"/>
      <c r="L120" s="18">
        <f t="shared" si="12"/>
        <v>5000</v>
      </c>
      <c r="M120" s="29">
        <f>SUM('план на 2016'!$L121:M121)-SUM('членские взносы'!$M121:'членские взносы'!M121)</f>
        <v>5800</v>
      </c>
      <c r="N120" s="29">
        <f>SUM('план на 2016'!$L121:N121)-SUM('членские взносы'!$M121:'членские взносы'!N121)</f>
        <v>1600</v>
      </c>
      <c r="O120" s="29">
        <f>SUM('план на 2016'!$L121:O121)-SUM('членские взносы'!$M121:'членские взносы'!O121)</f>
        <v>2400</v>
      </c>
      <c r="P120" s="29">
        <f>SUM('план на 2016'!$L121:P121)-SUM('членские взносы'!$M121:'членские взносы'!P121)</f>
        <v>2200</v>
      </c>
      <c r="Q120" s="29">
        <f>SUM('план на 2016'!$L121:Q121)-SUM('членские взносы'!$M121:'членские взносы'!Q121)</f>
        <v>3000</v>
      </c>
      <c r="R120" s="29">
        <f>SUM('план на 2016'!$L121:R121)-SUM('членские взносы'!$M121:'членские взносы'!R121)</f>
        <v>3800</v>
      </c>
      <c r="S120" s="29">
        <f>SUM('план на 2016'!$L121:S121)-SUM('членские взносы'!$M121:'членские взносы'!S121)</f>
        <v>4600</v>
      </c>
      <c r="T120" s="29">
        <f>SUM('план на 2016'!$L121:T121)-SUM('членские взносы'!$M121:'членские взносы'!T121)</f>
        <v>5400</v>
      </c>
      <c r="U120" s="29">
        <f>SUM('план на 2016'!$L121:U121)-SUM('членские взносы'!$M121:'членские взносы'!U121)</f>
        <v>6200</v>
      </c>
      <c r="V120" s="29">
        <f>SUM('план на 2016'!$L121:V121)-SUM('членские взносы'!$M121:'членские взносы'!V121)</f>
        <v>7000</v>
      </c>
      <c r="W120" s="29">
        <f>SUM('план на 2016'!$L121:W121)-SUM('членские взносы'!$M121:'членские взносы'!W121)</f>
        <v>7800</v>
      </c>
      <c r="X120" s="29">
        <f>SUM('план на 2016'!$L121:X121)-SUM('членские взносы'!$M121:'членские взносы'!X121)</f>
        <v>8600</v>
      </c>
      <c r="Y120" s="18">
        <f t="shared" si="8"/>
        <v>8600</v>
      </c>
    </row>
    <row r="121" spans="1:25">
      <c r="A121" s="41">
        <f>VLOOKUP(B121,справочник!$B$2:$E$322,4,FALSE)</f>
        <v>76</v>
      </c>
      <c r="B121" t="str">
        <f t="shared" si="7"/>
        <v>82Киеня Валентина Александровна (Анатолий)</v>
      </c>
      <c r="C121" s="1">
        <v>82</v>
      </c>
      <c r="D121" s="2" t="s">
        <v>113</v>
      </c>
      <c r="E121" s="1" t="s">
        <v>429</v>
      </c>
      <c r="F121" s="16">
        <v>40682</v>
      </c>
      <c r="G121" s="16">
        <v>40695</v>
      </c>
      <c r="H121" s="17">
        <f t="shared" si="13"/>
        <v>55</v>
      </c>
      <c r="I121" s="1">
        <f t="shared" si="10"/>
        <v>55000</v>
      </c>
      <c r="J121" s="17">
        <v>54000</v>
      </c>
      <c r="K121" s="17">
        <v>3000</v>
      </c>
      <c r="L121" s="18">
        <f t="shared" si="12"/>
        <v>-2000</v>
      </c>
      <c r="M121" s="29">
        <f>SUM('план на 2016'!$L122:M122)-SUM('членские взносы'!$M122:'членские взносы'!M122)</f>
        <v>-1200</v>
      </c>
      <c r="N121" s="29">
        <f>SUM('план на 2016'!$L122:N122)-SUM('членские взносы'!$M122:'членские взносы'!N122)</f>
        <v>-2800</v>
      </c>
      <c r="O121" s="29">
        <f>SUM('план на 2016'!$L122:O122)-SUM('членские взносы'!$M122:'членские взносы'!O122)</f>
        <v>-2000</v>
      </c>
      <c r="P121" s="29">
        <f>SUM('план на 2016'!$L122:P122)-SUM('членские взносы'!$M122:'членские взносы'!P122)</f>
        <v>-3600</v>
      </c>
      <c r="Q121" s="29">
        <f>SUM('план на 2016'!$L122:Q122)-SUM('членские взносы'!$M122:'членские взносы'!Q122)</f>
        <v>-2800</v>
      </c>
      <c r="R121" s="29">
        <f>SUM('план на 2016'!$L122:R122)-SUM('членские взносы'!$M122:'членские взносы'!R122)</f>
        <v>-2000</v>
      </c>
      <c r="S121" s="29">
        <f>SUM('план на 2016'!$L122:S122)-SUM('членские взносы'!$M122:'членские взносы'!S122)</f>
        <v>-1200</v>
      </c>
      <c r="T121" s="29">
        <f>SUM('план на 2016'!$L122:T122)-SUM('членские взносы'!$M122:'членские взносы'!T122)</f>
        <v>-2800</v>
      </c>
      <c r="U121" s="29">
        <f>SUM('план на 2016'!$L122:U122)-SUM('членские взносы'!$M122:'членские взносы'!U122)</f>
        <v>-2000</v>
      </c>
      <c r="V121" s="29">
        <f>SUM('план на 2016'!$L122:V122)-SUM('членские взносы'!$M122:'членские взносы'!V122)</f>
        <v>-1200</v>
      </c>
      <c r="W121" s="29">
        <f>SUM('план на 2016'!$L122:W122)-SUM('членские взносы'!$M122:'членские взносы'!W122)</f>
        <v>-2800</v>
      </c>
      <c r="X121" s="29">
        <f>SUM('план на 2016'!$L122:X122)-SUM('членские взносы'!$M122:'членские взносы'!X122)</f>
        <v>-2000</v>
      </c>
      <c r="Y121" s="18">
        <f t="shared" si="8"/>
        <v>-2000</v>
      </c>
    </row>
    <row r="122" spans="1:25">
      <c r="A122" s="41">
        <f>VLOOKUP(B122,справочник!$B$2:$E$322,4,FALSE)</f>
        <v>82</v>
      </c>
      <c r="B122" t="str">
        <f t="shared" si="7"/>
        <v>87Кикоть Наталья Петровна (Андрей)</v>
      </c>
      <c r="C122" s="1">
        <v>87</v>
      </c>
      <c r="D122" s="2" t="s">
        <v>114</v>
      </c>
      <c r="E122" s="1" t="s">
        <v>430</v>
      </c>
      <c r="F122" s="16">
        <v>41148</v>
      </c>
      <c r="G122" s="16">
        <v>41153</v>
      </c>
      <c r="H122" s="17">
        <f t="shared" si="13"/>
        <v>40</v>
      </c>
      <c r="I122" s="1">
        <f t="shared" si="10"/>
        <v>40000</v>
      </c>
      <c r="J122" s="17">
        <v>35000</v>
      </c>
      <c r="K122" s="17"/>
      <c r="L122" s="18">
        <f t="shared" si="12"/>
        <v>5000</v>
      </c>
      <c r="M122" s="29">
        <f>SUM('план на 2016'!$L123:M123)-SUM('членские взносы'!$M123:'членские взносы'!M123)</f>
        <v>2800</v>
      </c>
      <c r="N122" s="29">
        <f>SUM('план на 2016'!$L123:N123)-SUM('членские взносы'!$M123:'членские взносы'!N123)</f>
        <v>3600</v>
      </c>
      <c r="O122" s="29">
        <f>SUM('план на 2016'!$L123:O123)-SUM('членские взносы'!$M123:'членские взносы'!O123)</f>
        <v>1400</v>
      </c>
      <c r="P122" s="29">
        <f>SUM('план на 2016'!$L123:P123)-SUM('членские взносы'!$M123:'членские взносы'!P123)</f>
        <v>2200</v>
      </c>
      <c r="Q122" s="29">
        <f>SUM('план на 2016'!$L123:Q123)-SUM('членские взносы'!$M123:'членские взносы'!Q123)</f>
        <v>3000</v>
      </c>
      <c r="R122" s="29">
        <f>SUM('план на 2016'!$L123:R123)-SUM('членские взносы'!$M123:'членские взносы'!R123)</f>
        <v>3800</v>
      </c>
      <c r="S122" s="29">
        <f>SUM('план на 2016'!$L123:S123)-SUM('членские взносы'!$M123:'членские взносы'!S123)</f>
        <v>4600</v>
      </c>
      <c r="T122" s="29">
        <f>SUM('план на 2016'!$L123:T123)-SUM('членские взносы'!$M123:'членские взносы'!T123)</f>
        <v>5400</v>
      </c>
      <c r="U122" s="29">
        <f>SUM('план на 2016'!$L123:U123)-SUM('членские взносы'!$M123:'членские взносы'!U123)</f>
        <v>6200</v>
      </c>
      <c r="V122" s="29">
        <f>SUM('план на 2016'!$L123:V123)-SUM('членские взносы'!$M123:'членские взносы'!V123)</f>
        <v>5000</v>
      </c>
      <c r="W122" s="29">
        <f>SUM('план на 2016'!$L123:W123)-SUM('членские взносы'!$M123:'членские взносы'!W123)</f>
        <v>5800</v>
      </c>
      <c r="X122" s="29">
        <f>SUM('план на 2016'!$L123:X123)-SUM('членские взносы'!$M123:'членские взносы'!X123)</f>
        <v>6600</v>
      </c>
      <c r="Y122" s="18">
        <f t="shared" si="8"/>
        <v>6600</v>
      </c>
    </row>
    <row r="123" spans="1:25">
      <c r="A123" s="41">
        <f>VLOOKUP(B123,справочник!$B$2:$E$322,4,FALSE)</f>
        <v>8</v>
      </c>
      <c r="B123" t="str">
        <f t="shared" si="7"/>
        <v>8Кириенко Раиса Федоровна</v>
      </c>
      <c r="C123" s="1">
        <v>8</v>
      </c>
      <c r="D123" s="2" t="s">
        <v>115</v>
      </c>
      <c r="E123" s="1" t="s">
        <v>431</v>
      </c>
      <c r="F123" s="16">
        <v>41741</v>
      </c>
      <c r="G123" s="16">
        <v>41760</v>
      </c>
      <c r="H123" s="17">
        <f t="shared" si="13"/>
        <v>20</v>
      </c>
      <c r="I123" s="1">
        <f t="shared" si="10"/>
        <v>20000</v>
      </c>
      <c r="J123" s="17">
        <v>18000</v>
      </c>
      <c r="K123" s="17"/>
      <c r="L123" s="18">
        <f t="shared" si="12"/>
        <v>2000</v>
      </c>
      <c r="M123" s="29">
        <f>SUM('план на 2016'!$L124:M124)-SUM('членские взносы'!$M124:'членские взносы'!M124)</f>
        <v>2800</v>
      </c>
      <c r="N123" s="29">
        <f>SUM('план на 2016'!$L124:N124)-SUM('членские взносы'!$M124:'членские взносы'!N124)</f>
        <v>3600</v>
      </c>
      <c r="O123" s="29">
        <f>SUM('план на 2016'!$L124:O124)-SUM('членские взносы'!$M124:'членские взносы'!O124)</f>
        <v>4400</v>
      </c>
      <c r="P123" s="29">
        <f>SUM('план на 2016'!$L124:P124)-SUM('членские взносы'!$M124:'членские взносы'!P124)</f>
        <v>5200</v>
      </c>
      <c r="Q123" s="29">
        <f>SUM('план на 2016'!$L124:Q124)-SUM('членские взносы'!$M124:'членские взносы'!Q124)</f>
        <v>6000</v>
      </c>
      <c r="R123" s="29">
        <f>SUM('план на 2016'!$L124:R124)-SUM('членские взносы'!$M124:'членские взносы'!R124)</f>
        <v>2800</v>
      </c>
      <c r="S123" s="29">
        <f>SUM('план на 2016'!$L124:S124)-SUM('членские взносы'!$M124:'членские взносы'!S124)</f>
        <v>3600</v>
      </c>
      <c r="T123" s="29">
        <f>SUM('план на 2016'!$L124:T124)-SUM('членские взносы'!$M124:'членские взносы'!T124)</f>
        <v>4400</v>
      </c>
      <c r="U123" s="29">
        <f>SUM('план на 2016'!$L124:U124)-SUM('членские взносы'!$M124:'членские взносы'!U124)</f>
        <v>5200</v>
      </c>
      <c r="V123" s="29">
        <f>SUM('план на 2016'!$L124:V124)-SUM('членские взносы'!$M124:'членские взносы'!V124)</f>
        <v>-1600</v>
      </c>
      <c r="W123" s="29">
        <f>SUM('план на 2016'!$L124:W124)-SUM('членские взносы'!$M124:'членские взносы'!W124)</f>
        <v>-800</v>
      </c>
      <c r="X123" s="29">
        <f>SUM('план на 2016'!$L124:X124)-SUM('членские взносы'!$M124:'членские взносы'!X124)</f>
        <v>0</v>
      </c>
      <c r="Y123" s="18">
        <f t="shared" si="8"/>
        <v>0</v>
      </c>
    </row>
    <row r="124" spans="1:25">
      <c r="A124" s="41">
        <f>VLOOKUP(B124,справочник!$B$2:$E$322,4,FALSE)</f>
        <v>149</v>
      </c>
      <c r="B124" t="str">
        <f t="shared" si="7"/>
        <v>157Кириллов Вадим Александрович</v>
      </c>
      <c r="C124" s="1">
        <v>157</v>
      </c>
      <c r="D124" s="2" t="s">
        <v>116</v>
      </c>
      <c r="E124" s="1" t="s">
        <v>432</v>
      </c>
      <c r="F124" s="16">
        <v>40820</v>
      </c>
      <c r="G124" s="16">
        <v>40817</v>
      </c>
      <c r="H124" s="17">
        <f t="shared" si="13"/>
        <v>51</v>
      </c>
      <c r="I124" s="1">
        <f t="shared" si="10"/>
        <v>51000</v>
      </c>
      <c r="J124" s="17">
        <f>1000</f>
        <v>1000</v>
      </c>
      <c r="K124" s="17">
        <v>1000</v>
      </c>
      <c r="L124" s="18">
        <f t="shared" si="12"/>
        <v>49000</v>
      </c>
      <c r="M124" s="29">
        <f>SUM('план на 2016'!$L125:M125)-SUM('членские взносы'!$M125:'членские взносы'!M125)</f>
        <v>49800</v>
      </c>
      <c r="N124" s="29">
        <f>SUM('план на 2016'!$L125:N125)-SUM('членские взносы'!$M125:'членские взносы'!N125)</f>
        <v>50600</v>
      </c>
      <c r="O124" s="29">
        <f>SUM('план на 2016'!$L125:O125)-SUM('членские взносы'!$M125:'членские взносы'!O125)</f>
        <v>50400</v>
      </c>
      <c r="P124" s="29">
        <f>SUM('план на 2016'!$L125:P125)-SUM('членские взносы'!$M125:'членские взносы'!P125)</f>
        <v>51200</v>
      </c>
      <c r="Q124" s="29">
        <f>SUM('план на 2016'!$L125:Q125)-SUM('членские взносы'!$M125:'членские взносы'!Q125)</f>
        <v>51000</v>
      </c>
      <c r="R124" s="29">
        <f>SUM('план на 2016'!$L125:R125)-SUM('членские взносы'!$M125:'членские взносы'!R125)</f>
        <v>51800</v>
      </c>
      <c r="S124" s="29">
        <f>SUM('план на 2016'!$L125:S125)-SUM('членские взносы'!$M125:'членские взносы'!S125)</f>
        <v>52600</v>
      </c>
      <c r="T124" s="29">
        <f>SUM('план на 2016'!$L125:T125)-SUM('членские взносы'!$M125:'членские взносы'!T125)</f>
        <v>53400</v>
      </c>
      <c r="U124" s="29">
        <f>SUM('план на 2016'!$L125:U125)-SUM('членские взносы'!$M125:'членские взносы'!U125)</f>
        <v>54200</v>
      </c>
      <c r="V124" s="29">
        <f>SUM('план на 2016'!$L125:V125)-SUM('членские взносы'!$M125:'членские взносы'!V125)</f>
        <v>55000</v>
      </c>
      <c r="W124" s="29">
        <f>SUM('план на 2016'!$L125:W125)-SUM('членские взносы'!$M125:'членские взносы'!W125)</f>
        <v>55800</v>
      </c>
      <c r="X124" s="29">
        <f>SUM('план на 2016'!$L125:X125)-SUM('членские взносы'!$M125:'членские взносы'!X125)</f>
        <v>56600</v>
      </c>
      <c r="Y124" s="18">
        <f t="shared" si="8"/>
        <v>56600</v>
      </c>
    </row>
    <row r="125" spans="1:25">
      <c r="A125" s="41">
        <f>VLOOKUP(B125,справочник!$B$2:$E$322,4,FALSE)</f>
        <v>30</v>
      </c>
      <c r="B125" t="str">
        <f t="shared" si="7"/>
        <v>30Кириллов Дмитрий Александрович</v>
      </c>
      <c r="C125" s="1">
        <v>30</v>
      </c>
      <c r="D125" s="2" t="s">
        <v>117</v>
      </c>
      <c r="E125" s="1" t="s">
        <v>433</v>
      </c>
      <c r="F125" s="16">
        <v>40906</v>
      </c>
      <c r="G125" s="16">
        <v>40909</v>
      </c>
      <c r="H125" s="17">
        <f t="shared" si="13"/>
        <v>48</v>
      </c>
      <c r="I125" s="1">
        <f t="shared" si="10"/>
        <v>48000</v>
      </c>
      <c r="J125" s="17">
        <f>1000</f>
        <v>1000</v>
      </c>
      <c r="K125" s="17"/>
      <c r="L125" s="18">
        <f t="shared" si="12"/>
        <v>47000</v>
      </c>
      <c r="M125" s="29">
        <f>SUM('план на 2016'!$L126:M126)-SUM('членские взносы'!$M126:'членские взносы'!M126)</f>
        <v>47800</v>
      </c>
      <c r="N125" s="29">
        <f>SUM('план на 2016'!$L126:N126)-SUM('членские взносы'!$M126:'членские взносы'!N126)</f>
        <v>48600</v>
      </c>
      <c r="O125" s="29">
        <f>SUM('план на 2016'!$L126:O126)-SUM('членские взносы'!$M126:'членские взносы'!O126)</f>
        <v>49400</v>
      </c>
      <c r="P125" s="29">
        <f>SUM('план на 2016'!$L126:P126)-SUM('членские взносы'!$M126:'членские взносы'!P126)</f>
        <v>50200</v>
      </c>
      <c r="Q125" s="29">
        <f>SUM('план на 2016'!$L126:Q126)-SUM('членские взносы'!$M126:'членские взносы'!Q126)</f>
        <v>51000</v>
      </c>
      <c r="R125" s="29">
        <f>SUM('план на 2016'!$L126:R126)-SUM('членские взносы'!$M126:'членские взносы'!R126)</f>
        <v>51800</v>
      </c>
      <c r="S125" s="29">
        <f>SUM('план на 2016'!$L126:S126)-SUM('членские взносы'!$M126:'членские взносы'!S126)</f>
        <v>52600</v>
      </c>
      <c r="T125" s="29">
        <f>SUM('план на 2016'!$L126:T126)-SUM('членские взносы'!$M126:'членские взносы'!T126)</f>
        <v>53400</v>
      </c>
      <c r="U125" s="29">
        <f>SUM('план на 2016'!$L126:U126)-SUM('членские взносы'!$M126:'членские взносы'!U126)</f>
        <v>54200</v>
      </c>
      <c r="V125" s="29">
        <f>SUM('план на 2016'!$L126:V126)-SUM('членские взносы'!$M126:'членские взносы'!V126)</f>
        <v>55000</v>
      </c>
      <c r="W125" s="29">
        <f>SUM('план на 2016'!$L126:W126)-SUM('членские взносы'!$M126:'членские взносы'!W126)</f>
        <v>55800</v>
      </c>
      <c r="X125" s="29">
        <f>SUM('план на 2016'!$L126:X126)-SUM('членские взносы'!$M126:'членские взносы'!X126)</f>
        <v>56600</v>
      </c>
      <c r="Y125" s="18">
        <f t="shared" si="8"/>
        <v>56600</v>
      </c>
    </row>
    <row r="126" spans="1:25">
      <c r="A126" s="41">
        <f>VLOOKUP(B126,справочник!$B$2:$E$322,4,FALSE)</f>
        <v>269</v>
      </c>
      <c r="B126" t="str">
        <f t="shared" si="7"/>
        <v>282Коваленко Ирина Леонидовна</v>
      </c>
      <c r="C126" s="1">
        <v>282</v>
      </c>
      <c r="D126" s="2" t="s">
        <v>118</v>
      </c>
      <c r="E126" s="1" t="s">
        <v>434</v>
      </c>
      <c r="F126" s="16">
        <v>41254</v>
      </c>
      <c r="G126" s="16">
        <v>41275</v>
      </c>
      <c r="H126" s="17">
        <f t="shared" si="13"/>
        <v>36</v>
      </c>
      <c r="I126" s="1">
        <f t="shared" si="10"/>
        <v>36000</v>
      </c>
      <c r="J126" s="17">
        <v>18000</v>
      </c>
      <c r="K126" s="17"/>
      <c r="L126" s="18">
        <f t="shared" si="12"/>
        <v>18000</v>
      </c>
      <c r="M126" s="29">
        <f>SUM('план на 2016'!$L127:M127)-SUM('членские взносы'!$M127:'членские взносы'!M127)</f>
        <v>18800</v>
      </c>
      <c r="N126" s="29">
        <f>SUM('план на 2016'!$L127:N127)-SUM('членские взносы'!$M127:'членские взносы'!N127)</f>
        <v>19600</v>
      </c>
      <c r="O126" s="29">
        <f>SUM('план на 2016'!$L127:O127)-SUM('членские взносы'!$M127:'членские взносы'!O127)</f>
        <v>20400</v>
      </c>
      <c r="P126" s="29">
        <f>SUM('план на 2016'!$L127:P127)-SUM('членские взносы'!$M127:'членские взносы'!P127)</f>
        <v>21200</v>
      </c>
      <c r="Q126" s="29">
        <f>SUM('план на 2016'!$L127:Q127)-SUM('членские взносы'!$M127:'членские взносы'!Q127)</f>
        <v>22000</v>
      </c>
      <c r="R126" s="29">
        <f>SUM('план на 2016'!$L127:R127)-SUM('членские взносы'!$M127:'членские взносы'!R127)</f>
        <v>22800</v>
      </c>
      <c r="S126" s="29">
        <f>SUM('план на 2016'!$L127:S127)-SUM('членские взносы'!$M127:'членские взносы'!S127)</f>
        <v>23600</v>
      </c>
      <c r="T126" s="29">
        <f>SUM('план на 2016'!$L127:T127)-SUM('членские взносы'!$M127:'членские взносы'!T127)</f>
        <v>24400</v>
      </c>
      <c r="U126" s="29">
        <f>SUM('план на 2016'!$L127:U127)-SUM('членские взносы'!$M127:'членские взносы'!U127)</f>
        <v>25200</v>
      </c>
      <c r="V126" s="29">
        <f>SUM('план на 2016'!$L127:V127)-SUM('членские взносы'!$M127:'членские взносы'!V127)</f>
        <v>26000</v>
      </c>
      <c r="W126" s="29">
        <f>SUM('план на 2016'!$L127:W127)-SUM('членские взносы'!$M127:'членские взносы'!W127)</f>
        <v>14800</v>
      </c>
      <c r="X126" s="29">
        <f>SUM('план на 2016'!$L127:X127)-SUM('членские взносы'!$M127:'членские взносы'!X127)</f>
        <v>15600</v>
      </c>
      <c r="Y126" s="18">
        <f t="shared" si="8"/>
        <v>15600</v>
      </c>
    </row>
    <row r="127" spans="1:25">
      <c r="A127" s="41">
        <f>VLOOKUP(B127,справочник!$B$2:$E$322,4,FALSE)</f>
        <v>271</v>
      </c>
      <c r="B127" t="str">
        <f t="shared" si="7"/>
        <v>284Кожемякин Сергей Владимирович</v>
      </c>
      <c r="C127" s="1">
        <v>284</v>
      </c>
      <c r="D127" s="2" t="s">
        <v>119</v>
      </c>
      <c r="E127" s="1" t="s">
        <v>435</v>
      </c>
      <c r="F127" s="16">
        <v>42044</v>
      </c>
      <c r="G127" s="16">
        <v>42095</v>
      </c>
      <c r="H127" s="17">
        <f t="shared" si="13"/>
        <v>9</v>
      </c>
      <c r="I127" s="1">
        <f t="shared" si="10"/>
        <v>9000</v>
      </c>
      <c r="J127" s="17">
        <v>4000</v>
      </c>
      <c r="K127" s="17">
        <v>5000</v>
      </c>
      <c r="L127" s="18">
        <f t="shared" si="12"/>
        <v>0</v>
      </c>
      <c r="M127" s="29">
        <f>SUM('план на 2016'!$L128:M128)-SUM('членские взносы'!$M128:'членские взносы'!M128)</f>
        <v>800</v>
      </c>
      <c r="N127" s="29">
        <f>SUM('план на 2016'!$L128:N128)-SUM('членские взносы'!$M128:'членские взносы'!N128)</f>
        <v>1600</v>
      </c>
      <c r="O127" s="29">
        <f>SUM('план на 2016'!$L128:O128)-SUM('членские взносы'!$M128:'членские взносы'!O128)</f>
        <v>2400</v>
      </c>
      <c r="P127" s="29">
        <f>SUM('план на 2016'!$L128:P128)-SUM('членские взносы'!$M128:'членские взносы'!P128)</f>
        <v>3200</v>
      </c>
      <c r="Q127" s="29">
        <f>SUM('план на 2016'!$L128:Q128)-SUM('членские взносы'!$M128:'членские взносы'!Q128)</f>
        <v>4000</v>
      </c>
      <c r="R127" s="29">
        <f>SUM('план на 2016'!$L128:R128)-SUM('членские взносы'!$M128:'членские взносы'!R128)</f>
        <v>-200</v>
      </c>
      <c r="S127" s="29">
        <f>SUM('план на 2016'!$L128:S128)-SUM('членские взносы'!$M128:'членские взносы'!S128)</f>
        <v>600</v>
      </c>
      <c r="T127" s="29">
        <f>SUM('план на 2016'!$L128:T128)-SUM('членские взносы'!$M128:'членские взносы'!T128)</f>
        <v>1400</v>
      </c>
      <c r="U127" s="29">
        <f>SUM('план на 2016'!$L128:U128)-SUM('членские взносы'!$M128:'членские взносы'!U128)</f>
        <v>2200</v>
      </c>
      <c r="V127" s="29">
        <f>SUM('план на 2016'!$L128:V128)-SUM('членские взносы'!$M128:'членские взносы'!V128)</f>
        <v>3000</v>
      </c>
      <c r="W127" s="29">
        <f>SUM('план на 2016'!$L128:W128)-SUM('членские взносы'!$M128:'членские взносы'!W128)</f>
        <v>3800</v>
      </c>
      <c r="X127" s="29">
        <f>SUM('план на 2016'!$L128:X128)-SUM('членские взносы'!$M128:'членские взносы'!X128)</f>
        <v>1600</v>
      </c>
      <c r="Y127" s="18">
        <f t="shared" si="8"/>
        <v>1600</v>
      </c>
    </row>
    <row r="128" spans="1:25">
      <c r="A128" s="41">
        <f>VLOOKUP(B128,справочник!$B$2:$E$322,4,FALSE)</f>
        <v>265</v>
      </c>
      <c r="B128" t="str">
        <f t="shared" si="7"/>
        <v>278Козловский Алексей Гаврилович</v>
      </c>
      <c r="C128" s="1">
        <v>278</v>
      </c>
      <c r="D128" s="2" t="s">
        <v>120</v>
      </c>
      <c r="E128" s="1" t="s">
        <v>436</v>
      </c>
      <c r="F128" s="16">
        <v>40812</v>
      </c>
      <c r="G128" s="16">
        <v>40787</v>
      </c>
      <c r="H128" s="17">
        <f t="shared" si="13"/>
        <v>52</v>
      </c>
      <c r="I128" s="1">
        <f t="shared" si="10"/>
        <v>52000</v>
      </c>
      <c r="J128" s="17">
        <f>2000+27000</f>
        <v>29000</v>
      </c>
      <c r="K128" s="17"/>
      <c r="L128" s="18">
        <f t="shared" si="12"/>
        <v>23000</v>
      </c>
      <c r="M128" s="29">
        <f>SUM('план на 2016'!$L129:M129)-SUM('членские взносы'!$M129:'членские взносы'!M129)</f>
        <v>23800</v>
      </c>
      <c r="N128" s="29">
        <f>SUM('план на 2016'!$L129:N129)-SUM('членские взносы'!$M129:'членские взносы'!N129)</f>
        <v>24600</v>
      </c>
      <c r="O128" s="29">
        <f>SUM('план на 2016'!$L129:O129)-SUM('членские взносы'!$M129:'членские взносы'!O129)</f>
        <v>22400</v>
      </c>
      <c r="P128" s="29">
        <f>SUM('план на 2016'!$L129:P129)-SUM('членские взносы'!$M129:'членские взносы'!P129)</f>
        <v>23200</v>
      </c>
      <c r="Q128" s="29">
        <f>SUM('план на 2016'!$L129:Q129)-SUM('членские взносы'!$M129:'членские взносы'!Q129)</f>
        <v>24000</v>
      </c>
      <c r="R128" s="29">
        <f>SUM('план на 2016'!$L129:R129)-SUM('членские взносы'!$M129:'членские взносы'!R129)</f>
        <v>24800</v>
      </c>
      <c r="S128" s="29">
        <f>SUM('план на 2016'!$L129:S129)-SUM('членские взносы'!$M129:'членские взносы'!S129)</f>
        <v>22600</v>
      </c>
      <c r="T128" s="29">
        <f>SUM('план на 2016'!$L129:T129)-SUM('членские взносы'!$M129:'членские взносы'!T129)</f>
        <v>23400</v>
      </c>
      <c r="U128" s="29">
        <f>SUM('план на 2016'!$L129:U129)-SUM('членские взносы'!$M129:'членские взносы'!U129)</f>
        <v>21200</v>
      </c>
      <c r="V128" s="29">
        <f>SUM('план на 2016'!$L129:V129)-SUM('членские взносы'!$M129:'членские взносы'!V129)</f>
        <v>22000</v>
      </c>
      <c r="W128" s="29">
        <f>SUM('план на 2016'!$L129:W129)-SUM('членские взносы'!$M129:'членские взносы'!W129)</f>
        <v>19800</v>
      </c>
      <c r="X128" s="29">
        <f>SUM('план на 2016'!$L129:X129)-SUM('членские взносы'!$M129:'членские взносы'!X129)</f>
        <v>20600</v>
      </c>
      <c r="Y128" s="18">
        <f t="shared" si="8"/>
        <v>20600</v>
      </c>
    </row>
    <row r="129" spans="1:25" ht="24">
      <c r="A129" s="41">
        <f>VLOOKUP(B129,справочник!$B$2:$E$322,4,FALSE)</f>
        <v>173</v>
      </c>
      <c r="B129" t="str">
        <f t="shared" si="7"/>
        <v>181Колесников Никита Олегович(у Кряжковой Виктория Сергеевна</v>
      </c>
      <c r="C129" s="1">
        <v>181</v>
      </c>
      <c r="D129" s="2" t="s">
        <v>121</v>
      </c>
      <c r="E129" s="1" t="s">
        <v>437</v>
      </c>
      <c r="F129" s="16">
        <v>40793</v>
      </c>
      <c r="G129" s="16">
        <v>40787</v>
      </c>
      <c r="H129" s="17">
        <f t="shared" si="13"/>
        <v>52</v>
      </c>
      <c r="I129" s="1">
        <f t="shared" si="10"/>
        <v>52000</v>
      </c>
      <c r="J129" s="17">
        <v>1000</v>
      </c>
      <c r="K129" s="17"/>
      <c r="L129" s="18">
        <f t="shared" si="12"/>
        <v>51000</v>
      </c>
      <c r="M129" s="29">
        <f>SUM('план на 2016'!$L130:M130)-SUM('членские взносы'!$M130:'членские взносы'!M130)</f>
        <v>51800</v>
      </c>
      <c r="N129" s="29">
        <f>SUM('план на 2016'!$L130:N130)-SUM('членские взносы'!$M130:'членские взносы'!N130)</f>
        <v>52600</v>
      </c>
      <c r="O129" s="29">
        <f>SUM('план на 2016'!$L130:O130)-SUM('членские взносы'!$M130:'членские взносы'!O130)</f>
        <v>53400</v>
      </c>
      <c r="P129" s="29">
        <f>SUM('план на 2016'!$L130:P130)-SUM('членские взносы'!$M130:'членские взносы'!P130)</f>
        <v>54200</v>
      </c>
      <c r="Q129" s="29">
        <f>SUM('план на 2016'!$L130:Q130)-SUM('членские взносы'!$M130:'членские взносы'!Q130)</f>
        <v>55000</v>
      </c>
      <c r="R129" s="29">
        <f>SUM('план на 2016'!$L130:R130)-SUM('членские взносы'!$M130:'членские взносы'!R130)</f>
        <v>55800</v>
      </c>
      <c r="S129" s="29">
        <f>SUM('план на 2016'!$L130:S130)-SUM('членские взносы'!$M130:'членские взносы'!S130)</f>
        <v>56600</v>
      </c>
      <c r="T129" s="29">
        <f>SUM('план на 2016'!$L130:T130)-SUM('членские взносы'!$M130:'членские взносы'!T130)</f>
        <v>57400</v>
      </c>
      <c r="U129" s="29">
        <f>SUM('план на 2016'!$L130:U130)-SUM('членские взносы'!$M130:'членские взносы'!U130)</f>
        <v>58200</v>
      </c>
      <c r="V129" s="29">
        <f>SUM('план на 2016'!$L130:V130)-SUM('членские взносы'!$M130:'членские взносы'!V130)</f>
        <v>59000</v>
      </c>
      <c r="W129" s="29">
        <f>SUM('план на 2016'!$L130:W130)-SUM('членские взносы'!$M130:'членские взносы'!W130)</f>
        <v>59800</v>
      </c>
      <c r="X129" s="29">
        <f>SUM('план на 2016'!$L130:X130)-SUM('членские взносы'!$M130:'членские взносы'!X130)</f>
        <v>60600</v>
      </c>
      <c r="Y129" s="18">
        <f t="shared" si="8"/>
        <v>60600</v>
      </c>
    </row>
    <row r="130" spans="1:25">
      <c r="A130" s="41">
        <f>VLOOKUP(B130,справочник!$B$2:$E$322,4,FALSE)</f>
        <v>305</v>
      </c>
      <c r="B130" t="str">
        <f t="shared" si="7"/>
        <v>320Колесов Вадим Владимирович</v>
      </c>
      <c r="C130" s="1">
        <v>320</v>
      </c>
      <c r="D130" s="2" t="s">
        <v>122</v>
      </c>
      <c r="E130" s="1" t="s">
        <v>438</v>
      </c>
      <c r="F130" s="16">
        <v>41929</v>
      </c>
      <c r="G130" s="16">
        <v>41944</v>
      </c>
      <c r="H130" s="17">
        <f t="shared" si="13"/>
        <v>14</v>
      </c>
      <c r="I130" s="1">
        <f t="shared" si="10"/>
        <v>14000</v>
      </c>
      <c r="J130" s="17">
        <v>1000</v>
      </c>
      <c r="K130" s="17"/>
      <c r="L130" s="18">
        <f t="shared" si="12"/>
        <v>13000</v>
      </c>
      <c r="M130" s="29">
        <f>SUM('план на 2016'!$L131:M131)-SUM('членские взносы'!$M131:'членские взносы'!M131)</f>
        <v>13800</v>
      </c>
      <c r="N130" s="29">
        <f>SUM('план на 2016'!$L131:N131)-SUM('членские взносы'!$M131:'членские взносы'!N131)</f>
        <v>14600</v>
      </c>
      <c r="O130" s="29">
        <f>SUM('план на 2016'!$L131:O131)-SUM('членские взносы'!$M131:'членские взносы'!O131)</f>
        <v>15400</v>
      </c>
      <c r="P130" s="29">
        <f>SUM('план на 2016'!$L131:P131)-SUM('членские взносы'!$M131:'членские взносы'!P131)</f>
        <v>16200</v>
      </c>
      <c r="Q130" s="29">
        <f>SUM('план на 2016'!$L131:Q131)-SUM('членские взносы'!$M131:'членские взносы'!Q131)</f>
        <v>17000</v>
      </c>
      <c r="R130" s="29">
        <f>SUM('план на 2016'!$L131:R131)-SUM('членские взносы'!$M131:'членские взносы'!R131)</f>
        <v>17800</v>
      </c>
      <c r="S130" s="29">
        <f>SUM('план на 2016'!$L131:S131)-SUM('членские взносы'!$M131:'членские взносы'!S131)</f>
        <v>18600</v>
      </c>
      <c r="T130" s="29">
        <f>SUM('план на 2016'!$L131:T131)-SUM('членские взносы'!$M131:'членские взносы'!T131)</f>
        <v>19400</v>
      </c>
      <c r="U130" s="29">
        <f>SUM('план на 2016'!$L131:U131)-SUM('членские взносы'!$M131:'членские взносы'!U131)</f>
        <v>20200</v>
      </c>
      <c r="V130" s="29">
        <f>SUM('план на 2016'!$L131:V131)-SUM('членские взносы'!$M131:'членские взносы'!V131)</f>
        <v>21000</v>
      </c>
      <c r="W130" s="29">
        <f>SUM('план на 2016'!$L131:W131)-SUM('членские взносы'!$M131:'членские взносы'!W131)</f>
        <v>21800</v>
      </c>
      <c r="X130" s="29">
        <f>SUM('план на 2016'!$L131:X131)-SUM('членские взносы'!$M131:'членские взносы'!X131)</f>
        <v>22600</v>
      </c>
      <c r="Y130" s="18">
        <f t="shared" si="8"/>
        <v>22600</v>
      </c>
    </row>
    <row r="131" spans="1:25">
      <c r="A131" s="41">
        <f>VLOOKUP(B131,справочник!$B$2:$E$322,4,FALSE)</f>
        <v>69</v>
      </c>
      <c r="B131" t="str">
        <f t="shared" si="7"/>
        <v>75Колташ Анна Владимировна</v>
      </c>
      <c r="C131" s="1">
        <v>75</v>
      </c>
      <c r="D131" s="2" t="s">
        <v>123</v>
      </c>
      <c r="E131" s="1" t="s">
        <v>439</v>
      </c>
      <c r="F131" s="19" t="s">
        <v>440</v>
      </c>
      <c r="G131" s="19">
        <v>40787</v>
      </c>
      <c r="H131" s="20">
        <f t="shared" si="13"/>
        <v>52</v>
      </c>
      <c r="I131" s="5">
        <f t="shared" si="10"/>
        <v>52000</v>
      </c>
      <c r="J131" s="20">
        <f>3000+10000</f>
        <v>13000</v>
      </c>
      <c r="K131" s="20"/>
      <c r="L131" s="21">
        <f t="shared" si="12"/>
        <v>39000</v>
      </c>
      <c r="M131" s="29">
        <f>SUM('план на 2016'!$L132:M132)-SUM('членские взносы'!$M132:'членские взносы'!M132)</f>
        <v>39800</v>
      </c>
      <c r="N131" s="29">
        <f>SUM('план на 2016'!$L132:N132)-SUM('членские взносы'!$M132:'членские взносы'!N132)</f>
        <v>40600</v>
      </c>
      <c r="O131" s="29">
        <f>SUM('план на 2016'!$L132:O132)-SUM('членские взносы'!$M132:'членские взносы'!O132)</f>
        <v>41400</v>
      </c>
      <c r="P131" s="29">
        <f>SUM('план на 2016'!$L132:P132)-SUM('членские взносы'!$M132:'членские взносы'!P132)</f>
        <v>42200</v>
      </c>
      <c r="Q131" s="29">
        <f>SUM('план на 2016'!$L132:Q132)-SUM('членские взносы'!$M132:'членские взносы'!Q132)</f>
        <v>43000</v>
      </c>
      <c r="R131" s="29">
        <f>SUM('план на 2016'!$L132:R132)-SUM('членские взносы'!$M132:'членские взносы'!R132)</f>
        <v>43800</v>
      </c>
      <c r="S131" s="29">
        <f>SUM('план на 2016'!$L132:S132)-SUM('членские взносы'!$M132:'членские взносы'!S132)</f>
        <v>44600</v>
      </c>
      <c r="T131" s="29">
        <f>SUM('план на 2016'!$L132:T132)-SUM('членские взносы'!$M132:'членские взносы'!T132)</f>
        <v>45400</v>
      </c>
      <c r="U131" s="29">
        <f>SUM('план на 2016'!$L132:U132)-SUM('членские взносы'!$M132:'членские взносы'!U132)</f>
        <v>46200</v>
      </c>
      <c r="V131" s="29">
        <f>SUM('план на 2016'!$L132:V132)-SUM('членские взносы'!$M132:'членские взносы'!V132)</f>
        <v>47000</v>
      </c>
      <c r="W131" s="29">
        <f>SUM('план на 2016'!$L132:W132)-SUM('членские взносы'!$M132:'членские взносы'!W132)</f>
        <v>47800</v>
      </c>
      <c r="X131" s="29">
        <f>SUM('план на 2016'!$L132:X132)-SUM('членские взносы'!$M132:'членские взносы'!X132)</f>
        <v>48600</v>
      </c>
      <c r="Y131" s="18">
        <f t="shared" si="8"/>
        <v>48600</v>
      </c>
    </row>
    <row r="132" spans="1:25">
      <c r="A132" s="41">
        <f>VLOOKUP(B132,справочник!$B$2:$E$322,4,FALSE)</f>
        <v>69</v>
      </c>
      <c r="B132" t="str">
        <f t="shared" si="7"/>
        <v>76Колташ Анна Владимировна</v>
      </c>
      <c r="C132" s="1">
        <v>76</v>
      </c>
      <c r="D132" s="2" t="s">
        <v>123</v>
      </c>
      <c r="E132" s="1" t="s">
        <v>441</v>
      </c>
      <c r="F132" s="5"/>
      <c r="G132" s="5"/>
      <c r="H132" s="20"/>
      <c r="I132" s="5">
        <f t="shared" si="10"/>
        <v>0</v>
      </c>
      <c r="J132" s="20"/>
      <c r="K132" s="20"/>
      <c r="L132" s="21"/>
      <c r="M132" s="29">
        <f>SUM('план на 2016'!$L133:M133)-SUM('членские взносы'!$M133:'членские взносы'!M133)</f>
        <v>0</v>
      </c>
      <c r="N132" s="29">
        <f>SUM('план на 2016'!$L133:N133)-SUM('членские взносы'!$M133:'членские взносы'!N133)</f>
        <v>0</v>
      </c>
      <c r="O132" s="29">
        <f>SUM('план на 2016'!$L133:O133)-SUM('членские взносы'!$M133:'членские взносы'!O133)</f>
        <v>0</v>
      </c>
      <c r="P132" s="29">
        <f>SUM('план на 2016'!$L133:P133)-SUM('членские взносы'!$M133:'членские взносы'!P133)</f>
        <v>0</v>
      </c>
      <c r="Q132" s="29">
        <f>SUM('план на 2016'!$L133:Q133)-SUM('членские взносы'!$M133:'членские взносы'!Q133)</f>
        <v>0</v>
      </c>
      <c r="R132" s="29">
        <f>SUM('план на 2016'!$L133:R133)-SUM('членские взносы'!$M133:'членские взносы'!R133)</f>
        <v>0</v>
      </c>
      <c r="S132" s="29">
        <f>SUM('план на 2016'!$L133:S133)-SUM('членские взносы'!$M133:'членские взносы'!S133)</f>
        <v>0</v>
      </c>
      <c r="T132" s="29">
        <f>SUM('план на 2016'!$L133:T133)-SUM('членские взносы'!$M133:'членские взносы'!T133)</f>
        <v>0</v>
      </c>
      <c r="U132" s="29">
        <f>SUM('план на 2016'!$L133:U133)-SUM('членские взносы'!$M133:'членские взносы'!U133)</f>
        <v>0</v>
      </c>
      <c r="V132" s="29">
        <f>SUM('план на 2016'!$L133:V133)-SUM('членские взносы'!$M133:'членские взносы'!V133)</f>
        <v>0</v>
      </c>
      <c r="W132" s="29">
        <f>SUM('план на 2016'!$L133:W133)-SUM('членские взносы'!$M133:'членские взносы'!W133)</f>
        <v>0</v>
      </c>
      <c r="X132" s="29">
        <f>SUM('план на 2016'!$L133:X133)-SUM('членские взносы'!$M133:'членские взносы'!X133)</f>
        <v>0</v>
      </c>
      <c r="Y132" s="18">
        <f t="shared" si="8"/>
        <v>0</v>
      </c>
    </row>
    <row r="133" spans="1:25">
      <c r="A133" s="41">
        <f>VLOOKUP(B133,справочник!$B$2:$E$322,4,FALSE)</f>
        <v>1</v>
      </c>
      <c r="B133" t="str">
        <f t="shared" ref="B133:B196" si="14">CONCATENATE(C133,D133)</f>
        <v>1Колыгина Нина Николаевна</v>
      </c>
      <c r="C133" s="1">
        <v>1</v>
      </c>
      <c r="D133" s="2" t="s">
        <v>124</v>
      </c>
      <c r="E133" s="1" t="s">
        <v>442</v>
      </c>
      <c r="F133" s="16">
        <v>41409</v>
      </c>
      <c r="G133" s="16">
        <v>41548</v>
      </c>
      <c r="H133" s="17">
        <f t="shared" ref="H133:H182" si="15">INT(($H$326-G133)/30)</f>
        <v>27</v>
      </c>
      <c r="I133" s="1">
        <f t="shared" si="10"/>
        <v>27000</v>
      </c>
      <c r="J133" s="17">
        <v>24000</v>
      </c>
      <c r="K133" s="17"/>
      <c r="L133" s="18">
        <f t="shared" ref="L133:L185" si="16">I133-J133-K133</f>
        <v>3000</v>
      </c>
      <c r="M133" s="29">
        <f>SUM('план на 2016'!$L134:M134)-SUM('членские взносы'!$M134:'членские взносы'!M134)</f>
        <v>3800</v>
      </c>
      <c r="N133" s="29">
        <f>SUM('план на 2016'!$L134:N134)-SUM('членские взносы'!$M134:'членские взносы'!N134)</f>
        <v>400</v>
      </c>
      <c r="O133" s="29">
        <f>SUM('план на 2016'!$L134:O134)-SUM('членские взносы'!$M134:'членские взносы'!O134)</f>
        <v>1200</v>
      </c>
      <c r="P133" s="29">
        <f>SUM('план на 2016'!$L134:P134)-SUM('членские взносы'!$M134:'членские взносы'!P134)</f>
        <v>2000</v>
      </c>
      <c r="Q133" s="29">
        <f>SUM('план на 2016'!$L134:Q134)-SUM('членские взносы'!$M134:'членские взносы'!Q134)</f>
        <v>2800</v>
      </c>
      <c r="R133" s="29">
        <f>SUM('план на 2016'!$L134:R134)-SUM('членские взносы'!$M134:'членские взносы'!R134)</f>
        <v>3600</v>
      </c>
      <c r="S133" s="29">
        <f>SUM('план на 2016'!$L134:S134)-SUM('членские взносы'!$M134:'членские взносы'!S134)</f>
        <v>4400</v>
      </c>
      <c r="T133" s="29">
        <f>SUM('план на 2016'!$L134:T134)-SUM('членские взносы'!$M134:'членские взносы'!T134)</f>
        <v>5200</v>
      </c>
      <c r="U133" s="29">
        <f>SUM('план на 2016'!$L134:U134)-SUM('членские взносы'!$M134:'членские взносы'!U134)</f>
        <v>6000</v>
      </c>
      <c r="V133" s="29">
        <f>SUM('план на 2016'!$L134:V134)-SUM('членские взносы'!$M134:'членские взносы'!V134)</f>
        <v>6800</v>
      </c>
      <c r="W133" s="29">
        <f>SUM('план на 2016'!$L134:W134)-SUM('членские взносы'!$M134:'членские взносы'!W134)</f>
        <v>7600</v>
      </c>
      <c r="X133" s="29">
        <f>SUM('план на 2016'!$L134:X134)-SUM('членские взносы'!$M134:'членские взносы'!X134)</f>
        <v>2800</v>
      </c>
      <c r="Y133" s="18">
        <f t="shared" ref="Y133:Y196" si="17">X133</f>
        <v>2800</v>
      </c>
    </row>
    <row r="134" spans="1:25">
      <c r="A134" s="41">
        <f>VLOOKUP(B134,справочник!$B$2:$E$322,4,FALSE)</f>
        <v>302</v>
      </c>
      <c r="B134" t="str">
        <f t="shared" si="14"/>
        <v>317Колышкина Александра Сергеевна</v>
      </c>
      <c r="C134" s="1">
        <v>317</v>
      </c>
      <c r="D134" s="2" t="s">
        <v>125</v>
      </c>
      <c r="E134" s="1" t="s">
        <v>443</v>
      </c>
      <c r="F134" s="16">
        <v>40997</v>
      </c>
      <c r="G134" s="16">
        <v>41000</v>
      </c>
      <c r="H134" s="17">
        <f t="shared" si="15"/>
        <v>45</v>
      </c>
      <c r="I134" s="1">
        <f t="shared" si="10"/>
        <v>45000</v>
      </c>
      <c r="J134" s="17">
        <v>32000</v>
      </c>
      <c r="K134" s="17"/>
      <c r="L134" s="18">
        <f t="shared" si="16"/>
        <v>13000</v>
      </c>
      <c r="M134" s="29">
        <f>SUM('план на 2016'!$L135:M135)-SUM('членские взносы'!$M135:'членские взносы'!M135)</f>
        <v>13800</v>
      </c>
      <c r="N134" s="29">
        <f>SUM('план на 2016'!$L135:N135)-SUM('членские взносы'!$M135:'членские взносы'!N135)</f>
        <v>14600</v>
      </c>
      <c r="O134" s="29">
        <f>SUM('план на 2016'!$L135:O135)-SUM('членские взносы'!$M135:'членские взносы'!O135)</f>
        <v>15400</v>
      </c>
      <c r="P134" s="29">
        <f>SUM('план на 2016'!$L135:P135)-SUM('членские взносы'!$M135:'членские взносы'!P135)</f>
        <v>16200</v>
      </c>
      <c r="Q134" s="29">
        <f>SUM('план на 2016'!$L135:Q135)-SUM('членские взносы'!$M135:'членские взносы'!Q135)</f>
        <v>17000</v>
      </c>
      <c r="R134" s="29">
        <f>SUM('план на 2016'!$L135:R135)-SUM('членские взносы'!$M135:'членские взносы'!R135)</f>
        <v>17800</v>
      </c>
      <c r="S134" s="29">
        <f>SUM('план на 2016'!$L135:S135)-SUM('членские взносы'!$M135:'членские взносы'!S135)</f>
        <v>18600</v>
      </c>
      <c r="T134" s="29">
        <f>SUM('план на 2016'!$L135:T135)-SUM('членские взносы'!$M135:'членские взносы'!T135)</f>
        <v>19400</v>
      </c>
      <c r="U134" s="29">
        <f>SUM('план на 2016'!$L135:U135)-SUM('членские взносы'!$M135:'членские взносы'!U135)</f>
        <v>20200</v>
      </c>
      <c r="V134" s="29">
        <f>SUM('план на 2016'!$L135:V135)-SUM('членские взносы'!$M135:'членские взносы'!V135)</f>
        <v>21000</v>
      </c>
      <c r="W134" s="29">
        <f>SUM('план на 2016'!$L135:W135)-SUM('членские взносы'!$M135:'членские взносы'!W135)</f>
        <v>21800</v>
      </c>
      <c r="X134" s="29">
        <f>SUM('план на 2016'!$L135:X135)-SUM('членские взносы'!$M135:'членские взносы'!X135)</f>
        <v>22600</v>
      </c>
      <c r="Y134" s="18">
        <f t="shared" si="17"/>
        <v>22600</v>
      </c>
    </row>
    <row r="135" spans="1:25">
      <c r="A135" s="41">
        <f>VLOOKUP(B135,справочник!$B$2:$E$322,4,FALSE)</f>
        <v>123</v>
      </c>
      <c r="B135" t="str">
        <f t="shared" si="14"/>
        <v>128Кондратьева Юлия Викторовна</v>
      </c>
      <c r="C135" s="1">
        <v>128</v>
      </c>
      <c r="D135" s="2" t="s">
        <v>126</v>
      </c>
      <c r="E135" s="1" t="s">
        <v>444</v>
      </c>
      <c r="F135" s="16">
        <v>40960</v>
      </c>
      <c r="G135" s="16">
        <v>40940</v>
      </c>
      <c r="H135" s="17">
        <f t="shared" si="15"/>
        <v>47</v>
      </c>
      <c r="I135" s="1">
        <f t="shared" si="10"/>
        <v>47000</v>
      </c>
      <c r="J135" s="17">
        <v>34000</v>
      </c>
      <c r="K135" s="17"/>
      <c r="L135" s="18">
        <f t="shared" si="16"/>
        <v>13000</v>
      </c>
      <c r="M135" s="29">
        <f>SUM('план на 2016'!$L136:M136)-SUM('членские взносы'!$M136:'членские взносы'!M136)</f>
        <v>13800</v>
      </c>
      <c r="N135" s="29">
        <f>SUM('план на 2016'!$L136:N136)-SUM('членские взносы'!$M136:'членские взносы'!N136)</f>
        <v>14600</v>
      </c>
      <c r="O135" s="29">
        <f>SUM('план на 2016'!$L136:O136)-SUM('членские взносы'!$M136:'членские взносы'!O136)</f>
        <v>15400</v>
      </c>
      <c r="P135" s="29">
        <f>SUM('план на 2016'!$L136:P136)-SUM('членские взносы'!$M136:'членские взносы'!P136)</f>
        <v>16200</v>
      </c>
      <c r="Q135" s="29">
        <f>SUM('план на 2016'!$L136:Q136)-SUM('членские взносы'!$M136:'членские взносы'!Q136)</f>
        <v>17000</v>
      </c>
      <c r="R135" s="29">
        <f>SUM('план на 2016'!$L136:R136)-SUM('членские взносы'!$M136:'членские взносы'!R136)</f>
        <v>17800</v>
      </c>
      <c r="S135" s="29">
        <f>SUM('план на 2016'!$L136:S136)-SUM('членские взносы'!$M136:'членские взносы'!S136)</f>
        <v>-1400</v>
      </c>
      <c r="T135" s="29">
        <f>SUM('план на 2016'!$L136:T136)-SUM('членские взносы'!$M136:'членские взносы'!T136)</f>
        <v>-600</v>
      </c>
      <c r="U135" s="29">
        <f>SUM('план на 2016'!$L136:U136)-SUM('членские взносы'!$M136:'членские взносы'!U136)</f>
        <v>200</v>
      </c>
      <c r="V135" s="29">
        <f>SUM('план на 2016'!$L136:V136)-SUM('членские взносы'!$M136:'членские взносы'!V136)</f>
        <v>1000</v>
      </c>
      <c r="W135" s="29">
        <f>SUM('план на 2016'!$L136:W136)-SUM('членские взносы'!$M136:'членские взносы'!W136)</f>
        <v>1800</v>
      </c>
      <c r="X135" s="29">
        <f>SUM('план на 2016'!$L136:X136)-SUM('членские взносы'!$M136:'членские взносы'!X136)</f>
        <v>2600</v>
      </c>
      <c r="Y135" s="18">
        <f t="shared" si="17"/>
        <v>2600</v>
      </c>
    </row>
    <row r="136" spans="1:25" ht="24">
      <c r="A136" s="41">
        <f>VLOOKUP(B136,справочник!$B$2:$E$322,4,FALSE)</f>
        <v>163</v>
      </c>
      <c r="B136" t="str">
        <f t="shared" si="14"/>
        <v>171Кондратюк Наталья Петровна 1/2,  Соболев Олег Юрьевич 1/2</v>
      </c>
      <c r="C136" s="1">
        <v>171</v>
      </c>
      <c r="D136" s="2" t="s">
        <v>127</v>
      </c>
      <c r="E136" s="1"/>
      <c r="F136" s="16">
        <v>41809</v>
      </c>
      <c r="G136" s="16">
        <v>41821</v>
      </c>
      <c r="H136" s="17">
        <f t="shared" si="15"/>
        <v>18</v>
      </c>
      <c r="I136" s="1">
        <f t="shared" si="10"/>
        <v>18000</v>
      </c>
      <c r="J136" s="17">
        <f>5000+4000</f>
        <v>9000</v>
      </c>
      <c r="K136" s="17"/>
      <c r="L136" s="18">
        <f t="shared" si="16"/>
        <v>9000</v>
      </c>
      <c r="M136" s="29">
        <f>SUM('план на 2016'!$L137:M137)-SUM('членские взносы'!$M137:'членские взносы'!M137)</f>
        <v>9800</v>
      </c>
      <c r="N136" s="29">
        <f>SUM('план на 2016'!$L137:N137)-SUM('членские взносы'!$M137:'членские взносы'!N137)</f>
        <v>10600</v>
      </c>
      <c r="O136" s="29">
        <f>SUM('план на 2016'!$L137:O137)-SUM('членские взносы'!$M137:'членские взносы'!O137)</f>
        <v>11400</v>
      </c>
      <c r="P136" s="29">
        <f>SUM('план на 2016'!$L137:P137)-SUM('членские взносы'!$M137:'членские взносы'!P137)</f>
        <v>12200</v>
      </c>
      <c r="Q136" s="29">
        <f>SUM('план на 2016'!$L137:Q137)-SUM('членские взносы'!$M137:'членские взносы'!Q137)</f>
        <v>13000</v>
      </c>
      <c r="R136" s="29">
        <f>SUM('план на 2016'!$L137:R137)-SUM('членские взносы'!$M137:'членские взносы'!R137)</f>
        <v>13800</v>
      </c>
      <c r="S136" s="29">
        <f>SUM('план на 2016'!$L137:S137)-SUM('членские взносы'!$M137:'членские взносы'!S137)</f>
        <v>14600</v>
      </c>
      <c r="T136" s="29">
        <f>SUM('план на 2016'!$L137:T137)-SUM('членские взносы'!$M137:'членские взносы'!T137)</f>
        <v>9300</v>
      </c>
      <c r="U136" s="29">
        <f>SUM('план на 2016'!$L137:U137)-SUM('членские взносы'!$M137:'членские взносы'!U137)</f>
        <v>10100</v>
      </c>
      <c r="V136" s="29">
        <f>SUM('план на 2016'!$L137:V137)-SUM('членские взносы'!$M137:'членские взносы'!V137)</f>
        <v>10900</v>
      </c>
      <c r="W136" s="29">
        <f>SUM('план на 2016'!$L137:W137)-SUM('членские взносы'!$M137:'членские взносы'!W137)</f>
        <v>11700</v>
      </c>
      <c r="X136" s="29">
        <f>SUM('план на 2016'!$L137:X137)-SUM('членские взносы'!$M137:'членские взносы'!X137)</f>
        <v>12500</v>
      </c>
      <c r="Y136" s="18">
        <f t="shared" si="17"/>
        <v>12500</v>
      </c>
    </row>
    <row r="137" spans="1:25">
      <c r="A137" s="41">
        <f>VLOOKUP(B137,справочник!$B$2:$E$322,4,FALSE)</f>
        <v>110</v>
      </c>
      <c r="B137" t="str">
        <f t="shared" si="14"/>
        <v>115Кондрашов Роман Вячеславович</v>
      </c>
      <c r="C137" s="1">
        <v>115</v>
      </c>
      <c r="D137" s="2" t="s">
        <v>128</v>
      </c>
      <c r="E137" s="1" t="s">
        <v>445</v>
      </c>
      <c r="F137" s="16">
        <v>41101</v>
      </c>
      <c r="G137" s="16">
        <v>41091</v>
      </c>
      <c r="H137" s="17">
        <f t="shared" si="15"/>
        <v>42</v>
      </c>
      <c r="I137" s="1">
        <f t="shared" si="10"/>
        <v>42000</v>
      </c>
      <c r="J137" s="17">
        <v>23000</v>
      </c>
      <c r="K137" s="17"/>
      <c r="L137" s="18">
        <f t="shared" si="16"/>
        <v>19000</v>
      </c>
      <c r="M137" s="29">
        <f>SUM('план на 2016'!$L138:M138)-SUM('членские взносы'!$M138:'членские взносы'!M138)</f>
        <v>19800</v>
      </c>
      <c r="N137" s="29">
        <f>SUM('план на 2016'!$L138:N138)-SUM('членские взносы'!$M138:'членские взносы'!N138)</f>
        <v>20600</v>
      </c>
      <c r="O137" s="29">
        <f>SUM('план на 2016'!$L138:O138)-SUM('членские взносы'!$M138:'членские взносы'!O138)</f>
        <v>21400</v>
      </c>
      <c r="P137" s="29">
        <f>SUM('план на 2016'!$L138:P138)-SUM('членские взносы'!$M138:'членские взносы'!P138)</f>
        <v>22200</v>
      </c>
      <c r="Q137" s="29">
        <f>SUM('план на 2016'!$L138:Q138)-SUM('членские взносы'!$M138:'членские взносы'!Q138)</f>
        <v>23000</v>
      </c>
      <c r="R137" s="29">
        <f>SUM('план на 2016'!$L138:R138)-SUM('членские взносы'!$M138:'членские взносы'!R138)</f>
        <v>23800</v>
      </c>
      <c r="S137" s="29">
        <f>SUM('план на 2016'!$L138:S138)-SUM('членские взносы'!$M138:'членские взносы'!S138)</f>
        <v>22200</v>
      </c>
      <c r="T137" s="29">
        <f>SUM('план на 2016'!$L138:T138)-SUM('членские взносы'!$M138:'членские взносы'!T138)</f>
        <v>19400</v>
      </c>
      <c r="U137" s="29">
        <f>SUM('план на 2016'!$L138:U138)-SUM('членские взносы'!$M138:'членские взносы'!U138)</f>
        <v>20200</v>
      </c>
      <c r="V137" s="29">
        <f>SUM('план на 2016'!$L138:V138)-SUM('членские взносы'!$M138:'членские взносы'!V138)</f>
        <v>19400</v>
      </c>
      <c r="W137" s="29">
        <f>SUM('план на 2016'!$L138:W138)-SUM('членские взносы'!$M138:'членские взносы'!W138)</f>
        <v>20200</v>
      </c>
      <c r="X137" s="29">
        <f>SUM('план на 2016'!$L138:X138)-SUM('членские взносы'!$M138:'членские взносы'!X138)</f>
        <v>12000</v>
      </c>
      <c r="Y137" s="18">
        <f t="shared" si="17"/>
        <v>12000</v>
      </c>
    </row>
    <row r="138" spans="1:25" ht="24">
      <c r="A138" s="41">
        <f>VLOOKUP(B138,справочник!$B$2:$E$322,4,FALSE)</f>
        <v>112</v>
      </c>
      <c r="B138" t="str">
        <f t="shared" si="14"/>
        <v>117Кондрашов Сергей Вячеславович//Балыкин Александр Иванович</v>
      </c>
      <c r="C138" s="1">
        <v>117</v>
      </c>
      <c r="D138" s="2" t="s">
        <v>129</v>
      </c>
      <c r="E138" s="1"/>
      <c r="F138" s="16">
        <v>41101</v>
      </c>
      <c r="G138" s="16">
        <v>41091</v>
      </c>
      <c r="H138" s="17">
        <f t="shared" si="15"/>
        <v>42</v>
      </c>
      <c r="I138" s="1">
        <f t="shared" si="10"/>
        <v>42000</v>
      </c>
      <c r="J138" s="17">
        <f>25000</f>
        <v>25000</v>
      </c>
      <c r="K138" s="17"/>
      <c r="L138" s="18">
        <f t="shared" si="16"/>
        <v>17000</v>
      </c>
      <c r="M138" s="29">
        <f>SUM('план на 2016'!$L139:M139)-SUM('членские взносы'!$M139:'членские взносы'!M139)</f>
        <v>17800</v>
      </c>
      <c r="N138" s="29">
        <f>SUM('план на 2016'!$L139:N139)-SUM('членские взносы'!$M139:'членские взносы'!N139)</f>
        <v>13800</v>
      </c>
      <c r="O138" s="29">
        <f>SUM('план на 2016'!$L139:O139)-SUM('членские взносы'!$M139:'членские взносы'!O139)</f>
        <v>14600</v>
      </c>
      <c r="P138" s="29">
        <f>SUM('план на 2016'!$L139:P139)-SUM('членские взносы'!$M139:'членские взносы'!P139)</f>
        <v>15400</v>
      </c>
      <c r="Q138" s="29">
        <f>SUM('план на 2016'!$L139:Q139)-SUM('членские взносы'!$M139:'членские взносы'!Q139)</f>
        <v>16200</v>
      </c>
      <c r="R138" s="29">
        <f>SUM('план на 2016'!$L139:R139)-SUM('членские взносы'!$M139:'членские взносы'!R139)</f>
        <v>17000</v>
      </c>
      <c r="S138" s="29">
        <f>SUM('план на 2016'!$L139:S139)-SUM('членские взносы'!$M139:'членские взносы'!S139)</f>
        <v>13000</v>
      </c>
      <c r="T138" s="29">
        <f>SUM('план на 2016'!$L139:T139)-SUM('членские взносы'!$M139:'членские взносы'!T139)</f>
        <v>13800</v>
      </c>
      <c r="U138" s="29">
        <f>SUM('план на 2016'!$L139:U139)-SUM('членские взносы'!$M139:'членские взносы'!U139)</f>
        <v>14600</v>
      </c>
      <c r="V138" s="29">
        <f>SUM('план на 2016'!$L139:V139)-SUM('членские взносы'!$M139:'членские взносы'!V139)</f>
        <v>15400</v>
      </c>
      <c r="W138" s="29">
        <f>SUM('план на 2016'!$L139:W139)-SUM('членские взносы'!$M139:'членские взносы'!W139)</f>
        <v>16200</v>
      </c>
      <c r="X138" s="29">
        <f>SUM('план на 2016'!$L139:X139)-SUM('членские взносы'!$M139:'членские взносы'!X139)</f>
        <v>12200</v>
      </c>
      <c r="Y138" s="18">
        <f t="shared" si="17"/>
        <v>12200</v>
      </c>
    </row>
    <row r="139" spans="1:25">
      <c r="A139" s="41">
        <f>VLOOKUP(B139,справочник!$B$2:$E$322,4,FALSE)</f>
        <v>190</v>
      </c>
      <c r="B139" t="str">
        <f t="shared" si="14"/>
        <v>198Коновальцев Олег Серафимович</v>
      </c>
      <c r="C139" s="1">
        <v>198</v>
      </c>
      <c r="D139" s="2" t="s">
        <v>130</v>
      </c>
      <c r="E139" s="1" t="s">
        <v>446</v>
      </c>
      <c r="F139" s="16">
        <v>41407</v>
      </c>
      <c r="G139" s="16">
        <v>41426</v>
      </c>
      <c r="H139" s="17">
        <f t="shared" si="15"/>
        <v>31</v>
      </c>
      <c r="I139" s="1">
        <f t="shared" ref="I139:I185" si="18">H139*1000</f>
        <v>31000</v>
      </c>
      <c r="J139" s="17">
        <v>15000</v>
      </c>
      <c r="K139" s="17"/>
      <c r="L139" s="18">
        <f t="shared" si="16"/>
        <v>16000</v>
      </c>
      <c r="M139" s="29">
        <f>SUM('план на 2016'!$L140:M140)-SUM('членские взносы'!$M140:'членские взносы'!M140)</f>
        <v>16800</v>
      </c>
      <c r="N139" s="29">
        <f>SUM('план на 2016'!$L140:N140)-SUM('членские взносы'!$M140:'членские взносы'!N140)</f>
        <v>17600</v>
      </c>
      <c r="O139" s="29">
        <f>SUM('план на 2016'!$L140:O140)-SUM('членские взносы'!$M140:'членские взносы'!O140)</f>
        <v>18400</v>
      </c>
      <c r="P139" s="29">
        <f>SUM('план на 2016'!$L140:P140)-SUM('членские взносы'!$M140:'членские взносы'!P140)</f>
        <v>19200</v>
      </c>
      <c r="Q139" s="29">
        <f>SUM('план на 2016'!$L140:Q140)-SUM('членские взносы'!$M140:'членские взносы'!Q140)</f>
        <v>20000</v>
      </c>
      <c r="R139" s="29">
        <f>SUM('план на 2016'!$L140:R140)-SUM('членские взносы'!$M140:'членские взносы'!R140)</f>
        <v>20000</v>
      </c>
      <c r="S139" s="29">
        <f>SUM('план на 2016'!$L140:S140)-SUM('членские взносы'!$M140:'членские взносы'!S140)</f>
        <v>20800</v>
      </c>
      <c r="T139" s="29">
        <f>SUM('план на 2016'!$L140:T140)-SUM('членские взносы'!$M140:'членские взносы'!T140)</f>
        <v>21600</v>
      </c>
      <c r="U139" s="29">
        <f>SUM('план на 2016'!$L140:U140)-SUM('членские взносы'!$M140:'членские взносы'!U140)</f>
        <v>22400</v>
      </c>
      <c r="V139" s="29">
        <f>SUM('план на 2016'!$L140:V140)-SUM('членские взносы'!$M140:'членские взносы'!V140)</f>
        <v>23200</v>
      </c>
      <c r="W139" s="29">
        <f>SUM('план на 2016'!$L140:W140)-SUM('членские взносы'!$M140:'членские взносы'!W140)</f>
        <v>24000</v>
      </c>
      <c r="X139" s="29">
        <f>SUM('план на 2016'!$L140:X140)-SUM('членские взносы'!$M140:'членские взносы'!X140)</f>
        <v>24800</v>
      </c>
      <c r="Y139" s="18">
        <f t="shared" si="17"/>
        <v>24800</v>
      </c>
    </row>
    <row r="140" spans="1:25">
      <c r="A140" s="41">
        <f>VLOOKUP(B140,справочник!$B$2:$E$322,4,FALSE)</f>
        <v>83</v>
      </c>
      <c r="B140" t="str">
        <f t="shared" si="14"/>
        <v>88Кононенко Алла Николаевна (Александр)</v>
      </c>
      <c r="C140" s="1">
        <v>88</v>
      </c>
      <c r="D140" s="2" t="s">
        <v>131</v>
      </c>
      <c r="E140" s="1" t="s">
        <v>447</v>
      </c>
      <c r="F140" s="16">
        <v>40675</v>
      </c>
      <c r="G140" s="16">
        <v>40695</v>
      </c>
      <c r="H140" s="17">
        <f t="shared" si="15"/>
        <v>55</v>
      </c>
      <c r="I140" s="1">
        <f t="shared" si="18"/>
        <v>55000</v>
      </c>
      <c r="J140" s="17">
        <f>1000+49000</f>
        <v>50000</v>
      </c>
      <c r="K140" s="17"/>
      <c r="L140" s="18">
        <f t="shared" si="16"/>
        <v>5000</v>
      </c>
      <c r="M140" s="29">
        <f>SUM('план на 2016'!$L141:M141)-SUM('членские взносы'!$M141:'членские взносы'!M141)</f>
        <v>3000</v>
      </c>
      <c r="N140" s="29">
        <f>SUM('план на 2016'!$L141:N141)-SUM('членские взносы'!$M141:'членские взносы'!N141)</f>
        <v>3000</v>
      </c>
      <c r="O140" s="29">
        <f>SUM('план на 2016'!$L141:O141)-SUM('членские взносы'!$M141:'членские взносы'!O141)</f>
        <v>3000</v>
      </c>
      <c r="P140" s="29">
        <f>SUM('план на 2016'!$L141:P141)-SUM('членские взносы'!$M141:'членские взносы'!P141)</f>
        <v>3000</v>
      </c>
      <c r="Q140" s="29">
        <f>SUM('план на 2016'!$L141:Q141)-SUM('членские взносы'!$M141:'членские взносы'!Q141)</f>
        <v>3000</v>
      </c>
      <c r="R140" s="29">
        <f>SUM('план на 2016'!$L141:R141)-SUM('членские взносы'!$M141:'членские взносы'!R141)</f>
        <v>3000</v>
      </c>
      <c r="S140" s="29">
        <f>SUM('план на 2016'!$L141:S141)-SUM('членские взносы'!$M141:'членские взносы'!S141)</f>
        <v>3000</v>
      </c>
      <c r="T140" s="29">
        <f>SUM('план на 2016'!$L141:T141)-SUM('членские взносы'!$M141:'членские взносы'!T141)</f>
        <v>3000</v>
      </c>
      <c r="U140" s="29">
        <f>SUM('план на 2016'!$L141:U141)-SUM('членские взносы'!$M141:'членские взносы'!U141)</f>
        <v>3800</v>
      </c>
      <c r="V140" s="29">
        <f>SUM('план на 2016'!$L141:V141)-SUM('членские взносы'!$M141:'членские взносы'!V141)</f>
        <v>3000</v>
      </c>
      <c r="W140" s="29">
        <f>SUM('план на 2016'!$L141:W141)-SUM('членские взносы'!$M141:'членские взносы'!W141)</f>
        <v>3000</v>
      </c>
      <c r="X140" s="29">
        <f>SUM('план на 2016'!$L141:X141)-SUM('членские взносы'!$M141:'членские взносы'!X141)</f>
        <v>3000</v>
      </c>
      <c r="Y140" s="18">
        <f t="shared" si="17"/>
        <v>3000</v>
      </c>
    </row>
    <row r="141" spans="1:25">
      <c r="A141" s="41">
        <f>VLOOKUP(B141,справочник!$B$2:$E$322,4,FALSE)</f>
        <v>133</v>
      </c>
      <c r="B141" t="str">
        <f t="shared" si="14"/>
        <v>140Короткевич Наталья Владимировна</v>
      </c>
      <c r="C141" s="1">
        <v>140</v>
      </c>
      <c r="D141" s="2" t="s">
        <v>132</v>
      </c>
      <c r="E141" s="1" t="s">
        <v>448</v>
      </c>
      <c r="F141" s="16">
        <v>41008</v>
      </c>
      <c r="G141" s="16">
        <v>41000</v>
      </c>
      <c r="H141" s="17">
        <f t="shared" si="15"/>
        <v>45</v>
      </c>
      <c r="I141" s="1">
        <f t="shared" si="18"/>
        <v>45000</v>
      </c>
      <c r="J141" s="17">
        <v>41000</v>
      </c>
      <c r="K141" s="17">
        <v>4000</v>
      </c>
      <c r="L141" s="18">
        <f t="shared" si="16"/>
        <v>0</v>
      </c>
      <c r="M141" s="29">
        <f>SUM('план на 2016'!$L142:M142)-SUM('членские взносы'!$M142:'членские взносы'!M142)</f>
        <v>800</v>
      </c>
      <c r="N141" s="29">
        <f>SUM('план на 2016'!$L142:N142)-SUM('членские взносы'!$M142:'членские взносы'!N142)</f>
        <v>600</v>
      </c>
      <c r="O141" s="29">
        <f>SUM('план на 2016'!$L142:O142)-SUM('членские взносы'!$M142:'членские взносы'!O142)</f>
        <v>400</v>
      </c>
      <c r="P141" s="29">
        <f>SUM('план на 2016'!$L142:P142)-SUM('членские взносы'!$M142:'членские взносы'!P142)</f>
        <v>200</v>
      </c>
      <c r="Q141" s="29">
        <f>SUM('план на 2016'!$L142:Q142)-SUM('членские взносы'!$M142:'членские взносы'!Q142)</f>
        <v>0</v>
      </c>
      <c r="R141" s="29">
        <f>SUM('план на 2016'!$L142:R142)-SUM('членские взносы'!$M142:'членские взносы'!R142)</f>
        <v>-200</v>
      </c>
      <c r="S141" s="29">
        <f>SUM('план на 2016'!$L142:S142)-SUM('членские взносы'!$M142:'членские взносы'!S142)</f>
        <v>-400</v>
      </c>
      <c r="T141" s="29">
        <f>SUM('план на 2016'!$L142:T142)-SUM('членские взносы'!$M142:'членские взносы'!T142)</f>
        <v>-600</v>
      </c>
      <c r="U141" s="29">
        <f>SUM('план на 2016'!$L142:U142)-SUM('членские взносы'!$M142:'членские взносы'!U142)</f>
        <v>-800</v>
      </c>
      <c r="V141" s="29">
        <f>SUM('план на 2016'!$L142:V142)-SUM('членские взносы'!$M142:'членские взносы'!V142)</f>
        <v>-1000</v>
      </c>
      <c r="W141" s="29">
        <f>SUM('план на 2016'!$L142:W142)-SUM('членские взносы'!$M142:'членские взносы'!W142)</f>
        <v>-200</v>
      </c>
      <c r="X141" s="29">
        <f>SUM('план на 2016'!$L142:X142)-SUM('членские взносы'!$M142:'членские взносы'!X142)</f>
        <v>600</v>
      </c>
      <c r="Y141" s="18">
        <f t="shared" si="17"/>
        <v>600</v>
      </c>
    </row>
    <row r="142" spans="1:25">
      <c r="A142" s="41">
        <f>VLOOKUP(B142,справочник!$B$2:$E$322,4,FALSE)</f>
        <v>202</v>
      </c>
      <c r="B142" t="str">
        <f t="shared" si="14"/>
        <v>212Корчинская Ирина Анатольевна</v>
      </c>
      <c r="C142" s="1">
        <v>212</v>
      </c>
      <c r="D142" s="2" t="s">
        <v>133</v>
      </c>
      <c r="E142" s="1" t="s">
        <v>449</v>
      </c>
      <c r="F142" s="16">
        <v>41100</v>
      </c>
      <c r="G142" s="16">
        <v>41091</v>
      </c>
      <c r="H142" s="17">
        <f t="shared" si="15"/>
        <v>42</v>
      </c>
      <c r="I142" s="1">
        <f t="shared" si="18"/>
        <v>42000</v>
      </c>
      <c r="J142" s="17">
        <v>18000</v>
      </c>
      <c r="K142" s="17"/>
      <c r="L142" s="18">
        <f t="shared" si="16"/>
        <v>24000</v>
      </c>
      <c r="M142" s="29">
        <f>SUM('план на 2016'!$L143:M143)-SUM('членские взносы'!$M143:'членские взносы'!M143)</f>
        <v>24800</v>
      </c>
      <c r="N142" s="29">
        <f>SUM('план на 2016'!$L143:N143)-SUM('членские взносы'!$M143:'членские взносы'!N143)</f>
        <v>25600</v>
      </c>
      <c r="O142" s="29">
        <f>SUM('план на 2016'!$L143:O143)-SUM('членские взносы'!$M143:'членские взносы'!O143)</f>
        <v>26400</v>
      </c>
      <c r="P142" s="29">
        <f>SUM('план на 2016'!$L143:P143)-SUM('членские взносы'!$M143:'членские взносы'!P143)</f>
        <v>27200</v>
      </c>
      <c r="Q142" s="29">
        <f>SUM('план на 2016'!$L143:Q143)-SUM('членские взносы'!$M143:'членские взносы'!Q143)</f>
        <v>28000</v>
      </c>
      <c r="R142" s="29">
        <f>SUM('план на 2016'!$L143:R143)-SUM('членские взносы'!$M143:'членские взносы'!R143)</f>
        <v>28800</v>
      </c>
      <c r="S142" s="29">
        <f>SUM('план на 2016'!$L143:S143)-SUM('членские взносы'!$M143:'членские взносы'!S143)</f>
        <v>29600</v>
      </c>
      <c r="T142" s="29">
        <f>SUM('план на 2016'!$L143:T143)-SUM('членские взносы'!$M143:'членские взносы'!T143)</f>
        <v>30400</v>
      </c>
      <c r="U142" s="29">
        <f>SUM('план на 2016'!$L143:U143)-SUM('членские взносы'!$M143:'членские взносы'!U143)</f>
        <v>31200</v>
      </c>
      <c r="V142" s="29">
        <f>SUM('план на 2016'!$L143:V143)-SUM('членские взносы'!$M143:'членские взносы'!V143)</f>
        <v>32000</v>
      </c>
      <c r="W142" s="29">
        <f>SUM('план на 2016'!$L143:W143)-SUM('членские взносы'!$M143:'членские взносы'!W143)</f>
        <v>32800</v>
      </c>
      <c r="X142" s="29">
        <f>SUM('план на 2016'!$L143:X143)-SUM('членские взносы'!$M143:'членские взносы'!X143)</f>
        <v>33600</v>
      </c>
      <c r="Y142" s="18">
        <f t="shared" si="17"/>
        <v>33600</v>
      </c>
    </row>
    <row r="143" spans="1:25">
      <c r="A143" s="41">
        <f>VLOOKUP(B143,справочник!$B$2:$E$322,4,FALSE)</f>
        <v>192</v>
      </c>
      <c r="B143" t="str">
        <f t="shared" si="14"/>
        <v>200Косенков Степан Фед-ч(Галактионова)</v>
      </c>
      <c r="C143" s="1">
        <v>200</v>
      </c>
      <c r="D143" s="2" t="s">
        <v>134</v>
      </c>
      <c r="E143" s="1" t="s">
        <v>450</v>
      </c>
      <c r="F143" s="16">
        <v>41829</v>
      </c>
      <c r="G143" s="16">
        <v>41852</v>
      </c>
      <c r="H143" s="17">
        <f t="shared" si="15"/>
        <v>17</v>
      </c>
      <c r="I143" s="1">
        <f t="shared" si="18"/>
        <v>17000</v>
      </c>
      <c r="J143" s="17"/>
      <c r="K143" s="17"/>
      <c r="L143" s="18">
        <f t="shared" si="16"/>
        <v>17000</v>
      </c>
      <c r="M143" s="29">
        <f>SUM('план на 2016'!$L144:M144)-SUM('членские взносы'!$M144:'членские взносы'!M144)</f>
        <v>17800</v>
      </c>
      <c r="N143" s="29">
        <f>SUM('план на 2016'!$L144:N144)-SUM('членские взносы'!$M144:'членские взносы'!N144)</f>
        <v>18600</v>
      </c>
      <c r="O143" s="29">
        <f>SUM('план на 2016'!$L144:O144)-SUM('членские взносы'!$M144:'членские взносы'!O144)</f>
        <v>19400</v>
      </c>
      <c r="P143" s="29">
        <f>SUM('план на 2016'!$L144:P144)-SUM('членские взносы'!$M144:'членские взносы'!P144)</f>
        <v>20200</v>
      </c>
      <c r="Q143" s="29">
        <f>SUM('план на 2016'!$L144:Q144)-SUM('членские взносы'!$M144:'членские взносы'!Q144)</f>
        <v>21000</v>
      </c>
      <c r="R143" s="29">
        <f>SUM('план на 2016'!$L144:R144)-SUM('членские взносы'!$M144:'членские взносы'!R144)</f>
        <v>21800</v>
      </c>
      <c r="S143" s="29">
        <f>SUM('план на 2016'!$L144:S144)-SUM('членские взносы'!$M144:'членские взносы'!S144)</f>
        <v>22600</v>
      </c>
      <c r="T143" s="29">
        <f>SUM('план на 2016'!$L144:T144)-SUM('членские взносы'!$M144:'членские взносы'!T144)</f>
        <v>23400</v>
      </c>
      <c r="U143" s="29">
        <f>SUM('план на 2016'!$L144:U144)-SUM('членские взносы'!$M144:'членские взносы'!U144)</f>
        <v>24200</v>
      </c>
      <c r="V143" s="29">
        <f>SUM('план на 2016'!$L144:V144)-SUM('членские взносы'!$M144:'членские взносы'!V144)</f>
        <v>25000</v>
      </c>
      <c r="W143" s="29">
        <f>SUM('план на 2016'!$L144:W144)-SUM('членские взносы'!$M144:'членские взносы'!W144)</f>
        <v>25800</v>
      </c>
      <c r="X143" s="29">
        <f>SUM('план на 2016'!$L144:X144)-SUM('членские взносы'!$M144:'членские взносы'!X144)</f>
        <v>26600</v>
      </c>
      <c r="Y143" s="18">
        <f t="shared" si="17"/>
        <v>26600</v>
      </c>
    </row>
    <row r="144" spans="1:25">
      <c r="A144" s="41">
        <f>VLOOKUP(B144,справочник!$B$2:$E$322,4,FALSE)</f>
        <v>289</v>
      </c>
      <c r="B144" t="str">
        <f t="shared" si="14"/>
        <v>301Косенкова Елизавета Евгеньевна</v>
      </c>
      <c r="C144" s="1">
        <v>301</v>
      </c>
      <c r="D144" s="2" t="s">
        <v>135</v>
      </c>
      <c r="E144" s="1" t="s">
        <v>451</v>
      </c>
      <c r="F144" s="16">
        <v>41976</v>
      </c>
      <c r="G144" s="16">
        <v>42005</v>
      </c>
      <c r="H144" s="17">
        <f t="shared" si="15"/>
        <v>12</v>
      </c>
      <c r="I144" s="1">
        <f t="shared" si="18"/>
        <v>12000</v>
      </c>
      <c r="J144" s="17">
        <v>3000</v>
      </c>
      <c r="K144" s="17"/>
      <c r="L144" s="18">
        <f t="shared" si="16"/>
        <v>9000</v>
      </c>
      <c r="M144" s="29">
        <f>SUM('план на 2016'!$L145:M145)-SUM('членские взносы'!$M145:'членские взносы'!M145)</f>
        <v>9800</v>
      </c>
      <c r="N144" s="29">
        <f>SUM('план на 2016'!$L145:N145)-SUM('членские взносы'!$M145:'членские взносы'!N145)</f>
        <v>10600</v>
      </c>
      <c r="O144" s="29">
        <f>SUM('план на 2016'!$L145:O145)-SUM('членские взносы'!$M145:'членские взносы'!O145)</f>
        <v>11400</v>
      </c>
      <c r="P144" s="29">
        <f>SUM('план на 2016'!$L145:P145)-SUM('членские взносы'!$M145:'членские взносы'!P145)</f>
        <v>12200</v>
      </c>
      <c r="Q144" s="29">
        <f>SUM('план на 2016'!$L145:Q145)-SUM('членские взносы'!$M145:'членские взносы'!Q145)</f>
        <v>13000</v>
      </c>
      <c r="R144" s="29">
        <f>SUM('план на 2016'!$L145:R145)-SUM('членские взносы'!$M145:'членские взносы'!R145)</f>
        <v>13800</v>
      </c>
      <c r="S144" s="29">
        <f>SUM('план на 2016'!$L145:S145)-SUM('членские взносы'!$M145:'членские взносы'!S145)</f>
        <v>14600</v>
      </c>
      <c r="T144" s="29">
        <f>SUM('план на 2016'!$L145:T145)-SUM('членские взносы'!$M145:'членские взносы'!T145)</f>
        <v>15400</v>
      </c>
      <c r="U144" s="29">
        <f>SUM('план на 2016'!$L145:U145)-SUM('членские взносы'!$M145:'членские взносы'!U145)</f>
        <v>16200</v>
      </c>
      <c r="V144" s="29">
        <f>SUM('план на 2016'!$L145:V145)-SUM('членские взносы'!$M145:'членские взносы'!V145)</f>
        <v>7000</v>
      </c>
      <c r="W144" s="29">
        <f>SUM('план на 2016'!$L145:W145)-SUM('членские взносы'!$M145:'членские взносы'!W145)</f>
        <v>7800</v>
      </c>
      <c r="X144" s="29">
        <f>SUM('план на 2016'!$L145:X145)-SUM('членские взносы'!$M145:'членские взносы'!X145)</f>
        <v>8600</v>
      </c>
      <c r="Y144" s="18">
        <f t="shared" si="17"/>
        <v>8600</v>
      </c>
    </row>
    <row r="145" spans="1:25">
      <c r="A145" s="41">
        <f>VLOOKUP(B145,справочник!$B$2:$E$322,4,FALSE)</f>
        <v>143</v>
      </c>
      <c r="B145" t="str">
        <f t="shared" si="14"/>
        <v>151Красникова Раиса Михайловна</v>
      </c>
      <c r="C145" s="1">
        <v>151</v>
      </c>
      <c r="D145" s="2" t="s">
        <v>136</v>
      </c>
      <c r="E145" s="1" t="s">
        <v>452</v>
      </c>
      <c r="F145" s="16">
        <v>40841</v>
      </c>
      <c r="G145" s="16">
        <v>40848</v>
      </c>
      <c r="H145" s="17">
        <f t="shared" si="15"/>
        <v>50</v>
      </c>
      <c r="I145" s="1">
        <f t="shared" si="18"/>
        <v>50000</v>
      </c>
      <c r="J145" s="17">
        <v>37000</v>
      </c>
      <c r="K145" s="17"/>
      <c r="L145" s="18">
        <f t="shared" si="16"/>
        <v>13000</v>
      </c>
      <c r="M145" s="29">
        <f>SUM('план на 2016'!$L146:M146)-SUM('членские взносы'!$M146:'членские взносы'!M146)</f>
        <v>13800</v>
      </c>
      <c r="N145" s="29">
        <f>SUM('план на 2016'!$L146:N146)-SUM('членские взносы'!$M146:'членские взносы'!N146)</f>
        <v>14600</v>
      </c>
      <c r="O145" s="29">
        <f>SUM('план на 2016'!$L146:O146)-SUM('членские взносы'!$M146:'членские взносы'!O146)</f>
        <v>15400</v>
      </c>
      <c r="P145" s="29">
        <f>SUM('план на 2016'!$L146:P146)-SUM('членские взносы'!$M146:'членские взносы'!P146)</f>
        <v>16200</v>
      </c>
      <c r="Q145" s="29">
        <f>SUM('план на 2016'!$L146:Q146)-SUM('членские взносы'!$M146:'членские взносы'!Q146)</f>
        <v>17000</v>
      </c>
      <c r="R145" s="29">
        <f>SUM('план на 2016'!$L146:R146)-SUM('членские взносы'!$M146:'членские взносы'!R146)</f>
        <v>13000</v>
      </c>
      <c r="S145" s="29">
        <f>SUM('план на 2016'!$L146:S146)-SUM('членские взносы'!$M146:'членские взносы'!S146)</f>
        <v>13800</v>
      </c>
      <c r="T145" s="29">
        <f>SUM('план на 2016'!$L146:T146)-SUM('членские взносы'!$M146:'членские взносы'!T146)</f>
        <v>14600</v>
      </c>
      <c r="U145" s="29">
        <f>SUM('план на 2016'!$L146:U146)-SUM('членские взносы'!$M146:'членские взносы'!U146)</f>
        <v>15400</v>
      </c>
      <c r="V145" s="29">
        <f>SUM('план на 2016'!$L146:V146)-SUM('членские взносы'!$M146:'членские взносы'!V146)</f>
        <v>13300</v>
      </c>
      <c r="W145" s="29">
        <f>SUM('план на 2016'!$L146:W146)-SUM('членские взносы'!$M146:'членские взносы'!W146)</f>
        <v>14100</v>
      </c>
      <c r="X145" s="29">
        <f>SUM('план на 2016'!$L146:X146)-SUM('членские взносы'!$M146:'членские взносы'!X146)</f>
        <v>12500</v>
      </c>
      <c r="Y145" s="18">
        <f t="shared" si="17"/>
        <v>12500</v>
      </c>
    </row>
    <row r="146" spans="1:25">
      <c r="A146" s="41">
        <f>VLOOKUP(B146,справочник!$B$2:$E$322,4,FALSE)</f>
        <v>62</v>
      </c>
      <c r="B146" t="str">
        <f t="shared" si="14"/>
        <v>64Кривой Владимир Аркадьевич</v>
      </c>
      <c r="C146" s="1">
        <v>64</v>
      </c>
      <c r="D146" s="2" t="s">
        <v>137</v>
      </c>
      <c r="E146" s="1" t="s">
        <v>453</v>
      </c>
      <c r="F146" s="16">
        <v>40816</v>
      </c>
      <c r="G146" s="16">
        <v>40817</v>
      </c>
      <c r="H146" s="17">
        <f t="shared" si="15"/>
        <v>51</v>
      </c>
      <c r="I146" s="1">
        <f t="shared" si="18"/>
        <v>51000</v>
      </c>
      <c r="J146" s="17">
        <f>1000+47000</f>
        <v>48000</v>
      </c>
      <c r="K146" s="17">
        <v>3000</v>
      </c>
      <c r="L146" s="18">
        <f t="shared" si="16"/>
        <v>0</v>
      </c>
      <c r="M146" s="29">
        <f>SUM('план на 2016'!$L147:M147)-SUM('членские взносы'!$M147:'членские взносы'!M147)</f>
        <v>800</v>
      </c>
      <c r="N146" s="29">
        <f>SUM('план на 2016'!$L147:N147)-SUM('членские взносы'!$M147:'членские взносы'!N147)</f>
        <v>1600</v>
      </c>
      <c r="O146" s="29">
        <f>SUM('план на 2016'!$L147:O147)-SUM('членские взносы'!$M147:'членские взносы'!O147)</f>
        <v>-800</v>
      </c>
      <c r="P146" s="29">
        <f>SUM('план на 2016'!$L147:P147)-SUM('членские взносы'!$M147:'членские взносы'!P147)</f>
        <v>0</v>
      </c>
      <c r="Q146" s="29">
        <f>SUM('план на 2016'!$L147:Q147)-SUM('членские взносы'!$M147:'членские взносы'!Q147)</f>
        <v>800</v>
      </c>
      <c r="R146" s="29">
        <f>SUM('план на 2016'!$L147:R147)-SUM('членские взносы'!$M147:'членские взносы'!R147)</f>
        <v>1600</v>
      </c>
      <c r="S146" s="29">
        <f>SUM('план на 2016'!$L147:S147)-SUM('членские взносы'!$M147:'членские взносы'!S147)</f>
        <v>2400</v>
      </c>
      <c r="T146" s="29">
        <f>SUM('план на 2016'!$L147:T147)-SUM('членские взносы'!$M147:'членские взносы'!T147)</f>
        <v>0</v>
      </c>
      <c r="U146" s="29">
        <f>SUM('план на 2016'!$L147:U147)-SUM('членские взносы'!$M147:'членские взносы'!U147)</f>
        <v>800</v>
      </c>
      <c r="V146" s="29">
        <f>SUM('план на 2016'!$L147:V147)-SUM('членские взносы'!$M147:'членские взносы'!V147)</f>
        <v>1600</v>
      </c>
      <c r="W146" s="29">
        <f>SUM('план на 2016'!$L147:W147)-SUM('членские взносы'!$M147:'членские взносы'!W147)</f>
        <v>2400</v>
      </c>
      <c r="X146" s="29">
        <f>SUM('план на 2016'!$L147:X147)-SUM('членские взносы'!$M147:'членские взносы'!X147)</f>
        <v>0</v>
      </c>
      <c r="Y146" s="18">
        <f t="shared" si="17"/>
        <v>0</v>
      </c>
    </row>
    <row r="147" spans="1:25">
      <c r="A147" s="41">
        <f>VLOOKUP(B147,справочник!$B$2:$E$322,4,FALSE)</f>
        <v>225</v>
      </c>
      <c r="B147" t="str">
        <f t="shared" si="14"/>
        <v>234Крупник Андрей Валерьевич</v>
      </c>
      <c r="C147" s="1">
        <v>234</v>
      </c>
      <c r="D147" s="2" t="s">
        <v>138</v>
      </c>
      <c r="E147" s="1" t="s">
        <v>454</v>
      </c>
      <c r="F147" s="16">
        <v>41871</v>
      </c>
      <c r="G147" s="16">
        <v>41883</v>
      </c>
      <c r="H147" s="17">
        <f t="shared" si="15"/>
        <v>16</v>
      </c>
      <c r="I147" s="1">
        <f t="shared" si="18"/>
        <v>16000</v>
      </c>
      <c r="J147" s="17"/>
      <c r="K147" s="17"/>
      <c r="L147" s="18">
        <f t="shared" si="16"/>
        <v>16000</v>
      </c>
      <c r="M147" s="29">
        <f>SUM('план на 2016'!$L148:M148)-SUM('членские взносы'!$M148:'членские взносы'!M148)</f>
        <v>16800</v>
      </c>
      <c r="N147" s="29">
        <f>SUM('план на 2016'!$L148:N148)-SUM('членские взносы'!$M148:'членские взносы'!N148)</f>
        <v>17600</v>
      </c>
      <c r="O147" s="29">
        <f>SUM('план на 2016'!$L148:O148)-SUM('членские взносы'!$M148:'членские взносы'!O148)</f>
        <v>18400</v>
      </c>
      <c r="P147" s="29">
        <f>SUM('план на 2016'!$L148:P148)-SUM('членские взносы'!$M148:'членские взносы'!P148)</f>
        <v>19200</v>
      </c>
      <c r="Q147" s="29">
        <f>SUM('план на 2016'!$L148:Q148)-SUM('членские взносы'!$M148:'членские взносы'!Q148)</f>
        <v>20000</v>
      </c>
      <c r="R147" s="29">
        <f>SUM('план на 2016'!$L148:R148)-SUM('членские взносы'!$M148:'членские взносы'!R148)</f>
        <v>20800</v>
      </c>
      <c r="S147" s="29">
        <f>SUM('план на 2016'!$L148:S148)-SUM('членские взносы'!$M148:'членские взносы'!S148)</f>
        <v>800</v>
      </c>
      <c r="T147" s="29">
        <f>SUM('план на 2016'!$L148:T148)-SUM('членские взносы'!$M148:'членские взносы'!T148)</f>
        <v>1600</v>
      </c>
      <c r="U147" s="29">
        <f>SUM('план на 2016'!$L148:U148)-SUM('членские взносы'!$M148:'членские взносы'!U148)</f>
        <v>2400</v>
      </c>
      <c r="V147" s="29">
        <f>SUM('план на 2016'!$L148:V148)-SUM('членские взносы'!$M148:'членские взносы'!V148)</f>
        <v>3200</v>
      </c>
      <c r="W147" s="29">
        <f>SUM('план на 2016'!$L148:W148)-SUM('членские взносы'!$M148:'членские взносы'!W148)</f>
        <v>4000</v>
      </c>
      <c r="X147" s="29">
        <f>SUM('план на 2016'!$L148:X148)-SUM('членские взносы'!$M148:'членские взносы'!X148)</f>
        <v>4800</v>
      </c>
      <c r="Y147" s="18">
        <f t="shared" si="17"/>
        <v>4800</v>
      </c>
    </row>
    <row r="148" spans="1:25">
      <c r="A148" s="41">
        <f>VLOOKUP(B148,справочник!$B$2:$E$322,4,FALSE)</f>
        <v>266</v>
      </c>
      <c r="B148" t="str">
        <f t="shared" si="14"/>
        <v>279Кудревцев Евгений Александрович</v>
      </c>
      <c r="C148" s="1">
        <v>279</v>
      </c>
      <c r="D148" s="2" t="s">
        <v>139</v>
      </c>
      <c r="E148" s="1" t="s">
        <v>455</v>
      </c>
      <c r="F148" s="16">
        <v>40799</v>
      </c>
      <c r="G148" s="16">
        <v>40787</v>
      </c>
      <c r="H148" s="17">
        <f t="shared" si="15"/>
        <v>52</v>
      </c>
      <c r="I148" s="1">
        <f t="shared" si="18"/>
        <v>52000</v>
      </c>
      <c r="J148" s="17">
        <f>40000+1000</f>
        <v>41000</v>
      </c>
      <c r="K148" s="17"/>
      <c r="L148" s="18">
        <f t="shared" si="16"/>
        <v>11000</v>
      </c>
      <c r="M148" s="29">
        <f>SUM('план на 2016'!$L149:M149)-SUM('членские взносы'!$M149:'членские взносы'!M149)</f>
        <v>11800</v>
      </c>
      <c r="N148" s="29">
        <f>SUM('план на 2016'!$L149:N149)-SUM('членские взносы'!$M149:'членские взносы'!N149)</f>
        <v>12600</v>
      </c>
      <c r="O148" s="29">
        <f>SUM('план на 2016'!$L149:O149)-SUM('членские взносы'!$M149:'членские взносы'!O149)</f>
        <v>13400</v>
      </c>
      <c r="P148" s="29">
        <f>SUM('план на 2016'!$L149:P149)-SUM('членские взносы'!$M149:'членские взносы'!P149)</f>
        <v>14200</v>
      </c>
      <c r="Q148" s="29">
        <f>SUM('план на 2016'!$L149:Q149)-SUM('членские взносы'!$M149:'членские взносы'!Q149)</f>
        <v>15000</v>
      </c>
      <c r="R148" s="29">
        <f>SUM('план на 2016'!$L149:R149)-SUM('членские взносы'!$M149:'членские взносы'!R149)</f>
        <v>15800</v>
      </c>
      <c r="S148" s="29">
        <f>SUM('план на 2016'!$L149:S149)-SUM('членские взносы'!$M149:'членские взносы'!S149)</f>
        <v>16600</v>
      </c>
      <c r="T148" s="29">
        <f>SUM('план на 2016'!$L149:T149)-SUM('членские взносы'!$M149:'членские взносы'!T149)</f>
        <v>17400</v>
      </c>
      <c r="U148" s="29">
        <f>SUM('план на 2016'!$L149:U149)-SUM('членские взносы'!$M149:'членские взносы'!U149)</f>
        <v>18200</v>
      </c>
      <c r="V148" s="29">
        <f>SUM('план на 2016'!$L149:V149)-SUM('членские взносы'!$M149:'членские взносы'!V149)</f>
        <v>19000</v>
      </c>
      <c r="W148" s="29">
        <f>SUM('план на 2016'!$L149:W149)-SUM('членские взносы'!$M149:'членские взносы'!W149)</f>
        <v>1800</v>
      </c>
      <c r="X148" s="29">
        <f>SUM('план на 2016'!$L149:X149)-SUM('членские взносы'!$M149:'членские взносы'!X149)</f>
        <v>2600</v>
      </c>
      <c r="Y148" s="18">
        <f t="shared" si="17"/>
        <v>2600</v>
      </c>
    </row>
    <row r="149" spans="1:25">
      <c r="A149" s="41">
        <f>VLOOKUP(B149,справочник!$B$2:$E$322,4,FALSE)</f>
        <v>157</v>
      </c>
      <c r="B149" t="str">
        <f t="shared" si="14"/>
        <v>165Кудрявцева Наталья Викторовна</v>
      </c>
      <c r="C149" s="1">
        <v>165</v>
      </c>
      <c r="D149" s="2" t="s">
        <v>140</v>
      </c>
      <c r="E149" s="1" t="s">
        <v>456</v>
      </c>
      <c r="F149" s="16">
        <v>40885</v>
      </c>
      <c r="G149" s="16">
        <v>40878</v>
      </c>
      <c r="H149" s="17">
        <f t="shared" si="15"/>
        <v>49</v>
      </c>
      <c r="I149" s="1">
        <f t="shared" si="18"/>
        <v>49000</v>
      </c>
      <c r="J149" s="17">
        <f>12000+13000</f>
        <v>25000</v>
      </c>
      <c r="K149" s="17"/>
      <c r="L149" s="18">
        <f t="shared" si="16"/>
        <v>24000</v>
      </c>
      <c r="M149" s="29">
        <f>SUM('план на 2016'!$L150:M150)-SUM('членские взносы'!$M150:'членские взносы'!M150)</f>
        <v>23800</v>
      </c>
      <c r="N149" s="29">
        <f>SUM('план на 2016'!$L150:N150)-SUM('членские взносы'!$M150:'членские взносы'!N150)</f>
        <v>24600</v>
      </c>
      <c r="O149" s="29">
        <f>SUM('план на 2016'!$L150:O150)-SUM('членские взносы'!$M150:'членские взносы'!O150)</f>
        <v>25400</v>
      </c>
      <c r="P149" s="29">
        <f>SUM('план на 2016'!$L150:P150)-SUM('членские взносы'!$M150:'членские взносы'!P150)</f>
        <v>26200</v>
      </c>
      <c r="Q149" s="29">
        <f>SUM('план на 2016'!$L150:Q150)-SUM('членские взносы'!$M150:'членские взносы'!Q150)</f>
        <v>27000</v>
      </c>
      <c r="R149" s="29">
        <f>SUM('план на 2016'!$L150:R150)-SUM('членские взносы'!$M150:'членские взносы'!R150)</f>
        <v>27800</v>
      </c>
      <c r="S149" s="29">
        <f>SUM('план на 2016'!$L150:S150)-SUM('членские взносы'!$M150:'членские взносы'!S150)</f>
        <v>28600</v>
      </c>
      <c r="T149" s="29">
        <f>SUM('план на 2016'!$L150:T150)-SUM('членские взносы'!$M150:'членские взносы'!T150)</f>
        <v>17400</v>
      </c>
      <c r="U149" s="29">
        <f>SUM('план на 2016'!$L150:U150)-SUM('членские взносы'!$M150:'членские взносы'!U150)</f>
        <v>6200</v>
      </c>
      <c r="V149" s="29">
        <f>SUM('план на 2016'!$L150:V150)-SUM('членские взносы'!$M150:'членские взносы'!V150)</f>
        <v>7000</v>
      </c>
      <c r="W149" s="29">
        <f>SUM('план на 2016'!$L150:W150)-SUM('членские взносы'!$M150:'членские взносы'!W150)</f>
        <v>7800</v>
      </c>
      <c r="X149" s="29">
        <f>SUM('план на 2016'!$L150:X150)-SUM('членские взносы'!$M150:'членские взносы'!X150)</f>
        <v>8600</v>
      </c>
      <c r="Y149" s="18">
        <f t="shared" si="17"/>
        <v>8600</v>
      </c>
    </row>
    <row r="150" spans="1:25">
      <c r="A150" s="41">
        <f>VLOOKUP(B150,справочник!$B$2:$E$322,4,FALSE)</f>
        <v>194</v>
      </c>
      <c r="B150" t="str">
        <f t="shared" si="14"/>
        <v>202Куликов Александр Владимирович</v>
      </c>
      <c r="C150" s="1">
        <v>202</v>
      </c>
      <c r="D150" s="2" t="s">
        <v>141</v>
      </c>
      <c r="E150" s="1" t="s">
        <v>457</v>
      </c>
      <c r="F150" s="16">
        <v>41898</v>
      </c>
      <c r="G150" s="16">
        <v>41913</v>
      </c>
      <c r="H150" s="17">
        <f t="shared" si="15"/>
        <v>15</v>
      </c>
      <c r="I150" s="1">
        <f t="shared" si="18"/>
        <v>15000</v>
      </c>
      <c r="J150" s="17">
        <v>11000</v>
      </c>
      <c r="K150" s="17"/>
      <c r="L150" s="18">
        <f t="shared" si="16"/>
        <v>4000</v>
      </c>
      <c r="M150" s="29">
        <f>SUM('план на 2016'!$L151:M151)-SUM('членские взносы'!$M151:'членские взносы'!M151)</f>
        <v>4800</v>
      </c>
      <c r="N150" s="29">
        <f>SUM('план на 2016'!$L151:N151)-SUM('членские взносы'!$M151:'членские взносы'!N151)</f>
        <v>600</v>
      </c>
      <c r="O150" s="29">
        <f>SUM('план на 2016'!$L151:O151)-SUM('членские взносы'!$M151:'членские взносы'!O151)</f>
        <v>1400</v>
      </c>
      <c r="P150" s="29">
        <f>SUM('план на 2016'!$L151:P151)-SUM('членские взносы'!$M151:'членские взносы'!P151)</f>
        <v>2200</v>
      </c>
      <c r="Q150" s="29">
        <f>SUM('план на 2016'!$L151:Q151)-SUM('членские взносы'!$M151:'членские взносы'!Q151)</f>
        <v>3000</v>
      </c>
      <c r="R150" s="29">
        <f>SUM('план на 2016'!$L151:R151)-SUM('членские взносы'!$M151:'членские взносы'!R151)</f>
        <v>3800</v>
      </c>
      <c r="S150" s="29">
        <f>SUM('план на 2016'!$L151:S151)-SUM('членские взносы'!$M151:'членские взносы'!S151)</f>
        <v>4600</v>
      </c>
      <c r="T150" s="29">
        <f>SUM('план на 2016'!$L151:T151)-SUM('членские взносы'!$M151:'членские взносы'!T151)</f>
        <v>5400</v>
      </c>
      <c r="U150" s="29">
        <f>SUM('план на 2016'!$L151:U151)-SUM('членские взносы'!$M151:'членские взносы'!U151)</f>
        <v>-3400</v>
      </c>
      <c r="V150" s="29">
        <f>SUM('план на 2016'!$L151:V151)-SUM('членские взносы'!$M151:'членские взносы'!V151)</f>
        <v>-2600</v>
      </c>
      <c r="W150" s="29">
        <f>SUM('план на 2016'!$L151:W151)-SUM('членские взносы'!$M151:'членские взносы'!W151)</f>
        <v>-1800</v>
      </c>
      <c r="X150" s="29">
        <f>SUM('план на 2016'!$L151:X151)-SUM('членские взносы'!$M151:'членские взносы'!X151)</f>
        <v>-1000</v>
      </c>
      <c r="Y150" s="18">
        <f t="shared" si="17"/>
        <v>-1000</v>
      </c>
    </row>
    <row r="151" spans="1:25">
      <c r="A151" s="41">
        <f>VLOOKUP(B151,справочник!$B$2:$E$322,4,FALSE)</f>
        <v>65</v>
      </c>
      <c r="B151" t="str">
        <f t="shared" si="14"/>
        <v xml:space="preserve">67Куликова Наталья Александровна </v>
      </c>
      <c r="C151" s="1">
        <v>67</v>
      </c>
      <c r="D151" s="2" t="s">
        <v>142</v>
      </c>
      <c r="E151" s="1" t="s">
        <v>458</v>
      </c>
      <c r="F151" s="16">
        <v>40872</v>
      </c>
      <c r="G151" s="16">
        <v>40848</v>
      </c>
      <c r="H151" s="17">
        <f t="shared" si="15"/>
        <v>50</v>
      </c>
      <c r="I151" s="1">
        <f t="shared" si="18"/>
        <v>50000</v>
      </c>
      <c r="J151" s="17">
        <f>30000</f>
        <v>30000</v>
      </c>
      <c r="K151" s="17"/>
      <c r="L151" s="18">
        <f t="shared" si="16"/>
        <v>20000</v>
      </c>
      <c r="M151" s="29">
        <f>SUM('план на 2016'!$L152:M152)-SUM('членские взносы'!$M152:'членские взносы'!M152)</f>
        <v>20800</v>
      </c>
      <c r="N151" s="29">
        <f>SUM('план на 2016'!$L152:N152)-SUM('членские взносы'!$M152:'членские взносы'!N152)</f>
        <v>21600</v>
      </c>
      <c r="O151" s="29">
        <f>SUM('план на 2016'!$L152:O152)-SUM('членские взносы'!$M152:'членские взносы'!O152)</f>
        <v>22400</v>
      </c>
      <c r="P151" s="29">
        <f>SUM('план на 2016'!$L152:P152)-SUM('членские взносы'!$M152:'членские взносы'!P152)</f>
        <v>23200</v>
      </c>
      <c r="Q151" s="29">
        <f>SUM('план на 2016'!$L152:Q152)-SUM('членские взносы'!$M152:'членские взносы'!Q152)</f>
        <v>24000</v>
      </c>
      <c r="R151" s="29">
        <f>SUM('план на 2016'!$L152:R152)-SUM('членские взносы'!$M152:'членские взносы'!R152)</f>
        <v>24800</v>
      </c>
      <c r="S151" s="29">
        <f>SUM('план на 2016'!$L152:S152)-SUM('членские взносы'!$M152:'членские взносы'!S152)</f>
        <v>25600</v>
      </c>
      <c r="T151" s="29">
        <f>SUM('план на 2016'!$L152:T152)-SUM('членские взносы'!$M152:'членские взносы'!T152)</f>
        <v>26400</v>
      </c>
      <c r="U151" s="29">
        <f>SUM('план на 2016'!$L152:U152)-SUM('членские взносы'!$M152:'членские взносы'!U152)</f>
        <v>27200</v>
      </c>
      <c r="V151" s="29">
        <f>SUM('план на 2016'!$L152:V152)-SUM('членские взносы'!$M152:'членские взносы'!V152)</f>
        <v>28000</v>
      </c>
      <c r="W151" s="29">
        <f>SUM('план на 2016'!$L152:W152)-SUM('членские взносы'!$M152:'членские взносы'!W152)</f>
        <v>28800</v>
      </c>
      <c r="X151" s="29">
        <f>SUM('план на 2016'!$L152:X152)-SUM('членские взносы'!$M152:'членские взносы'!X152)</f>
        <v>29600</v>
      </c>
      <c r="Y151" s="18">
        <f t="shared" si="17"/>
        <v>29600</v>
      </c>
    </row>
    <row r="152" spans="1:25">
      <c r="A152" s="41">
        <f>VLOOKUP(B152,справочник!$B$2:$E$322,4,FALSE)</f>
        <v>216</v>
      </c>
      <c r="B152" t="str">
        <f t="shared" si="14"/>
        <v xml:space="preserve">225Кулиш Сергей Александрович       </v>
      </c>
      <c r="C152" s="1">
        <v>225</v>
      </c>
      <c r="D152" s="8" t="s">
        <v>143</v>
      </c>
      <c r="E152" s="1" t="s">
        <v>459</v>
      </c>
      <c r="F152" s="16">
        <v>41773</v>
      </c>
      <c r="G152" s="16">
        <v>41760</v>
      </c>
      <c r="H152" s="17">
        <f t="shared" si="15"/>
        <v>20</v>
      </c>
      <c r="I152" s="1">
        <f t="shared" si="18"/>
        <v>20000</v>
      </c>
      <c r="J152" s="17">
        <v>20000</v>
      </c>
      <c r="K152" s="17"/>
      <c r="L152" s="18">
        <f t="shared" si="16"/>
        <v>0</v>
      </c>
      <c r="M152" s="29">
        <f>SUM('план на 2016'!$L153:M153)-SUM('членские взносы'!$M153:'членские взносы'!M153)</f>
        <v>800</v>
      </c>
      <c r="N152" s="29">
        <f>SUM('план на 2016'!$L153:N153)-SUM('членские взносы'!$M153:'членские взносы'!N153)</f>
        <v>-3600</v>
      </c>
      <c r="O152" s="29">
        <f>SUM('план на 2016'!$L153:O153)-SUM('членские взносы'!$M153:'членские взносы'!O153)</f>
        <v>-2800</v>
      </c>
      <c r="P152" s="29">
        <f>SUM('план на 2016'!$L153:P153)-SUM('членские взносы'!$M153:'членские взносы'!P153)</f>
        <v>-2000</v>
      </c>
      <c r="Q152" s="29">
        <f>SUM('план на 2016'!$L153:Q153)-SUM('членские взносы'!$M153:'членские взносы'!Q153)</f>
        <v>-1200</v>
      </c>
      <c r="R152" s="29">
        <f>SUM('план на 2016'!$L153:R153)-SUM('членские взносы'!$M153:'членские взносы'!R153)</f>
        <v>-400</v>
      </c>
      <c r="S152" s="29">
        <f>SUM('план на 2016'!$L153:S153)-SUM('членские взносы'!$M153:'членские взносы'!S153)</f>
        <v>400</v>
      </c>
      <c r="T152" s="29">
        <f>SUM('план на 2016'!$L153:T153)-SUM('членские взносы'!$M153:'членские взносы'!T153)</f>
        <v>1200</v>
      </c>
      <c r="U152" s="29">
        <f>SUM('план на 2016'!$L153:U153)-SUM('членские взносы'!$M153:'членские взносы'!U153)</f>
        <v>2000</v>
      </c>
      <c r="V152" s="29">
        <f>SUM('план на 2016'!$L153:V153)-SUM('членские взносы'!$M153:'членские взносы'!V153)</f>
        <v>2800</v>
      </c>
      <c r="W152" s="29">
        <f>SUM('план на 2016'!$L153:W153)-SUM('членские взносы'!$M153:'членские взносы'!W153)</f>
        <v>-800</v>
      </c>
      <c r="X152" s="29">
        <f>SUM('план на 2016'!$L153:X153)-SUM('членские взносы'!$M153:'членские взносы'!X153)</f>
        <v>0</v>
      </c>
      <c r="Y152" s="18">
        <f t="shared" si="17"/>
        <v>0</v>
      </c>
    </row>
    <row r="153" spans="1:25">
      <c r="A153" s="41">
        <f>VLOOKUP(B153,справочник!$B$2:$E$322,4,FALSE)</f>
        <v>216</v>
      </c>
      <c r="B153" t="str">
        <f t="shared" si="14"/>
        <v xml:space="preserve">226Кулиш Сергей Александрович       </v>
      </c>
      <c r="C153" s="1">
        <v>226</v>
      </c>
      <c r="D153" s="8" t="s">
        <v>143</v>
      </c>
      <c r="E153" s="1" t="s">
        <v>460</v>
      </c>
      <c r="F153" s="16">
        <v>41773</v>
      </c>
      <c r="G153" s="16">
        <v>41760</v>
      </c>
      <c r="H153" s="17">
        <f t="shared" si="15"/>
        <v>20</v>
      </c>
      <c r="I153" s="1">
        <f t="shared" si="18"/>
        <v>20000</v>
      </c>
      <c r="J153" s="17">
        <v>20000</v>
      </c>
      <c r="K153" s="17"/>
      <c r="L153" s="18">
        <f t="shared" si="16"/>
        <v>0</v>
      </c>
      <c r="M153" s="29">
        <f>SUM('план на 2016'!$L154:M154)-SUM('членские взносы'!$M154:'членские взносы'!M154)</f>
        <v>0</v>
      </c>
      <c r="N153" s="29">
        <f>SUM('план на 2016'!$L154:N154)-SUM('членские взносы'!$M154:'членские взносы'!N154)</f>
        <v>0</v>
      </c>
      <c r="O153" s="29">
        <f>SUM('план на 2016'!$L154:O154)-SUM('членские взносы'!$M154:'членские взносы'!O154)</f>
        <v>0</v>
      </c>
      <c r="P153" s="29">
        <f>SUM('план на 2016'!$L154:P154)-SUM('членские взносы'!$M154:'членские взносы'!P154)</f>
        <v>0</v>
      </c>
      <c r="Q153" s="29">
        <f>SUM('план на 2016'!$L154:Q154)-SUM('членские взносы'!$M154:'членские взносы'!Q154)</f>
        <v>0</v>
      </c>
      <c r="R153" s="29">
        <f>SUM('план на 2016'!$L154:R154)-SUM('членские взносы'!$M154:'членские взносы'!R154)</f>
        <v>0</v>
      </c>
      <c r="S153" s="29">
        <f>SUM('план на 2016'!$L154:S154)-SUM('членские взносы'!$M154:'членские взносы'!S154)</f>
        <v>0</v>
      </c>
      <c r="T153" s="29">
        <f>SUM('план на 2016'!$L154:T154)-SUM('членские взносы'!$M154:'членские взносы'!T154)</f>
        <v>0</v>
      </c>
      <c r="U153" s="29">
        <f>SUM('план на 2016'!$L154:U154)-SUM('членские взносы'!$M154:'членские взносы'!U154)</f>
        <v>0</v>
      </c>
      <c r="V153" s="29">
        <f>SUM('план на 2016'!$L154:V154)-SUM('членские взносы'!$M154:'членские взносы'!V154)</f>
        <v>0</v>
      </c>
      <c r="W153" s="29">
        <f>SUM('план на 2016'!$L154:W154)-SUM('членские взносы'!$M154:'членские взносы'!W154)</f>
        <v>0</v>
      </c>
      <c r="X153" s="29">
        <f>SUM('план на 2016'!$L154:X154)-SUM('членские взносы'!$M154:'членские взносы'!X154)</f>
        <v>0</v>
      </c>
      <c r="Y153" s="18">
        <f t="shared" si="17"/>
        <v>0</v>
      </c>
    </row>
    <row r="154" spans="1:25">
      <c r="A154" s="41">
        <f>VLOOKUP(B154,справочник!$B$2:$E$322,4,FALSE)</f>
        <v>56</v>
      </c>
      <c r="B154" t="str">
        <f t="shared" si="14"/>
        <v>58Кушваха Виджай Шанкар</v>
      </c>
      <c r="C154" s="1">
        <v>58</v>
      </c>
      <c r="D154" s="2" t="s">
        <v>144</v>
      </c>
      <c r="E154" s="1" t="s">
        <v>461</v>
      </c>
      <c r="F154" s="16">
        <v>40715</v>
      </c>
      <c r="G154" s="16">
        <v>40725</v>
      </c>
      <c r="H154" s="17">
        <f t="shared" si="15"/>
        <v>54</v>
      </c>
      <c r="I154" s="1">
        <f t="shared" si="18"/>
        <v>54000</v>
      </c>
      <c r="J154" s="17">
        <v>1000</v>
      </c>
      <c r="K154" s="17"/>
      <c r="L154" s="18">
        <f t="shared" si="16"/>
        <v>53000</v>
      </c>
      <c r="M154" s="29">
        <f>SUM('план на 2016'!$L155:M155)-SUM('членские взносы'!$M155:'членские взносы'!M155)</f>
        <v>53800</v>
      </c>
      <c r="N154" s="29">
        <f>SUM('план на 2016'!$L155:N155)-SUM('членские взносы'!$M155:'членские взносы'!N155)</f>
        <v>54600</v>
      </c>
      <c r="O154" s="29">
        <f>SUM('план на 2016'!$L155:O155)-SUM('членские взносы'!$M155:'членские взносы'!O155)</f>
        <v>55400</v>
      </c>
      <c r="P154" s="29">
        <f>SUM('план на 2016'!$L155:P155)-SUM('членские взносы'!$M155:'членские взносы'!P155)</f>
        <v>56200</v>
      </c>
      <c r="Q154" s="29">
        <f>SUM('план на 2016'!$L155:Q155)-SUM('членские взносы'!$M155:'членские взносы'!Q155)</f>
        <v>57000</v>
      </c>
      <c r="R154" s="29">
        <f>SUM('план на 2016'!$L155:R155)-SUM('членские взносы'!$M155:'членские взносы'!R155)</f>
        <v>57800</v>
      </c>
      <c r="S154" s="29">
        <f>SUM('план на 2016'!$L155:S155)-SUM('членские взносы'!$M155:'членские взносы'!S155)</f>
        <v>58600</v>
      </c>
      <c r="T154" s="29">
        <f>SUM('план на 2016'!$L155:T155)-SUM('членские взносы'!$M155:'членские взносы'!T155)</f>
        <v>59400</v>
      </c>
      <c r="U154" s="29">
        <f>SUM('план на 2016'!$L155:U155)-SUM('членские взносы'!$M155:'членские взносы'!U155)</f>
        <v>60200</v>
      </c>
      <c r="V154" s="29">
        <f>SUM('план на 2016'!$L155:V155)-SUM('членские взносы'!$M155:'членские взносы'!V155)</f>
        <v>61000</v>
      </c>
      <c r="W154" s="29">
        <f>SUM('план на 2016'!$L155:W155)-SUM('членские взносы'!$M155:'членские взносы'!W155)</f>
        <v>61800</v>
      </c>
      <c r="X154" s="29">
        <f>SUM('план на 2016'!$L155:X155)-SUM('членские взносы'!$M155:'членские взносы'!X155)</f>
        <v>62600</v>
      </c>
      <c r="Y154" s="18">
        <f t="shared" si="17"/>
        <v>62600</v>
      </c>
    </row>
    <row r="155" spans="1:25">
      <c r="A155" s="41">
        <f>VLOOKUP(B155,справочник!$B$2:$E$322,4,FALSE)</f>
        <v>150</v>
      </c>
      <c r="B155" t="str">
        <f t="shared" si="14"/>
        <v>158Лайпанов Рустам Сеитбиевич</v>
      </c>
      <c r="C155" s="1">
        <v>158</v>
      </c>
      <c r="D155" s="2" t="s">
        <v>145</v>
      </c>
      <c r="E155" s="1" t="s">
        <v>462</v>
      </c>
      <c r="F155" s="16">
        <v>40770</v>
      </c>
      <c r="G155" s="16">
        <v>40787</v>
      </c>
      <c r="H155" s="17">
        <f t="shared" si="15"/>
        <v>52</v>
      </c>
      <c r="I155" s="1">
        <f t="shared" si="18"/>
        <v>52000</v>
      </c>
      <c r="J155" s="17">
        <f>21000+1000</f>
        <v>22000</v>
      </c>
      <c r="K155" s="17"/>
      <c r="L155" s="18">
        <f t="shared" si="16"/>
        <v>30000</v>
      </c>
      <c r="M155" s="29">
        <f>SUM('план на 2016'!$L156:M156)-SUM('членские взносы'!$M156:'членские взносы'!M156)</f>
        <v>30800</v>
      </c>
      <c r="N155" s="29">
        <f>SUM('план на 2016'!$L156:N156)-SUM('членские взносы'!$M156:'членские взносы'!N156)</f>
        <v>31600</v>
      </c>
      <c r="O155" s="29">
        <f>SUM('план на 2016'!$L156:O156)-SUM('членские взносы'!$M156:'членские взносы'!O156)</f>
        <v>32400</v>
      </c>
      <c r="P155" s="29">
        <f>SUM('план на 2016'!$L156:P156)-SUM('членские взносы'!$M156:'членские взносы'!P156)</f>
        <v>33200</v>
      </c>
      <c r="Q155" s="29">
        <f>SUM('план на 2016'!$L156:Q156)-SUM('членские взносы'!$M156:'членские взносы'!Q156)</f>
        <v>34000</v>
      </c>
      <c r="R155" s="29">
        <f>SUM('план на 2016'!$L156:R156)-SUM('членские взносы'!$M156:'членские взносы'!R156)</f>
        <v>34800</v>
      </c>
      <c r="S155" s="29">
        <f>SUM('план на 2016'!$L156:S156)-SUM('членские взносы'!$M156:'членские взносы'!S156)</f>
        <v>35600</v>
      </c>
      <c r="T155" s="29">
        <f>SUM('план на 2016'!$L156:T156)-SUM('членские взносы'!$M156:'членские взносы'!T156)</f>
        <v>31600</v>
      </c>
      <c r="U155" s="29">
        <f>SUM('план на 2016'!$L156:U156)-SUM('членские взносы'!$M156:'членские взносы'!U156)</f>
        <v>26400</v>
      </c>
      <c r="V155" s="29">
        <f>SUM('план на 2016'!$L156:V156)-SUM('членские взносы'!$M156:'членские взносы'!V156)</f>
        <v>27200</v>
      </c>
      <c r="W155" s="29">
        <f>SUM('план на 2016'!$L156:W156)-SUM('членские взносы'!$M156:'членские взносы'!W156)</f>
        <v>28000</v>
      </c>
      <c r="X155" s="29">
        <f>SUM('план на 2016'!$L156:X156)-SUM('членские взносы'!$M156:'членские взносы'!X156)</f>
        <v>24000</v>
      </c>
      <c r="Y155" s="18">
        <f t="shared" si="17"/>
        <v>24000</v>
      </c>
    </row>
    <row r="156" spans="1:25">
      <c r="A156" s="41">
        <f>VLOOKUP(B156,справочник!$B$2:$E$322,4,FALSE)</f>
        <v>243</v>
      </c>
      <c r="B156" t="str">
        <f t="shared" si="14"/>
        <v>254Лапшин Сергей Николаевич</v>
      </c>
      <c r="C156" s="1">
        <v>254</v>
      </c>
      <c r="D156" s="2" t="s">
        <v>146</v>
      </c>
      <c r="E156" s="1" t="s">
        <v>463</v>
      </c>
      <c r="F156" s="16">
        <v>40791</v>
      </c>
      <c r="G156" s="16">
        <v>40787</v>
      </c>
      <c r="H156" s="17">
        <f t="shared" si="15"/>
        <v>52</v>
      </c>
      <c r="I156" s="1">
        <f t="shared" si="18"/>
        <v>52000</v>
      </c>
      <c r="J156" s="17">
        <f>1000</f>
        <v>1000</v>
      </c>
      <c r="K156" s="17">
        <v>45000</v>
      </c>
      <c r="L156" s="18">
        <f t="shared" si="16"/>
        <v>6000</v>
      </c>
      <c r="M156" s="29">
        <f>SUM('план на 2016'!$L157:M157)-SUM('членские взносы'!$M157:'членские взносы'!M157)</f>
        <v>1800</v>
      </c>
      <c r="N156" s="29">
        <f>SUM('план на 2016'!$L157:N157)-SUM('членские взносы'!$M157:'членские взносы'!N157)</f>
        <v>-2200</v>
      </c>
      <c r="O156" s="29">
        <f>SUM('план на 2016'!$L157:O157)-SUM('членские взносы'!$M157:'членские взносы'!O157)</f>
        <v>-1400</v>
      </c>
      <c r="P156" s="29">
        <f>SUM('план на 2016'!$L157:P157)-SUM('членские взносы'!$M157:'членские взносы'!P157)</f>
        <v>-600</v>
      </c>
      <c r="Q156" s="29">
        <f>SUM('план на 2016'!$L157:Q157)-SUM('членские взносы'!$M157:'членские взносы'!Q157)</f>
        <v>200</v>
      </c>
      <c r="R156" s="29">
        <f>SUM('план на 2016'!$L157:R157)-SUM('членские взносы'!$M157:'членские взносы'!R157)</f>
        <v>-3800</v>
      </c>
      <c r="S156" s="29">
        <f>SUM('план на 2016'!$L157:S157)-SUM('членские взносы'!$M157:'членские взносы'!S157)</f>
        <v>-3000</v>
      </c>
      <c r="T156" s="29">
        <f>SUM('план на 2016'!$L157:T157)-SUM('членские взносы'!$M157:'членские взносы'!T157)</f>
        <v>-2200</v>
      </c>
      <c r="U156" s="29">
        <f>SUM('план на 2016'!$L157:U157)-SUM('членские взносы'!$M157:'членские взносы'!U157)</f>
        <v>-1400</v>
      </c>
      <c r="V156" s="29">
        <f>SUM('план на 2016'!$L157:V157)-SUM('членские взносы'!$M157:'членские взносы'!V157)</f>
        <v>-600</v>
      </c>
      <c r="W156" s="29">
        <f>SUM('план на 2016'!$L157:W157)-SUM('членские взносы'!$M157:'членские взносы'!W157)</f>
        <v>200</v>
      </c>
      <c r="X156" s="29">
        <f>SUM('план на 2016'!$L157:X157)-SUM('членские взносы'!$M157:'членские взносы'!X157)</f>
        <v>1000</v>
      </c>
      <c r="Y156" s="18">
        <f t="shared" si="17"/>
        <v>1000</v>
      </c>
    </row>
    <row r="157" spans="1:25">
      <c r="A157" s="41">
        <f>VLOOKUP(B157,справочник!$B$2:$E$322,4,FALSE)</f>
        <v>220</v>
      </c>
      <c r="B157" t="str">
        <f t="shared" si="14"/>
        <v>229Ларионова Наталья Владимировна</v>
      </c>
      <c r="C157" s="1">
        <v>229</v>
      </c>
      <c r="D157" s="2" t="s">
        <v>147</v>
      </c>
      <c r="E157" s="1" t="s">
        <v>464</v>
      </c>
      <c r="F157" s="16">
        <v>41800</v>
      </c>
      <c r="G157" s="16">
        <v>41821</v>
      </c>
      <c r="H157" s="17">
        <f t="shared" si="15"/>
        <v>18</v>
      </c>
      <c r="I157" s="1">
        <f t="shared" si="18"/>
        <v>18000</v>
      </c>
      <c r="J157" s="17">
        <f>1000</f>
        <v>1000</v>
      </c>
      <c r="K157" s="17"/>
      <c r="L157" s="18">
        <f t="shared" si="16"/>
        <v>17000</v>
      </c>
      <c r="M157" s="29">
        <f>SUM('план на 2016'!$L158:M158)-SUM('членские взносы'!$M158:'членские взносы'!M158)</f>
        <v>17800</v>
      </c>
      <c r="N157" s="29">
        <f>SUM('план на 2016'!$L158:N158)-SUM('членские взносы'!$M158:'членские взносы'!N158)</f>
        <v>18600</v>
      </c>
      <c r="O157" s="29">
        <f>SUM('план на 2016'!$L158:O158)-SUM('членские взносы'!$M158:'членские взносы'!O158)</f>
        <v>19400</v>
      </c>
      <c r="P157" s="29">
        <f>SUM('план на 2016'!$L158:P158)-SUM('членские взносы'!$M158:'членские взносы'!P158)</f>
        <v>20200</v>
      </c>
      <c r="Q157" s="29">
        <f>SUM('план на 2016'!$L158:Q158)-SUM('членские взносы'!$M158:'членские взносы'!Q158)</f>
        <v>21000</v>
      </c>
      <c r="R157" s="29">
        <f>SUM('план на 2016'!$L158:R158)-SUM('членские взносы'!$M158:'членские взносы'!R158)</f>
        <v>21800</v>
      </c>
      <c r="S157" s="29">
        <f>SUM('план на 2016'!$L158:S158)-SUM('членские взносы'!$M158:'членские взносы'!S158)</f>
        <v>22600</v>
      </c>
      <c r="T157" s="29">
        <f>SUM('план на 2016'!$L158:T158)-SUM('членские взносы'!$M158:'членские взносы'!T158)</f>
        <v>23400</v>
      </c>
      <c r="U157" s="29">
        <f>SUM('план на 2016'!$L158:U158)-SUM('членские взносы'!$M158:'членские взносы'!U158)</f>
        <v>24200</v>
      </c>
      <c r="V157" s="29">
        <f>SUM('план на 2016'!$L158:V158)-SUM('членские взносы'!$M158:'членские взносы'!V158)</f>
        <v>25000</v>
      </c>
      <c r="W157" s="29">
        <f>SUM('план на 2016'!$L158:W158)-SUM('членские взносы'!$M158:'членские взносы'!W158)</f>
        <v>25800</v>
      </c>
      <c r="X157" s="29">
        <f>SUM('план на 2016'!$L158:X158)-SUM('членские взносы'!$M158:'членские взносы'!X158)</f>
        <v>26600</v>
      </c>
      <c r="Y157" s="18">
        <f t="shared" si="17"/>
        <v>26600</v>
      </c>
    </row>
    <row r="158" spans="1:25">
      <c r="A158" s="41">
        <f>VLOOKUP(B158,справочник!$B$2:$E$322,4,FALSE)</f>
        <v>3</v>
      </c>
      <c r="B158" t="str">
        <f t="shared" si="14"/>
        <v>3Лебедев Андрей Анатольевич</v>
      </c>
      <c r="C158" s="1">
        <v>3</v>
      </c>
      <c r="D158" s="2" t="s">
        <v>148</v>
      </c>
      <c r="E158" s="1" t="s">
        <v>465</v>
      </c>
      <c r="F158" s="16">
        <v>41954</v>
      </c>
      <c r="G158" s="16">
        <v>41609</v>
      </c>
      <c r="H158" s="17">
        <f t="shared" si="15"/>
        <v>25</v>
      </c>
      <c r="I158" s="1">
        <f t="shared" si="18"/>
        <v>25000</v>
      </c>
      <c r="J158" s="17">
        <f>4000</f>
        <v>4000</v>
      </c>
      <c r="K158" s="17"/>
      <c r="L158" s="18">
        <f t="shared" si="16"/>
        <v>21000</v>
      </c>
      <c r="M158" s="29">
        <f>SUM('план на 2016'!$L159:M159)-SUM('членские взносы'!$M159:'членские взносы'!M159)</f>
        <v>21800</v>
      </c>
      <c r="N158" s="29">
        <f>SUM('план на 2016'!$L159:N159)-SUM('членские взносы'!$M159:'членские взносы'!N159)</f>
        <v>22600</v>
      </c>
      <c r="O158" s="29">
        <f>SUM('план на 2016'!$L159:O159)-SUM('членские взносы'!$M159:'членские взносы'!O159)</f>
        <v>23400</v>
      </c>
      <c r="P158" s="29">
        <f>SUM('план на 2016'!$L159:P159)-SUM('членские взносы'!$M159:'членские взносы'!P159)</f>
        <v>24200</v>
      </c>
      <c r="Q158" s="29">
        <f>SUM('план на 2016'!$L159:Q159)-SUM('членские взносы'!$M159:'членские взносы'!Q159)</f>
        <v>25000</v>
      </c>
      <c r="R158" s="29">
        <f>SUM('план на 2016'!$L159:R159)-SUM('членские взносы'!$M159:'членские взносы'!R159)</f>
        <v>25800</v>
      </c>
      <c r="S158" s="29">
        <f>SUM('план на 2016'!$L159:S159)-SUM('членские взносы'!$M159:'членские взносы'!S159)</f>
        <v>26600</v>
      </c>
      <c r="T158" s="29">
        <f>SUM('план на 2016'!$L159:T159)-SUM('членские взносы'!$M159:'членские взносы'!T159)</f>
        <v>27400</v>
      </c>
      <c r="U158" s="29">
        <f>SUM('план на 2016'!$L159:U159)-SUM('членские взносы'!$M159:'членские взносы'!U159)</f>
        <v>13200</v>
      </c>
      <c r="V158" s="29">
        <f>SUM('план на 2016'!$L159:V159)-SUM('членские взносы'!$M159:'членские взносы'!V159)</f>
        <v>14000</v>
      </c>
      <c r="W158" s="29">
        <f>SUM('план на 2016'!$L159:W159)-SUM('членские взносы'!$M159:'членские взносы'!W159)</f>
        <v>14800</v>
      </c>
      <c r="X158" s="29">
        <f>SUM('план на 2016'!$L159:X159)-SUM('членские взносы'!$M159:'членские взносы'!X159)</f>
        <v>15600</v>
      </c>
      <c r="Y158" s="18">
        <f t="shared" si="17"/>
        <v>15600</v>
      </c>
    </row>
    <row r="159" spans="1:25">
      <c r="A159" s="41">
        <f>VLOOKUP(B159,справочник!$B$2:$E$322,4,FALSE)</f>
        <v>158</v>
      </c>
      <c r="B159" t="str">
        <f t="shared" si="14"/>
        <v>166Лебедева Елена Александровна</v>
      </c>
      <c r="C159" s="1">
        <v>166</v>
      </c>
      <c r="D159" s="2" t="s">
        <v>149</v>
      </c>
      <c r="E159" s="1" t="s">
        <v>466</v>
      </c>
      <c r="F159" s="16">
        <v>41660</v>
      </c>
      <c r="G159" s="16">
        <v>41671</v>
      </c>
      <c r="H159" s="17">
        <f t="shared" si="15"/>
        <v>23</v>
      </c>
      <c r="I159" s="1">
        <f t="shared" si="18"/>
        <v>23000</v>
      </c>
      <c r="J159" s="17">
        <f>1000</f>
        <v>1000</v>
      </c>
      <c r="K159" s="17"/>
      <c r="L159" s="18">
        <f t="shared" si="16"/>
        <v>22000</v>
      </c>
      <c r="M159" s="29">
        <f>SUM('план на 2016'!$L160:M160)-SUM('членские взносы'!$M160:'членские взносы'!M160)</f>
        <v>22800</v>
      </c>
      <c r="N159" s="29">
        <f>SUM('план на 2016'!$L160:N160)-SUM('членские взносы'!$M160:'членские взносы'!N160)</f>
        <v>23600</v>
      </c>
      <c r="O159" s="29">
        <f>SUM('план на 2016'!$L160:O160)-SUM('членские взносы'!$M160:'членские взносы'!O160)</f>
        <v>24400</v>
      </c>
      <c r="P159" s="29">
        <f>SUM('план на 2016'!$L160:P160)-SUM('членские взносы'!$M160:'членские взносы'!P160)</f>
        <v>25200</v>
      </c>
      <c r="Q159" s="29">
        <f>SUM('план на 2016'!$L160:Q160)-SUM('членские взносы'!$M160:'членские взносы'!Q160)</f>
        <v>26000</v>
      </c>
      <c r="R159" s="29">
        <f>SUM('план на 2016'!$L160:R160)-SUM('членские взносы'!$M160:'членские взносы'!R160)</f>
        <v>26800</v>
      </c>
      <c r="S159" s="29">
        <f>SUM('план на 2016'!$L160:S160)-SUM('членские взносы'!$M160:'членские взносы'!S160)</f>
        <v>27600</v>
      </c>
      <c r="T159" s="29">
        <f>SUM('план на 2016'!$L160:T160)-SUM('членские взносы'!$M160:'членские взносы'!T160)</f>
        <v>28400</v>
      </c>
      <c r="U159" s="29">
        <f>SUM('план на 2016'!$L160:U160)-SUM('членские взносы'!$M160:'членские взносы'!U160)</f>
        <v>29200</v>
      </c>
      <c r="V159" s="29">
        <f>SUM('план на 2016'!$L160:V160)-SUM('членские взносы'!$M160:'членские взносы'!V160)</f>
        <v>30000</v>
      </c>
      <c r="W159" s="29">
        <f>SUM('план на 2016'!$L160:W160)-SUM('членские взносы'!$M160:'членские взносы'!W160)</f>
        <v>30800</v>
      </c>
      <c r="X159" s="29">
        <f>SUM('план на 2016'!$L160:X160)-SUM('членские взносы'!$M160:'членские взносы'!X160)</f>
        <v>31600</v>
      </c>
      <c r="Y159" s="18">
        <f t="shared" si="17"/>
        <v>31600</v>
      </c>
    </row>
    <row r="160" spans="1:25">
      <c r="A160" s="41">
        <f>VLOOKUP(B160,справочник!$B$2:$E$322,4,FALSE)</f>
        <v>139</v>
      </c>
      <c r="B160" t="str">
        <f t="shared" si="14"/>
        <v>149Левина Елена Александровна (Дмитрий)</v>
      </c>
      <c r="C160" s="1">
        <v>149</v>
      </c>
      <c r="D160" s="2" t="s">
        <v>150</v>
      </c>
      <c r="E160" s="1" t="s">
        <v>467</v>
      </c>
      <c r="F160" s="19">
        <v>40715</v>
      </c>
      <c r="G160" s="19">
        <v>40725</v>
      </c>
      <c r="H160" s="20">
        <f t="shared" si="15"/>
        <v>54</v>
      </c>
      <c r="I160" s="5">
        <f t="shared" si="18"/>
        <v>54000</v>
      </c>
      <c r="J160" s="20">
        <v>54000</v>
      </c>
      <c r="K160" s="20"/>
      <c r="L160" s="21">
        <f t="shared" si="16"/>
        <v>0</v>
      </c>
      <c r="M160" s="29">
        <f>SUM('план на 2016'!$L161:M161)-SUM('членские взносы'!$M161:'членские взносы'!M161)</f>
        <v>0</v>
      </c>
      <c r="N160" s="29">
        <f>SUM('план на 2016'!$L161:N161)-SUM('членские взносы'!$M161:'членские взносы'!N161)</f>
        <v>0</v>
      </c>
      <c r="O160" s="29">
        <f>SUM('план на 2016'!$L161:O161)-SUM('членские взносы'!$M161:'членские взносы'!O161)</f>
        <v>0</v>
      </c>
      <c r="P160" s="29">
        <f>SUM('план на 2016'!$L161:P161)-SUM('членские взносы'!$M161:'членские взносы'!P161)</f>
        <v>0</v>
      </c>
      <c r="Q160" s="29">
        <f>SUM('план на 2016'!$L161:Q161)-SUM('членские взносы'!$M161:'членские взносы'!Q161)</f>
        <v>-4800</v>
      </c>
      <c r="R160" s="29">
        <f>SUM('план на 2016'!$L161:R161)-SUM('членские взносы'!$M161:'членские взносы'!R161)</f>
        <v>-4800</v>
      </c>
      <c r="S160" s="29">
        <f>SUM('план на 2016'!$L161:S161)-SUM('членские взносы'!$M161:'членские взносы'!S161)</f>
        <v>-4800</v>
      </c>
      <c r="T160" s="29">
        <f>SUM('план на 2016'!$L161:T161)-SUM('членские взносы'!$M161:'членские взносы'!T161)</f>
        <v>-9600</v>
      </c>
      <c r="U160" s="29">
        <f>SUM('план на 2016'!$L161:U161)-SUM('членские взносы'!$M161:'членские взносы'!U161)</f>
        <v>-9600</v>
      </c>
      <c r="V160" s="29">
        <f>SUM('план на 2016'!$L161:V161)-SUM('членские взносы'!$M161:'членские взносы'!V161)</f>
        <v>-9600</v>
      </c>
      <c r="W160" s="29">
        <f>SUM('план на 2016'!$L161:W161)-SUM('членские взносы'!$M161:'членские взносы'!W161)</f>
        <v>-9600</v>
      </c>
      <c r="X160" s="29">
        <f>SUM('план на 2016'!$L161:X161)-SUM('членские взносы'!$M161:'членские взносы'!X161)</f>
        <v>-9600</v>
      </c>
      <c r="Y160" s="18">
        <f t="shared" si="17"/>
        <v>-9600</v>
      </c>
    </row>
    <row r="161" spans="1:25">
      <c r="A161" s="41">
        <f>VLOOKUP(B161,справочник!$B$2:$E$322,4,FALSE)</f>
        <v>139</v>
      </c>
      <c r="B161" t="str">
        <f t="shared" si="14"/>
        <v>147Левина Елена Александровна (Дмитрий)</v>
      </c>
      <c r="C161" s="1">
        <v>147</v>
      </c>
      <c r="D161" s="2" t="s">
        <v>150</v>
      </c>
      <c r="E161" s="1" t="s">
        <v>468</v>
      </c>
      <c r="F161" s="19">
        <v>40715</v>
      </c>
      <c r="G161" s="19">
        <v>40725</v>
      </c>
      <c r="H161" s="20">
        <f t="shared" si="15"/>
        <v>54</v>
      </c>
      <c r="I161" s="5">
        <f t="shared" si="18"/>
        <v>54000</v>
      </c>
      <c r="J161" s="20">
        <v>54000</v>
      </c>
      <c r="K161" s="20"/>
      <c r="L161" s="21">
        <f t="shared" si="16"/>
        <v>0</v>
      </c>
      <c r="M161" s="29">
        <f>SUM('план на 2016'!$L162:M162)-SUM('членские взносы'!$M162:'членские взносы'!M162)</f>
        <v>0</v>
      </c>
      <c r="N161" s="29">
        <f>SUM('план на 2016'!$L162:N162)-SUM('членские взносы'!$M162:'членские взносы'!N162)</f>
        <v>0</v>
      </c>
      <c r="O161" s="29">
        <f>SUM('план на 2016'!$L162:O162)-SUM('членские взносы'!$M162:'членские взносы'!O162)</f>
        <v>0</v>
      </c>
      <c r="P161" s="29">
        <f>SUM('план на 2016'!$L162:P162)-SUM('членские взносы'!$M162:'членские взносы'!P162)</f>
        <v>0</v>
      </c>
      <c r="Q161" s="29">
        <f>SUM('план на 2016'!$L162:Q162)-SUM('членские взносы'!$M162:'членские взносы'!Q162)</f>
        <v>0</v>
      </c>
      <c r="R161" s="29">
        <f>SUM('план на 2016'!$L162:R162)-SUM('членские взносы'!$M162:'членские взносы'!R162)</f>
        <v>-4800</v>
      </c>
      <c r="S161" s="29">
        <f>SUM('план на 2016'!$L162:S162)-SUM('членские взносы'!$M162:'членские взносы'!S162)</f>
        <v>-4800</v>
      </c>
      <c r="T161" s="29">
        <f>SUM('план на 2016'!$L162:T162)-SUM('членские взносы'!$M162:'членские взносы'!T162)</f>
        <v>-4800</v>
      </c>
      <c r="U161" s="29">
        <f>SUM('план на 2016'!$L162:U162)-SUM('членские взносы'!$M162:'членские взносы'!U162)</f>
        <v>-4800</v>
      </c>
      <c r="V161" s="29">
        <f>SUM('план на 2016'!$L162:V162)-SUM('членские взносы'!$M162:'членские взносы'!V162)</f>
        <v>-4800</v>
      </c>
      <c r="W161" s="29">
        <f>SUM('план на 2016'!$L162:W162)-SUM('членские взносы'!$M162:'членские взносы'!W162)</f>
        <v>-4800</v>
      </c>
      <c r="X161" s="29">
        <f>SUM('план на 2016'!$L162:X162)-SUM('членские взносы'!$M162:'членские взносы'!X162)</f>
        <v>-4800</v>
      </c>
      <c r="Y161" s="18">
        <f t="shared" si="17"/>
        <v>-4800</v>
      </c>
    </row>
    <row r="162" spans="1:25">
      <c r="A162" s="41">
        <f>VLOOKUP(B162,справочник!$B$2:$E$322,4,FALSE)</f>
        <v>139</v>
      </c>
      <c r="B162" t="str">
        <f t="shared" si="14"/>
        <v>148Левина Елена Александровна (Дмитрий)</v>
      </c>
      <c r="C162" s="1">
        <v>148</v>
      </c>
      <c r="D162" s="2" t="s">
        <v>150</v>
      </c>
      <c r="E162" s="1" t="s">
        <v>469</v>
      </c>
      <c r="F162" s="19">
        <v>40715</v>
      </c>
      <c r="G162" s="19">
        <v>40725</v>
      </c>
      <c r="H162" s="20">
        <f t="shared" si="15"/>
        <v>54</v>
      </c>
      <c r="I162" s="5">
        <f t="shared" si="18"/>
        <v>54000</v>
      </c>
      <c r="J162" s="20">
        <f>11000+4000</f>
        <v>15000</v>
      </c>
      <c r="K162" s="20"/>
      <c r="L162" s="21">
        <f t="shared" si="16"/>
        <v>39000</v>
      </c>
      <c r="M162" s="29">
        <f>SUM('план на 2016'!$L163:M163)-SUM('членские взносы'!$M163:'членские взносы'!M163)</f>
        <v>39800</v>
      </c>
      <c r="N162" s="29">
        <f>SUM('план на 2016'!$L163:N163)-SUM('членские взносы'!$M163:'членские взносы'!N163)</f>
        <v>40600</v>
      </c>
      <c r="O162" s="29">
        <f>SUM('план на 2016'!$L163:O163)-SUM('членские взносы'!$M163:'членские взносы'!O163)</f>
        <v>41400</v>
      </c>
      <c r="P162" s="29">
        <f>SUM('план на 2016'!$L163:P163)-SUM('членские взносы'!$M163:'членские взносы'!P163)</f>
        <v>42200</v>
      </c>
      <c r="Q162" s="29">
        <f>SUM('план на 2016'!$L163:Q163)-SUM('членские взносы'!$M163:'членские взносы'!Q163)</f>
        <v>43000</v>
      </c>
      <c r="R162" s="29">
        <f>SUM('план на 2016'!$L163:R163)-SUM('членские взносы'!$M163:'членские взносы'!R163)</f>
        <v>43800</v>
      </c>
      <c r="S162" s="29">
        <f>SUM('план на 2016'!$L163:S163)-SUM('членские взносы'!$M163:'членские взносы'!S163)</f>
        <v>44600</v>
      </c>
      <c r="T162" s="29">
        <f>SUM('план на 2016'!$L163:T163)-SUM('членские взносы'!$M163:'членские взносы'!T163)</f>
        <v>45400</v>
      </c>
      <c r="U162" s="29">
        <f>SUM('план на 2016'!$L163:U163)-SUM('членские взносы'!$M163:'членские взносы'!U163)</f>
        <v>46200</v>
      </c>
      <c r="V162" s="29">
        <f>SUM('план на 2016'!$L163:V163)-SUM('членские взносы'!$M163:'членские взносы'!V163)</f>
        <v>47000</v>
      </c>
      <c r="W162" s="29">
        <f>SUM('план на 2016'!$L163:W163)-SUM('членские взносы'!$M163:'членские взносы'!W163)</f>
        <v>47800</v>
      </c>
      <c r="X162" s="29">
        <f>SUM('план на 2016'!$L163:X163)-SUM('членские взносы'!$M163:'членские взносы'!X163)</f>
        <v>48600</v>
      </c>
      <c r="Y162" s="18">
        <f t="shared" si="17"/>
        <v>48600</v>
      </c>
    </row>
    <row r="163" spans="1:25">
      <c r="A163" s="41">
        <f>VLOOKUP(B163,справочник!$B$2:$E$322,4,FALSE)</f>
        <v>261</v>
      </c>
      <c r="B163" t="str">
        <f t="shared" si="14"/>
        <v>274Леськов Олег Петрович</v>
      </c>
      <c r="C163" s="1">
        <v>274</v>
      </c>
      <c r="D163" s="2" t="s">
        <v>151</v>
      </c>
      <c r="E163" s="1" t="s">
        <v>470</v>
      </c>
      <c r="F163" s="19">
        <v>41373</v>
      </c>
      <c r="G163" s="19">
        <v>41395</v>
      </c>
      <c r="H163" s="20">
        <f t="shared" si="15"/>
        <v>32</v>
      </c>
      <c r="I163" s="5">
        <f t="shared" si="18"/>
        <v>32000</v>
      </c>
      <c r="J163" s="20">
        <v>19000</v>
      </c>
      <c r="K163" s="20"/>
      <c r="L163" s="21">
        <f t="shared" si="16"/>
        <v>13000</v>
      </c>
      <c r="M163" s="29">
        <f>SUM('план на 2016'!$L164:M164)-SUM('членские взносы'!$M164:'членские взносы'!M164)</f>
        <v>10600</v>
      </c>
      <c r="N163" s="29">
        <f>SUM('план на 2016'!$L164:N164)-SUM('членские взносы'!$M164:'членские взносы'!N164)</f>
        <v>10600</v>
      </c>
      <c r="O163" s="29">
        <f>SUM('план на 2016'!$L164:O164)-SUM('членские взносы'!$M164:'членские взносы'!O164)</f>
        <v>10600</v>
      </c>
      <c r="P163" s="29">
        <f>SUM('план на 2016'!$L164:P164)-SUM('членские взносы'!$M164:'членские взносы'!P164)</f>
        <v>8200</v>
      </c>
      <c r="Q163" s="29">
        <f>SUM('план на 2016'!$L164:Q164)-SUM('членские взносы'!$M164:'членские взносы'!Q164)</f>
        <v>8200</v>
      </c>
      <c r="R163" s="29">
        <f>SUM('план на 2016'!$L164:R164)-SUM('членские взносы'!$M164:'членские взносы'!R164)</f>
        <v>8200</v>
      </c>
      <c r="S163" s="29">
        <f>SUM('план на 2016'!$L164:S164)-SUM('членские взносы'!$M164:'членские взносы'!S164)</f>
        <v>5000</v>
      </c>
      <c r="T163" s="29">
        <f>SUM('план на 2016'!$L164:T164)-SUM('членские взносы'!$M164:'членские взносы'!T164)</f>
        <v>5000</v>
      </c>
      <c r="U163" s="29">
        <f>SUM('план на 2016'!$L164:U164)-SUM('членские взносы'!$M164:'членские взносы'!U164)</f>
        <v>5000</v>
      </c>
      <c r="V163" s="29">
        <f>SUM('план на 2016'!$L164:V164)-SUM('членские взносы'!$M164:'членские взносы'!V164)</f>
        <v>5000</v>
      </c>
      <c r="W163" s="29">
        <f>SUM('план на 2016'!$L164:W164)-SUM('членские взносы'!$M164:'членские взносы'!W164)</f>
        <v>5000</v>
      </c>
      <c r="X163" s="29">
        <f>SUM('план на 2016'!$L164:X164)-SUM('членские взносы'!$M164:'членские взносы'!X164)</f>
        <v>1000</v>
      </c>
      <c r="Y163" s="18">
        <f t="shared" si="17"/>
        <v>1000</v>
      </c>
    </row>
    <row r="164" spans="1:25">
      <c r="A164" s="41">
        <f>VLOOKUP(B164,справочник!$B$2:$E$322,4,FALSE)</f>
        <v>261</v>
      </c>
      <c r="B164" t="str">
        <f t="shared" si="14"/>
        <v>275Леськов Олег Петрович</v>
      </c>
      <c r="C164" s="1">
        <v>275</v>
      </c>
      <c r="D164" s="2" t="s">
        <v>151</v>
      </c>
      <c r="E164" s="1"/>
      <c r="F164" s="19">
        <v>41016</v>
      </c>
      <c r="G164" s="19">
        <v>41000</v>
      </c>
      <c r="H164" s="20">
        <f t="shared" si="15"/>
        <v>45</v>
      </c>
      <c r="I164" s="5">
        <f t="shared" si="18"/>
        <v>45000</v>
      </c>
      <c r="J164" s="20">
        <f>9000+19000</f>
        <v>28000</v>
      </c>
      <c r="K164" s="20"/>
      <c r="L164" s="21">
        <f t="shared" si="16"/>
        <v>17000</v>
      </c>
      <c r="M164" s="29">
        <f>SUM('план на 2016'!$L165:M165)-SUM('членские взносы'!$M165:'членские взносы'!M165)</f>
        <v>17800</v>
      </c>
      <c r="N164" s="29">
        <f>SUM('план на 2016'!$L165:N165)-SUM('членские взносы'!$M165:'членские взносы'!N165)</f>
        <v>18600</v>
      </c>
      <c r="O164" s="29">
        <f>SUM('план на 2016'!$L165:O165)-SUM('членские взносы'!$M165:'членские взносы'!O165)</f>
        <v>19400</v>
      </c>
      <c r="P164" s="29">
        <f>SUM('план на 2016'!$L165:P165)-SUM('членские взносы'!$M165:'членские взносы'!P165)</f>
        <v>20200</v>
      </c>
      <c r="Q164" s="29">
        <f>SUM('план на 2016'!$L165:Q165)-SUM('членские взносы'!$M165:'членские взносы'!Q165)</f>
        <v>21000</v>
      </c>
      <c r="R164" s="29">
        <f>SUM('план на 2016'!$L165:R165)-SUM('членские взносы'!$M165:'членские взносы'!R165)</f>
        <v>21800</v>
      </c>
      <c r="S164" s="29">
        <f>SUM('план на 2016'!$L165:S165)-SUM('членские взносы'!$M165:'членские взносы'!S165)</f>
        <v>22600</v>
      </c>
      <c r="T164" s="29">
        <f>SUM('план на 2016'!$L165:T165)-SUM('членские взносы'!$M165:'членские взносы'!T165)</f>
        <v>23400</v>
      </c>
      <c r="U164" s="29">
        <f>SUM('план на 2016'!$L165:U165)-SUM('членские взносы'!$M165:'членские взносы'!U165)</f>
        <v>24200</v>
      </c>
      <c r="V164" s="29">
        <f>SUM('план на 2016'!$L165:V165)-SUM('членские взносы'!$M165:'членские взносы'!V165)</f>
        <v>25000</v>
      </c>
      <c r="W164" s="29">
        <f>SUM('план на 2016'!$L165:W165)-SUM('членские взносы'!$M165:'членские взносы'!W165)</f>
        <v>25800</v>
      </c>
      <c r="X164" s="29">
        <f>SUM('план на 2016'!$L165:X165)-SUM('членские взносы'!$M165:'членские взносы'!X165)</f>
        <v>26600</v>
      </c>
      <c r="Y164" s="18">
        <f t="shared" si="17"/>
        <v>26600</v>
      </c>
    </row>
    <row r="165" spans="1:25">
      <c r="A165" s="41">
        <f>VLOOKUP(B165,справочник!$B$2:$E$322,4,FALSE)</f>
        <v>288</v>
      </c>
      <c r="B165" t="str">
        <f t="shared" si="14"/>
        <v>300Ли Наталья Сергеевна</v>
      </c>
      <c r="C165" s="1">
        <v>300</v>
      </c>
      <c r="D165" s="2" t="s">
        <v>152</v>
      </c>
      <c r="E165" s="1" t="s">
        <v>471</v>
      </c>
      <c r="F165" s="16">
        <v>41513</v>
      </c>
      <c r="G165" s="16">
        <v>41518</v>
      </c>
      <c r="H165" s="17">
        <f t="shared" si="15"/>
        <v>28</v>
      </c>
      <c r="I165" s="1">
        <f t="shared" si="18"/>
        <v>28000</v>
      </c>
      <c r="J165" s="17"/>
      <c r="K165" s="17"/>
      <c r="L165" s="18">
        <f t="shared" si="16"/>
        <v>28000</v>
      </c>
      <c r="M165" s="29">
        <f>SUM('план на 2016'!$L166:M166)-SUM('членские взносы'!$M166:'членские взносы'!M166)</f>
        <v>28800</v>
      </c>
      <c r="N165" s="29">
        <f>SUM('план на 2016'!$L166:N166)-SUM('членские взносы'!$M166:'членские взносы'!N166)</f>
        <v>29600</v>
      </c>
      <c r="O165" s="29">
        <f>SUM('план на 2016'!$L166:O166)-SUM('членские взносы'!$M166:'членские взносы'!O166)</f>
        <v>30400</v>
      </c>
      <c r="P165" s="29">
        <f>SUM('план на 2016'!$L166:P166)-SUM('членские взносы'!$M166:'членские взносы'!P166)</f>
        <v>31200</v>
      </c>
      <c r="Q165" s="29">
        <f>SUM('план на 2016'!$L166:Q166)-SUM('членские взносы'!$M166:'членские взносы'!Q166)</f>
        <v>32000</v>
      </c>
      <c r="R165" s="29">
        <f>SUM('план на 2016'!$L166:R166)-SUM('членские взносы'!$M166:'членские взносы'!R166)</f>
        <v>32800</v>
      </c>
      <c r="S165" s="29">
        <f>SUM('план на 2016'!$L166:S166)-SUM('членские взносы'!$M166:'членские взносы'!S166)</f>
        <v>33600</v>
      </c>
      <c r="T165" s="29">
        <f>SUM('план на 2016'!$L166:T166)-SUM('членские взносы'!$M166:'членские взносы'!T166)</f>
        <v>34400</v>
      </c>
      <c r="U165" s="29">
        <f>SUM('план на 2016'!$L166:U166)-SUM('членские взносы'!$M166:'членские взносы'!U166)</f>
        <v>35200</v>
      </c>
      <c r="V165" s="29">
        <f>SUM('план на 2016'!$L166:V166)-SUM('членские взносы'!$M166:'членские взносы'!V166)</f>
        <v>36000</v>
      </c>
      <c r="W165" s="29">
        <f>SUM('план на 2016'!$L166:W166)-SUM('членские взносы'!$M166:'членские взносы'!W166)</f>
        <v>36800</v>
      </c>
      <c r="X165" s="29">
        <f>SUM('план на 2016'!$L166:X166)-SUM('членские взносы'!$M166:'членские взносы'!X166)</f>
        <v>37600</v>
      </c>
      <c r="Y165" s="18">
        <f t="shared" si="17"/>
        <v>37600</v>
      </c>
    </row>
    <row r="166" spans="1:25">
      <c r="A166" s="41">
        <f>VLOOKUP(B166,справочник!$B$2:$E$322,4,FALSE)</f>
        <v>166</v>
      </c>
      <c r="B166" t="str">
        <f t="shared" si="14"/>
        <v>174Ловыгина Татьяна Александровна</v>
      </c>
      <c r="C166" s="1">
        <v>174</v>
      </c>
      <c r="D166" s="2" t="s">
        <v>153</v>
      </c>
      <c r="E166" s="1" t="s">
        <v>472</v>
      </c>
      <c r="F166" s="16">
        <v>41829</v>
      </c>
      <c r="G166" s="16">
        <v>41852</v>
      </c>
      <c r="H166" s="17">
        <f t="shared" si="15"/>
        <v>17</v>
      </c>
      <c r="I166" s="1">
        <f t="shared" si="18"/>
        <v>17000</v>
      </c>
      <c r="J166" s="17">
        <v>5000</v>
      </c>
      <c r="K166" s="17"/>
      <c r="L166" s="18">
        <f t="shared" si="16"/>
        <v>12000</v>
      </c>
      <c r="M166" s="29">
        <f>SUM('план на 2016'!$L167:M167)-SUM('членские взносы'!$M167:'членские взносы'!M167)</f>
        <v>12800</v>
      </c>
      <c r="N166" s="29">
        <f>SUM('план на 2016'!$L167:N167)-SUM('членские взносы'!$M167:'членские взносы'!N167)</f>
        <v>13600</v>
      </c>
      <c r="O166" s="29">
        <f>SUM('план на 2016'!$L167:O167)-SUM('членские взносы'!$M167:'членские взносы'!O167)</f>
        <v>14400</v>
      </c>
      <c r="P166" s="29">
        <f>SUM('план на 2016'!$L167:P167)-SUM('членские взносы'!$M167:'членские взносы'!P167)</f>
        <v>15200</v>
      </c>
      <c r="Q166" s="29">
        <f>SUM('план на 2016'!$L167:Q167)-SUM('членские взносы'!$M167:'членские взносы'!Q167)</f>
        <v>16000</v>
      </c>
      <c r="R166" s="29">
        <f>SUM('план на 2016'!$L167:R167)-SUM('членские взносы'!$M167:'членские взносы'!R167)</f>
        <v>16800</v>
      </c>
      <c r="S166" s="29">
        <f>SUM('план на 2016'!$L167:S167)-SUM('членские взносы'!$M167:'членские взносы'!S167)</f>
        <v>10800</v>
      </c>
      <c r="T166" s="29">
        <f>SUM('план на 2016'!$L167:T167)-SUM('членские взносы'!$M167:'членские взносы'!T167)</f>
        <v>6600</v>
      </c>
      <c r="U166" s="29">
        <f>SUM('план на 2016'!$L167:U167)-SUM('членские взносы'!$M167:'членские взносы'!U167)</f>
        <v>5000</v>
      </c>
      <c r="V166" s="29">
        <f>SUM('план на 2016'!$L167:V167)-SUM('членские взносы'!$M167:'членские взносы'!V167)</f>
        <v>5800</v>
      </c>
      <c r="W166" s="29">
        <f>SUM('план на 2016'!$L167:W167)-SUM('членские взносы'!$M167:'членские взносы'!W167)</f>
        <v>6600</v>
      </c>
      <c r="X166" s="29">
        <f>SUM('план на 2016'!$L167:X167)-SUM('членские взносы'!$M167:'членские взносы'!X167)</f>
        <v>7400</v>
      </c>
      <c r="Y166" s="18">
        <f t="shared" si="17"/>
        <v>7400</v>
      </c>
    </row>
    <row r="167" spans="1:25">
      <c r="A167" s="41">
        <f>VLOOKUP(B167,справочник!$B$2:$E$322,4,FALSE)</f>
        <v>118</v>
      </c>
      <c r="B167" t="str">
        <f t="shared" si="14"/>
        <v>123Лопухинова Надежда Михайловна</v>
      </c>
      <c r="C167" s="1">
        <v>123</v>
      </c>
      <c r="D167" s="2" t="s">
        <v>154</v>
      </c>
      <c r="E167" s="1" t="s">
        <v>473</v>
      </c>
      <c r="F167" s="16">
        <v>41435</v>
      </c>
      <c r="G167" s="16">
        <v>41456</v>
      </c>
      <c r="H167" s="17">
        <f t="shared" si="15"/>
        <v>30</v>
      </c>
      <c r="I167" s="1">
        <f t="shared" si="18"/>
        <v>30000</v>
      </c>
      <c r="J167" s="17">
        <v>23000</v>
      </c>
      <c r="K167" s="17"/>
      <c r="L167" s="18">
        <f t="shared" si="16"/>
        <v>7000</v>
      </c>
      <c r="M167" s="29">
        <f>SUM('план на 2016'!$L168:M168)-SUM('членские взносы'!$M168:'членские взносы'!M168)</f>
        <v>7800</v>
      </c>
      <c r="N167" s="29">
        <f>SUM('план на 2016'!$L168:N168)-SUM('членские взносы'!$M168:'членские взносы'!N168)</f>
        <v>8600</v>
      </c>
      <c r="O167" s="29">
        <f>SUM('план на 2016'!$L168:O168)-SUM('членские взносы'!$M168:'членские взносы'!O168)</f>
        <v>9400</v>
      </c>
      <c r="P167" s="29">
        <f>SUM('план на 2016'!$L168:P168)-SUM('членские взносы'!$M168:'членские взносы'!P168)</f>
        <v>10200</v>
      </c>
      <c r="Q167" s="29">
        <f>SUM('план на 2016'!$L168:Q168)-SUM('членские взносы'!$M168:'членские взносы'!Q168)</f>
        <v>11000</v>
      </c>
      <c r="R167" s="29">
        <f>SUM('план на 2016'!$L168:R168)-SUM('членские взносы'!$M168:'членские взносы'!R168)</f>
        <v>11800</v>
      </c>
      <c r="S167" s="29">
        <f>SUM('план на 2016'!$L168:S168)-SUM('членские взносы'!$M168:'членские взносы'!S168)</f>
        <v>600</v>
      </c>
      <c r="T167" s="29">
        <f>SUM('план на 2016'!$L168:T168)-SUM('членские взносы'!$M168:'членские взносы'!T168)</f>
        <v>1400</v>
      </c>
      <c r="U167" s="29">
        <f>SUM('план на 2016'!$L168:U168)-SUM('членские взносы'!$M168:'членские взносы'!U168)</f>
        <v>2200</v>
      </c>
      <c r="V167" s="29">
        <f>SUM('план на 2016'!$L168:V168)-SUM('членские взносы'!$M168:'членские взносы'!V168)</f>
        <v>3000</v>
      </c>
      <c r="W167" s="29">
        <f>SUM('план на 2016'!$L168:W168)-SUM('членские взносы'!$M168:'членские взносы'!W168)</f>
        <v>3800</v>
      </c>
      <c r="X167" s="29">
        <f>SUM('план на 2016'!$L168:X168)-SUM('членские взносы'!$M168:'членские взносы'!X168)</f>
        <v>4600</v>
      </c>
      <c r="Y167" s="18">
        <f t="shared" si="17"/>
        <v>4600</v>
      </c>
    </row>
    <row r="168" spans="1:25">
      <c r="A168" s="41">
        <f>VLOOKUP(B168,справочник!$B$2:$E$322,4,FALSE)</f>
        <v>199</v>
      </c>
      <c r="B168" t="str">
        <f t="shared" si="14"/>
        <v>207Лошкарев Виктор Ильич</v>
      </c>
      <c r="C168" s="1">
        <v>207</v>
      </c>
      <c r="D168" s="2" t="s">
        <v>155</v>
      </c>
      <c r="E168" s="1" t="s">
        <v>474</v>
      </c>
      <c r="F168" s="19">
        <v>41036</v>
      </c>
      <c r="G168" s="19">
        <v>41030</v>
      </c>
      <c r="H168" s="20">
        <f t="shared" si="15"/>
        <v>44</v>
      </c>
      <c r="I168" s="5">
        <f t="shared" si="18"/>
        <v>44000</v>
      </c>
      <c r="J168" s="20">
        <v>1000</v>
      </c>
      <c r="K168" s="20"/>
      <c r="L168" s="21">
        <f t="shared" si="16"/>
        <v>43000</v>
      </c>
      <c r="M168" s="29">
        <f>SUM('план на 2016'!$L169:M169)-SUM('членские взносы'!$M170:'членские взносы'!M170)</f>
        <v>43800</v>
      </c>
      <c r="N168" s="29">
        <f>SUM('план на 2016'!$L169:N169)-SUM('членские взносы'!$M170:'членские взносы'!N170)</f>
        <v>44600</v>
      </c>
      <c r="O168" s="29">
        <f>SUM('план на 2016'!$L169:O169)-SUM('членские взносы'!$M170:'членские взносы'!O170)</f>
        <v>45400</v>
      </c>
      <c r="P168" s="29">
        <f>SUM('план на 2016'!$L169:P169)-SUM('членские взносы'!$M170:'членские взносы'!P170)</f>
        <v>46200</v>
      </c>
      <c r="Q168" s="29">
        <f>SUM('план на 2016'!$L169:Q169)-SUM('членские взносы'!$M170:'членские взносы'!Q170)</f>
        <v>47000</v>
      </c>
      <c r="R168" s="29">
        <f>SUM('план на 2016'!$L169:R169)-SUM('членские взносы'!$M170:'членские взносы'!R170)</f>
        <v>47800</v>
      </c>
      <c r="S168" s="29">
        <f>SUM('план на 2016'!$L169:S169)-SUM('членские взносы'!$M170:'членские взносы'!S170)</f>
        <v>48600</v>
      </c>
      <c r="T168" s="29">
        <f>SUM('план на 2016'!$L169:T169)-SUM('членские взносы'!$M170:'членские взносы'!T170)</f>
        <v>49400</v>
      </c>
      <c r="U168" s="29">
        <f>SUM('план на 2016'!$L169:U169)-SUM('членские взносы'!$M170:'членские взносы'!U170)</f>
        <v>50200</v>
      </c>
      <c r="V168" s="29">
        <f>SUM('план на 2016'!$L169:V169)-SUM('членские взносы'!$M170:'членские взносы'!V170)</f>
        <v>51000</v>
      </c>
      <c r="W168" s="29">
        <f>SUM('план на 2016'!$L169:W169)-SUM('членские взносы'!$M170:'членские взносы'!W170)</f>
        <v>51800</v>
      </c>
      <c r="X168" s="29">
        <f>SUM('план на 2016'!$L169:X169)-SUM('членские взносы'!$M170:'членские взносы'!X170)</f>
        <v>52600</v>
      </c>
      <c r="Y168" s="18">
        <f t="shared" si="17"/>
        <v>52600</v>
      </c>
    </row>
    <row r="169" spans="1:25">
      <c r="A169" s="41">
        <f>VLOOKUP(B169,справочник!$B$2:$E$322,4,FALSE)</f>
        <v>199</v>
      </c>
      <c r="B169" t="str">
        <f t="shared" si="14"/>
        <v>208Лошкарев Виктор Ильич</v>
      </c>
      <c r="C169" s="1">
        <v>208</v>
      </c>
      <c r="D169" s="2" t="s">
        <v>155</v>
      </c>
      <c r="E169" s="1" t="s">
        <v>448</v>
      </c>
      <c r="F169" s="19">
        <v>41036</v>
      </c>
      <c r="G169" s="19">
        <v>41030</v>
      </c>
      <c r="H169" s="20">
        <f t="shared" si="15"/>
        <v>44</v>
      </c>
      <c r="I169" s="5">
        <f t="shared" si="18"/>
        <v>44000</v>
      </c>
      <c r="J169" s="20">
        <v>1000</v>
      </c>
      <c r="K169" s="20"/>
      <c r="L169" s="21">
        <f t="shared" si="16"/>
        <v>43000</v>
      </c>
      <c r="M169" s="29">
        <f>SUM('план на 2016'!$L170:M170)-SUM('членские взносы'!$M171:'членские взносы'!M171)</f>
        <v>43000</v>
      </c>
      <c r="N169" s="29">
        <f>SUM('план на 2016'!$L170:N170)-SUM('членские взносы'!$M171:'членские взносы'!N171)</f>
        <v>43000</v>
      </c>
      <c r="O169" s="29">
        <f>SUM('план на 2016'!$L170:O170)-SUM('членские взносы'!$M171:'членские взносы'!O171)</f>
        <v>43000</v>
      </c>
      <c r="P169" s="29">
        <f>SUM('план на 2016'!$L170:P170)-SUM('членские взносы'!$M171:'членские взносы'!P171)</f>
        <v>43000</v>
      </c>
      <c r="Q169" s="29">
        <f>SUM('план на 2016'!$L170:Q170)-SUM('членские взносы'!$M171:'членские взносы'!Q171)</f>
        <v>43000</v>
      </c>
      <c r="R169" s="29">
        <f>SUM('план на 2016'!$L170:R170)-SUM('членские взносы'!$M171:'членские взносы'!R171)</f>
        <v>43000</v>
      </c>
      <c r="S169" s="29">
        <f>SUM('план на 2016'!$L170:S170)-SUM('членские взносы'!$M171:'членские взносы'!S171)</f>
        <v>43000</v>
      </c>
      <c r="T169" s="29">
        <f>SUM('план на 2016'!$L170:T170)-SUM('членские взносы'!$M171:'членские взносы'!T171)</f>
        <v>43000</v>
      </c>
      <c r="U169" s="29">
        <f>SUM('план на 2016'!$L170:U170)-SUM('членские взносы'!$M171:'членские взносы'!U171)</f>
        <v>43000</v>
      </c>
      <c r="V169" s="29">
        <f>SUM('план на 2016'!$L170:V170)-SUM('членские взносы'!$M171:'членские взносы'!V171)</f>
        <v>43000</v>
      </c>
      <c r="W169" s="29">
        <f>SUM('план на 2016'!$L170:W170)-SUM('членские взносы'!$M171:'членские взносы'!W171)</f>
        <v>43000</v>
      </c>
      <c r="X169" s="29">
        <f>SUM('план на 2016'!$L170:X170)-SUM('членские взносы'!$M171:'членские взносы'!X171)</f>
        <v>43000</v>
      </c>
      <c r="Y169" s="18">
        <f t="shared" si="17"/>
        <v>43000</v>
      </c>
    </row>
    <row r="170" spans="1:25">
      <c r="A170" s="41">
        <f>VLOOKUP(B170,справочник!$B$2:$E$322,4,FALSE)</f>
        <v>164</v>
      </c>
      <c r="B170" t="str">
        <f t="shared" si="14"/>
        <v>172Лунёв Денис Александрович</v>
      </c>
      <c r="C170" s="1">
        <v>172</v>
      </c>
      <c r="D170" s="2" t="s">
        <v>156</v>
      </c>
      <c r="E170" s="1" t="s">
        <v>475</v>
      </c>
      <c r="F170" s="16">
        <v>41576</v>
      </c>
      <c r="G170" s="16">
        <v>41579</v>
      </c>
      <c r="H170" s="17">
        <f t="shared" si="15"/>
        <v>26</v>
      </c>
      <c r="I170" s="1">
        <f t="shared" si="18"/>
        <v>26000</v>
      </c>
      <c r="J170" s="17">
        <v>1000</v>
      </c>
      <c r="K170" s="17"/>
      <c r="L170" s="18">
        <f t="shared" si="16"/>
        <v>25000</v>
      </c>
      <c r="M170" s="29">
        <f>SUM('план на 2016'!$L171:M171)-SUM('членские взносы'!$M172:'членские взносы'!M172)</f>
        <v>25800</v>
      </c>
      <c r="N170" s="29">
        <f>SUM('план на 2016'!$L171:N171)-SUM('членские взносы'!$M172:'членские взносы'!N172)</f>
        <v>26600</v>
      </c>
      <c r="O170" s="29">
        <f>SUM('план на 2016'!$L171:O171)-SUM('членские взносы'!$M172:'членские взносы'!O172)</f>
        <v>27400</v>
      </c>
      <c r="P170" s="29">
        <f>SUM('план на 2016'!$L171:P171)-SUM('членские взносы'!$M172:'членские взносы'!P172)</f>
        <v>28200</v>
      </c>
      <c r="Q170" s="29">
        <f>SUM('план на 2016'!$L171:Q171)-SUM('членские взносы'!$M172:'членские взносы'!Q172)</f>
        <v>29000</v>
      </c>
      <c r="R170" s="29">
        <f>SUM('план на 2016'!$L171:R171)-SUM('членские взносы'!$M172:'членские взносы'!R172)</f>
        <v>29800</v>
      </c>
      <c r="S170" s="29">
        <f>SUM('план на 2016'!$L171:S171)-SUM('членские взносы'!$M172:'членские взносы'!S172)</f>
        <v>30600</v>
      </c>
      <c r="T170" s="29">
        <f>SUM('план на 2016'!$L171:T171)-SUM('членские взносы'!$M172:'членские взносы'!T172)</f>
        <v>31400</v>
      </c>
      <c r="U170" s="29">
        <f>SUM('план на 2016'!$L171:U171)-SUM('членские взносы'!$M172:'членские взносы'!U172)</f>
        <v>32200</v>
      </c>
      <c r="V170" s="29">
        <f>SUM('план на 2016'!$L171:V171)-SUM('членские взносы'!$M172:'членские взносы'!V172)</f>
        <v>33000</v>
      </c>
      <c r="W170" s="29">
        <f>SUM('план на 2016'!$L171:W171)-SUM('членские взносы'!$M172:'членские взносы'!W172)</f>
        <v>23200</v>
      </c>
      <c r="X170" s="29">
        <f>SUM('план на 2016'!$L171:X171)-SUM('членские взносы'!$M172:'членские взносы'!X172)</f>
        <v>24000</v>
      </c>
      <c r="Y170" s="18">
        <f t="shared" si="17"/>
        <v>24000</v>
      </c>
    </row>
    <row r="171" spans="1:25">
      <c r="A171" s="41">
        <f>VLOOKUP(B171,справочник!$B$2:$E$322,4,FALSE)</f>
        <v>34</v>
      </c>
      <c r="B171" t="str">
        <f t="shared" si="14"/>
        <v>34Лунева Ольга Петровна</v>
      </c>
      <c r="C171" s="1">
        <v>34</v>
      </c>
      <c r="D171" s="2" t="s">
        <v>157</v>
      </c>
      <c r="E171" s="1" t="s">
        <v>476</v>
      </c>
      <c r="F171" s="16">
        <v>40781</v>
      </c>
      <c r="G171" s="16">
        <v>40787</v>
      </c>
      <c r="H171" s="17">
        <f t="shared" si="15"/>
        <v>52</v>
      </c>
      <c r="I171" s="1">
        <f t="shared" si="18"/>
        <v>52000</v>
      </c>
      <c r="J171" s="17">
        <v>55000</v>
      </c>
      <c r="K171" s="17"/>
      <c r="L171" s="18">
        <f t="shared" si="16"/>
        <v>-3000</v>
      </c>
      <c r="M171" s="29">
        <f>SUM('план на 2016'!$L172:M172)-SUM('членские взносы'!$M173:'членские взносы'!M173)</f>
        <v>-2200</v>
      </c>
      <c r="N171" s="29">
        <f>SUM('план на 2016'!$L172:N172)-SUM('членские взносы'!$M173:'членские взносы'!N173)</f>
        <v>-1400</v>
      </c>
      <c r="O171" s="29">
        <f>SUM('план на 2016'!$L172:O172)-SUM('членские взносы'!$M173:'членские взносы'!O173)</f>
        <v>-600</v>
      </c>
      <c r="P171" s="29">
        <f>SUM('план на 2016'!$L172:P172)-SUM('членские взносы'!$M173:'членские взносы'!P173)</f>
        <v>200</v>
      </c>
      <c r="Q171" s="29">
        <f>SUM('план на 2016'!$L172:Q172)-SUM('членские взносы'!$M173:'членские взносы'!Q173)</f>
        <v>1000</v>
      </c>
      <c r="R171" s="29">
        <f>SUM('план на 2016'!$L172:R172)-SUM('членские взносы'!$M173:'членские взносы'!R173)</f>
        <v>1800</v>
      </c>
      <c r="S171" s="29">
        <f>SUM('план на 2016'!$L172:S172)-SUM('членские взносы'!$M173:'членские взносы'!S173)</f>
        <v>2600</v>
      </c>
      <c r="T171" s="29">
        <f>SUM('план на 2016'!$L172:T172)-SUM('членские взносы'!$M173:'членские взносы'!T173)</f>
        <v>3400</v>
      </c>
      <c r="U171" s="29">
        <f>SUM('план на 2016'!$L172:U172)-SUM('членские взносы'!$M173:'членские взносы'!U173)</f>
        <v>4200</v>
      </c>
      <c r="V171" s="29">
        <f>SUM('план на 2016'!$L172:V172)-SUM('членские взносы'!$M173:'членские взносы'!V173)</f>
        <v>5000</v>
      </c>
      <c r="W171" s="29">
        <f>SUM('план на 2016'!$L172:W172)-SUM('членские взносы'!$M173:'членские взносы'!W173)</f>
        <v>5800</v>
      </c>
      <c r="X171" s="29">
        <f>SUM('план на 2016'!$L172:X172)-SUM('членские взносы'!$M173:'членские взносы'!X173)</f>
        <v>6600</v>
      </c>
      <c r="Y171" s="18">
        <f t="shared" si="17"/>
        <v>6600</v>
      </c>
    </row>
    <row r="172" spans="1:25">
      <c r="A172" s="41">
        <f>VLOOKUP(B172,справочник!$B$2:$E$322,4,FALSE)</f>
        <v>13</v>
      </c>
      <c r="B172" t="str">
        <f t="shared" si="14"/>
        <v>13Малов Алексей Викторович</v>
      </c>
      <c r="C172" s="1">
        <v>13</v>
      </c>
      <c r="D172" s="2" t="s">
        <v>158</v>
      </c>
      <c r="E172" s="1" t="s">
        <v>477</v>
      </c>
      <c r="F172" s="16">
        <v>41464</v>
      </c>
      <c r="G172" s="16">
        <v>41487</v>
      </c>
      <c r="H172" s="17">
        <f t="shared" si="15"/>
        <v>29</v>
      </c>
      <c r="I172" s="1">
        <f t="shared" si="18"/>
        <v>29000</v>
      </c>
      <c r="J172" s="17">
        <v>13000</v>
      </c>
      <c r="K172" s="17"/>
      <c r="L172" s="18">
        <f t="shared" si="16"/>
        <v>16000</v>
      </c>
      <c r="M172" s="29">
        <f>SUM('план на 2016'!$L173:M173)-SUM('членские взносы'!$M174:'членские взносы'!M174)</f>
        <v>16800</v>
      </c>
      <c r="N172" s="29">
        <f>SUM('план на 2016'!$L173:N173)-SUM('членские взносы'!$M174:'членские взносы'!N174)</f>
        <v>17600</v>
      </c>
      <c r="O172" s="29">
        <f>SUM('план на 2016'!$L173:O173)-SUM('членские взносы'!$M174:'членские взносы'!O174)</f>
        <v>18400</v>
      </c>
      <c r="P172" s="29">
        <f>SUM('план на 2016'!$L173:P173)-SUM('членские взносы'!$M174:'членские взносы'!P174)</f>
        <v>19200</v>
      </c>
      <c r="Q172" s="29">
        <f>SUM('план на 2016'!$L173:Q173)-SUM('членские взносы'!$M174:'членские взносы'!Q174)</f>
        <v>20000</v>
      </c>
      <c r="R172" s="29">
        <f>SUM('план на 2016'!$L173:R173)-SUM('членские взносы'!$M174:'членские взносы'!R174)</f>
        <v>20800</v>
      </c>
      <c r="S172" s="29">
        <f>SUM('план на 2016'!$L173:S173)-SUM('членские взносы'!$M174:'членские взносы'!S174)</f>
        <v>1600</v>
      </c>
      <c r="T172" s="29">
        <f>SUM('план на 2016'!$L173:T173)-SUM('членские взносы'!$M174:'членские взносы'!T174)</f>
        <v>2400</v>
      </c>
      <c r="U172" s="29">
        <f>SUM('план на 2016'!$L173:U173)-SUM('членские взносы'!$M174:'членские взносы'!U174)</f>
        <v>3200</v>
      </c>
      <c r="V172" s="29">
        <f>SUM('план на 2016'!$L173:V173)-SUM('членские взносы'!$M174:'членские взносы'!V174)</f>
        <v>4000</v>
      </c>
      <c r="W172" s="29">
        <f>SUM('план на 2016'!$L173:W173)-SUM('членские взносы'!$M174:'членские взносы'!W174)</f>
        <v>4800</v>
      </c>
      <c r="X172" s="29">
        <f>SUM('план на 2016'!$L173:X173)-SUM('членские взносы'!$M174:'членские взносы'!X174)</f>
        <v>5600</v>
      </c>
      <c r="Y172" s="18">
        <f t="shared" si="17"/>
        <v>5600</v>
      </c>
    </row>
    <row r="173" spans="1:25">
      <c r="A173" s="41">
        <f>VLOOKUP(B173,справочник!$B$2:$E$322,4,FALSE)</f>
        <v>273</v>
      </c>
      <c r="B173" t="str">
        <f t="shared" si="14"/>
        <v>286Маргиева Марина Евгеньевна</v>
      </c>
      <c r="C173" s="1">
        <v>286</v>
      </c>
      <c r="D173" s="11" t="s">
        <v>159</v>
      </c>
      <c r="E173" s="1" t="s">
        <v>478</v>
      </c>
      <c r="F173" s="16">
        <v>41992</v>
      </c>
      <c r="G173" s="16">
        <v>42005</v>
      </c>
      <c r="H173" s="17">
        <f t="shared" si="15"/>
        <v>12</v>
      </c>
      <c r="I173" s="1">
        <f t="shared" si="18"/>
        <v>12000</v>
      </c>
      <c r="J173" s="17">
        <v>8000</v>
      </c>
      <c r="K173" s="17"/>
      <c r="L173" s="18">
        <f t="shared" si="16"/>
        <v>4000</v>
      </c>
      <c r="M173" s="29">
        <f>SUM('план на 2016'!$L174:M174)-SUM('членские взносы'!$M175:'членские взносы'!M175)</f>
        <v>4800</v>
      </c>
      <c r="N173" s="29">
        <f>SUM('план на 2016'!$L174:N174)-SUM('членские взносы'!$M175:'членские взносы'!N175)</f>
        <v>5600</v>
      </c>
      <c r="O173" s="29">
        <f>SUM('план на 2016'!$L174:O174)-SUM('членские взносы'!$M175:'членские взносы'!O175)</f>
        <v>6400</v>
      </c>
      <c r="P173" s="29">
        <f>SUM('план на 2016'!$L174:P174)-SUM('членские взносы'!$M175:'членские взносы'!P175)</f>
        <v>7200</v>
      </c>
      <c r="Q173" s="29">
        <f>SUM('план на 2016'!$L174:Q174)-SUM('членские взносы'!$M175:'членские взносы'!Q175)</f>
        <v>8000</v>
      </c>
      <c r="R173" s="29">
        <f>SUM('план на 2016'!$L174:R174)-SUM('членские взносы'!$M175:'членские взносы'!R175)</f>
        <v>800</v>
      </c>
      <c r="S173" s="29">
        <f>SUM('план на 2016'!$L174:S174)-SUM('членские взносы'!$M175:'членские взносы'!S175)</f>
        <v>1600</v>
      </c>
      <c r="T173" s="29">
        <f>SUM('план на 2016'!$L174:T174)-SUM('членские взносы'!$M175:'членские взносы'!T175)</f>
        <v>2400</v>
      </c>
      <c r="U173" s="29">
        <f>SUM('план на 2016'!$L174:U174)-SUM('членские взносы'!$M175:'членские взносы'!U175)</f>
        <v>1600</v>
      </c>
      <c r="V173" s="29">
        <f>SUM('план на 2016'!$L174:V174)-SUM('членские взносы'!$M175:'членские взносы'!V175)</f>
        <v>2400</v>
      </c>
      <c r="W173" s="29">
        <f>SUM('план на 2016'!$L174:W174)-SUM('членские взносы'!$M175:'членские взносы'!W175)</f>
        <v>3200</v>
      </c>
      <c r="X173" s="29">
        <f>SUM('план на 2016'!$L174:X174)-SUM('членские взносы'!$M175:'членские взносы'!X175)</f>
        <v>800</v>
      </c>
      <c r="Y173" s="18">
        <f t="shared" si="17"/>
        <v>800</v>
      </c>
    </row>
    <row r="174" spans="1:25">
      <c r="A174" s="41">
        <f>VLOOKUP(B174,справочник!$B$2:$E$322,4,FALSE)</f>
        <v>87</v>
      </c>
      <c r="B174" t="str">
        <f t="shared" si="14"/>
        <v>92Маркина Людмила Николаевна, Марина</v>
      </c>
      <c r="C174" s="1">
        <v>92</v>
      </c>
      <c r="D174" s="2" t="s">
        <v>160</v>
      </c>
      <c r="E174" s="1" t="s">
        <v>479</v>
      </c>
      <c r="F174" s="16">
        <v>41144</v>
      </c>
      <c r="G174" s="16">
        <v>41153</v>
      </c>
      <c r="H174" s="17">
        <f t="shared" si="15"/>
        <v>40</v>
      </c>
      <c r="I174" s="1">
        <f t="shared" si="18"/>
        <v>40000</v>
      </c>
      <c r="J174" s="17">
        <v>37000</v>
      </c>
      <c r="K174" s="17"/>
      <c r="L174" s="18">
        <f t="shared" si="16"/>
        <v>3000</v>
      </c>
      <c r="M174" s="29">
        <f>SUM('план на 2016'!$L175:M175)-SUM('членские взносы'!$M176:'членские взносы'!M176)</f>
        <v>3800</v>
      </c>
      <c r="N174" s="29">
        <f>SUM('план на 2016'!$L175:N175)-SUM('членские взносы'!$M176:'членские взносы'!N176)</f>
        <v>4600</v>
      </c>
      <c r="O174" s="29">
        <f>SUM('план на 2016'!$L175:O175)-SUM('членские взносы'!$M176:'членские взносы'!O176)</f>
        <v>5400</v>
      </c>
      <c r="P174" s="29">
        <f>SUM('план на 2016'!$L175:P175)-SUM('членские взносы'!$M176:'членские взносы'!P176)</f>
        <v>6200</v>
      </c>
      <c r="Q174" s="29">
        <f>SUM('план на 2016'!$L175:Q175)-SUM('членские взносы'!$M176:'членские взносы'!Q176)</f>
        <v>7000</v>
      </c>
      <c r="R174" s="29">
        <f>SUM('план на 2016'!$L175:R175)-SUM('членские взносы'!$M176:'членские взносы'!R176)</f>
        <v>7800</v>
      </c>
      <c r="S174" s="29">
        <f>SUM('план на 2016'!$L175:S175)-SUM('членские взносы'!$M176:'членские взносы'!S176)</f>
        <v>8600</v>
      </c>
      <c r="T174" s="29">
        <f>SUM('план на 2016'!$L175:T175)-SUM('членские взносы'!$M176:'членские взносы'!T176)</f>
        <v>9400</v>
      </c>
      <c r="U174" s="29">
        <f>SUM('план на 2016'!$L175:U175)-SUM('членские взносы'!$M176:'членские взносы'!U176)</f>
        <v>10200</v>
      </c>
      <c r="V174" s="29">
        <f>SUM('план на 2016'!$L175:V175)-SUM('членские взносы'!$M176:'членские взносы'!V176)</f>
        <v>11000</v>
      </c>
      <c r="W174" s="29">
        <f>SUM('план на 2016'!$L175:W175)-SUM('членские взносы'!$M176:'членские взносы'!W176)</f>
        <v>11800</v>
      </c>
      <c r="X174" s="29">
        <f>SUM('план на 2016'!$L175:X175)-SUM('членские взносы'!$M176:'членские взносы'!X176)</f>
        <v>12600</v>
      </c>
      <c r="Y174" s="18">
        <f t="shared" si="17"/>
        <v>12600</v>
      </c>
    </row>
    <row r="175" spans="1:25">
      <c r="A175" s="41">
        <f>VLOOKUP(B175,справочник!$B$2:$E$322,4,FALSE)</f>
        <v>154</v>
      </c>
      <c r="B175" t="str">
        <f t="shared" si="14"/>
        <v>162Марков Максим Юрьевич</v>
      </c>
      <c r="C175" s="1">
        <v>162</v>
      </c>
      <c r="D175" s="2" t="s">
        <v>161</v>
      </c>
      <c r="E175" s="1" t="s">
        <v>462</v>
      </c>
      <c r="F175" s="16">
        <v>40720</v>
      </c>
      <c r="G175" s="16">
        <v>40725</v>
      </c>
      <c r="H175" s="17">
        <f t="shared" si="15"/>
        <v>54</v>
      </c>
      <c r="I175" s="1">
        <f t="shared" si="18"/>
        <v>54000</v>
      </c>
      <c r="J175" s="17">
        <v>50000</v>
      </c>
      <c r="K175" s="17"/>
      <c r="L175" s="18">
        <f t="shared" si="16"/>
        <v>4000</v>
      </c>
      <c r="M175" s="29">
        <f>SUM('план на 2016'!$L176:M176)-SUM('членские взносы'!$M177:'членские взносы'!M177)</f>
        <v>4800</v>
      </c>
      <c r="N175" s="29">
        <f>SUM('план на 2016'!$L176:N176)-SUM('членские взносы'!$M177:'членские взносы'!N177)</f>
        <v>5600</v>
      </c>
      <c r="O175" s="29">
        <f>SUM('план на 2016'!$L176:O176)-SUM('членские взносы'!$M177:'членские взносы'!O177)</f>
        <v>6400</v>
      </c>
      <c r="P175" s="29">
        <f>SUM('план на 2016'!$L176:P176)-SUM('членские взносы'!$M177:'членские взносы'!P177)</f>
        <v>4800</v>
      </c>
      <c r="Q175" s="29">
        <f>SUM('план на 2016'!$L176:Q176)-SUM('членские взносы'!$M177:'членские взносы'!Q177)</f>
        <v>4800</v>
      </c>
      <c r="R175" s="29">
        <f>SUM('план на 2016'!$L176:R176)-SUM('членские взносы'!$M177:'членские взносы'!R177)</f>
        <v>4000</v>
      </c>
      <c r="S175" s="29">
        <f>SUM('план на 2016'!$L176:S176)-SUM('членские взносы'!$M177:'членские взносы'!S177)</f>
        <v>4000</v>
      </c>
      <c r="T175" s="29">
        <f>SUM('план на 2016'!$L176:T176)-SUM('членские взносы'!$M177:'членские взносы'!T177)</f>
        <v>4000</v>
      </c>
      <c r="U175" s="29">
        <f>SUM('план на 2016'!$L176:U176)-SUM('членские взносы'!$M177:'членские взносы'!U177)</f>
        <v>4000</v>
      </c>
      <c r="V175" s="29">
        <f>SUM('план на 2016'!$L176:V176)-SUM('членские взносы'!$M177:'членские взносы'!V177)</f>
        <v>4000</v>
      </c>
      <c r="W175" s="29">
        <f>SUM('план на 2016'!$L176:W176)-SUM('членские взносы'!$M177:'членские взносы'!W177)</f>
        <v>4000</v>
      </c>
      <c r="X175" s="29">
        <f>SUM('план на 2016'!$L176:X176)-SUM('членские взносы'!$M177:'членские взносы'!X177)</f>
        <v>4000</v>
      </c>
      <c r="Y175" s="18">
        <f t="shared" si="17"/>
        <v>4000</v>
      </c>
    </row>
    <row r="176" spans="1:25">
      <c r="A176" s="41">
        <f>VLOOKUP(B176,справочник!$B$2:$E$322,4,FALSE)</f>
        <v>270</v>
      </c>
      <c r="B176" t="str">
        <f t="shared" si="14"/>
        <v>283Маркова Тамара Ивановна</v>
      </c>
      <c r="C176" s="1">
        <v>283</v>
      </c>
      <c r="D176" s="2" t="s">
        <v>162</v>
      </c>
      <c r="E176" s="1" t="s">
        <v>480</v>
      </c>
      <c r="F176" s="16">
        <v>41422</v>
      </c>
      <c r="G176" s="16">
        <v>41456</v>
      </c>
      <c r="H176" s="17">
        <f t="shared" si="15"/>
        <v>30</v>
      </c>
      <c r="I176" s="1">
        <f t="shared" si="18"/>
        <v>30000</v>
      </c>
      <c r="J176" s="17">
        <v>20000</v>
      </c>
      <c r="K176" s="17"/>
      <c r="L176" s="18">
        <f t="shared" si="16"/>
        <v>10000</v>
      </c>
      <c r="M176" s="29">
        <f>SUM('план на 2016'!$L177:M177)-SUM('членские взносы'!$M178:'членские взносы'!M178)</f>
        <v>10800</v>
      </c>
      <c r="N176" s="29">
        <f>SUM('план на 2016'!$L177:N177)-SUM('членские взносы'!$M178:'членские взносы'!N178)</f>
        <v>11600</v>
      </c>
      <c r="O176" s="29">
        <f>SUM('план на 2016'!$L177:O177)-SUM('членские взносы'!$M178:'членские взносы'!O178)</f>
        <v>12400</v>
      </c>
      <c r="P176" s="29">
        <f>SUM('план на 2016'!$L177:P177)-SUM('членские взносы'!$M178:'членские взносы'!P178)</f>
        <v>13200</v>
      </c>
      <c r="Q176" s="29">
        <f>SUM('план на 2016'!$L177:Q177)-SUM('членские взносы'!$M178:'членские взносы'!Q178)</f>
        <v>14000</v>
      </c>
      <c r="R176" s="29">
        <f>SUM('план на 2016'!$L177:R177)-SUM('членские взносы'!$M178:'членские взносы'!R178)</f>
        <v>14800</v>
      </c>
      <c r="S176" s="29">
        <f>SUM('план на 2016'!$L177:S177)-SUM('членские взносы'!$M178:'членские взносы'!S178)</f>
        <v>15600</v>
      </c>
      <c r="T176" s="29">
        <f>SUM('план на 2016'!$L177:T177)-SUM('членские взносы'!$M178:'членские взносы'!T178)</f>
        <v>1600</v>
      </c>
      <c r="U176" s="29">
        <f>SUM('план на 2016'!$L177:U177)-SUM('членские взносы'!$M178:'членские взносы'!U178)</f>
        <v>2400</v>
      </c>
      <c r="V176" s="29">
        <f>SUM('план на 2016'!$L177:V177)-SUM('членские взносы'!$M178:'членские взносы'!V178)</f>
        <v>3200</v>
      </c>
      <c r="W176" s="29">
        <f>SUM('план на 2016'!$L177:W177)-SUM('членские взносы'!$M178:'членские взносы'!W178)</f>
        <v>4000</v>
      </c>
      <c r="X176" s="29">
        <f>SUM('план на 2016'!$L177:X177)-SUM('членские взносы'!$M178:'членские взносы'!X178)</f>
        <v>4800</v>
      </c>
      <c r="Y176" s="18">
        <f t="shared" si="17"/>
        <v>4800</v>
      </c>
    </row>
    <row r="177" spans="1:25">
      <c r="A177" s="41">
        <f>VLOOKUP(B177,справочник!$B$2:$E$322,4,FALSE)</f>
        <v>9</v>
      </c>
      <c r="B177" t="str">
        <f t="shared" si="14"/>
        <v>9Марковнина Светлана Викторовна</v>
      </c>
      <c r="C177" s="1">
        <v>9</v>
      </c>
      <c r="D177" s="2" t="s">
        <v>163</v>
      </c>
      <c r="E177" s="1" t="s">
        <v>481</v>
      </c>
      <c r="F177" s="16">
        <v>41114</v>
      </c>
      <c r="G177" s="16">
        <v>41122</v>
      </c>
      <c r="H177" s="17">
        <f t="shared" si="15"/>
        <v>41</v>
      </c>
      <c r="I177" s="1">
        <f t="shared" si="18"/>
        <v>41000</v>
      </c>
      <c r="J177" s="17">
        <v>18000</v>
      </c>
      <c r="K177" s="17"/>
      <c r="L177" s="18">
        <f t="shared" si="16"/>
        <v>23000</v>
      </c>
      <c r="M177" s="29">
        <f>SUM('план на 2016'!$L178:M178)-SUM('членские взносы'!$M179:'членские взносы'!M179)</f>
        <v>23800</v>
      </c>
      <c r="N177" s="29">
        <f>SUM('план на 2016'!$L178:N178)-SUM('членские взносы'!$M179:'членские взносы'!N179)</f>
        <v>24600</v>
      </c>
      <c r="O177" s="29">
        <f>SUM('план на 2016'!$L178:O178)-SUM('членские взносы'!$M179:'членские взносы'!O179)</f>
        <v>25400</v>
      </c>
      <c r="P177" s="29">
        <f>SUM('план на 2016'!$L178:P178)-SUM('членские взносы'!$M179:'членские взносы'!P179)</f>
        <v>26200</v>
      </c>
      <c r="Q177" s="29">
        <f>SUM('план на 2016'!$L178:Q178)-SUM('членские взносы'!$M179:'членские взносы'!Q179)</f>
        <v>18000</v>
      </c>
      <c r="R177" s="29">
        <f>SUM('план на 2016'!$L178:R178)-SUM('членские взносы'!$M179:'членские взносы'!R179)</f>
        <v>17200</v>
      </c>
      <c r="S177" s="29">
        <f>SUM('план на 2016'!$L178:S178)-SUM('членские взносы'!$M179:'членские взносы'!S179)</f>
        <v>17000</v>
      </c>
      <c r="T177" s="29">
        <f>SUM('план на 2016'!$L178:T178)-SUM('членские взносы'!$M179:'членские взносы'!T179)</f>
        <v>6800</v>
      </c>
      <c r="U177" s="29">
        <f>SUM('план на 2016'!$L178:U178)-SUM('членские взносы'!$M179:'членские взносы'!U179)</f>
        <v>7600</v>
      </c>
      <c r="V177" s="29">
        <f>SUM('план на 2016'!$L178:V178)-SUM('членские взносы'!$M179:'членские взносы'!V179)</f>
        <v>1400</v>
      </c>
      <c r="W177" s="29">
        <f>SUM('план на 2016'!$L178:W178)-SUM('членские взносы'!$M179:'членские взносы'!W179)</f>
        <v>2200</v>
      </c>
      <c r="X177" s="29">
        <f>SUM('план на 2016'!$L178:X178)-SUM('членские взносы'!$M179:'членские взносы'!X179)</f>
        <v>0</v>
      </c>
      <c r="Y177" s="18">
        <f t="shared" si="17"/>
        <v>0</v>
      </c>
    </row>
    <row r="178" spans="1:25">
      <c r="A178" s="41">
        <f>VLOOKUP(B178,справочник!$B$2:$E$322,4,FALSE)</f>
        <v>129</v>
      </c>
      <c r="B178" t="str">
        <f t="shared" si="14"/>
        <v>136Маслов Александр Александрович</v>
      </c>
      <c r="C178" s="1">
        <v>136</v>
      </c>
      <c r="D178" s="2" t="s">
        <v>164</v>
      </c>
      <c r="E178" s="1" t="s">
        <v>482</v>
      </c>
      <c r="F178" s="16">
        <v>41352</v>
      </c>
      <c r="G178" s="16">
        <v>41365</v>
      </c>
      <c r="H178" s="17">
        <f t="shared" si="15"/>
        <v>33</v>
      </c>
      <c r="I178" s="1">
        <f t="shared" si="18"/>
        <v>33000</v>
      </c>
      <c r="J178" s="17">
        <v>31000</v>
      </c>
      <c r="K178" s="17"/>
      <c r="L178" s="18">
        <f t="shared" si="16"/>
        <v>2000</v>
      </c>
      <c r="M178" s="29">
        <f>SUM('план на 2016'!$L179:M179)-SUM('членские взносы'!$M180:'членские взносы'!M180)</f>
        <v>2800</v>
      </c>
      <c r="N178" s="29">
        <f>SUM('план на 2016'!$L179:N179)-SUM('членские взносы'!$M180:'членские взносы'!N180)</f>
        <v>600</v>
      </c>
      <c r="O178" s="29">
        <f>SUM('план на 2016'!$L179:O179)-SUM('членские взносы'!$M180:'членские взносы'!O180)</f>
        <v>1400</v>
      </c>
      <c r="P178" s="29">
        <f>SUM('план на 2016'!$L179:P179)-SUM('членские взносы'!$M180:'членские взносы'!P180)</f>
        <v>-800</v>
      </c>
      <c r="Q178" s="29">
        <f>SUM('план на 2016'!$L179:Q179)-SUM('членские взносы'!$M180:'членские взносы'!Q180)</f>
        <v>0</v>
      </c>
      <c r="R178" s="29">
        <f>SUM('план на 2016'!$L179:R179)-SUM('членские взносы'!$M180:'членские взносы'!R180)</f>
        <v>800</v>
      </c>
      <c r="S178" s="29">
        <f>SUM('план на 2016'!$L179:S179)-SUM('членские взносы'!$M180:'членские взносы'!S180)</f>
        <v>-1400</v>
      </c>
      <c r="T178" s="29">
        <f>SUM('план на 2016'!$L179:T179)-SUM('членские взносы'!$M180:'членские взносы'!T180)</f>
        <v>-600</v>
      </c>
      <c r="U178" s="29">
        <f>SUM('план на 2016'!$L179:U179)-SUM('членские взносы'!$M180:'членские взносы'!U180)</f>
        <v>200</v>
      </c>
      <c r="V178" s="29">
        <f>SUM('план на 2016'!$L179:V179)-SUM('членские взносы'!$M180:'членские взносы'!V180)</f>
        <v>1000</v>
      </c>
      <c r="W178" s="29">
        <f>SUM('план на 2016'!$L179:W179)-SUM('членские взносы'!$M180:'членские взносы'!W180)</f>
        <v>1800</v>
      </c>
      <c r="X178" s="29">
        <f>SUM('план на 2016'!$L179:X179)-SUM('членские взносы'!$M180:'членские взносы'!X180)</f>
        <v>2600</v>
      </c>
      <c r="Y178" s="18">
        <f t="shared" si="17"/>
        <v>2600</v>
      </c>
    </row>
    <row r="179" spans="1:25" ht="24">
      <c r="A179" s="41">
        <f>VLOOKUP(B179,справочник!$B$2:$E$322,4,FALSE)</f>
        <v>42</v>
      </c>
      <c r="B179" t="str">
        <f t="shared" si="14"/>
        <v>42Маслов Андрей Геннадьевич (1/2)                 Щербакова Надежда Михайловна (1/2)</v>
      </c>
      <c r="C179" s="1">
        <v>42</v>
      </c>
      <c r="D179" s="2" t="s">
        <v>165</v>
      </c>
      <c r="E179" s="1" t="s">
        <v>483</v>
      </c>
      <c r="F179" s="16">
        <v>40785</v>
      </c>
      <c r="G179" s="16">
        <v>40787</v>
      </c>
      <c r="H179" s="17">
        <f t="shared" si="15"/>
        <v>52</v>
      </c>
      <c r="I179" s="1">
        <f t="shared" si="18"/>
        <v>52000</v>
      </c>
      <c r="J179" s="17">
        <f>19500+500+4500+23500</f>
        <v>48000</v>
      </c>
      <c r="K179" s="17"/>
      <c r="L179" s="18">
        <f t="shared" si="16"/>
        <v>4000</v>
      </c>
      <c r="M179" s="29">
        <f>SUM('план на 2016'!$L180:M180)-SUM('членские взносы'!$M181:'членские взносы'!M181)</f>
        <v>-200</v>
      </c>
      <c r="N179" s="29">
        <f>SUM('план на 2016'!$L180:N180)-SUM('членские взносы'!$M181:'членские взносы'!N181)</f>
        <v>-800</v>
      </c>
      <c r="O179" s="29">
        <f>SUM('план на 2016'!$L180:O180)-SUM('членские взносы'!$M181:'членские взносы'!O181)</f>
        <v>0</v>
      </c>
      <c r="P179" s="29">
        <f>SUM('план на 2016'!$L180:P180)-SUM('членские взносы'!$M181:'членские взносы'!P181)</f>
        <v>-800</v>
      </c>
      <c r="Q179" s="29">
        <f>SUM('план на 2016'!$L180:Q180)-SUM('членские взносы'!$M181:'членские взносы'!Q181)</f>
        <v>0</v>
      </c>
      <c r="R179" s="29">
        <f>SUM('план на 2016'!$L180:R180)-SUM('членские взносы'!$M181:'членские взносы'!R181)</f>
        <v>-800</v>
      </c>
      <c r="S179" s="29">
        <f>SUM('план на 2016'!$L180:S180)-SUM('членские взносы'!$M181:'членские взносы'!S181)</f>
        <v>0</v>
      </c>
      <c r="T179" s="29">
        <f>SUM('план на 2016'!$L180:T180)-SUM('членские взносы'!$M181:'членские взносы'!T181)</f>
        <v>800</v>
      </c>
      <c r="U179" s="29">
        <f>SUM('план на 2016'!$L180:U180)-SUM('членские взносы'!$M181:'членские взносы'!U181)</f>
        <v>1600</v>
      </c>
      <c r="V179" s="29">
        <f>SUM('план на 2016'!$L180:V180)-SUM('членские взносы'!$M181:'членские взносы'!V181)</f>
        <v>0</v>
      </c>
      <c r="W179" s="29">
        <f>SUM('план на 2016'!$L180:W180)-SUM('членские взносы'!$M181:'членские взносы'!W181)</f>
        <v>800</v>
      </c>
      <c r="X179" s="29">
        <f>SUM('план на 2016'!$L180:X180)-SUM('членские взносы'!$M181:'членские взносы'!X181)</f>
        <v>0</v>
      </c>
      <c r="Y179" s="18">
        <f t="shared" si="17"/>
        <v>0</v>
      </c>
    </row>
    <row r="180" spans="1:25">
      <c r="A180" s="41">
        <f>VLOOKUP(B180,справочник!$B$2:$E$322,4,FALSE)</f>
        <v>96</v>
      </c>
      <c r="B180" t="str">
        <f t="shared" si="14"/>
        <v>101Маслова Валентина Петровна</v>
      </c>
      <c r="C180" s="1">
        <v>101</v>
      </c>
      <c r="D180" s="2" t="s">
        <v>166</v>
      </c>
      <c r="E180" s="1" t="s">
        <v>484</v>
      </c>
      <c r="F180" s="19">
        <v>40708</v>
      </c>
      <c r="G180" s="19">
        <v>40725</v>
      </c>
      <c r="H180" s="20">
        <f t="shared" si="15"/>
        <v>54</v>
      </c>
      <c r="I180" s="5">
        <f t="shared" si="18"/>
        <v>54000</v>
      </c>
      <c r="J180" s="20">
        <v>41012</v>
      </c>
      <c r="K180" s="20"/>
      <c r="L180" s="21">
        <f t="shared" si="16"/>
        <v>12988</v>
      </c>
      <c r="M180" s="29">
        <f>SUM('план на 2016'!$L181:M181)-SUM('членские взносы'!$M182:'членские взносы'!M182)</f>
        <v>3988</v>
      </c>
      <c r="N180" s="29">
        <f>SUM('план на 2016'!$L181:N181)-SUM('членские взносы'!$M182:'членские взносы'!N182)</f>
        <v>3988</v>
      </c>
      <c r="O180" s="29">
        <f>SUM('план на 2016'!$L181:O181)-SUM('членские взносы'!$M182:'членские взносы'!O182)</f>
        <v>3988</v>
      </c>
      <c r="P180" s="29">
        <f>SUM('план на 2016'!$L181:P181)-SUM('членские взносы'!$M182:'членские взносы'!P182)</f>
        <v>1988</v>
      </c>
      <c r="Q180" s="29">
        <f>SUM('план на 2016'!$L181:Q181)-SUM('членские взносы'!$M182:'членские взносы'!Q182)</f>
        <v>1988</v>
      </c>
      <c r="R180" s="29">
        <f>SUM('план на 2016'!$L181:R181)-SUM('членские взносы'!$M182:'членские взносы'!R182)</f>
        <v>-12</v>
      </c>
      <c r="S180" s="29">
        <f>SUM('план на 2016'!$L181:S181)-SUM('членские взносы'!$M182:'членские взносы'!S182)</f>
        <v>-12</v>
      </c>
      <c r="T180" s="29">
        <f>SUM('план на 2016'!$L181:T181)-SUM('членские взносы'!$M182:'членские взносы'!T182)</f>
        <v>-2012</v>
      </c>
      <c r="U180" s="29">
        <f>SUM('план на 2016'!$L181:U181)-SUM('членские взносы'!$M182:'членские взносы'!U182)</f>
        <v>-2012</v>
      </c>
      <c r="V180" s="29">
        <f>SUM('план на 2016'!$L181:V181)-SUM('членские взносы'!$M182:'членские взносы'!V182)</f>
        <v>-4012</v>
      </c>
      <c r="W180" s="29">
        <f>SUM('план на 2016'!$L181:W181)-SUM('членские взносы'!$M182:'членские взносы'!W182)</f>
        <v>-4012</v>
      </c>
      <c r="X180" s="29">
        <f>SUM('план на 2016'!$L181:X181)-SUM('членские взносы'!$M182:'членские взносы'!X182)</f>
        <v>-6012</v>
      </c>
      <c r="Y180" s="18">
        <f t="shared" si="17"/>
        <v>-6012</v>
      </c>
    </row>
    <row r="181" spans="1:25">
      <c r="A181" s="41">
        <f>VLOOKUP(B181,справочник!$B$2:$E$322,4,FALSE)</f>
        <v>96</v>
      </c>
      <c r="B181" t="str">
        <f t="shared" si="14"/>
        <v>102Маслова Валентина Петровна</v>
      </c>
      <c r="C181" s="1">
        <v>102</v>
      </c>
      <c r="D181" s="2" t="s">
        <v>166</v>
      </c>
      <c r="E181" s="1"/>
      <c r="F181" s="19">
        <v>40708</v>
      </c>
      <c r="G181" s="19">
        <v>40725</v>
      </c>
      <c r="H181" s="20">
        <f t="shared" si="15"/>
        <v>54</v>
      </c>
      <c r="I181" s="5">
        <f t="shared" si="18"/>
        <v>54000</v>
      </c>
      <c r="J181" s="20">
        <v>41000</v>
      </c>
      <c r="K181" s="20"/>
      <c r="L181" s="21">
        <f t="shared" si="16"/>
        <v>13000</v>
      </c>
      <c r="M181" s="29">
        <f>SUM('план на 2016'!$L182:M182)-SUM('членские взносы'!$M183:'членские взносы'!M183)</f>
        <v>13800</v>
      </c>
      <c r="N181" s="29">
        <f>SUM('план на 2016'!$L182:N182)-SUM('членские взносы'!$M183:'членские взносы'!N183)</f>
        <v>14600</v>
      </c>
      <c r="O181" s="29">
        <f>SUM('план на 2016'!$L182:O182)-SUM('членские взносы'!$M183:'членские взносы'!O183)</f>
        <v>15400</v>
      </c>
      <c r="P181" s="29">
        <f>SUM('план на 2016'!$L182:P182)-SUM('членские взносы'!$M183:'членские взносы'!P183)</f>
        <v>16200</v>
      </c>
      <c r="Q181" s="29">
        <f>SUM('план на 2016'!$L182:Q182)-SUM('членские взносы'!$M183:'членские взносы'!Q183)</f>
        <v>17000</v>
      </c>
      <c r="R181" s="29">
        <f>SUM('план на 2016'!$L182:R182)-SUM('членские взносы'!$M183:'членские взносы'!R183)</f>
        <v>17800</v>
      </c>
      <c r="S181" s="29">
        <f>SUM('план на 2016'!$L182:S182)-SUM('членские взносы'!$M183:'членские взносы'!S183)</f>
        <v>18600</v>
      </c>
      <c r="T181" s="29">
        <f>SUM('план на 2016'!$L182:T182)-SUM('членские взносы'!$M183:'членские взносы'!T183)</f>
        <v>19400</v>
      </c>
      <c r="U181" s="29">
        <f>SUM('план на 2016'!$L182:U182)-SUM('членские взносы'!$M183:'членские взносы'!U183)</f>
        <v>20200</v>
      </c>
      <c r="V181" s="29">
        <f>SUM('план на 2016'!$L182:V182)-SUM('членские взносы'!$M183:'членские взносы'!V183)</f>
        <v>21000</v>
      </c>
      <c r="W181" s="29">
        <f>SUM('план на 2016'!$L182:W182)-SUM('членские взносы'!$M183:'членские взносы'!W183)</f>
        <v>21800</v>
      </c>
      <c r="X181" s="29">
        <f>SUM('план на 2016'!$L182:X182)-SUM('членские взносы'!$M183:'членские взносы'!X183)</f>
        <v>22600</v>
      </c>
      <c r="Y181" s="18">
        <f t="shared" si="17"/>
        <v>22600</v>
      </c>
    </row>
    <row r="182" spans="1:25">
      <c r="A182" s="41">
        <f>VLOOKUP(B182,справочник!$B$2:$E$322,4,FALSE)</f>
        <v>292</v>
      </c>
      <c r="B182" t="str">
        <f t="shared" si="14"/>
        <v>305Матвеев Денис Львович</v>
      </c>
      <c r="C182" s="1">
        <v>305</v>
      </c>
      <c r="D182" s="2" t="s">
        <v>167</v>
      </c>
      <c r="E182" s="1" t="s">
        <v>485</v>
      </c>
      <c r="F182" s="16">
        <v>42018</v>
      </c>
      <c r="G182" s="16">
        <v>42036</v>
      </c>
      <c r="H182" s="17">
        <f t="shared" si="15"/>
        <v>11</v>
      </c>
      <c r="I182" s="1">
        <f t="shared" si="18"/>
        <v>11000</v>
      </c>
      <c r="J182" s="17"/>
      <c r="K182" s="17"/>
      <c r="L182" s="18">
        <f t="shared" si="16"/>
        <v>11000</v>
      </c>
      <c r="M182" s="29">
        <f>SUM('план на 2016'!$L183:M183)-SUM('членские взносы'!$M184:'членские взносы'!M184)</f>
        <v>11800</v>
      </c>
      <c r="N182" s="29">
        <f>SUM('план на 2016'!$L183:N183)-SUM('членские взносы'!$M184:'членские взносы'!N184)</f>
        <v>12600</v>
      </c>
      <c r="O182" s="29">
        <f>SUM('план на 2016'!$L183:O183)-SUM('членские взносы'!$M184:'членские взносы'!O184)</f>
        <v>13400</v>
      </c>
      <c r="P182" s="29">
        <f>SUM('план на 2016'!$L183:P183)-SUM('членские взносы'!$M184:'членские взносы'!P184)</f>
        <v>14200</v>
      </c>
      <c r="Q182" s="29">
        <f>SUM('план на 2016'!$L183:Q183)-SUM('членские взносы'!$M184:'членские взносы'!Q184)</f>
        <v>15000</v>
      </c>
      <c r="R182" s="29">
        <f>SUM('план на 2016'!$L183:R183)-SUM('членские взносы'!$M184:'членские взносы'!R184)</f>
        <v>15800</v>
      </c>
      <c r="S182" s="29">
        <f>SUM('план на 2016'!$L183:S183)-SUM('членские взносы'!$M184:'членские взносы'!S184)</f>
        <v>16600</v>
      </c>
      <c r="T182" s="29">
        <f>SUM('план на 2016'!$L183:T183)-SUM('членские взносы'!$M184:'членские взносы'!T184)</f>
        <v>17400</v>
      </c>
      <c r="U182" s="29">
        <f>SUM('план на 2016'!$L183:U183)-SUM('членские взносы'!$M184:'членские взносы'!U184)</f>
        <v>18200</v>
      </c>
      <c r="V182" s="29">
        <f>SUM('план на 2016'!$L183:V183)-SUM('членские взносы'!$M184:'членские взносы'!V184)</f>
        <v>19000</v>
      </c>
      <c r="W182" s="29">
        <f>SUM('план на 2016'!$L183:W183)-SUM('членские взносы'!$M184:'членские взносы'!W184)</f>
        <v>19800</v>
      </c>
      <c r="X182" s="29">
        <f>SUM('план на 2016'!$L183:X183)-SUM('членские взносы'!$M184:'членские взносы'!X184)</f>
        <v>20600</v>
      </c>
      <c r="Y182" s="18">
        <f t="shared" si="17"/>
        <v>20600</v>
      </c>
    </row>
    <row r="183" spans="1:25">
      <c r="A183" s="41">
        <f>VLOOKUP(B183,справочник!$B$2:$E$322,4,FALSE)</f>
        <v>209</v>
      </c>
      <c r="B183" t="str">
        <f t="shared" si="14"/>
        <v>219Мельников Михаил Вячеславович / Диденко</v>
      </c>
      <c r="C183" s="1">
        <v>219</v>
      </c>
      <c r="D183" s="2" t="s">
        <v>168</v>
      </c>
      <c r="E183" s="1"/>
      <c r="F183" s="16">
        <v>41248</v>
      </c>
      <c r="G183" s="16">
        <v>41334</v>
      </c>
      <c r="H183" s="17">
        <v>20</v>
      </c>
      <c r="I183" s="1">
        <f t="shared" si="18"/>
        <v>20000</v>
      </c>
      <c r="J183" s="17"/>
      <c r="K183" s="17"/>
      <c r="L183" s="18">
        <f t="shared" si="16"/>
        <v>20000</v>
      </c>
      <c r="M183" s="29">
        <f>SUM('план на 2016'!$L184:M184)-SUM('членские взносы'!$M185:'членские взносы'!M185)</f>
        <v>20800</v>
      </c>
      <c r="N183" s="29">
        <f>SUM('план на 2016'!$L184:N184)-SUM('членские взносы'!$M185:'членские взносы'!N185)</f>
        <v>21600</v>
      </c>
      <c r="O183" s="29">
        <f>SUM('план на 2016'!$L184:O184)-SUM('членские взносы'!$M185:'членские взносы'!O185)</f>
        <v>22400</v>
      </c>
      <c r="P183" s="29">
        <f>SUM('план на 2016'!$L184:P184)-SUM('членские взносы'!$M185:'членские взносы'!P185)</f>
        <v>23200</v>
      </c>
      <c r="Q183" s="29">
        <f>SUM('план на 2016'!$L184:Q184)-SUM('членские взносы'!$M185:'членские взносы'!Q185)</f>
        <v>22000</v>
      </c>
      <c r="R183" s="29">
        <f>SUM('план на 2016'!$L184:R184)-SUM('членские взносы'!$M185:'членские взносы'!R185)</f>
        <v>19800</v>
      </c>
      <c r="S183" s="29">
        <f>SUM('план на 2016'!$L184:S184)-SUM('членские взносы'!$M185:'членские взносы'!S185)</f>
        <v>20600</v>
      </c>
      <c r="T183" s="29">
        <f>SUM('план на 2016'!$L184:T184)-SUM('членские взносы'!$M185:'членские взносы'!T185)</f>
        <v>18400</v>
      </c>
      <c r="U183" s="29">
        <f>SUM('план на 2016'!$L184:U184)-SUM('членские взносы'!$M185:'членские взносы'!U185)</f>
        <v>19200</v>
      </c>
      <c r="V183" s="29">
        <f>SUM('план на 2016'!$L184:V184)-SUM('членские взносы'!$M185:'членские взносы'!V185)</f>
        <v>17000</v>
      </c>
      <c r="W183" s="29">
        <f>SUM('план на 2016'!$L184:W184)-SUM('членские взносы'!$M185:'членские взносы'!W185)</f>
        <v>15800</v>
      </c>
      <c r="X183" s="29">
        <f>SUM('план на 2016'!$L184:X184)-SUM('членские взносы'!$M185:'членские взносы'!X185)</f>
        <v>16600</v>
      </c>
      <c r="Y183" s="18">
        <f t="shared" si="17"/>
        <v>16600</v>
      </c>
    </row>
    <row r="184" spans="1:25">
      <c r="A184" s="41">
        <f>VLOOKUP(B184,справочник!$B$2:$E$322,4,FALSE)</f>
        <v>257</v>
      </c>
      <c r="B184" t="str">
        <f t="shared" si="14"/>
        <v>270Месхидзе Оксана Валерьевна</v>
      </c>
      <c r="C184" s="1">
        <v>270</v>
      </c>
      <c r="D184" s="2" t="s">
        <v>169</v>
      </c>
      <c r="E184" s="1" t="s">
        <v>486</v>
      </c>
      <c r="F184" s="16">
        <v>41526</v>
      </c>
      <c r="G184" s="16">
        <v>41548</v>
      </c>
      <c r="H184" s="17">
        <f>INT(($H$326-G184)/30)</f>
        <v>27</v>
      </c>
      <c r="I184" s="1">
        <f t="shared" si="18"/>
        <v>27000</v>
      </c>
      <c r="J184" s="17">
        <v>1000</v>
      </c>
      <c r="K184" s="17"/>
      <c r="L184" s="18">
        <f t="shared" si="16"/>
        <v>26000</v>
      </c>
      <c r="M184" s="29">
        <f>SUM('план на 2016'!$L185:M185)-SUM('членские взносы'!$M186:'членские взносы'!M186)</f>
        <v>26800</v>
      </c>
      <c r="N184" s="29">
        <f>SUM('план на 2016'!$L185:N185)-SUM('членские взносы'!$M186:'членские взносы'!N186)</f>
        <v>27600</v>
      </c>
      <c r="O184" s="29">
        <f>SUM('план на 2016'!$L185:O185)-SUM('членские взносы'!$M186:'членские взносы'!O186)</f>
        <v>28400</v>
      </c>
      <c r="P184" s="29">
        <f>SUM('план на 2016'!$L185:P185)-SUM('членские взносы'!$M186:'членские взносы'!P186)</f>
        <v>29200</v>
      </c>
      <c r="Q184" s="29">
        <f>SUM('план на 2016'!$L185:Q185)-SUM('членские взносы'!$M186:'членские взносы'!Q186)</f>
        <v>30000</v>
      </c>
      <c r="R184" s="29">
        <f>SUM('план на 2016'!$L185:R185)-SUM('членские взносы'!$M186:'членские взносы'!R186)</f>
        <v>30800</v>
      </c>
      <c r="S184" s="29">
        <f>SUM('план на 2016'!$L185:S185)-SUM('членские взносы'!$M186:'членские взносы'!S186)</f>
        <v>31600</v>
      </c>
      <c r="T184" s="29">
        <f>SUM('план на 2016'!$L185:T185)-SUM('членские взносы'!$M186:'членские взносы'!T186)</f>
        <v>32400</v>
      </c>
      <c r="U184" s="29">
        <f>SUM('план на 2016'!$L185:U185)-SUM('членские взносы'!$M186:'членские взносы'!U186)</f>
        <v>33200</v>
      </c>
      <c r="V184" s="29">
        <f>SUM('план на 2016'!$L185:V185)-SUM('членские взносы'!$M186:'членские взносы'!V186)</f>
        <v>34000</v>
      </c>
      <c r="W184" s="29">
        <f>SUM('план на 2016'!$L185:W185)-SUM('членские взносы'!$M186:'членские взносы'!W186)</f>
        <v>34800</v>
      </c>
      <c r="X184" s="29">
        <f>SUM('план на 2016'!$L185:X185)-SUM('членские взносы'!$M186:'членские взносы'!X186)</f>
        <v>35600</v>
      </c>
      <c r="Y184" s="18">
        <f t="shared" si="17"/>
        <v>35600</v>
      </c>
    </row>
    <row r="185" spans="1:25">
      <c r="A185" s="41">
        <f>VLOOKUP(B185,справочник!$B$2:$E$322,4,FALSE)</f>
        <v>212</v>
      </c>
      <c r="B185" t="str">
        <f t="shared" si="14"/>
        <v>221Милишенко Надежда Ивановна</v>
      </c>
      <c r="C185" s="1">
        <v>221</v>
      </c>
      <c r="D185" s="2" t="s">
        <v>170</v>
      </c>
      <c r="E185" s="1" t="s">
        <v>487</v>
      </c>
      <c r="F185" s="16">
        <v>41552</v>
      </c>
      <c r="G185" s="16">
        <v>41579</v>
      </c>
      <c r="H185" s="17">
        <f>INT(($H$326-G185)/30)</f>
        <v>26</v>
      </c>
      <c r="I185" s="1">
        <f t="shared" si="18"/>
        <v>26000</v>
      </c>
      <c r="J185" s="17">
        <v>23000</v>
      </c>
      <c r="K185" s="17"/>
      <c r="L185" s="18">
        <f t="shared" si="16"/>
        <v>3000</v>
      </c>
      <c r="M185" s="29">
        <f>SUM('план на 2016'!$L186:M186)-SUM('членские взносы'!$M187:'членские взносы'!M187)</f>
        <v>3200</v>
      </c>
      <c r="N185" s="29">
        <f>SUM('план на 2016'!$L186:N186)-SUM('членские взносы'!$M187:'членские взносы'!N187)</f>
        <v>4000</v>
      </c>
      <c r="O185" s="29">
        <f>SUM('план на 2016'!$L186:O186)-SUM('членские взносы'!$M187:'членские взносы'!O187)</f>
        <v>3200</v>
      </c>
      <c r="P185" s="29">
        <f>SUM('план на 2016'!$L186:P186)-SUM('членские взносы'!$M187:'членские взносы'!P187)</f>
        <v>3200</v>
      </c>
      <c r="Q185" s="29">
        <f>SUM('план на 2016'!$L186:Q186)-SUM('членские взносы'!$M187:'членские взносы'!Q187)</f>
        <v>4000</v>
      </c>
      <c r="R185" s="29">
        <f>SUM('план на 2016'!$L186:R186)-SUM('членские взносы'!$M187:'членские взносы'!R187)</f>
        <v>4800</v>
      </c>
      <c r="S185" s="29">
        <f>SUM('план на 2016'!$L186:S186)-SUM('членские взносы'!$M187:'членские взносы'!S187)</f>
        <v>4800</v>
      </c>
      <c r="T185" s="29">
        <f>SUM('план на 2016'!$L186:T186)-SUM('членские взносы'!$M187:'членские взносы'!T187)</f>
        <v>4800</v>
      </c>
      <c r="U185" s="29">
        <f>SUM('план на 2016'!$L186:U186)-SUM('членские взносы'!$M187:'членские взносы'!U187)</f>
        <v>5600</v>
      </c>
      <c r="V185" s="29">
        <f>SUM('план на 2016'!$L186:V186)-SUM('членские взносы'!$M187:'членские взносы'!V187)</f>
        <v>4800</v>
      </c>
      <c r="W185" s="29">
        <f>SUM('план на 2016'!$L186:W186)-SUM('членские взносы'!$M187:'членские взносы'!W187)</f>
        <v>5600</v>
      </c>
      <c r="X185" s="29">
        <f>SUM('план на 2016'!$L186:X186)-SUM('членские взносы'!$M187:'членские взносы'!X187)</f>
        <v>4800</v>
      </c>
      <c r="Y185" s="18">
        <f t="shared" si="17"/>
        <v>4800</v>
      </c>
    </row>
    <row r="186" spans="1:25">
      <c r="A186" s="41">
        <f>VLOOKUP(B186,справочник!$B$2:$E$322,4,FALSE)</f>
        <v>320</v>
      </c>
      <c r="B186" t="str">
        <f t="shared" si="14"/>
        <v>Милоянин Алексей Леонидович</v>
      </c>
      <c r="C186" s="1"/>
      <c r="D186" s="2" t="s">
        <v>171</v>
      </c>
      <c r="E186" s="1"/>
      <c r="F186" s="16"/>
      <c r="G186" s="16"/>
      <c r="H186" s="17"/>
      <c r="I186" s="1"/>
      <c r="J186" s="17"/>
      <c r="K186" s="17"/>
      <c r="L186" s="18"/>
      <c r="M186" s="29">
        <f>SUM('план на 2016'!$L187:M187)-SUM('членские взносы'!$M188:'членские взносы'!M188)</f>
        <v>800</v>
      </c>
      <c r="N186" s="29">
        <f>SUM('план на 2016'!$L187:N187)-SUM('членские взносы'!$M188:'членские взносы'!N188)</f>
        <v>1600</v>
      </c>
      <c r="O186" s="29">
        <f>SUM('план на 2016'!$L187:O187)-SUM('членские взносы'!$M188:'членские взносы'!O188)</f>
        <v>2400</v>
      </c>
      <c r="P186" s="29">
        <f>SUM('план на 2016'!$L187:P187)-SUM('членские взносы'!$M188:'членские взносы'!P188)</f>
        <v>0</v>
      </c>
      <c r="Q186" s="29">
        <f>SUM('план на 2016'!$L187:Q187)-SUM('членские взносы'!$M188:'членские взносы'!Q188)</f>
        <v>800</v>
      </c>
      <c r="R186" s="29">
        <f>SUM('план на 2016'!$L187:R187)-SUM('членские взносы'!$M188:'членские взносы'!R188)</f>
        <v>1600</v>
      </c>
      <c r="S186" s="29">
        <f>SUM('план на 2016'!$L187:S187)-SUM('членские взносы'!$M188:'членские взносы'!S188)</f>
        <v>2400</v>
      </c>
      <c r="T186" s="29">
        <f>SUM('план на 2016'!$L187:T187)-SUM('членские взносы'!$M188:'членские взносы'!T188)</f>
        <v>3200</v>
      </c>
      <c r="U186" s="29">
        <f>SUM('план на 2016'!$L187:U187)-SUM('членские взносы'!$M188:'членские взносы'!U188)</f>
        <v>4000</v>
      </c>
      <c r="V186" s="29">
        <f>SUM('план на 2016'!$L187:V187)-SUM('членские взносы'!$M188:'членские взносы'!V188)</f>
        <v>4800</v>
      </c>
      <c r="W186" s="29">
        <f>SUM('план на 2016'!$L187:W187)-SUM('членские взносы'!$M188:'членские взносы'!W188)</f>
        <v>-800</v>
      </c>
      <c r="X186" s="29">
        <f>SUM('план на 2016'!$L187:X187)-SUM('членские взносы'!$M188:'членские взносы'!X188)</f>
        <v>0</v>
      </c>
      <c r="Y186" s="18">
        <f t="shared" si="17"/>
        <v>0</v>
      </c>
    </row>
    <row r="187" spans="1:25" ht="24">
      <c r="A187" s="41">
        <f>VLOOKUP(B187,справочник!$B$2:$E$322,4,FALSE)</f>
        <v>186</v>
      </c>
      <c r="B187" t="str">
        <f t="shared" si="14"/>
        <v>194Мирошниченко Андрей Иванович Захарова Елена Александровна</v>
      </c>
      <c r="C187" s="1">
        <v>194</v>
      </c>
      <c r="D187" s="2" t="s">
        <v>172</v>
      </c>
      <c r="E187" s="1" t="s">
        <v>488</v>
      </c>
      <c r="F187" s="16">
        <v>41872</v>
      </c>
      <c r="G187" s="16">
        <v>41883</v>
      </c>
      <c r="H187" s="17">
        <f t="shared" ref="H187:H203" si="19">INT(($H$326-G187)/30)</f>
        <v>16</v>
      </c>
      <c r="I187" s="1">
        <f t="shared" ref="I187:I226" si="20">H187*1000</f>
        <v>16000</v>
      </c>
      <c r="J187" s="17">
        <v>12000</v>
      </c>
      <c r="K187" s="17"/>
      <c r="L187" s="18">
        <f t="shared" ref="L187:L250" si="21">I187-J187-K187</f>
        <v>4000</v>
      </c>
      <c r="M187" s="29">
        <f>SUM('план на 2016'!$L188:M188)-SUM('членские взносы'!$M189:'членские взносы'!M189)</f>
        <v>4800</v>
      </c>
      <c r="N187" s="29">
        <f>SUM('план на 2016'!$L188:N188)-SUM('членские взносы'!$M189:'членские взносы'!N189)</f>
        <v>5600</v>
      </c>
      <c r="O187" s="29">
        <f>SUM('план на 2016'!$L188:O188)-SUM('членские взносы'!$M189:'членские взносы'!O189)</f>
        <v>6400</v>
      </c>
      <c r="P187" s="29">
        <f>SUM('план на 2016'!$L188:P188)-SUM('членские взносы'!$M189:'членские взносы'!P189)</f>
        <v>2200</v>
      </c>
      <c r="Q187" s="29">
        <f>SUM('план на 2016'!$L188:Q188)-SUM('членские взносы'!$M189:'членские взносы'!Q189)</f>
        <v>3000</v>
      </c>
      <c r="R187" s="29">
        <f>SUM('план на 2016'!$L188:R188)-SUM('членские взносы'!$M189:'членские взносы'!R189)</f>
        <v>3800</v>
      </c>
      <c r="S187" s="29">
        <f>SUM('план на 2016'!$L188:S188)-SUM('членские взносы'!$M189:'членские взносы'!S189)</f>
        <v>4600</v>
      </c>
      <c r="T187" s="29">
        <f>SUM('план на 2016'!$L188:T188)-SUM('членские взносы'!$M189:'членские взносы'!T189)</f>
        <v>5400</v>
      </c>
      <c r="U187" s="29">
        <f>SUM('план на 2016'!$L188:U188)-SUM('членские взносы'!$M189:'членские взносы'!U189)</f>
        <v>6200</v>
      </c>
      <c r="V187" s="29">
        <f>SUM('план на 2016'!$L188:V188)-SUM('членские взносы'!$M189:'членские взносы'!V189)</f>
        <v>7000</v>
      </c>
      <c r="W187" s="29">
        <f>SUM('план на 2016'!$L188:W188)-SUM('членские взносы'!$M189:'членские взносы'!W189)</f>
        <v>7800</v>
      </c>
      <c r="X187" s="29">
        <f>SUM('план на 2016'!$L188:X188)-SUM('членские взносы'!$M189:'членские взносы'!X189)</f>
        <v>8600</v>
      </c>
      <c r="Y187" s="18">
        <f t="shared" si="17"/>
        <v>8600</v>
      </c>
    </row>
    <row r="188" spans="1:25">
      <c r="A188" s="41">
        <f>VLOOKUP(B188,справочник!$B$2:$E$322,4,FALSE)</f>
        <v>187</v>
      </c>
      <c r="B188" t="str">
        <f t="shared" si="14"/>
        <v>195Мирошниченко Екатерина Олеговна</v>
      </c>
      <c r="C188" s="1">
        <v>195</v>
      </c>
      <c r="D188" s="2" t="s">
        <v>173</v>
      </c>
      <c r="E188" s="1" t="s">
        <v>489</v>
      </c>
      <c r="F188" s="16">
        <v>41542</v>
      </c>
      <c r="G188" s="16">
        <v>41548</v>
      </c>
      <c r="H188" s="17">
        <f t="shared" si="19"/>
        <v>27</v>
      </c>
      <c r="I188" s="1">
        <f t="shared" si="20"/>
        <v>27000</v>
      </c>
      <c r="J188" s="17"/>
      <c r="K188" s="17"/>
      <c r="L188" s="18">
        <f t="shared" si="21"/>
        <v>27000</v>
      </c>
      <c r="M188" s="29">
        <f>SUM('план на 2016'!$L189:M189)-SUM('членские взносы'!$M190:'членские взносы'!M190)</f>
        <v>27800</v>
      </c>
      <c r="N188" s="29">
        <f>SUM('план на 2016'!$L189:N189)-SUM('членские взносы'!$M190:'членские взносы'!N190)</f>
        <v>28600</v>
      </c>
      <c r="O188" s="29">
        <f>SUM('план на 2016'!$L189:O189)-SUM('членские взносы'!$M190:'членские взносы'!O190)</f>
        <v>29400</v>
      </c>
      <c r="P188" s="29">
        <f>SUM('план на 2016'!$L189:P189)-SUM('членские взносы'!$M190:'членские взносы'!P190)</f>
        <v>25200</v>
      </c>
      <c r="Q188" s="29">
        <f>SUM('план на 2016'!$L189:Q189)-SUM('членские взносы'!$M190:'членские взносы'!Q190)</f>
        <v>26000</v>
      </c>
      <c r="R188" s="29">
        <f>SUM('план на 2016'!$L189:R189)-SUM('членские взносы'!$M190:'членские взносы'!R190)</f>
        <v>26800</v>
      </c>
      <c r="S188" s="29">
        <f>SUM('план на 2016'!$L189:S189)-SUM('членские взносы'!$M190:'членские взносы'!S190)</f>
        <v>27600</v>
      </c>
      <c r="T188" s="29">
        <f>SUM('план на 2016'!$L189:T189)-SUM('членские взносы'!$M190:'членские взносы'!T190)</f>
        <v>23400</v>
      </c>
      <c r="U188" s="29">
        <f>SUM('план на 2016'!$L189:U189)-SUM('членские взносы'!$M190:'членские взносы'!U190)</f>
        <v>24200</v>
      </c>
      <c r="V188" s="29">
        <f>SUM('план на 2016'!$L189:V189)-SUM('членские взносы'!$M190:'членские взносы'!V190)</f>
        <v>25000</v>
      </c>
      <c r="W188" s="29">
        <f>SUM('план на 2016'!$L189:W189)-SUM('членские взносы'!$M190:'членские взносы'!W190)</f>
        <v>25800</v>
      </c>
      <c r="X188" s="29">
        <f>SUM('план на 2016'!$L189:X189)-SUM('членские взносы'!$M190:'членские взносы'!X190)</f>
        <v>26600</v>
      </c>
      <c r="Y188" s="18">
        <f t="shared" si="17"/>
        <v>26600</v>
      </c>
    </row>
    <row r="189" spans="1:25">
      <c r="A189" s="41">
        <f>VLOOKUP(B189,справочник!$B$2:$E$322,4,FALSE)</f>
        <v>211</v>
      </c>
      <c r="B189" t="str">
        <f t="shared" si="14"/>
        <v>220Модин Игорь Николаевич</v>
      </c>
      <c r="C189" s="1">
        <v>220</v>
      </c>
      <c r="D189" s="2" t="s">
        <v>174</v>
      </c>
      <c r="E189" s="1" t="s">
        <v>490</v>
      </c>
      <c r="F189" s="16">
        <v>41417</v>
      </c>
      <c r="G189" s="16">
        <v>41426</v>
      </c>
      <c r="H189" s="17">
        <f t="shared" si="19"/>
        <v>31</v>
      </c>
      <c r="I189" s="1">
        <f t="shared" si="20"/>
        <v>31000</v>
      </c>
      <c r="J189" s="17">
        <v>26000</v>
      </c>
      <c r="K189" s="17">
        <v>7000</v>
      </c>
      <c r="L189" s="18">
        <f t="shared" si="21"/>
        <v>-2000</v>
      </c>
      <c r="M189" s="29">
        <f>SUM('план на 2016'!$L190:M190)-SUM('членские взносы'!$M191:'членские взносы'!M191)</f>
        <v>-1200</v>
      </c>
      <c r="N189" s="29">
        <f>SUM('план на 2016'!$L190:N190)-SUM('членские взносы'!$M191:'членские взносы'!N191)</f>
        <v>-400</v>
      </c>
      <c r="O189" s="29">
        <f>SUM('план на 2016'!$L190:O190)-SUM('членские взносы'!$M191:'членские взносы'!O191)</f>
        <v>400</v>
      </c>
      <c r="P189" s="29">
        <f>SUM('план на 2016'!$L190:P190)-SUM('членские взносы'!$M191:'членские взносы'!P191)</f>
        <v>1200</v>
      </c>
      <c r="Q189" s="29">
        <f>SUM('план на 2016'!$L190:Q190)-SUM('членские взносы'!$M191:'членские взносы'!Q191)</f>
        <v>2000</v>
      </c>
      <c r="R189" s="29">
        <f>SUM('план на 2016'!$L190:R190)-SUM('членские взносы'!$M191:'членские взносы'!R191)</f>
        <v>2800</v>
      </c>
      <c r="S189" s="29">
        <f>SUM('план на 2016'!$L190:S190)-SUM('членские взносы'!$M191:'членские взносы'!S191)</f>
        <v>3600</v>
      </c>
      <c r="T189" s="29">
        <f>SUM('план на 2016'!$L190:T190)-SUM('членские взносы'!$M191:'членские взносы'!T191)</f>
        <v>4400</v>
      </c>
      <c r="U189" s="29">
        <f>SUM('план на 2016'!$L190:U190)-SUM('членские взносы'!$M191:'членские взносы'!U191)</f>
        <v>5200</v>
      </c>
      <c r="V189" s="29">
        <f>SUM('план на 2016'!$L190:V190)-SUM('членские взносы'!$M191:'членские взносы'!V191)</f>
        <v>-3600</v>
      </c>
      <c r="W189" s="29">
        <f>SUM('план на 2016'!$L190:W190)-SUM('членские взносы'!$M191:'членские взносы'!W191)</f>
        <v>-2800</v>
      </c>
      <c r="X189" s="29">
        <f>SUM('план на 2016'!$L190:X190)-SUM('членские взносы'!$M191:'членские взносы'!X191)</f>
        <v>-2000</v>
      </c>
      <c r="Y189" s="18">
        <f t="shared" si="17"/>
        <v>-2000</v>
      </c>
    </row>
    <row r="190" spans="1:25" ht="25.5" customHeight="1">
      <c r="A190" s="41">
        <f>VLOOKUP(B190,справочник!$B$2:$E$322,4,FALSE)</f>
        <v>242</v>
      </c>
      <c r="B190" t="str">
        <f t="shared" si="14"/>
        <v>253Моисеев Андрей Валентинович</v>
      </c>
      <c r="C190" s="1">
        <v>253</v>
      </c>
      <c r="D190" s="2" t="s">
        <v>175</v>
      </c>
      <c r="E190" s="1" t="s">
        <v>491</v>
      </c>
      <c r="F190" s="16">
        <v>41352</v>
      </c>
      <c r="G190" s="16">
        <v>41365</v>
      </c>
      <c r="H190" s="17">
        <f t="shared" si="19"/>
        <v>33</v>
      </c>
      <c r="I190" s="1">
        <f t="shared" si="20"/>
        <v>33000</v>
      </c>
      <c r="J190" s="17">
        <v>4000</v>
      </c>
      <c r="K190" s="17"/>
      <c r="L190" s="18">
        <f t="shared" si="21"/>
        <v>29000</v>
      </c>
      <c r="M190" s="29">
        <f>SUM('план на 2016'!$L191:M191)-SUM('членские взносы'!$M192:'членские взносы'!M192)</f>
        <v>29800</v>
      </c>
      <c r="N190" s="29">
        <f>SUM('план на 2016'!$L191:N191)-SUM('членские взносы'!$M192:'членские взносы'!N192)</f>
        <v>30600</v>
      </c>
      <c r="O190" s="29">
        <f>SUM('план на 2016'!$L191:O191)-SUM('членские взносы'!$M192:'членские взносы'!O192)</f>
        <v>31400</v>
      </c>
      <c r="P190" s="29">
        <f>SUM('план на 2016'!$L191:P191)-SUM('членские взносы'!$M192:'членские взносы'!P192)</f>
        <v>32200</v>
      </c>
      <c r="Q190" s="29">
        <f>SUM('план на 2016'!$L191:Q191)-SUM('членские взносы'!$M192:'членские взносы'!Q192)</f>
        <v>33000</v>
      </c>
      <c r="R190" s="29">
        <f>SUM('план на 2016'!$L191:R191)-SUM('членские взносы'!$M192:'членские взносы'!R192)</f>
        <v>33800</v>
      </c>
      <c r="S190" s="29">
        <f>SUM('план на 2016'!$L191:S191)-SUM('членские взносы'!$M192:'членские взносы'!S192)</f>
        <v>34600</v>
      </c>
      <c r="T190" s="29">
        <f>SUM('план на 2016'!$L191:T191)-SUM('членские взносы'!$M192:'членские взносы'!T192)</f>
        <v>35400</v>
      </c>
      <c r="U190" s="29">
        <f>SUM('план на 2016'!$L191:U191)-SUM('членские взносы'!$M192:'членские взносы'!U192)</f>
        <v>36200</v>
      </c>
      <c r="V190" s="29">
        <f>SUM('план на 2016'!$L191:V191)-SUM('членские взносы'!$M192:'членские взносы'!V192)</f>
        <v>37000</v>
      </c>
      <c r="W190" s="29">
        <f>SUM('план на 2016'!$L191:W191)-SUM('членские взносы'!$M192:'членские взносы'!W192)</f>
        <v>37800</v>
      </c>
      <c r="X190" s="29">
        <f>SUM('план на 2016'!$L191:X191)-SUM('членские взносы'!$M192:'членские взносы'!X192)</f>
        <v>38600</v>
      </c>
      <c r="Y190" s="18">
        <f t="shared" si="17"/>
        <v>38600</v>
      </c>
    </row>
    <row r="191" spans="1:25">
      <c r="A191" s="41">
        <f>VLOOKUP(B191,справочник!$B$2:$E$322,4,FALSE)</f>
        <v>218</v>
      </c>
      <c r="B191" t="str">
        <f t="shared" si="14"/>
        <v>227Молчанова Ирина Владимировна</v>
      </c>
      <c r="C191" s="10">
        <v>227</v>
      </c>
      <c r="D191" s="2" t="s">
        <v>176</v>
      </c>
      <c r="E191" s="1" t="s">
        <v>492</v>
      </c>
      <c r="F191" s="16">
        <v>40793</v>
      </c>
      <c r="G191" s="16">
        <v>40787</v>
      </c>
      <c r="H191" s="17">
        <f t="shared" si="19"/>
        <v>52</v>
      </c>
      <c r="I191" s="1">
        <f t="shared" si="20"/>
        <v>52000</v>
      </c>
      <c r="J191" s="17">
        <v>33000</v>
      </c>
      <c r="K191" s="17">
        <v>5000</v>
      </c>
      <c r="L191" s="18">
        <f t="shared" si="21"/>
        <v>14000</v>
      </c>
      <c r="M191" s="29">
        <f>SUM('план на 2016'!$L192:M192)-SUM('членские взносы'!$M193:'членские взносы'!M193)</f>
        <v>14800</v>
      </c>
      <c r="N191" s="29">
        <f>SUM('план на 2016'!$L192:N192)-SUM('членские взносы'!$M193:'членские взносы'!N193)</f>
        <v>15600</v>
      </c>
      <c r="O191" s="29">
        <f>SUM('план на 2016'!$L192:O192)-SUM('членские взносы'!$M193:'членские взносы'!O193)</f>
        <v>15400</v>
      </c>
      <c r="P191" s="29">
        <f>SUM('план на 2016'!$L192:P192)-SUM('членские взносы'!$M193:'членские взносы'!P193)</f>
        <v>16200</v>
      </c>
      <c r="Q191" s="29">
        <f>SUM('план на 2016'!$L192:Q192)-SUM('членские взносы'!$M193:'членские взносы'!Q193)</f>
        <v>17000</v>
      </c>
      <c r="R191" s="29">
        <f>SUM('план на 2016'!$L192:R192)-SUM('членские взносы'!$M193:'членские взносы'!R193)</f>
        <v>12800</v>
      </c>
      <c r="S191" s="29">
        <f>SUM('план на 2016'!$L192:S192)-SUM('членские взносы'!$M193:'членские взносы'!S193)</f>
        <v>1600</v>
      </c>
      <c r="T191" s="29">
        <f>SUM('план на 2016'!$L192:T192)-SUM('членские взносы'!$M193:'членские взносы'!T193)</f>
        <v>2400</v>
      </c>
      <c r="U191" s="29">
        <f>SUM('план на 2016'!$L192:U192)-SUM('членские взносы'!$M193:'членские взносы'!U193)</f>
        <v>0</v>
      </c>
      <c r="V191" s="29">
        <f>SUM('план на 2016'!$L192:V192)-SUM('членские взносы'!$M193:'членские взносы'!V193)</f>
        <v>800</v>
      </c>
      <c r="W191" s="29">
        <f>SUM('план на 2016'!$L192:W192)-SUM('членские взносы'!$M193:'членские взносы'!W193)</f>
        <v>1600</v>
      </c>
      <c r="X191" s="29">
        <f>SUM('план на 2016'!$L192:X192)-SUM('членские взносы'!$M193:'членские взносы'!X193)</f>
        <v>0</v>
      </c>
      <c r="Y191" s="18">
        <f t="shared" si="17"/>
        <v>0</v>
      </c>
    </row>
    <row r="192" spans="1:25">
      <c r="A192" s="41">
        <f>VLOOKUP(B192,справочник!$B$2:$E$322,4,FALSE)</f>
        <v>120</v>
      </c>
      <c r="B192" t="str">
        <f t="shared" si="14"/>
        <v>125Мудрак Владимир Григорьевич (Марина)</v>
      </c>
      <c r="C192" s="1">
        <v>125</v>
      </c>
      <c r="D192" s="2" t="s">
        <v>177</v>
      </c>
      <c r="E192" s="1" t="s">
        <v>493</v>
      </c>
      <c r="F192" s="16">
        <v>41417</v>
      </c>
      <c r="G192" s="16">
        <v>41426</v>
      </c>
      <c r="H192" s="17">
        <f t="shared" si="19"/>
        <v>31</v>
      </c>
      <c r="I192" s="1">
        <f t="shared" si="20"/>
        <v>31000</v>
      </c>
      <c r="J192" s="17">
        <v>21000</v>
      </c>
      <c r="K192" s="17"/>
      <c r="L192" s="18">
        <f t="shared" si="21"/>
        <v>10000</v>
      </c>
      <c r="M192" s="29">
        <f>SUM('план на 2016'!$L193:M193)-SUM('членские взносы'!$M194:'членские взносы'!M194)</f>
        <v>5800</v>
      </c>
      <c r="N192" s="29">
        <f>SUM('план на 2016'!$L193:N193)-SUM('членские взносы'!$M194:'членские взносы'!N194)</f>
        <v>0</v>
      </c>
      <c r="O192" s="29">
        <f>SUM('план на 2016'!$L193:O193)-SUM('членские взносы'!$M194:'членские взносы'!O194)</f>
        <v>-1200</v>
      </c>
      <c r="P192" s="29">
        <f>SUM('план на 2016'!$L193:P193)-SUM('членские взносы'!$M194:'членские взносы'!P194)</f>
        <v>-400</v>
      </c>
      <c r="Q192" s="29">
        <f>SUM('план на 2016'!$L193:Q193)-SUM('членские взносы'!$M194:'членские взносы'!Q194)</f>
        <v>400</v>
      </c>
      <c r="R192" s="29">
        <f>SUM('план на 2016'!$L193:R193)-SUM('членские взносы'!$M194:'членские взносы'!R194)</f>
        <v>0</v>
      </c>
      <c r="S192" s="29">
        <f>SUM('план на 2016'!$L193:S193)-SUM('членские взносы'!$M194:'членские взносы'!S194)</f>
        <v>800</v>
      </c>
      <c r="T192" s="29">
        <f>SUM('план на 2016'!$L193:T193)-SUM('членские взносы'!$M194:'членские взносы'!T194)</f>
        <v>1600</v>
      </c>
      <c r="U192" s="29">
        <f>SUM('план на 2016'!$L193:U193)-SUM('членские взносы'!$M194:'членские взносы'!U194)</f>
        <v>2400</v>
      </c>
      <c r="V192" s="29">
        <f>SUM('план на 2016'!$L193:V193)-SUM('членские взносы'!$M194:'членские взносы'!V194)</f>
        <v>0</v>
      </c>
      <c r="W192" s="29">
        <f>SUM('план на 2016'!$L193:W193)-SUM('членские взносы'!$M194:'членские взносы'!W194)</f>
        <v>800</v>
      </c>
      <c r="X192" s="29">
        <f>SUM('план на 2016'!$L193:X193)-SUM('членские взносы'!$M194:'членские взносы'!X194)</f>
        <v>0</v>
      </c>
      <c r="Y192" s="18">
        <f t="shared" si="17"/>
        <v>0</v>
      </c>
    </row>
    <row r="193" spans="1:25">
      <c r="A193" s="41">
        <f>VLOOKUP(B193,справочник!$B$2:$E$322,4,FALSE)</f>
        <v>287</v>
      </c>
      <c r="B193" t="str">
        <f t="shared" si="14"/>
        <v>299Мурадова Альбина Сергеевна</v>
      </c>
      <c r="C193" s="1">
        <v>299</v>
      </c>
      <c r="D193" s="2" t="s">
        <v>178</v>
      </c>
      <c r="E193" s="1" t="s">
        <v>494</v>
      </c>
      <c r="F193" s="16">
        <v>41897</v>
      </c>
      <c r="G193" s="16">
        <v>41913</v>
      </c>
      <c r="H193" s="17">
        <f t="shared" si="19"/>
        <v>15</v>
      </c>
      <c r="I193" s="1">
        <f t="shared" si="20"/>
        <v>15000</v>
      </c>
      <c r="J193" s="17">
        <v>13000</v>
      </c>
      <c r="K193" s="17"/>
      <c r="L193" s="18">
        <f t="shared" si="21"/>
        <v>2000</v>
      </c>
      <c r="M193" s="29">
        <f>SUM('план на 2016'!$L194:M194)-SUM('членские взносы'!$M195:'членские взносы'!M195)</f>
        <v>2800</v>
      </c>
      <c r="N193" s="29">
        <f>SUM('план на 2016'!$L194:N194)-SUM('членские взносы'!$M195:'членские взносы'!N195)</f>
        <v>3600</v>
      </c>
      <c r="O193" s="29">
        <f>SUM('план на 2016'!$L194:O194)-SUM('членские взносы'!$M195:'членские взносы'!O195)</f>
        <v>4400</v>
      </c>
      <c r="P193" s="29">
        <f>SUM('план на 2016'!$L194:P194)-SUM('членские взносы'!$M195:'членские взносы'!P195)</f>
        <v>5200</v>
      </c>
      <c r="Q193" s="29">
        <f>SUM('план на 2016'!$L194:Q194)-SUM('членские взносы'!$M195:'членские взносы'!Q195)</f>
        <v>6000</v>
      </c>
      <c r="R193" s="29">
        <f>SUM('план на 2016'!$L194:R194)-SUM('членские взносы'!$M195:'членские взносы'!R195)</f>
        <v>6800</v>
      </c>
      <c r="S193" s="29">
        <f>SUM('план на 2016'!$L194:S194)-SUM('членские взносы'!$M195:'членские взносы'!S195)</f>
        <v>2400</v>
      </c>
      <c r="T193" s="29">
        <f>SUM('план на 2016'!$L194:T194)-SUM('членские взносы'!$M195:'членские взносы'!T195)</f>
        <v>3200</v>
      </c>
      <c r="U193" s="29">
        <f>SUM('план на 2016'!$L194:U194)-SUM('членские взносы'!$M195:'членские взносы'!U195)</f>
        <v>4000</v>
      </c>
      <c r="V193" s="29">
        <f>SUM('план на 2016'!$L194:V194)-SUM('членские взносы'!$M195:'членские взносы'!V195)</f>
        <v>4800</v>
      </c>
      <c r="W193" s="29">
        <f>SUM('план на 2016'!$L194:W194)-SUM('членские взносы'!$M195:'членские взносы'!W195)</f>
        <v>5600</v>
      </c>
      <c r="X193" s="29">
        <f>SUM('план на 2016'!$L194:X194)-SUM('членские взносы'!$M195:'членские взносы'!X195)</f>
        <v>800</v>
      </c>
      <c r="Y193" s="18">
        <f t="shared" si="17"/>
        <v>800</v>
      </c>
    </row>
    <row r="194" spans="1:25">
      <c r="A194" s="41">
        <f>VLOOKUP(B194,справочник!$B$2:$E$322,4,FALSE)</f>
        <v>170</v>
      </c>
      <c r="B194" t="str">
        <f t="shared" si="14"/>
        <v>178Науменко Дмитрий Александрович</v>
      </c>
      <c r="C194" s="1">
        <v>178</v>
      </c>
      <c r="D194" s="2" t="s">
        <v>179</v>
      </c>
      <c r="E194" s="5" t="s">
        <v>495</v>
      </c>
      <c r="F194" s="19">
        <v>41414</v>
      </c>
      <c r="G194" s="19">
        <v>41456</v>
      </c>
      <c r="H194" s="20">
        <f t="shared" si="19"/>
        <v>30</v>
      </c>
      <c r="I194" s="5">
        <f t="shared" si="20"/>
        <v>30000</v>
      </c>
      <c r="J194" s="20">
        <v>29000</v>
      </c>
      <c r="K194" s="20">
        <v>1000</v>
      </c>
      <c r="L194" s="21">
        <f t="shared" si="21"/>
        <v>0</v>
      </c>
      <c r="M194" s="29">
        <f>SUM('план на 2016'!$L195:M195)-SUM('членские взносы'!$M196:'членские взносы'!M196)</f>
        <v>-2400</v>
      </c>
      <c r="N194" s="29">
        <f>SUM('план на 2016'!$L195:N195)-SUM('членские взносы'!$M196:'членские взносы'!N196)</f>
        <v>-2400</v>
      </c>
      <c r="O194" s="29">
        <f>SUM('план на 2016'!$L195:O195)-SUM('членские взносы'!$M196:'членские взносы'!O196)</f>
        <v>-4800</v>
      </c>
      <c r="P194" s="29">
        <f>SUM('план на 2016'!$L195:P195)-SUM('членские взносы'!$M196:'членские взносы'!P196)</f>
        <v>-4800</v>
      </c>
      <c r="Q194" s="29">
        <f>SUM('план на 2016'!$L195:Q195)-SUM('членские взносы'!$M196:'членские взносы'!Q196)</f>
        <v>-4800</v>
      </c>
      <c r="R194" s="29">
        <f>SUM('план на 2016'!$L195:R195)-SUM('членские взносы'!$M196:'членские взносы'!R196)</f>
        <v>-7200</v>
      </c>
      <c r="S194" s="29">
        <f>SUM('план на 2016'!$L195:S195)-SUM('членские взносы'!$M196:'членские взносы'!S196)</f>
        <v>-7200</v>
      </c>
      <c r="T194" s="29">
        <f>SUM('план на 2016'!$L195:T195)-SUM('членские взносы'!$M196:'членские взносы'!T196)</f>
        <v>-7200</v>
      </c>
      <c r="U194" s="29">
        <f>SUM('план на 2016'!$L195:U195)-SUM('членские взносы'!$M196:'членские взносы'!U196)</f>
        <v>-7200</v>
      </c>
      <c r="V194" s="29">
        <f>SUM('план на 2016'!$L195:V195)-SUM('членские взносы'!$M196:'членские взносы'!V196)</f>
        <v>-9600</v>
      </c>
      <c r="W194" s="29">
        <f>SUM('план на 2016'!$L195:W195)-SUM('членские взносы'!$M196:'членские взносы'!W196)</f>
        <v>-9600</v>
      </c>
      <c r="X194" s="29">
        <f>SUM('план на 2016'!$L195:X195)-SUM('членские взносы'!$M196:'членские взносы'!X196)</f>
        <v>-12000</v>
      </c>
      <c r="Y194" s="18">
        <f t="shared" si="17"/>
        <v>-12000</v>
      </c>
    </row>
    <row r="195" spans="1:25">
      <c r="A195" s="41">
        <f>VLOOKUP(B195,справочник!$B$2:$E$322,4,FALSE)</f>
        <v>170</v>
      </c>
      <c r="B195" t="str">
        <f t="shared" si="14"/>
        <v>179Науменко Дмитрий Александрович</v>
      </c>
      <c r="C195" s="1">
        <v>179</v>
      </c>
      <c r="D195" s="2" t="s">
        <v>179</v>
      </c>
      <c r="E195" s="5" t="s">
        <v>496</v>
      </c>
      <c r="F195" s="19">
        <v>41414</v>
      </c>
      <c r="G195" s="19">
        <v>41456</v>
      </c>
      <c r="H195" s="20">
        <f t="shared" si="19"/>
        <v>30</v>
      </c>
      <c r="I195" s="5">
        <f t="shared" si="20"/>
        <v>30000</v>
      </c>
      <c r="J195" s="20">
        <v>29000</v>
      </c>
      <c r="K195" s="20">
        <v>1000</v>
      </c>
      <c r="L195" s="21">
        <f t="shared" si="21"/>
        <v>0</v>
      </c>
      <c r="M195" s="29">
        <f>SUM('план на 2016'!$L196:M196)-SUM('членские взносы'!$M197:'членские взносы'!M197)</f>
        <v>800</v>
      </c>
      <c r="N195" s="29">
        <f>SUM('план на 2016'!$L196:N196)-SUM('членские взносы'!$M197:'членские взносы'!N197)</f>
        <v>1600</v>
      </c>
      <c r="O195" s="29">
        <f>SUM('план на 2016'!$L196:O196)-SUM('членские взносы'!$M197:'членские взносы'!O197)</f>
        <v>2400</v>
      </c>
      <c r="P195" s="29">
        <f>SUM('план на 2016'!$L196:P196)-SUM('членские взносы'!$M197:'членские взносы'!P197)</f>
        <v>3200</v>
      </c>
      <c r="Q195" s="29">
        <f>SUM('план на 2016'!$L196:Q196)-SUM('членские взносы'!$M197:'членские взносы'!Q197)</f>
        <v>4000</v>
      </c>
      <c r="R195" s="29">
        <f>SUM('план на 2016'!$L196:R196)-SUM('членские взносы'!$M197:'членские взносы'!R197)</f>
        <v>4800</v>
      </c>
      <c r="S195" s="29">
        <f>SUM('план на 2016'!$L196:S196)-SUM('членские взносы'!$M197:'членские взносы'!S197)</f>
        <v>5600</v>
      </c>
      <c r="T195" s="29">
        <f>SUM('план на 2016'!$L196:T196)-SUM('членские взносы'!$M197:'членские взносы'!T197)</f>
        <v>6400</v>
      </c>
      <c r="U195" s="29">
        <f>SUM('план на 2016'!$L196:U196)-SUM('членские взносы'!$M197:'членские взносы'!U197)</f>
        <v>7200</v>
      </c>
      <c r="V195" s="29">
        <f>SUM('план на 2016'!$L196:V196)-SUM('членские взносы'!$M197:'членские взносы'!V197)</f>
        <v>8000</v>
      </c>
      <c r="W195" s="29">
        <f>SUM('план на 2016'!$L196:W196)-SUM('членские взносы'!$M197:'членские взносы'!W197)</f>
        <v>8800</v>
      </c>
      <c r="X195" s="29">
        <f>SUM('план на 2016'!$L196:X196)-SUM('членские взносы'!$M197:'членские взносы'!X197)</f>
        <v>9600</v>
      </c>
      <c r="Y195" s="18">
        <f t="shared" si="17"/>
        <v>9600</v>
      </c>
    </row>
    <row r="196" spans="1:25">
      <c r="A196" s="41">
        <f>VLOOKUP(B196,справочник!$B$2:$E$322,4,FALSE)</f>
        <v>290</v>
      </c>
      <c r="B196" t="str">
        <f t="shared" si="14"/>
        <v>303Недосенко Татьяна Сергеевна (Олег)</v>
      </c>
      <c r="C196" s="1">
        <v>303</v>
      </c>
      <c r="D196" s="2" t="s">
        <v>180</v>
      </c>
      <c r="E196" s="1" t="s">
        <v>497</v>
      </c>
      <c r="F196" s="16">
        <v>40959</v>
      </c>
      <c r="G196" s="16">
        <v>40940</v>
      </c>
      <c r="H196" s="17">
        <f t="shared" si="19"/>
        <v>47</v>
      </c>
      <c r="I196" s="1">
        <f t="shared" si="20"/>
        <v>47000</v>
      </c>
      <c r="J196" s="17">
        <v>42000</v>
      </c>
      <c r="K196" s="17">
        <v>5000</v>
      </c>
      <c r="L196" s="18">
        <f t="shared" si="21"/>
        <v>0</v>
      </c>
      <c r="M196" s="29">
        <f>SUM('план на 2016'!$L197:M197)-SUM('членские взносы'!$M198:'членские взносы'!M198)</f>
        <v>800</v>
      </c>
      <c r="N196" s="29">
        <f>SUM('план на 2016'!$L197:N197)-SUM('членские взносы'!$M198:'членские взносы'!N198)</f>
        <v>1600</v>
      </c>
      <c r="O196" s="29">
        <f>SUM('план на 2016'!$L197:O197)-SUM('членские взносы'!$M198:'членские взносы'!O198)</f>
        <v>2400</v>
      </c>
      <c r="P196" s="29">
        <f>SUM('план на 2016'!$L197:P197)-SUM('членские взносы'!$M198:'членские взносы'!P198)</f>
        <v>3200</v>
      </c>
      <c r="Q196" s="29">
        <f>SUM('план на 2016'!$L197:Q197)-SUM('членские взносы'!$M198:'членские взносы'!Q198)</f>
        <v>-1000</v>
      </c>
      <c r="R196" s="29">
        <f>SUM('план на 2016'!$L197:R197)-SUM('членские взносы'!$M198:'членские взносы'!R198)</f>
        <v>-200</v>
      </c>
      <c r="S196" s="29">
        <f>SUM('план на 2016'!$L197:S197)-SUM('членские взносы'!$M198:'членские взносы'!S198)</f>
        <v>600</v>
      </c>
      <c r="T196" s="29">
        <f>SUM('план на 2016'!$L197:T197)-SUM('членские взносы'!$M198:'членские взносы'!T198)</f>
        <v>1400</v>
      </c>
      <c r="U196" s="29">
        <f>SUM('план на 2016'!$L197:U197)-SUM('членские взносы'!$M198:'членские взносы'!U198)</f>
        <v>-2800</v>
      </c>
      <c r="V196" s="29">
        <f>SUM('план на 2016'!$L197:V197)-SUM('членские взносы'!$M198:'членские взносы'!V198)</f>
        <v>-2000</v>
      </c>
      <c r="W196" s="29">
        <f>SUM('план на 2016'!$L197:W197)-SUM('членские взносы'!$M198:'членские взносы'!W198)</f>
        <v>-1200</v>
      </c>
      <c r="X196" s="29">
        <f>SUM('план на 2016'!$L197:X197)-SUM('членские взносы'!$M198:'членские взносы'!X198)</f>
        <v>-400</v>
      </c>
      <c r="Y196" s="18">
        <f t="shared" si="17"/>
        <v>-400</v>
      </c>
    </row>
    <row r="197" spans="1:25">
      <c r="A197" s="41">
        <f>VLOOKUP(B197,справочник!$B$2:$E$322,4,FALSE)</f>
        <v>81</v>
      </c>
      <c r="B197" t="str">
        <f t="shared" ref="B197:B260" si="22">CONCATENATE(C197,D197)</f>
        <v>86Нелюбов Сергей Владимирович</v>
      </c>
      <c r="C197" s="1">
        <v>86</v>
      </c>
      <c r="D197" s="2" t="s">
        <v>181</v>
      </c>
      <c r="E197" s="1" t="s">
        <v>498</v>
      </c>
      <c r="F197" s="16">
        <v>40949</v>
      </c>
      <c r="G197" s="16">
        <v>40940</v>
      </c>
      <c r="H197" s="17">
        <f t="shared" si="19"/>
        <v>47</v>
      </c>
      <c r="I197" s="1">
        <f t="shared" si="20"/>
        <v>47000</v>
      </c>
      <c r="J197" s="17">
        <v>44000</v>
      </c>
      <c r="K197" s="17">
        <v>3000</v>
      </c>
      <c r="L197" s="18">
        <f t="shared" si="21"/>
        <v>0</v>
      </c>
      <c r="M197" s="29">
        <f>SUM('план на 2016'!$L198:M198)-SUM('членские взносы'!$M199:'членские взносы'!M199)</f>
        <v>800</v>
      </c>
      <c r="N197" s="29">
        <f>SUM('план на 2016'!$L198:N198)-SUM('членские взносы'!$M199:'членские взносы'!N199)</f>
        <v>1600</v>
      </c>
      <c r="O197" s="29">
        <f>SUM('план на 2016'!$L198:O198)-SUM('членские взносы'!$M199:'членские взносы'!O199)</f>
        <v>-800</v>
      </c>
      <c r="P197" s="29">
        <f>SUM('план на 2016'!$L198:P198)-SUM('членские взносы'!$M199:'членские взносы'!P199)</f>
        <v>0</v>
      </c>
      <c r="Q197" s="29">
        <f>SUM('план на 2016'!$L198:Q198)-SUM('членские взносы'!$M199:'членские взносы'!Q199)</f>
        <v>800</v>
      </c>
      <c r="R197" s="29">
        <f>SUM('план на 2016'!$L198:R198)-SUM('членские взносы'!$M199:'членские взносы'!R199)</f>
        <v>1600</v>
      </c>
      <c r="S197" s="29">
        <f>SUM('план на 2016'!$L198:S198)-SUM('членские взносы'!$M199:'членские взносы'!S199)</f>
        <v>2400</v>
      </c>
      <c r="T197" s="29">
        <f>SUM('план на 2016'!$L198:T198)-SUM('членские взносы'!$M199:'членские взносы'!T199)</f>
        <v>0</v>
      </c>
      <c r="U197" s="29">
        <f>SUM('план на 2016'!$L198:U198)-SUM('членские взносы'!$M199:'членские взносы'!U199)</f>
        <v>800</v>
      </c>
      <c r="V197" s="29">
        <f>SUM('план на 2016'!$L198:V198)-SUM('членские взносы'!$M199:'членские взносы'!V199)</f>
        <v>1600</v>
      </c>
      <c r="W197" s="29">
        <f>SUM('план на 2016'!$L198:W198)-SUM('членские взносы'!$M199:'членские взносы'!W199)</f>
        <v>2400</v>
      </c>
      <c r="X197" s="29">
        <f>SUM('план на 2016'!$L198:X198)-SUM('членские взносы'!$M199:'членские взносы'!X199)</f>
        <v>0</v>
      </c>
      <c r="Y197" s="18">
        <f t="shared" ref="Y197:Y260" si="23">X197</f>
        <v>0</v>
      </c>
    </row>
    <row r="198" spans="1:25">
      <c r="A198" s="41">
        <f>VLOOKUP(B198,справочник!$B$2:$E$322,4,FALSE)</f>
        <v>31</v>
      </c>
      <c r="B198" t="str">
        <f t="shared" si="22"/>
        <v>31Нефедов Михаил Владимирович</v>
      </c>
      <c r="C198" s="1">
        <v>31</v>
      </c>
      <c r="D198" s="2" t="s">
        <v>182</v>
      </c>
      <c r="E198" s="1" t="s">
        <v>499</v>
      </c>
      <c r="F198" s="16">
        <v>40786</v>
      </c>
      <c r="G198" s="16">
        <v>40787</v>
      </c>
      <c r="H198" s="17">
        <f t="shared" si="19"/>
        <v>52</v>
      </c>
      <c r="I198" s="1">
        <f t="shared" si="20"/>
        <v>52000</v>
      </c>
      <c r="J198" s="17">
        <f>10000+42000</f>
        <v>52000</v>
      </c>
      <c r="K198" s="17"/>
      <c r="L198" s="18">
        <f t="shared" si="21"/>
        <v>0</v>
      </c>
      <c r="M198" s="29">
        <f>SUM('план на 2016'!$L199:M199)-SUM('членские взносы'!$M200:'членские взносы'!M200)</f>
        <v>800</v>
      </c>
      <c r="N198" s="29">
        <f>SUM('план на 2016'!$L199:N199)-SUM('членские взносы'!$M200:'членские взносы'!N200)</f>
        <v>1600</v>
      </c>
      <c r="O198" s="29">
        <f>SUM('план на 2016'!$L199:O199)-SUM('членские взносы'!$M200:'членские взносы'!O200)</f>
        <v>2400</v>
      </c>
      <c r="P198" s="29">
        <f>SUM('план на 2016'!$L199:P199)-SUM('членские взносы'!$M200:'членские взносы'!P200)</f>
        <v>800</v>
      </c>
      <c r="Q198" s="29">
        <f>SUM('план на 2016'!$L199:Q199)-SUM('членские взносы'!$M200:'членские взносы'!Q200)</f>
        <v>-800</v>
      </c>
      <c r="R198" s="29">
        <f>SUM('план на 2016'!$L199:R199)-SUM('членские взносы'!$M200:'членские взносы'!R200)</f>
        <v>0</v>
      </c>
      <c r="S198" s="29">
        <f>SUM('план на 2016'!$L199:S199)-SUM('членские взносы'!$M200:'членские взносы'!S200)</f>
        <v>800</v>
      </c>
      <c r="T198" s="29">
        <f>SUM('план на 2016'!$L199:T199)-SUM('членские взносы'!$M200:'членские взносы'!T200)</f>
        <v>-3200</v>
      </c>
      <c r="U198" s="29">
        <f>SUM('план на 2016'!$L199:U199)-SUM('членские взносы'!$M200:'членские взносы'!U200)</f>
        <v>-2400</v>
      </c>
      <c r="V198" s="29">
        <f>SUM('план на 2016'!$L199:V199)-SUM('членские взносы'!$M200:'членские взносы'!V200)</f>
        <v>-1600</v>
      </c>
      <c r="W198" s="29">
        <f>SUM('план на 2016'!$L199:W199)-SUM('членские взносы'!$M200:'членские взносы'!W200)</f>
        <v>-800</v>
      </c>
      <c r="X198" s="29">
        <f>SUM('план на 2016'!$L199:X199)-SUM('членские взносы'!$M200:'членские взносы'!X200)</f>
        <v>0</v>
      </c>
      <c r="Y198" s="18">
        <f t="shared" si="23"/>
        <v>0</v>
      </c>
    </row>
    <row r="199" spans="1:25">
      <c r="A199" s="41">
        <f>VLOOKUP(B199,справочник!$B$2:$E$322,4,FALSE)</f>
        <v>104</v>
      </c>
      <c r="B199" t="str">
        <f t="shared" si="22"/>
        <v>109Никифоров Андрей Леонидович</v>
      </c>
      <c r="C199" s="1">
        <v>109</v>
      </c>
      <c r="D199" s="2" t="s">
        <v>183</v>
      </c>
      <c r="E199" s="1" t="s">
        <v>500</v>
      </c>
      <c r="F199" s="16">
        <v>40893</v>
      </c>
      <c r="G199" s="16">
        <v>40878</v>
      </c>
      <c r="H199" s="17">
        <f t="shared" si="19"/>
        <v>49</v>
      </c>
      <c r="I199" s="1">
        <f t="shared" si="20"/>
        <v>49000</v>
      </c>
      <c r="J199" s="17">
        <f>1000+45000</f>
        <v>46000</v>
      </c>
      <c r="K199" s="17"/>
      <c r="L199" s="18">
        <f t="shared" si="21"/>
        <v>3000</v>
      </c>
      <c r="M199" s="29">
        <f>SUM('план на 2016'!$L200:M200)-SUM('членские взносы'!$M201:'членские взносы'!M201)</f>
        <v>3800</v>
      </c>
      <c r="N199" s="29">
        <f>SUM('план на 2016'!$L200:N200)-SUM('членские взносы'!$M201:'членские взносы'!N201)</f>
        <v>4600</v>
      </c>
      <c r="O199" s="29">
        <f>SUM('план на 2016'!$L200:O200)-SUM('членские взносы'!$M201:'членские взносы'!O201)</f>
        <v>5400</v>
      </c>
      <c r="P199" s="29">
        <f>SUM('план на 2016'!$L200:P200)-SUM('членские взносы'!$M201:'членские взносы'!P201)</f>
        <v>6200</v>
      </c>
      <c r="Q199" s="29">
        <f>SUM('план на 2016'!$L200:Q200)-SUM('членские взносы'!$M201:'членские взносы'!Q201)</f>
        <v>7000</v>
      </c>
      <c r="R199" s="29">
        <f>SUM('план на 2016'!$L200:R200)-SUM('членские взносы'!$M201:'членские взносы'!R201)</f>
        <v>7800</v>
      </c>
      <c r="S199" s="29">
        <f>SUM('план на 2016'!$L200:S200)-SUM('членские взносы'!$M201:'членские взносы'!S201)</f>
        <v>8600</v>
      </c>
      <c r="T199" s="29">
        <f>SUM('план на 2016'!$L200:T200)-SUM('членские взносы'!$M201:'членские взносы'!T201)</f>
        <v>9400</v>
      </c>
      <c r="U199" s="29">
        <f>SUM('план на 2016'!$L200:U200)-SUM('членские взносы'!$M201:'членские взносы'!U201)</f>
        <v>10200</v>
      </c>
      <c r="V199" s="29">
        <f>SUM('план на 2016'!$L200:V200)-SUM('членские взносы'!$M201:'членские взносы'!V201)</f>
        <v>11000</v>
      </c>
      <c r="W199" s="29">
        <f>SUM('план на 2016'!$L200:W200)-SUM('членские взносы'!$M201:'членские взносы'!W201)</f>
        <v>11800</v>
      </c>
      <c r="X199" s="29">
        <f>SUM('план на 2016'!$L200:X200)-SUM('членские взносы'!$M201:'членские взносы'!X201)</f>
        <v>12600</v>
      </c>
      <c r="Y199" s="18">
        <f t="shared" si="23"/>
        <v>12600</v>
      </c>
    </row>
    <row r="200" spans="1:25" ht="25.5" customHeight="1">
      <c r="A200" s="41">
        <f>VLOOKUP(B200,справочник!$B$2:$E$322,4,FALSE)</f>
        <v>85</v>
      </c>
      <c r="B200" t="str">
        <f t="shared" si="22"/>
        <v>90Новиков Виктор Викторович</v>
      </c>
      <c r="C200" s="1">
        <v>90</v>
      </c>
      <c r="D200" s="2" t="s">
        <v>184</v>
      </c>
      <c r="E200" s="1" t="s">
        <v>501</v>
      </c>
      <c r="F200" s="16">
        <v>40695</v>
      </c>
      <c r="G200" s="16">
        <v>40725</v>
      </c>
      <c r="H200" s="17">
        <f t="shared" si="19"/>
        <v>54</v>
      </c>
      <c r="I200" s="1">
        <f t="shared" si="20"/>
        <v>54000</v>
      </c>
      <c r="J200" s="17">
        <f>1000+53000</f>
        <v>54000</v>
      </c>
      <c r="K200" s="17"/>
      <c r="L200" s="18">
        <f t="shared" si="21"/>
        <v>0</v>
      </c>
      <c r="M200" s="29">
        <f>SUM('план на 2016'!$L201:M201)-SUM('членские взносы'!$M202:'членские взносы'!M202)</f>
        <v>800</v>
      </c>
      <c r="N200" s="29">
        <f>SUM('план на 2016'!$L201:N201)-SUM('членские взносы'!$M202:'членские взносы'!N202)</f>
        <v>1600</v>
      </c>
      <c r="O200" s="29">
        <f>SUM('план на 2016'!$L201:O201)-SUM('членские взносы'!$M202:'членские взносы'!O202)</f>
        <v>2400</v>
      </c>
      <c r="P200" s="29">
        <f>SUM('план на 2016'!$L201:P201)-SUM('членские взносы'!$M202:'членские взносы'!P202)</f>
        <v>-1600</v>
      </c>
      <c r="Q200" s="29">
        <f>SUM('план на 2016'!$L201:Q201)-SUM('членские взносы'!$M202:'членские взносы'!Q202)</f>
        <v>-800</v>
      </c>
      <c r="R200" s="29">
        <f>SUM('план на 2016'!$L201:R201)-SUM('членские взносы'!$M202:'членские взносы'!R202)</f>
        <v>0</v>
      </c>
      <c r="S200" s="29">
        <f>SUM('план на 2016'!$L201:S201)-SUM('членские взносы'!$M202:'членские взносы'!S202)</f>
        <v>800</v>
      </c>
      <c r="T200" s="29">
        <f>SUM('план на 2016'!$L201:T201)-SUM('членские взносы'!$M202:'членские взносы'!T202)</f>
        <v>1600</v>
      </c>
      <c r="U200" s="29">
        <f>SUM('план на 2016'!$L201:U201)-SUM('членские взносы'!$M202:'членские взносы'!U202)</f>
        <v>2400</v>
      </c>
      <c r="V200" s="29">
        <f>SUM('план на 2016'!$L201:V201)-SUM('членские взносы'!$M202:'членские взносы'!V202)</f>
        <v>3200</v>
      </c>
      <c r="W200" s="29">
        <f>SUM('план на 2016'!$L201:W201)-SUM('членские взносы'!$M202:'членские взносы'!W202)</f>
        <v>4000</v>
      </c>
      <c r="X200" s="29">
        <f>SUM('план на 2016'!$L201:X201)-SUM('членские взносы'!$M202:'членские взносы'!X202)</f>
        <v>4800</v>
      </c>
      <c r="Y200" s="18">
        <f t="shared" si="23"/>
        <v>4800</v>
      </c>
    </row>
    <row r="201" spans="1:25" ht="25.5" customHeight="1">
      <c r="A201" s="41">
        <f>VLOOKUP(B201,справочник!$B$2:$E$322,4,FALSE)</f>
        <v>300</v>
      </c>
      <c r="B201" t="str">
        <f t="shared" si="22"/>
        <v>315Новикова Наталья Петровна</v>
      </c>
      <c r="C201" s="1">
        <v>315</v>
      </c>
      <c r="D201" s="2" t="s">
        <v>185</v>
      </c>
      <c r="E201" s="1" t="s">
        <v>502</v>
      </c>
      <c r="F201" s="16">
        <v>41999</v>
      </c>
      <c r="G201" s="16">
        <v>42005</v>
      </c>
      <c r="H201" s="17">
        <f t="shared" si="19"/>
        <v>12</v>
      </c>
      <c r="I201" s="1">
        <f t="shared" si="20"/>
        <v>12000</v>
      </c>
      <c r="J201" s="17">
        <v>1000</v>
      </c>
      <c r="K201" s="17"/>
      <c r="L201" s="18">
        <f t="shared" si="21"/>
        <v>11000</v>
      </c>
      <c r="M201" s="29">
        <f>SUM('план на 2016'!$L202:M202)-SUM('членские взносы'!$M203:'членские взносы'!M203)</f>
        <v>11800</v>
      </c>
      <c r="N201" s="29">
        <f>SUM('план на 2016'!$L202:N202)-SUM('членские взносы'!$M203:'членские взносы'!N203)</f>
        <v>12600</v>
      </c>
      <c r="O201" s="29">
        <f>SUM('план на 2016'!$L202:O202)-SUM('членские взносы'!$M203:'членские взносы'!O203)</f>
        <v>13400</v>
      </c>
      <c r="P201" s="29">
        <f>SUM('план на 2016'!$L202:P202)-SUM('членские взносы'!$M203:'членские взносы'!P203)</f>
        <v>14200</v>
      </c>
      <c r="Q201" s="29">
        <f>SUM('план на 2016'!$L202:Q202)-SUM('членские взносы'!$M203:'членские взносы'!Q203)</f>
        <v>15000</v>
      </c>
      <c r="R201" s="29">
        <f>SUM('план на 2016'!$L202:R202)-SUM('членские взносы'!$M203:'членские взносы'!R203)</f>
        <v>15800</v>
      </c>
      <c r="S201" s="29">
        <f>SUM('план на 2016'!$L202:S202)-SUM('членские взносы'!$M203:'членские взносы'!S203)</f>
        <v>16600</v>
      </c>
      <c r="T201" s="29">
        <f>SUM('план на 2016'!$L202:T202)-SUM('членские взносы'!$M203:'членские взносы'!T203)</f>
        <v>17400</v>
      </c>
      <c r="U201" s="29">
        <f>SUM('план на 2016'!$L202:U202)-SUM('членские взносы'!$M203:'членские взносы'!U203)</f>
        <v>18200</v>
      </c>
      <c r="V201" s="29">
        <f>SUM('план на 2016'!$L202:V202)-SUM('членские взносы'!$M203:'членские взносы'!V203)</f>
        <v>19000</v>
      </c>
      <c r="W201" s="29">
        <f>SUM('план на 2016'!$L202:W202)-SUM('членские взносы'!$M203:'членские взносы'!W203)</f>
        <v>19800</v>
      </c>
      <c r="X201" s="29">
        <f>SUM('план на 2016'!$L202:X202)-SUM('членские взносы'!$M203:'членские взносы'!X203)</f>
        <v>20600</v>
      </c>
      <c r="Y201" s="18">
        <f t="shared" si="23"/>
        <v>20600</v>
      </c>
    </row>
    <row r="202" spans="1:25">
      <c r="A202" s="41">
        <f>VLOOKUP(B202,справочник!$B$2:$E$322,4,FALSE)</f>
        <v>47</v>
      </c>
      <c r="B202" t="str">
        <f t="shared" si="22"/>
        <v>47Новикова Светлана Владимировна (Анатолий)</v>
      </c>
      <c r="C202" s="1">
        <v>47</v>
      </c>
      <c r="D202" s="2" t="s">
        <v>186</v>
      </c>
      <c r="E202" s="1" t="s">
        <v>503</v>
      </c>
      <c r="F202" s="16">
        <v>41375</v>
      </c>
      <c r="G202" s="16">
        <v>41395</v>
      </c>
      <c r="H202" s="17">
        <f t="shared" si="19"/>
        <v>32</v>
      </c>
      <c r="I202" s="1">
        <f t="shared" si="20"/>
        <v>32000</v>
      </c>
      <c r="J202" s="17">
        <v>9000</v>
      </c>
      <c r="K202" s="17"/>
      <c r="L202" s="18">
        <f t="shared" si="21"/>
        <v>23000</v>
      </c>
      <c r="M202" s="29">
        <f>SUM('план на 2016'!$L203:M203)-SUM('членские взносы'!$M204:'членские взносы'!M204)</f>
        <v>23800</v>
      </c>
      <c r="N202" s="29">
        <f>SUM('план на 2016'!$L203:N203)-SUM('членские взносы'!$M204:'членские взносы'!N204)</f>
        <v>24600</v>
      </c>
      <c r="O202" s="29">
        <f>SUM('план на 2016'!$L203:O203)-SUM('членские взносы'!$M204:'членские взносы'!O204)</f>
        <v>25400</v>
      </c>
      <c r="P202" s="29">
        <f>SUM('план на 2016'!$L203:P203)-SUM('членские взносы'!$M204:'членские взносы'!P204)</f>
        <v>26200</v>
      </c>
      <c r="Q202" s="29">
        <f>SUM('план на 2016'!$L203:Q203)-SUM('членские взносы'!$M204:'членские взносы'!Q204)</f>
        <v>27000</v>
      </c>
      <c r="R202" s="29">
        <f>SUM('план на 2016'!$L203:R203)-SUM('членские взносы'!$M204:'членские взносы'!R204)</f>
        <v>27800</v>
      </c>
      <c r="S202" s="29">
        <f>SUM('план на 2016'!$L203:S203)-SUM('членские взносы'!$M204:'членские взносы'!S204)</f>
        <v>28600</v>
      </c>
      <c r="T202" s="29">
        <f>SUM('план на 2016'!$L203:T203)-SUM('членские взносы'!$M204:'членские взносы'!T204)</f>
        <v>29400</v>
      </c>
      <c r="U202" s="29">
        <f>SUM('план на 2016'!$L203:U203)-SUM('членские взносы'!$M204:'членские взносы'!U204)</f>
        <v>30200</v>
      </c>
      <c r="V202" s="29">
        <f>SUM('план на 2016'!$L203:V203)-SUM('членские взносы'!$M204:'членские взносы'!V204)</f>
        <v>31000</v>
      </c>
      <c r="W202" s="29">
        <f>SUM('план на 2016'!$L203:W203)-SUM('членские взносы'!$M204:'членские взносы'!W204)</f>
        <v>31800</v>
      </c>
      <c r="X202" s="29">
        <f>SUM('план на 2016'!$L203:X203)-SUM('членские взносы'!$M204:'членские взносы'!X204)</f>
        <v>32600</v>
      </c>
      <c r="Y202" s="18">
        <f t="shared" si="23"/>
        <v>32600</v>
      </c>
    </row>
    <row r="203" spans="1:25">
      <c r="A203" s="41">
        <f>VLOOKUP(B203,справочник!$B$2:$E$322,4,FALSE)</f>
        <v>282</v>
      </c>
      <c r="B203" t="str">
        <f t="shared" si="22"/>
        <v xml:space="preserve">294Нормуротов Анваржон Абдирайимович    </v>
      </c>
      <c r="C203" s="1">
        <v>294</v>
      </c>
      <c r="D203" s="2" t="s">
        <v>187</v>
      </c>
      <c r="E203" s="23" t="s">
        <v>474</v>
      </c>
      <c r="F203" s="24">
        <v>41716</v>
      </c>
      <c r="G203" s="24">
        <v>41730</v>
      </c>
      <c r="H203" s="17">
        <f t="shared" si="19"/>
        <v>21</v>
      </c>
      <c r="I203" s="1">
        <f t="shared" si="20"/>
        <v>21000</v>
      </c>
      <c r="J203" s="17">
        <v>18000</v>
      </c>
      <c r="K203" s="17"/>
      <c r="L203" s="18">
        <f t="shared" si="21"/>
        <v>3000</v>
      </c>
      <c r="M203" s="29">
        <f>SUM('план на 2016'!$L204:M204)-SUM('членские взносы'!$M205:'членские взносы'!M205)</f>
        <v>3800</v>
      </c>
      <c r="N203" s="29">
        <f>SUM('план на 2016'!$L204:N204)-SUM('членские взносы'!$M205:'членские взносы'!N205)</f>
        <v>4600</v>
      </c>
      <c r="O203" s="29">
        <f>SUM('план на 2016'!$L204:O204)-SUM('членские взносы'!$M205:'членские взносы'!O205)</f>
        <v>5400</v>
      </c>
      <c r="P203" s="29">
        <f>SUM('план на 2016'!$L204:P204)-SUM('членские взносы'!$M205:'членские взносы'!P205)</f>
        <v>6200</v>
      </c>
      <c r="Q203" s="29">
        <f>SUM('план на 2016'!$L204:Q204)-SUM('членские взносы'!$M205:'членские взносы'!Q205)</f>
        <v>7000</v>
      </c>
      <c r="R203" s="29">
        <f>SUM('план на 2016'!$L204:R204)-SUM('членские взносы'!$M205:'членские взносы'!R205)</f>
        <v>7800</v>
      </c>
      <c r="S203" s="29">
        <f>SUM('план на 2016'!$L204:S204)-SUM('членские взносы'!$M205:'членские взносы'!S205)</f>
        <v>8600</v>
      </c>
      <c r="T203" s="29">
        <f>SUM('план на 2016'!$L204:T204)-SUM('членские взносы'!$M205:'членские взносы'!T205)</f>
        <v>9400</v>
      </c>
      <c r="U203" s="29">
        <f>SUM('план на 2016'!$L204:U204)-SUM('членские взносы'!$M205:'членские взносы'!U205)</f>
        <v>10200</v>
      </c>
      <c r="V203" s="29">
        <f>SUM('план на 2016'!$L204:V204)-SUM('членские взносы'!$M205:'членские взносы'!V205)</f>
        <v>11000</v>
      </c>
      <c r="W203" s="29">
        <f>SUM('план на 2016'!$L204:W204)-SUM('членские взносы'!$M205:'членские взносы'!W205)</f>
        <v>11800</v>
      </c>
      <c r="X203" s="29">
        <f>SUM('план на 2016'!$L204:X204)-SUM('членские взносы'!$M205:'членские взносы'!X205)</f>
        <v>12600</v>
      </c>
      <c r="Y203" s="18">
        <f t="shared" si="23"/>
        <v>12600</v>
      </c>
    </row>
    <row r="204" spans="1:25" ht="25.5" customHeight="1">
      <c r="A204" s="41">
        <f>VLOOKUP(B204,справочник!$B$2:$E$322,4,FALSE)</f>
        <v>204</v>
      </c>
      <c r="B204" t="str">
        <f t="shared" si="22"/>
        <v xml:space="preserve">214Носикова Александра Васильевна </v>
      </c>
      <c r="C204" s="1">
        <v>214</v>
      </c>
      <c r="D204" s="2" t="s">
        <v>188</v>
      </c>
      <c r="E204" s="1" t="s">
        <v>504</v>
      </c>
      <c r="F204" s="1"/>
      <c r="G204" s="1"/>
      <c r="H204" s="17"/>
      <c r="I204" s="1">
        <f t="shared" si="20"/>
        <v>0</v>
      </c>
      <c r="J204" s="17"/>
      <c r="K204" s="17"/>
      <c r="L204" s="18">
        <f t="shared" si="21"/>
        <v>0</v>
      </c>
      <c r="M204" s="29">
        <f>SUM('план на 2016'!$L205:M205)-SUM('членские взносы'!$M206:'членские взносы'!M206)</f>
        <v>800</v>
      </c>
      <c r="N204" s="29">
        <f>SUM('план на 2016'!$L205:N205)-SUM('членские взносы'!$M206:'членские взносы'!N206)</f>
        <v>1600</v>
      </c>
      <c r="O204" s="29">
        <f>SUM('план на 2016'!$L205:O205)-SUM('членские взносы'!$M206:'членские взносы'!O206)</f>
        <v>2400</v>
      </c>
      <c r="P204" s="29">
        <f>SUM('план на 2016'!$L205:P205)-SUM('членские взносы'!$M206:'членские взносы'!P206)</f>
        <v>3200</v>
      </c>
      <c r="Q204" s="29">
        <f>SUM('план на 2016'!$L205:Q205)-SUM('членские взносы'!$M206:'членские взносы'!Q206)</f>
        <v>4000</v>
      </c>
      <c r="R204" s="29">
        <f>SUM('план на 2016'!$L205:R205)-SUM('членские взносы'!$M206:'членские взносы'!R206)</f>
        <v>4800</v>
      </c>
      <c r="S204" s="29">
        <f>SUM('план на 2016'!$L205:S205)-SUM('членские взносы'!$M206:'членские взносы'!S206)</f>
        <v>5600</v>
      </c>
      <c r="T204" s="29">
        <f>SUM('план на 2016'!$L205:T205)-SUM('членские взносы'!$M206:'членские взносы'!T206)</f>
        <v>6400</v>
      </c>
      <c r="U204" s="29">
        <f>SUM('план на 2016'!$L205:U205)-SUM('членские взносы'!$M206:'членские взносы'!U206)</f>
        <v>7200</v>
      </c>
      <c r="V204" s="29">
        <f>SUM('план на 2016'!$L205:V205)-SUM('членские взносы'!$M206:'членские взносы'!V206)</f>
        <v>8000</v>
      </c>
      <c r="W204" s="29">
        <f>SUM('план на 2016'!$L205:W205)-SUM('членские взносы'!$M206:'членские взносы'!W206)</f>
        <v>8800</v>
      </c>
      <c r="X204" s="29">
        <f>SUM('план на 2016'!$L205:X205)-SUM('членские взносы'!$M206:'членские взносы'!X206)</f>
        <v>9600</v>
      </c>
      <c r="Y204" s="18">
        <f t="shared" si="23"/>
        <v>9600</v>
      </c>
    </row>
    <row r="205" spans="1:25">
      <c r="A205" s="41">
        <f>VLOOKUP(B205,справочник!$B$2:$E$322,4,FALSE)</f>
        <v>291</v>
      </c>
      <c r="B205" t="str">
        <f t="shared" si="22"/>
        <v>304Носикова Мария Леонидовна</v>
      </c>
      <c r="C205" s="1">
        <v>304</v>
      </c>
      <c r="D205" s="2" t="s">
        <v>189</v>
      </c>
      <c r="E205" s="1" t="s">
        <v>505</v>
      </c>
      <c r="F205" s="1"/>
      <c r="G205" s="1"/>
      <c r="H205" s="17"/>
      <c r="I205" s="1">
        <f t="shared" si="20"/>
        <v>0</v>
      </c>
      <c r="J205" s="17"/>
      <c r="K205" s="17"/>
      <c r="L205" s="18">
        <f t="shared" si="21"/>
        <v>0</v>
      </c>
      <c r="M205" s="29">
        <f>SUM('план на 2016'!$L206:M206)-SUM('членские взносы'!$M207:'членские взносы'!M207)</f>
        <v>800</v>
      </c>
      <c r="N205" s="29">
        <f>SUM('план на 2016'!$L206:N206)-SUM('членские взносы'!$M207:'членские взносы'!N207)</f>
        <v>1600</v>
      </c>
      <c r="O205" s="29">
        <f>SUM('план на 2016'!$L206:O206)-SUM('членские взносы'!$M207:'членские взносы'!O207)</f>
        <v>2400</v>
      </c>
      <c r="P205" s="29">
        <f>SUM('план на 2016'!$L206:P206)-SUM('членские взносы'!$M207:'членские взносы'!P207)</f>
        <v>3200</v>
      </c>
      <c r="Q205" s="29">
        <f>SUM('план на 2016'!$L206:Q206)-SUM('членские взносы'!$M207:'членские взносы'!Q207)</f>
        <v>4000</v>
      </c>
      <c r="R205" s="29">
        <f>SUM('план на 2016'!$L206:R206)-SUM('членские взносы'!$M207:'членские взносы'!R207)</f>
        <v>4800</v>
      </c>
      <c r="S205" s="29">
        <f>SUM('план на 2016'!$L206:S206)-SUM('членские взносы'!$M207:'членские взносы'!S207)</f>
        <v>5600</v>
      </c>
      <c r="T205" s="29">
        <f>SUM('план на 2016'!$L206:T206)-SUM('членские взносы'!$M207:'членские взносы'!T207)</f>
        <v>6400</v>
      </c>
      <c r="U205" s="29">
        <f>SUM('план на 2016'!$L206:U206)-SUM('членские взносы'!$M207:'членские взносы'!U207)</f>
        <v>7200</v>
      </c>
      <c r="V205" s="29">
        <f>SUM('план на 2016'!$L206:V206)-SUM('членские взносы'!$M207:'членские взносы'!V207)</f>
        <v>8000</v>
      </c>
      <c r="W205" s="29">
        <f>SUM('план на 2016'!$L206:W206)-SUM('членские взносы'!$M207:'членские взносы'!W207)</f>
        <v>8800</v>
      </c>
      <c r="X205" s="29">
        <f>SUM('план на 2016'!$L206:X206)-SUM('членские взносы'!$M207:'членские взносы'!X207)</f>
        <v>9600</v>
      </c>
      <c r="Y205" s="18">
        <f t="shared" si="23"/>
        <v>9600</v>
      </c>
    </row>
    <row r="206" spans="1:25">
      <c r="A206" s="41">
        <f>VLOOKUP(B206,справочник!$B$2:$E$322,4,FALSE)</f>
        <v>89</v>
      </c>
      <c r="B206" t="str">
        <f t="shared" si="22"/>
        <v xml:space="preserve">94Олег (Гусев Николай Михайлович — был) </v>
      </c>
      <c r="C206" s="1">
        <v>94</v>
      </c>
      <c r="D206" s="2" t="s">
        <v>190</v>
      </c>
      <c r="E206" s="1" t="s">
        <v>506</v>
      </c>
      <c r="F206" s="16">
        <v>41106</v>
      </c>
      <c r="G206" s="16">
        <v>41091</v>
      </c>
      <c r="H206" s="17">
        <f t="shared" ref="H206:H212" si="24">INT(($H$326-G206)/30)</f>
        <v>42</v>
      </c>
      <c r="I206" s="1">
        <f t="shared" si="20"/>
        <v>42000</v>
      </c>
      <c r="J206" s="17">
        <f>21000</f>
        <v>21000</v>
      </c>
      <c r="K206" s="17"/>
      <c r="L206" s="18">
        <f t="shared" si="21"/>
        <v>21000</v>
      </c>
      <c r="M206" s="29">
        <f>SUM('план на 2016'!$L207:M207)-SUM('членские взносы'!$M208:'членские взносы'!M208)</f>
        <v>21800</v>
      </c>
      <c r="N206" s="29">
        <f>SUM('план на 2016'!$L207:N207)-SUM('членские взносы'!$M208:'членские взносы'!N208)</f>
        <v>22600</v>
      </c>
      <c r="O206" s="29">
        <f>SUM('план на 2016'!$L207:O207)-SUM('членские взносы'!$M208:'членские взносы'!O208)</f>
        <v>23400</v>
      </c>
      <c r="P206" s="29">
        <f>SUM('план на 2016'!$L207:P207)-SUM('членские взносы'!$M208:'членские взносы'!P208)</f>
        <v>24200</v>
      </c>
      <c r="Q206" s="29">
        <f>SUM('план на 2016'!$L207:Q207)-SUM('членские взносы'!$M208:'членские взносы'!Q208)</f>
        <v>25000</v>
      </c>
      <c r="R206" s="29">
        <f>SUM('план на 2016'!$L207:R207)-SUM('членские взносы'!$M208:'членские взносы'!R208)</f>
        <v>25800</v>
      </c>
      <c r="S206" s="29">
        <f>SUM('план на 2016'!$L207:S207)-SUM('членские взносы'!$M208:'членские взносы'!S208)</f>
        <v>26600</v>
      </c>
      <c r="T206" s="29">
        <f>SUM('план на 2016'!$L207:T207)-SUM('членские взносы'!$M208:'членские взносы'!T208)</f>
        <v>27400</v>
      </c>
      <c r="U206" s="29">
        <f>SUM('план на 2016'!$L207:U207)-SUM('членские взносы'!$M208:'членские взносы'!U208)</f>
        <v>28200</v>
      </c>
      <c r="V206" s="29">
        <f>SUM('план на 2016'!$L207:V207)-SUM('членские взносы'!$M208:'членские взносы'!V208)</f>
        <v>29000</v>
      </c>
      <c r="W206" s="29">
        <f>SUM('план на 2016'!$L207:W207)-SUM('членские взносы'!$M208:'членские взносы'!W208)</f>
        <v>29800</v>
      </c>
      <c r="X206" s="29">
        <f>SUM('план на 2016'!$L207:X207)-SUM('членские взносы'!$M208:'членские взносы'!X208)</f>
        <v>30600</v>
      </c>
      <c r="Y206" s="18">
        <f t="shared" si="23"/>
        <v>30600</v>
      </c>
    </row>
    <row r="207" spans="1:25">
      <c r="A207" s="41">
        <f>VLOOKUP(B207,справочник!$B$2:$E$322,4,FALSE)</f>
        <v>26</v>
      </c>
      <c r="B207" t="str">
        <f t="shared" si="22"/>
        <v xml:space="preserve">26Олейников Дмитрий Александрович </v>
      </c>
      <c r="C207" s="1">
        <v>26</v>
      </c>
      <c r="D207" s="2" t="s">
        <v>191</v>
      </c>
      <c r="E207" s="1" t="s">
        <v>507</v>
      </c>
      <c r="F207" s="16">
        <v>40788</v>
      </c>
      <c r="G207" s="16">
        <v>40787</v>
      </c>
      <c r="H207" s="17">
        <f t="shared" si="24"/>
        <v>52</v>
      </c>
      <c r="I207" s="1">
        <f t="shared" si="20"/>
        <v>52000</v>
      </c>
      <c r="J207" s="17"/>
      <c r="K207" s="17"/>
      <c r="L207" s="18">
        <f t="shared" si="21"/>
        <v>52000</v>
      </c>
      <c r="M207" s="29">
        <f>SUM('план на 2016'!$L208:M208)-SUM('членские взносы'!$M209:'членские взносы'!M209)</f>
        <v>52800</v>
      </c>
      <c r="N207" s="29">
        <f>SUM('план на 2016'!$L208:N208)-SUM('членские взносы'!$M209:'членские взносы'!N209)</f>
        <v>53600</v>
      </c>
      <c r="O207" s="29">
        <f>SUM('план на 2016'!$L208:O208)-SUM('членские взносы'!$M209:'членские взносы'!O209)</f>
        <v>54400</v>
      </c>
      <c r="P207" s="29">
        <f>SUM('план на 2016'!$L208:P208)-SUM('членские взносы'!$M209:'членские взносы'!P209)</f>
        <v>55200</v>
      </c>
      <c r="Q207" s="29">
        <f>SUM('план на 2016'!$L208:Q208)-SUM('членские взносы'!$M209:'членские взносы'!Q209)</f>
        <v>56000</v>
      </c>
      <c r="R207" s="29">
        <f>SUM('план на 2016'!$L208:R208)-SUM('членские взносы'!$M209:'членские взносы'!R209)</f>
        <v>56800</v>
      </c>
      <c r="S207" s="29">
        <f>SUM('план на 2016'!$L208:S208)-SUM('членские взносы'!$M209:'членские взносы'!S209)</f>
        <v>57600</v>
      </c>
      <c r="T207" s="29">
        <f>SUM('план на 2016'!$L208:T208)-SUM('членские взносы'!$M209:'членские взносы'!T209)</f>
        <v>58400</v>
      </c>
      <c r="U207" s="29">
        <f>SUM('план на 2016'!$L208:U208)-SUM('членские взносы'!$M209:'членские взносы'!U209)</f>
        <v>59200</v>
      </c>
      <c r="V207" s="29">
        <f>SUM('план на 2016'!$L208:V208)-SUM('членские взносы'!$M209:'членские взносы'!V209)</f>
        <v>60000</v>
      </c>
      <c r="W207" s="29">
        <f>SUM('план на 2016'!$L208:W208)-SUM('членские взносы'!$M209:'членские взносы'!W209)</f>
        <v>60800</v>
      </c>
      <c r="X207" s="29">
        <f>SUM('план на 2016'!$L208:X208)-SUM('членские взносы'!$M209:'членские взносы'!X209)</f>
        <v>61600</v>
      </c>
      <c r="Y207" s="18">
        <f t="shared" si="23"/>
        <v>61600</v>
      </c>
    </row>
    <row r="208" spans="1:25">
      <c r="A208" s="41">
        <f>VLOOKUP(B208,справочник!$B$2:$E$322,4,FALSE)</f>
        <v>71</v>
      </c>
      <c r="B208" t="str">
        <f t="shared" si="22"/>
        <v>77Олейникова Евгения Александровна</v>
      </c>
      <c r="C208" s="1">
        <v>77</v>
      </c>
      <c r="D208" s="2" t="s">
        <v>192</v>
      </c>
      <c r="E208" s="1" t="s">
        <v>508</v>
      </c>
      <c r="F208" s="16">
        <v>40788</v>
      </c>
      <c r="G208" s="16">
        <v>40787</v>
      </c>
      <c r="H208" s="17">
        <f t="shared" si="24"/>
        <v>52</v>
      </c>
      <c r="I208" s="1">
        <f t="shared" si="20"/>
        <v>52000</v>
      </c>
      <c r="J208" s="17">
        <f>36000+4000</f>
        <v>40000</v>
      </c>
      <c r="K208" s="17"/>
      <c r="L208" s="18">
        <f t="shared" si="21"/>
        <v>12000</v>
      </c>
      <c r="M208" s="29">
        <f>SUM('план на 2016'!$L209:M209)-SUM('членские взносы'!$M210:'членские взносы'!M210)</f>
        <v>12800</v>
      </c>
      <c r="N208" s="29">
        <f>SUM('план на 2016'!$L209:N209)-SUM('членские взносы'!$M210:'членские взносы'!N210)</f>
        <v>13600</v>
      </c>
      <c r="O208" s="29">
        <f>SUM('план на 2016'!$L209:O209)-SUM('членские взносы'!$M210:'членские взносы'!O210)</f>
        <v>14400</v>
      </c>
      <c r="P208" s="29">
        <f>SUM('план на 2016'!$L209:P209)-SUM('членские взносы'!$M210:'членские взносы'!P210)</f>
        <v>15200</v>
      </c>
      <c r="Q208" s="29">
        <f>SUM('план на 2016'!$L209:Q209)-SUM('членские взносы'!$M210:'членские взносы'!Q210)</f>
        <v>16000</v>
      </c>
      <c r="R208" s="29">
        <f>SUM('план на 2016'!$L209:R209)-SUM('членские взносы'!$M210:'членские взносы'!R210)</f>
        <v>16800</v>
      </c>
      <c r="S208" s="29">
        <f>SUM('план на 2016'!$L209:S209)-SUM('членские взносы'!$M210:'членские взносы'!S210)</f>
        <v>17600</v>
      </c>
      <c r="T208" s="29">
        <f>SUM('план на 2016'!$L209:T209)-SUM('членские взносы'!$M210:'членские взносы'!T210)</f>
        <v>18400</v>
      </c>
      <c r="U208" s="29">
        <f>SUM('план на 2016'!$L209:U209)-SUM('членские взносы'!$M210:'членские взносы'!U210)</f>
        <v>19200</v>
      </c>
      <c r="V208" s="29">
        <f>SUM('план на 2016'!$L209:V209)-SUM('членские взносы'!$M210:'членские взносы'!V210)</f>
        <v>20000</v>
      </c>
      <c r="W208" s="29">
        <f>SUM('план на 2016'!$L209:W209)-SUM('членские взносы'!$M210:'членские взносы'!W210)</f>
        <v>20800</v>
      </c>
      <c r="X208" s="29">
        <f>SUM('план на 2016'!$L209:X209)-SUM('членские взносы'!$M210:'членские взносы'!X210)</f>
        <v>21600</v>
      </c>
      <c r="Y208" s="18">
        <f t="shared" si="23"/>
        <v>21600</v>
      </c>
    </row>
    <row r="209" spans="1:25" ht="25.5" customHeight="1">
      <c r="A209" s="41">
        <f>VLOOKUP(B209,справочник!$B$2:$E$322,4,FALSE)</f>
        <v>6</v>
      </c>
      <c r="B209" t="str">
        <f t="shared" si="22"/>
        <v>6Осадчев Константин Владимирович</v>
      </c>
      <c r="C209" s="1">
        <v>6</v>
      </c>
      <c r="D209" s="2" t="s">
        <v>193</v>
      </c>
      <c r="E209" s="1" t="s">
        <v>509</v>
      </c>
      <c r="F209" s="16">
        <v>41939</v>
      </c>
      <c r="G209" s="16">
        <v>41944</v>
      </c>
      <c r="H209" s="17">
        <f t="shared" si="24"/>
        <v>14</v>
      </c>
      <c r="I209" s="1">
        <f t="shared" si="20"/>
        <v>14000</v>
      </c>
      <c r="J209" s="17"/>
      <c r="K209" s="17"/>
      <c r="L209" s="18">
        <f t="shared" si="21"/>
        <v>14000</v>
      </c>
      <c r="M209" s="29">
        <f>SUM('план на 2016'!$L210:M210)-SUM('членские взносы'!$M211:'членские взносы'!M211)</f>
        <v>14800</v>
      </c>
      <c r="N209" s="29">
        <f>SUM('план на 2016'!$L210:N210)-SUM('членские взносы'!$M211:'членские взносы'!N211)</f>
        <v>15600</v>
      </c>
      <c r="O209" s="29">
        <f>SUM('план на 2016'!$L210:O210)-SUM('членские взносы'!$M211:'членские взносы'!O211)</f>
        <v>16400</v>
      </c>
      <c r="P209" s="29">
        <f>SUM('план на 2016'!$L210:P210)-SUM('членские взносы'!$M211:'членские взносы'!P211)</f>
        <v>17200</v>
      </c>
      <c r="Q209" s="29">
        <f>SUM('план на 2016'!$L210:Q210)-SUM('членские взносы'!$M211:'членские взносы'!Q211)</f>
        <v>14000</v>
      </c>
      <c r="R209" s="29">
        <f>SUM('план на 2016'!$L210:R210)-SUM('членские взносы'!$M211:'членские взносы'!R211)</f>
        <v>14800</v>
      </c>
      <c r="S209" s="29">
        <f>SUM('план на 2016'!$L210:S210)-SUM('членские взносы'!$M211:'членские взносы'!S211)</f>
        <v>15600</v>
      </c>
      <c r="T209" s="29">
        <f>SUM('план на 2016'!$L210:T210)-SUM('членские взносы'!$M211:'членские взносы'!T211)</f>
        <v>16400</v>
      </c>
      <c r="U209" s="29">
        <f>SUM('план на 2016'!$L210:U210)-SUM('членские взносы'!$M211:'членские взносы'!U211)</f>
        <v>17200</v>
      </c>
      <c r="V209" s="29">
        <f>SUM('план на 2016'!$L210:V210)-SUM('членские взносы'!$M211:'членские взносы'!V211)</f>
        <v>18000</v>
      </c>
      <c r="W209" s="29">
        <f>SUM('план на 2016'!$L210:W210)-SUM('членские взносы'!$M211:'членские взносы'!W211)</f>
        <v>18800</v>
      </c>
      <c r="X209" s="29">
        <f>SUM('план на 2016'!$L210:X210)-SUM('членские взносы'!$M211:'членские взносы'!X211)</f>
        <v>1600</v>
      </c>
      <c r="Y209" s="18">
        <f t="shared" si="23"/>
        <v>1600</v>
      </c>
    </row>
    <row r="210" spans="1:25" ht="25.5" customHeight="1">
      <c r="A210" s="41">
        <f>VLOOKUP(B210,справочник!$B$2:$E$322,4,FALSE)</f>
        <v>80</v>
      </c>
      <c r="B210" t="str">
        <f t="shared" si="22"/>
        <v>85Острикова Наталья Львовна</v>
      </c>
      <c r="C210" s="1">
        <v>85</v>
      </c>
      <c r="D210" s="2" t="s">
        <v>194</v>
      </c>
      <c r="E210" s="1" t="s">
        <v>510</v>
      </c>
      <c r="F210" s="16">
        <v>40995</v>
      </c>
      <c r="G210" s="16">
        <v>41000</v>
      </c>
      <c r="H210" s="17">
        <f t="shared" si="24"/>
        <v>45</v>
      </c>
      <c r="I210" s="1">
        <f t="shared" si="20"/>
        <v>45000</v>
      </c>
      <c r="J210" s="17">
        <v>45000</v>
      </c>
      <c r="K210" s="17"/>
      <c r="L210" s="18">
        <f t="shared" si="21"/>
        <v>0</v>
      </c>
      <c r="M210" s="29">
        <f>SUM('план на 2016'!$L211:M211)-SUM('членские взносы'!$M212:'членские взносы'!M212)</f>
        <v>800</v>
      </c>
      <c r="N210" s="29">
        <f>SUM('план на 2016'!$L211:N211)-SUM('членские взносы'!$M212:'членские взносы'!N212)</f>
        <v>1600</v>
      </c>
      <c r="O210" s="29">
        <f>SUM('план на 2016'!$L211:O211)-SUM('членские взносы'!$M212:'членские взносы'!O212)</f>
        <v>2400</v>
      </c>
      <c r="P210" s="29">
        <f>SUM('план на 2016'!$L211:P211)-SUM('членские взносы'!$M212:'членские взносы'!P212)</f>
        <v>3200</v>
      </c>
      <c r="Q210" s="29">
        <f>SUM('план на 2016'!$L211:Q211)-SUM('членские взносы'!$M212:'членские взносы'!Q212)</f>
        <v>4000</v>
      </c>
      <c r="R210" s="29">
        <f>SUM('план на 2016'!$L211:R211)-SUM('членские взносы'!$M212:'членские взносы'!R212)</f>
        <v>800</v>
      </c>
      <c r="S210" s="29">
        <f>SUM('план на 2016'!$L211:S211)-SUM('членские взносы'!$M212:'членские взносы'!S212)</f>
        <v>-400</v>
      </c>
      <c r="T210" s="29">
        <f>SUM('план на 2016'!$L211:T211)-SUM('членские взносы'!$M212:'членские взносы'!T212)</f>
        <v>-1600</v>
      </c>
      <c r="U210" s="29">
        <f>SUM('план на 2016'!$L211:U211)-SUM('членские взносы'!$M212:'членские взносы'!U212)</f>
        <v>-800</v>
      </c>
      <c r="V210" s="29">
        <f>SUM('план на 2016'!$L211:V211)-SUM('членские взносы'!$M212:'членские взносы'!V212)</f>
        <v>0</v>
      </c>
      <c r="W210" s="29">
        <f>SUM('план на 2016'!$L211:W211)-SUM('членские взносы'!$M212:'членские взносы'!W212)</f>
        <v>800</v>
      </c>
      <c r="X210" s="29">
        <f>SUM('план на 2016'!$L211:X211)-SUM('членские взносы'!$M212:'членские взносы'!X212)</f>
        <v>1600</v>
      </c>
      <c r="Y210" s="18">
        <f t="shared" si="23"/>
        <v>1600</v>
      </c>
    </row>
    <row r="211" spans="1:25" ht="38.25" customHeight="1">
      <c r="A211" s="41">
        <f>VLOOKUP(B211,справочник!$B$2:$E$322,4,FALSE)</f>
        <v>201</v>
      </c>
      <c r="B211" t="str">
        <f t="shared" si="22"/>
        <v>209Пархачева Эльвира Валентиновна (Алксандр)</v>
      </c>
      <c r="C211" s="1">
        <v>209</v>
      </c>
      <c r="D211" s="2" t="s">
        <v>195</v>
      </c>
      <c r="E211" s="1" t="s">
        <v>511</v>
      </c>
      <c r="F211" s="16">
        <v>40974</v>
      </c>
      <c r="G211" s="16">
        <v>40969</v>
      </c>
      <c r="H211" s="17">
        <f t="shared" si="24"/>
        <v>46</v>
      </c>
      <c r="I211" s="1">
        <f t="shared" si="20"/>
        <v>46000</v>
      </c>
      <c r="J211" s="17">
        <v>38000</v>
      </c>
      <c r="K211" s="17"/>
      <c r="L211" s="18">
        <f t="shared" si="21"/>
        <v>8000</v>
      </c>
      <c r="M211" s="29">
        <f>SUM('план на 2016'!$L212:M212)-SUM('членские взносы'!$M213:'членские взносы'!M213)</f>
        <v>4800</v>
      </c>
      <c r="N211" s="29">
        <f>SUM('план на 2016'!$L212:N212)-SUM('членские взносы'!$M213:'членские взносы'!N213)</f>
        <v>5600</v>
      </c>
      <c r="O211" s="29">
        <f>SUM('план на 2016'!$L212:O212)-SUM('членские взносы'!$M213:'членские взносы'!O213)</f>
        <v>6400</v>
      </c>
      <c r="P211" s="29">
        <f>SUM('план на 2016'!$L212:P212)-SUM('членские взносы'!$M213:'членские взносы'!P213)</f>
        <v>7200</v>
      </c>
      <c r="Q211" s="29">
        <f>SUM('план на 2016'!$L212:Q212)-SUM('членские взносы'!$M213:'членские взносы'!Q213)</f>
        <v>4800</v>
      </c>
      <c r="R211" s="29">
        <f>SUM('план на 2016'!$L212:R212)-SUM('членские взносы'!$M213:'членские взносы'!R213)</f>
        <v>5600</v>
      </c>
      <c r="S211" s="29">
        <f>SUM('план на 2016'!$L212:S212)-SUM('членские взносы'!$M213:'членские взносы'!S213)</f>
        <v>5600</v>
      </c>
      <c r="T211" s="29">
        <f>SUM('план на 2016'!$L212:T212)-SUM('членские взносы'!$M213:'членские взносы'!T213)</f>
        <v>4800</v>
      </c>
      <c r="U211" s="29">
        <f>SUM('план на 2016'!$L212:U212)-SUM('членские взносы'!$M213:'членские взносы'!U213)</f>
        <v>5600</v>
      </c>
      <c r="V211" s="29">
        <f>SUM('план на 2016'!$L212:V212)-SUM('членские взносы'!$M213:'членские взносы'!V213)</f>
        <v>6400</v>
      </c>
      <c r="W211" s="29">
        <f>SUM('план на 2016'!$L212:W212)-SUM('членские взносы'!$M213:'членские взносы'!W213)</f>
        <v>7200</v>
      </c>
      <c r="X211" s="29">
        <f>SUM('план на 2016'!$L212:X212)-SUM('членские взносы'!$M213:'членские взносы'!X213)</f>
        <v>4000</v>
      </c>
      <c r="Y211" s="18">
        <f t="shared" si="23"/>
        <v>4000</v>
      </c>
    </row>
    <row r="212" spans="1:25">
      <c r="A212" s="41">
        <f>VLOOKUP(B212,справочник!$B$2:$E$322,4,FALSE)</f>
        <v>147</v>
      </c>
      <c r="B212" t="str">
        <f t="shared" si="22"/>
        <v>155Пахарева Ольга Александровна (Дмитрий)</v>
      </c>
      <c r="C212" s="1">
        <v>155</v>
      </c>
      <c r="D212" s="2" t="s">
        <v>196</v>
      </c>
      <c r="E212" s="1" t="s">
        <v>512</v>
      </c>
      <c r="F212" s="16">
        <v>40952</v>
      </c>
      <c r="G212" s="16">
        <v>40940</v>
      </c>
      <c r="H212" s="17">
        <f t="shared" si="24"/>
        <v>47</v>
      </c>
      <c r="I212" s="1">
        <f t="shared" si="20"/>
        <v>47000</v>
      </c>
      <c r="J212" s="17">
        <v>32000</v>
      </c>
      <c r="K212" s="17"/>
      <c r="L212" s="18">
        <f t="shared" si="21"/>
        <v>15000</v>
      </c>
      <c r="M212" s="29">
        <f>SUM('план на 2016'!$L213:M213)-SUM('членские взносы'!$M214:'членские взносы'!M214)</f>
        <v>15800</v>
      </c>
      <c r="N212" s="29">
        <f>SUM('план на 2016'!$L213:N213)-SUM('членские взносы'!$M214:'членские взносы'!N214)</f>
        <v>16600</v>
      </c>
      <c r="O212" s="29">
        <f>SUM('план на 2016'!$L213:O213)-SUM('членские взносы'!$M214:'членские взносы'!O214)</f>
        <v>17400</v>
      </c>
      <c r="P212" s="29">
        <f>SUM('план на 2016'!$L213:P213)-SUM('членские взносы'!$M214:'членские взносы'!P214)</f>
        <v>18200</v>
      </c>
      <c r="Q212" s="29">
        <f>SUM('план на 2016'!$L213:Q213)-SUM('членские взносы'!$M214:'членские взносы'!Q214)</f>
        <v>19000</v>
      </c>
      <c r="R212" s="29">
        <f>SUM('план на 2016'!$L213:R213)-SUM('членские взносы'!$M214:'членские взносы'!R214)</f>
        <v>19800</v>
      </c>
      <c r="S212" s="29">
        <f>SUM('план на 2016'!$L213:S213)-SUM('членские взносы'!$M214:'членские взносы'!S214)</f>
        <v>19600</v>
      </c>
      <c r="T212" s="29">
        <f>SUM('план на 2016'!$L213:T213)-SUM('членские взносы'!$M214:'членские взносы'!T214)</f>
        <v>19400</v>
      </c>
      <c r="U212" s="29">
        <f>SUM('план на 2016'!$L213:U213)-SUM('членские взносы'!$M214:'членские взносы'!U214)</f>
        <v>19200</v>
      </c>
      <c r="V212" s="29">
        <f>SUM('план на 2016'!$L213:V213)-SUM('членские взносы'!$M214:'членские взносы'!V214)</f>
        <v>20000</v>
      </c>
      <c r="W212" s="29">
        <f>SUM('план на 2016'!$L213:W213)-SUM('членские взносы'!$M214:'членские взносы'!W214)</f>
        <v>20800</v>
      </c>
      <c r="X212" s="29">
        <f>SUM('план на 2016'!$L213:X213)-SUM('членские взносы'!$M214:'членские взносы'!X214)</f>
        <v>20600</v>
      </c>
      <c r="Y212" s="18">
        <f t="shared" si="23"/>
        <v>20600</v>
      </c>
    </row>
    <row r="213" spans="1:25">
      <c r="A213" s="41" t="e">
        <f>VLOOKUP(B213,справочник!$B$2:$E$322,4,FALSE)</f>
        <v>#N/A</v>
      </c>
      <c r="B213" t="str">
        <f t="shared" si="22"/>
        <v>29_Петрик Наталья Вячеславовна</v>
      </c>
      <c r="C213" s="1" t="s">
        <v>703</v>
      </c>
      <c r="D213" s="46" t="s">
        <v>707</v>
      </c>
      <c r="E213" s="1" t="s">
        <v>513</v>
      </c>
      <c r="F213" s="16">
        <v>40923</v>
      </c>
      <c r="G213" s="16">
        <v>40909</v>
      </c>
      <c r="H213" s="17">
        <v>7</v>
      </c>
      <c r="I213" s="1">
        <f t="shared" si="20"/>
        <v>7000</v>
      </c>
      <c r="J213" s="17">
        <v>7000</v>
      </c>
      <c r="K213" s="17"/>
      <c r="L213" s="18">
        <f t="shared" si="21"/>
        <v>0</v>
      </c>
      <c r="M213" s="29" t="e">
        <f>SUM('план на 2016'!$L214:M214)-SUM('членские взносы'!#REF!:'членские взносы'!#REF!)</f>
        <v>#REF!</v>
      </c>
      <c r="N213" s="29" t="e">
        <f>SUM('план на 2016'!$L214:N214)-SUM('членские взносы'!#REF!:'членские взносы'!#REF!)</f>
        <v>#REF!</v>
      </c>
      <c r="O213" s="29" t="e">
        <f>SUM('план на 2016'!$L214:O214)-SUM('членские взносы'!#REF!:'членские взносы'!#REF!)</f>
        <v>#REF!</v>
      </c>
      <c r="P213" s="29" t="e">
        <f>SUM('план на 2016'!$L214:P214)-SUM('членские взносы'!#REF!:'членские взносы'!#REF!)</f>
        <v>#REF!</v>
      </c>
      <c r="Q213" s="29" t="e">
        <f>SUM('план на 2016'!$L214:Q214)-SUM('членские взносы'!#REF!:'членские взносы'!#REF!)</f>
        <v>#REF!</v>
      </c>
      <c r="R213" s="29" t="e">
        <f>SUM('план на 2016'!$L214:R214)-SUM('членские взносы'!#REF!:'членские взносы'!#REF!)</f>
        <v>#REF!</v>
      </c>
      <c r="S213" s="29" t="e">
        <f>SUM('план на 2016'!$L214:S214)-SUM('членские взносы'!#REF!:'членские взносы'!#REF!)</f>
        <v>#REF!</v>
      </c>
      <c r="T213" s="29" t="e">
        <f>SUM('план на 2016'!$L214:T214)-SUM('членские взносы'!#REF!:'членские взносы'!#REF!)</f>
        <v>#REF!</v>
      </c>
      <c r="U213" s="29" t="e">
        <f>SUM('план на 2016'!$L214:U214)-SUM('членские взносы'!#REF!:'членские взносы'!#REF!)</f>
        <v>#REF!</v>
      </c>
      <c r="V213" s="29" t="e">
        <f>SUM('план на 2016'!$L214:V214)-SUM('членские взносы'!#REF!:'членские взносы'!#REF!)</f>
        <v>#REF!</v>
      </c>
      <c r="W213" s="29" t="e">
        <f>SUM('план на 2016'!$L214:W214)-SUM('членские взносы'!#REF!:'членские взносы'!#REF!)</f>
        <v>#REF!</v>
      </c>
      <c r="X213" s="29" t="e">
        <f>SUM('план на 2016'!$L214:X214)-SUM('членские взносы'!#REF!:'членские взносы'!#REF!)</f>
        <v>#REF!</v>
      </c>
      <c r="Y213" s="18" t="e">
        <f t="shared" si="23"/>
        <v>#REF!</v>
      </c>
    </row>
    <row r="214" spans="1:25">
      <c r="A214" s="41">
        <f>VLOOKUP(B214,справочник!$B$2:$E$322,4,FALSE)</f>
        <v>33</v>
      </c>
      <c r="B214" t="str">
        <f t="shared" si="22"/>
        <v>33Петров Борис Викторович</v>
      </c>
      <c r="C214" s="1">
        <v>33</v>
      </c>
      <c r="D214" s="2" t="s">
        <v>198</v>
      </c>
      <c r="E214" s="1" t="s">
        <v>514</v>
      </c>
      <c r="F214" s="16">
        <v>40791</v>
      </c>
      <c r="G214" s="16">
        <v>40787</v>
      </c>
      <c r="H214" s="17">
        <f t="shared" ref="H214:H223" si="25">INT(($H$326-G214)/30)</f>
        <v>52</v>
      </c>
      <c r="I214" s="1">
        <f t="shared" si="20"/>
        <v>52000</v>
      </c>
      <c r="J214" s="17">
        <f>1000+44000</f>
        <v>45000</v>
      </c>
      <c r="K214" s="17"/>
      <c r="L214" s="18">
        <f t="shared" si="21"/>
        <v>7000</v>
      </c>
      <c r="M214" s="29">
        <f>SUM('план на 2016'!$L215:M215)-SUM('членские взносы'!$M215:'членские взносы'!M215)</f>
        <v>7800</v>
      </c>
      <c r="N214" s="29">
        <f>SUM('план на 2016'!$L215:N215)-SUM('членские взносы'!$M215:'членские взносы'!N215)</f>
        <v>8600</v>
      </c>
      <c r="O214" s="29">
        <f>SUM('план на 2016'!$L215:O215)-SUM('членские взносы'!$M215:'членские взносы'!O215)</f>
        <v>9400</v>
      </c>
      <c r="P214" s="29">
        <f>SUM('план на 2016'!$L215:P215)-SUM('членские взносы'!$M215:'членские взносы'!P215)</f>
        <v>10200</v>
      </c>
      <c r="Q214" s="29">
        <f>SUM('план на 2016'!$L215:Q215)-SUM('членские взносы'!$M215:'членские взносы'!Q215)</f>
        <v>950</v>
      </c>
      <c r="R214" s="29">
        <f>SUM('план на 2016'!$L215:R215)-SUM('членские взносы'!$M215:'членские взносы'!R215)</f>
        <v>1750</v>
      </c>
      <c r="S214" s="29">
        <f>SUM('план на 2016'!$L215:S215)-SUM('членские взносы'!$M215:'членские взносы'!S215)</f>
        <v>2550</v>
      </c>
      <c r="T214" s="29">
        <f>SUM('план на 2016'!$L215:T215)-SUM('членские взносы'!$M215:'членские взносы'!T215)</f>
        <v>3350</v>
      </c>
      <c r="U214" s="29">
        <f>SUM('план на 2016'!$L215:U215)-SUM('членские взносы'!$M215:'членские взносы'!U215)</f>
        <v>4150</v>
      </c>
      <c r="V214" s="29">
        <f>SUM('план на 2016'!$L215:V215)-SUM('членские взносы'!$M215:'членские взносы'!V215)</f>
        <v>4950</v>
      </c>
      <c r="W214" s="29">
        <f>SUM('план на 2016'!$L215:W215)-SUM('членские взносы'!$M215:'членские взносы'!W215)</f>
        <v>5750</v>
      </c>
      <c r="X214" s="29">
        <f>SUM('план на 2016'!$L215:X215)-SUM('членские взносы'!$M215:'членские взносы'!X215)</f>
        <v>6550</v>
      </c>
      <c r="Y214" s="18">
        <f t="shared" si="23"/>
        <v>6550</v>
      </c>
    </row>
    <row r="215" spans="1:25">
      <c r="A215" s="41">
        <f>VLOOKUP(B215,справочник!$B$2:$E$322,4,FALSE)</f>
        <v>169</v>
      </c>
      <c r="B215" t="str">
        <f t="shared" si="22"/>
        <v>177Петрова Елена Николаевна</v>
      </c>
      <c r="C215" s="1">
        <v>177</v>
      </c>
      <c r="D215" s="2" t="s">
        <v>199</v>
      </c>
      <c r="E215" s="1" t="s">
        <v>515</v>
      </c>
      <c r="F215" s="16">
        <v>41598</v>
      </c>
      <c r="G215" s="16">
        <v>41609</v>
      </c>
      <c r="H215" s="17">
        <f t="shared" si="25"/>
        <v>25</v>
      </c>
      <c r="I215" s="1">
        <f t="shared" si="20"/>
        <v>25000</v>
      </c>
      <c r="J215" s="17">
        <v>21000</v>
      </c>
      <c r="K215" s="17"/>
      <c r="L215" s="18">
        <f t="shared" si="21"/>
        <v>4000</v>
      </c>
      <c r="M215" s="29">
        <f>SUM('план на 2016'!$L216:M216)-SUM('членские взносы'!$M216:'членские взносы'!M216)</f>
        <v>4800</v>
      </c>
      <c r="N215" s="29">
        <f>SUM('план на 2016'!$L216:N216)-SUM('членские взносы'!$M216:'членские взносы'!N216)</f>
        <v>5600</v>
      </c>
      <c r="O215" s="29">
        <f>SUM('план на 2016'!$L216:O216)-SUM('членские взносы'!$M216:'членские взносы'!O216)</f>
        <v>1000</v>
      </c>
      <c r="P215" s="29">
        <f>SUM('план на 2016'!$L216:P216)-SUM('членские взносы'!$M216:'членские взносы'!P216)</f>
        <v>1800</v>
      </c>
      <c r="Q215" s="29">
        <f>SUM('план на 2016'!$L216:Q216)-SUM('членские взносы'!$M216:'членские взносы'!Q216)</f>
        <v>200</v>
      </c>
      <c r="R215" s="29">
        <f>SUM('план на 2016'!$L216:R216)-SUM('членские взносы'!$M216:'членские взносы'!R216)</f>
        <v>1000</v>
      </c>
      <c r="S215" s="29">
        <f>SUM('план на 2016'!$L216:S216)-SUM('членские взносы'!$M216:'членские взносы'!S216)</f>
        <v>1800</v>
      </c>
      <c r="T215" s="29">
        <f>SUM('план на 2016'!$L216:T216)-SUM('членские взносы'!$M216:'членские взносы'!T216)</f>
        <v>2600</v>
      </c>
      <c r="U215" s="29">
        <f>SUM('план на 2016'!$L216:U216)-SUM('членские взносы'!$M216:'членские взносы'!U216)</f>
        <v>3400</v>
      </c>
      <c r="V215" s="29">
        <f>SUM('план на 2016'!$L216:V216)-SUM('членские взносы'!$M216:'членские взносы'!V216)</f>
        <v>1800</v>
      </c>
      <c r="W215" s="29">
        <f>SUM('план на 2016'!$L216:W216)-SUM('членские взносы'!$M216:'членские взносы'!W216)</f>
        <v>200</v>
      </c>
      <c r="X215" s="29">
        <f>SUM('план на 2016'!$L216:X216)-SUM('членские взносы'!$M216:'членские взносы'!X216)</f>
        <v>1000</v>
      </c>
      <c r="Y215" s="18">
        <f t="shared" si="23"/>
        <v>1000</v>
      </c>
    </row>
    <row r="216" spans="1:25">
      <c r="A216" s="41">
        <f>VLOOKUP(B216,справочник!$B$2:$E$322,4,FALSE)</f>
        <v>185</v>
      </c>
      <c r="B216" t="str">
        <f t="shared" si="22"/>
        <v>193Петункин Игорь Минович</v>
      </c>
      <c r="C216" s="1">
        <v>193</v>
      </c>
      <c r="D216" s="2" t="s">
        <v>200</v>
      </c>
      <c r="E216" s="1" t="s">
        <v>516</v>
      </c>
      <c r="F216" s="16">
        <v>41506</v>
      </c>
      <c r="G216" s="16">
        <v>41518</v>
      </c>
      <c r="H216" s="17">
        <f t="shared" si="25"/>
        <v>28</v>
      </c>
      <c r="I216" s="1">
        <f t="shared" si="20"/>
        <v>28000</v>
      </c>
      <c r="J216" s="17">
        <v>14000</v>
      </c>
      <c r="K216" s="17"/>
      <c r="L216" s="18">
        <f t="shared" si="21"/>
        <v>14000</v>
      </c>
      <c r="M216" s="29">
        <f>SUM('план на 2016'!$L217:M217)-SUM('членские взносы'!$M217:'членские взносы'!M217)</f>
        <v>14800</v>
      </c>
      <c r="N216" s="29">
        <f>SUM('план на 2016'!$L217:N217)-SUM('членские взносы'!$M217:'членские взносы'!N217)</f>
        <v>15600</v>
      </c>
      <c r="O216" s="29">
        <f>SUM('план на 2016'!$L217:O217)-SUM('членские взносы'!$M217:'членские взносы'!O217)</f>
        <v>16400</v>
      </c>
      <c r="P216" s="29">
        <f>SUM('план на 2016'!$L217:P217)-SUM('членские взносы'!$M217:'членские взносы'!P217)</f>
        <v>17200</v>
      </c>
      <c r="Q216" s="29">
        <f>SUM('план на 2016'!$L217:Q217)-SUM('членские взносы'!$M217:'членские взносы'!Q217)</f>
        <v>18000</v>
      </c>
      <c r="R216" s="29">
        <f>SUM('план на 2016'!$L217:R217)-SUM('членские взносы'!$M217:'членские взносы'!R217)</f>
        <v>18800</v>
      </c>
      <c r="S216" s="29">
        <f>SUM('план на 2016'!$L217:S217)-SUM('членские взносы'!$M217:'членские взносы'!S217)</f>
        <v>19600</v>
      </c>
      <c r="T216" s="29">
        <f>SUM('план на 2016'!$L217:T217)-SUM('членские взносы'!$M217:'членские взносы'!T217)</f>
        <v>20400</v>
      </c>
      <c r="U216" s="29">
        <f>SUM('план на 2016'!$L217:U217)-SUM('членские взносы'!$M217:'членские взносы'!U217)</f>
        <v>21200</v>
      </c>
      <c r="V216" s="29">
        <f>SUM('план на 2016'!$L217:V217)-SUM('членские взносы'!$M217:'членские взносы'!V217)</f>
        <v>22000</v>
      </c>
      <c r="W216" s="29">
        <f>SUM('план на 2016'!$L217:W217)-SUM('членские взносы'!$M217:'членские взносы'!W217)</f>
        <v>22800</v>
      </c>
      <c r="X216" s="29">
        <f>SUM('план на 2016'!$L217:X217)-SUM('членские взносы'!$M217:'членские взносы'!X217)</f>
        <v>23600</v>
      </c>
      <c r="Y216" s="18">
        <f t="shared" si="23"/>
        <v>23600</v>
      </c>
    </row>
    <row r="217" spans="1:25">
      <c r="A217" s="41">
        <f>VLOOKUP(B217,справочник!$B$2:$E$322,4,FALSE)</f>
        <v>176</v>
      </c>
      <c r="B217" t="str">
        <f t="shared" si="22"/>
        <v>184Пикалёва Алла Григорьевна (Юрий)</v>
      </c>
      <c r="C217" s="1">
        <v>184</v>
      </c>
      <c r="D217" s="2" t="s">
        <v>201</v>
      </c>
      <c r="E217" s="1" t="s">
        <v>517</v>
      </c>
      <c r="F217" s="16">
        <v>41734</v>
      </c>
      <c r="G217" s="16">
        <v>41760</v>
      </c>
      <c r="H217" s="17">
        <f t="shared" si="25"/>
        <v>20</v>
      </c>
      <c r="I217" s="1">
        <f t="shared" si="20"/>
        <v>20000</v>
      </c>
      <c r="J217" s="17">
        <v>3000</v>
      </c>
      <c r="K217" s="17"/>
      <c r="L217" s="18">
        <f t="shared" si="21"/>
        <v>17000</v>
      </c>
      <c r="M217" s="29">
        <f>SUM('план на 2016'!$L218:M218)-SUM('членские взносы'!$M218:'членские взносы'!M218)</f>
        <v>12800</v>
      </c>
      <c r="N217" s="29">
        <f>SUM('план на 2016'!$L218:N218)-SUM('членские взносы'!$M218:'членские взносы'!N218)</f>
        <v>10600</v>
      </c>
      <c r="O217" s="29">
        <f>SUM('план на 2016'!$L218:O218)-SUM('членские взносы'!$M218:'членские взносы'!O218)</f>
        <v>11400</v>
      </c>
      <c r="P217" s="29">
        <f>SUM('план на 2016'!$L218:P218)-SUM('членские взносы'!$M218:'членские взносы'!P218)</f>
        <v>12200</v>
      </c>
      <c r="Q217" s="29">
        <f>SUM('план на 2016'!$L218:Q218)-SUM('членские взносы'!$M218:'членские взносы'!Q218)</f>
        <v>10000</v>
      </c>
      <c r="R217" s="29">
        <f>SUM('план на 2016'!$L218:R218)-SUM('членские взносы'!$M218:'членские взносы'!R218)</f>
        <v>7300</v>
      </c>
      <c r="S217" s="29">
        <f>SUM('план на 2016'!$L218:S218)-SUM('членские взносы'!$M218:'членские взносы'!S218)</f>
        <v>8100</v>
      </c>
      <c r="T217" s="29">
        <f>SUM('план на 2016'!$L218:T218)-SUM('членские взносы'!$M218:'членские взносы'!T218)</f>
        <v>8900</v>
      </c>
      <c r="U217" s="29">
        <f>SUM('план на 2016'!$L218:U218)-SUM('членские взносы'!$M218:'членские взносы'!U218)</f>
        <v>9700</v>
      </c>
      <c r="V217" s="29">
        <f>SUM('план на 2016'!$L218:V218)-SUM('членские взносы'!$M218:'членские взносы'!V218)</f>
        <v>10500</v>
      </c>
      <c r="W217" s="29">
        <f>SUM('план на 2016'!$L218:W218)-SUM('членские взносы'!$M218:'членские взносы'!W218)</f>
        <v>11300</v>
      </c>
      <c r="X217" s="29">
        <f>SUM('план на 2016'!$L218:X218)-SUM('членские взносы'!$M218:'членские взносы'!X218)</f>
        <v>12100</v>
      </c>
      <c r="Y217" s="18">
        <f t="shared" si="23"/>
        <v>12100</v>
      </c>
    </row>
    <row r="218" spans="1:25">
      <c r="A218" s="41">
        <f>VLOOKUP(B218,справочник!$B$2:$E$322,4,FALSE)</f>
        <v>307</v>
      </c>
      <c r="B218" t="str">
        <f t="shared" si="22"/>
        <v>322Поликарпова Наталья Дмитриевна</v>
      </c>
      <c r="C218" s="1">
        <v>322</v>
      </c>
      <c r="D218" s="2" t="s">
        <v>202</v>
      </c>
      <c r="E218" s="1" t="s">
        <v>518</v>
      </c>
      <c r="F218" s="16">
        <v>41114</v>
      </c>
      <c r="G218" s="16">
        <v>41122</v>
      </c>
      <c r="H218" s="17">
        <f t="shared" si="25"/>
        <v>41</v>
      </c>
      <c r="I218" s="1">
        <f t="shared" si="20"/>
        <v>41000</v>
      </c>
      <c r="J218" s="17">
        <v>27000</v>
      </c>
      <c r="K218" s="17"/>
      <c r="L218" s="18">
        <f t="shared" si="21"/>
        <v>14000</v>
      </c>
      <c r="M218" s="29">
        <f>SUM('план на 2016'!$L219:M219)-SUM('членские взносы'!$M219:'членские взносы'!M219)</f>
        <v>14800</v>
      </c>
      <c r="N218" s="29">
        <f>SUM('план на 2016'!$L219:N219)-SUM('членские взносы'!$M219:'членские взносы'!N219)</f>
        <v>15600</v>
      </c>
      <c r="O218" s="29">
        <f>SUM('план на 2016'!$L219:O219)-SUM('членские взносы'!$M219:'членские взносы'!O219)</f>
        <v>16400</v>
      </c>
      <c r="P218" s="29">
        <f>SUM('план на 2016'!$L219:P219)-SUM('членские взносы'!$M219:'членские взносы'!P219)</f>
        <v>17200</v>
      </c>
      <c r="Q218" s="29">
        <f>SUM('план на 2016'!$L219:Q219)-SUM('членские взносы'!$M219:'членские взносы'!Q219)</f>
        <v>10000</v>
      </c>
      <c r="R218" s="29">
        <f>SUM('план на 2016'!$L219:R219)-SUM('членские взносы'!$M219:'членские взносы'!R219)</f>
        <v>10800</v>
      </c>
      <c r="S218" s="29">
        <f>SUM('план на 2016'!$L219:S219)-SUM('членские взносы'!$M219:'членские взносы'!S219)</f>
        <v>11600</v>
      </c>
      <c r="T218" s="29">
        <f>SUM('план на 2016'!$L219:T219)-SUM('членские взносы'!$M219:'членские взносы'!T219)</f>
        <v>12400</v>
      </c>
      <c r="U218" s="29">
        <f>SUM('план на 2016'!$L219:U219)-SUM('членские взносы'!$M219:'членские взносы'!U219)</f>
        <v>13200</v>
      </c>
      <c r="V218" s="29">
        <f>SUM('план на 2016'!$L219:V219)-SUM('членские взносы'!$M219:'членские взносы'!V219)</f>
        <v>14000</v>
      </c>
      <c r="W218" s="29">
        <f>SUM('план на 2016'!$L219:W219)-SUM('членские взносы'!$M219:'членские взносы'!W219)</f>
        <v>14800</v>
      </c>
      <c r="X218" s="29">
        <f>SUM('план на 2016'!$L219:X219)-SUM('членские взносы'!$M219:'членские взносы'!X219)</f>
        <v>15600</v>
      </c>
      <c r="Y218" s="18">
        <f t="shared" si="23"/>
        <v>15600</v>
      </c>
    </row>
    <row r="219" spans="1:25">
      <c r="A219" s="41">
        <f>VLOOKUP(B219,справочник!$B$2:$E$322,4,FALSE)</f>
        <v>177</v>
      </c>
      <c r="B219" t="str">
        <f t="shared" si="22"/>
        <v>185Полякова Марина Александровна</v>
      </c>
      <c r="C219" s="1">
        <v>185</v>
      </c>
      <c r="D219" s="2" t="s">
        <v>203</v>
      </c>
      <c r="E219" s="1" t="s">
        <v>519</v>
      </c>
      <c r="F219" s="16">
        <v>41898</v>
      </c>
      <c r="G219" s="16">
        <v>41913</v>
      </c>
      <c r="H219" s="17">
        <f t="shared" si="25"/>
        <v>15</v>
      </c>
      <c r="I219" s="1">
        <f t="shared" si="20"/>
        <v>15000</v>
      </c>
      <c r="J219" s="17">
        <v>12000</v>
      </c>
      <c r="K219" s="17"/>
      <c r="L219" s="18">
        <f t="shared" si="21"/>
        <v>3000</v>
      </c>
      <c r="M219" s="29">
        <f>SUM('план на 2016'!$L220:M220)-SUM('членские взносы'!$M220:'членские взносы'!M220)</f>
        <v>3800</v>
      </c>
      <c r="N219" s="29">
        <f>SUM('план на 2016'!$L220:N220)-SUM('членские взносы'!$M220:'членские взносы'!N220)</f>
        <v>4600</v>
      </c>
      <c r="O219" s="29">
        <f>SUM('план на 2016'!$L220:O220)-SUM('членские взносы'!$M220:'членские взносы'!O220)</f>
        <v>5400</v>
      </c>
      <c r="P219" s="29">
        <f>SUM('план на 2016'!$L220:P220)-SUM('членские взносы'!$M220:'членские взносы'!P220)</f>
        <v>6200</v>
      </c>
      <c r="Q219" s="29">
        <f>SUM('план на 2016'!$L220:Q220)-SUM('членские взносы'!$M220:'членские взносы'!Q220)</f>
        <v>7000</v>
      </c>
      <c r="R219" s="29">
        <f>SUM('план на 2016'!$L220:R220)-SUM('членские взносы'!$M220:'членские взносы'!R220)</f>
        <v>7800</v>
      </c>
      <c r="S219" s="29">
        <f>SUM('план на 2016'!$L220:S220)-SUM('членские взносы'!$M220:'членские взносы'!S220)</f>
        <v>8600</v>
      </c>
      <c r="T219" s="29">
        <f>SUM('план на 2016'!$L220:T220)-SUM('членские взносы'!$M220:'членские взносы'!T220)</f>
        <v>9400</v>
      </c>
      <c r="U219" s="29">
        <f>SUM('план на 2016'!$L220:U220)-SUM('членские взносы'!$M220:'членские взносы'!U220)</f>
        <v>10200</v>
      </c>
      <c r="V219" s="29">
        <f>SUM('план на 2016'!$L220:V220)-SUM('членские взносы'!$M220:'членские взносы'!V220)</f>
        <v>11000</v>
      </c>
      <c r="W219" s="29">
        <f>SUM('план на 2016'!$L220:W220)-SUM('членские взносы'!$M220:'членские взносы'!W220)</f>
        <v>6800</v>
      </c>
      <c r="X219" s="29">
        <f>SUM('план на 2016'!$L220:X220)-SUM('членские взносы'!$M220:'членские взносы'!X220)</f>
        <v>7600</v>
      </c>
      <c r="Y219" s="18">
        <f t="shared" si="23"/>
        <v>7600</v>
      </c>
    </row>
    <row r="220" spans="1:25">
      <c r="A220" s="41">
        <f>VLOOKUP(B220,справочник!$B$2:$E$322,4,FALSE)</f>
        <v>160</v>
      </c>
      <c r="B220" t="str">
        <f t="shared" si="22"/>
        <v>168Пономарева Олеся Сергеевна</v>
      </c>
      <c r="C220" s="1">
        <v>168</v>
      </c>
      <c r="D220" s="2" t="s">
        <v>204</v>
      </c>
      <c r="E220" s="1" t="s">
        <v>520</v>
      </c>
      <c r="F220" s="16">
        <v>41079</v>
      </c>
      <c r="G220" s="16">
        <v>41091</v>
      </c>
      <c r="H220" s="17">
        <f t="shared" si="25"/>
        <v>42</v>
      </c>
      <c r="I220" s="1">
        <f t="shared" si="20"/>
        <v>42000</v>
      </c>
      <c r="J220" s="17">
        <v>21000</v>
      </c>
      <c r="K220" s="17"/>
      <c r="L220" s="18">
        <f t="shared" si="21"/>
        <v>21000</v>
      </c>
      <c r="M220" s="29">
        <f>SUM('план на 2016'!$L221:M221)-SUM('членские взносы'!$M221:'членские взносы'!M221)</f>
        <v>21800</v>
      </c>
      <c r="N220" s="29">
        <f>SUM('план на 2016'!$L221:N221)-SUM('членские взносы'!$M221:'членские взносы'!N221)</f>
        <v>22600</v>
      </c>
      <c r="O220" s="29">
        <f>SUM('план на 2016'!$L221:O221)-SUM('членские взносы'!$M221:'членские взносы'!O221)</f>
        <v>23400</v>
      </c>
      <c r="P220" s="29">
        <f>SUM('план на 2016'!$L221:P221)-SUM('членские взносы'!$M221:'членские взносы'!P221)</f>
        <v>24200</v>
      </c>
      <c r="Q220" s="29">
        <f>SUM('план на 2016'!$L221:Q221)-SUM('членские взносы'!$M221:'членские взносы'!Q221)</f>
        <v>25000</v>
      </c>
      <c r="R220" s="29">
        <f>SUM('план на 2016'!$L221:R221)-SUM('членские взносы'!$M221:'членские взносы'!R221)</f>
        <v>25800</v>
      </c>
      <c r="S220" s="29">
        <f>SUM('план на 2016'!$L221:S221)-SUM('членские взносы'!$M221:'членские взносы'!S221)</f>
        <v>26600</v>
      </c>
      <c r="T220" s="29">
        <f>SUM('план на 2016'!$L221:T221)-SUM('членские взносы'!$M221:'членские взносы'!T221)</f>
        <v>27400</v>
      </c>
      <c r="U220" s="29">
        <f>SUM('план на 2016'!$L221:U221)-SUM('членские взносы'!$M221:'членские взносы'!U221)</f>
        <v>28200</v>
      </c>
      <c r="V220" s="29">
        <f>SUM('план на 2016'!$L221:V221)-SUM('членские взносы'!$M221:'членские взносы'!V221)</f>
        <v>24200</v>
      </c>
      <c r="W220" s="29">
        <f>SUM('план на 2016'!$L221:W221)-SUM('членские взносы'!$M221:'членские взносы'!W221)</f>
        <v>25000</v>
      </c>
      <c r="X220" s="29">
        <f>SUM('план на 2016'!$L221:X221)-SUM('членские взносы'!$M221:'членские взносы'!X221)</f>
        <v>21000</v>
      </c>
      <c r="Y220" s="18">
        <f t="shared" si="23"/>
        <v>21000</v>
      </c>
    </row>
    <row r="221" spans="1:25" ht="25.5" customHeight="1">
      <c r="A221" s="41">
        <f>VLOOKUP(B221,справочник!$B$2:$E$322,4,FALSE)</f>
        <v>53</v>
      </c>
      <c r="B221" t="str">
        <f t="shared" si="22"/>
        <v>55Попова Нина Ивановна</v>
      </c>
      <c r="C221" s="1">
        <v>55</v>
      </c>
      <c r="D221" s="2" t="s">
        <v>205</v>
      </c>
      <c r="E221" s="1" t="s">
        <v>521</v>
      </c>
      <c r="F221" s="16">
        <v>41995</v>
      </c>
      <c r="G221" s="16">
        <v>42005</v>
      </c>
      <c r="H221" s="17">
        <f t="shared" si="25"/>
        <v>12</v>
      </c>
      <c r="I221" s="1">
        <f t="shared" si="20"/>
        <v>12000</v>
      </c>
      <c r="J221" s="17">
        <v>12000</v>
      </c>
      <c r="K221" s="17"/>
      <c r="L221" s="18">
        <f t="shared" si="21"/>
        <v>0</v>
      </c>
      <c r="M221" s="29">
        <f>SUM('план на 2016'!$L222:M222)-SUM('членские взносы'!$M222:'членские взносы'!M222)</f>
        <v>800</v>
      </c>
      <c r="N221" s="29">
        <f>SUM('план на 2016'!$L222:N222)-SUM('членские взносы'!$M222:'членские взносы'!N222)</f>
        <v>1600</v>
      </c>
      <c r="O221" s="29">
        <f>SUM('план на 2016'!$L222:O222)-SUM('членские взносы'!$M222:'членские взносы'!O222)</f>
        <v>2400</v>
      </c>
      <c r="P221" s="29">
        <f>SUM('план на 2016'!$L222:P222)-SUM('членские взносы'!$M222:'членские взносы'!P222)</f>
        <v>3200</v>
      </c>
      <c r="Q221" s="29">
        <f>SUM('план на 2016'!$L222:Q222)-SUM('членские взносы'!$M222:'членские взносы'!Q222)</f>
        <v>4000</v>
      </c>
      <c r="R221" s="29">
        <f>SUM('план на 2016'!$L222:R222)-SUM('членские взносы'!$M222:'членские взносы'!R222)</f>
        <v>4800</v>
      </c>
      <c r="S221" s="29">
        <f>SUM('план на 2016'!$L222:S222)-SUM('членские взносы'!$M222:'членские взносы'!S222)</f>
        <v>5600</v>
      </c>
      <c r="T221" s="29">
        <f>SUM('план на 2016'!$L222:T222)-SUM('членские взносы'!$M222:'членские взносы'!T222)</f>
        <v>6400</v>
      </c>
      <c r="U221" s="29">
        <f>SUM('план на 2016'!$L222:U222)-SUM('членские взносы'!$M222:'членские взносы'!U222)</f>
        <v>7200</v>
      </c>
      <c r="V221" s="29">
        <f>SUM('план на 2016'!$L222:V222)-SUM('членские взносы'!$M222:'членские взносы'!V222)</f>
        <v>8000</v>
      </c>
      <c r="W221" s="29">
        <f>SUM('план на 2016'!$L222:W222)-SUM('членские взносы'!$M222:'членские взносы'!W222)</f>
        <v>8800</v>
      </c>
      <c r="X221" s="29">
        <f>SUM('план на 2016'!$L222:X222)-SUM('членские взносы'!$M222:'членские взносы'!X222)</f>
        <v>9600</v>
      </c>
      <c r="Y221" s="18">
        <f t="shared" si="23"/>
        <v>9600</v>
      </c>
    </row>
    <row r="222" spans="1:25">
      <c r="A222" s="41">
        <f>VLOOKUP(B222,справочник!$B$2:$E$322,4,FALSE)</f>
        <v>102</v>
      </c>
      <c r="B222" t="str">
        <f t="shared" si="22"/>
        <v>107Постернак Татьяна Николаевна</v>
      </c>
      <c r="C222" s="1">
        <v>107</v>
      </c>
      <c r="D222" s="2" t="s">
        <v>206</v>
      </c>
      <c r="E222" s="1" t="s">
        <v>522</v>
      </c>
      <c r="F222" s="16">
        <v>40757</v>
      </c>
      <c r="G222" s="16">
        <v>40756</v>
      </c>
      <c r="H222" s="17">
        <f t="shared" si="25"/>
        <v>53</v>
      </c>
      <c r="I222" s="1">
        <f t="shared" si="20"/>
        <v>53000</v>
      </c>
      <c r="J222" s="17">
        <f>52000+1000</f>
        <v>53000</v>
      </c>
      <c r="K222" s="17"/>
      <c r="L222" s="18">
        <f t="shared" si="21"/>
        <v>0</v>
      </c>
      <c r="M222" s="29">
        <f>SUM('план на 2016'!$L223:M223)-SUM('членские взносы'!$M223:'членские взносы'!M223)</f>
        <v>0</v>
      </c>
      <c r="N222" s="29">
        <f>SUM('план на 2016'!$L223:N223)-SUM('членские взносы'!$M223:'членские взносы'!N223)</f>
        <v>0</v>
      </c>
      <c r="O222" s="29">
        <f>SUM('план на 2016'!$L223:O223)-SUM('членские взносы'!$M223:'членские взносы'!O223)</f>
        <v>0</v>
      </c>
      <c r="P222" s="29">
        <f>SUM('план на 2016'!$L223:P223)-SUM('членские взносы'!$M223:'членские взносы'!P223)</f>
        <v>0</v>
      </c>
      <c r="Q222" s="29">
        <f>SUM('план на 2016'!$L223:Q223)-SUM('членские взносы'!$M223:'членские взносы'!Q223)</f>
        <v>800</v>
      </c>
      <c r="R222" s="29">
        <f>SUM('план на 2016'!$L223:R223)-SUM('членские взносы'!$M223:'членские взносы'!R223)</f>
        <v>800</v>
      </c>
      <c r="S222" s="29">
        <f>SUM('план на 2016'!$L223:S223)-SUM('членские взносы'!$M223:'членские взносы'!S223)</f>
        <v>800</v>
      </c>
      <c r="T222" s="29">
        <f>SUM('план на 2016'!$L223:T223)-SUM('членские взносы'!$M223:'членские взносы'!T223)</f>
        <v>0</v>
      </c>
      <c r="U222" s="29">
        <f>SUM('план на 2016'!$L223:U223)-SUM('членские взносы'!$M223:'членские взносы'!U223)</f>
        <v>0</v>
      </c>
      <c r="V222" s="29">
        <f>SUM('план на 2016'!$L223:V223)-SUM('членские взносы'!$M223:'членские взносы'!V223)</f>
        <v>0</v>
      </c>
      <c r="W222" s="29">
        <f>SUM('план на 2016'!$L223:W223)-SUM('членские взносы'!$M223:'членские взносы'!W223)</f>
        <v>0</v>
      </c>
      <c r="X222" s="29">
        <f>SUM('план на 2016'!$L223:X223)-SUM('членские взносы'!$M223:'членские взносы'!X223)</f>
        <v>0</v>
      </c>
      <c r="Y222" s="18">
        <f t="shared" si="23"/>
        <v>0</v>
      </c>
    </row>
    <row r="223" spans="1:25">
      <c r="A223" s="41">
        <f>VLOOKUP(B223,справочник!$B$2:$E$322,4,FALSE)</f>
        <v>174</v>
      </c>
      <c r="B223" t="str">
        <f t="shared" si="22"/>
        <v>182Просянов Александр Александрович</v>
      </c>
      <c r="C223" s="1">
        <v>182</v>
      </c>
      <c r="D223" s="2" t="s">
        <v>207</v>
      </c>
      <c r="E223" s="1" t="s">
        <v>523</v>
      </c>
      <c r="F223" s="16">
        <v>41352</v>
      </c>
      <c r="G223" s="16">
        <v>41365</v>
      </c>
      <c r="H223" s="17">
        <f t="shared" si="25"/>
        <v>33</v>
      </c>
      <c r="I223" s="1">
        <f t="shared" si="20"/>
        <v>33000</v>
      </c>
      <c r="J223" s="17">
        <v>33000</v>
      </c>
      <c r="K223" s="17"/>
      <c r="L223" s="18">
        <f t="shared" si="21"/>
        <v>0</v>
      </c>
      <c r="M223" s="29">
        <f>SUM('план на 2016'!$L224:M224)-SUM('членские взносы'!$M224:'членские взносы'!M224)</f>
        <v>-200</v>
      </c>
      <c r="N223" s="29">
        <f>SUM('план на 2016'!$L224:N224)-SUM('членские взносы'!$M224:'членские взносы'!N224)</f>
        <v>600</v>
      </c>
      <c r="O223" s="29">
        <f>SUM('план на 2016'!$L224:O224)-SUM('членские взносы'!$M224:'членские взносы'!O224)</f>
        <v>1400</v>
      </c>
      <c r="P223" s="29">
        <f>SUM('план на 2016'!$L224:P224)-SUM('членские взносы'!$M224:'членские взносы'!P224)</f>
        <v>2200</v>
      </c>
      <c r="Q223" s="29">
        <f>SUM('план на 2016'!$L224:Q224)-SUM('членские взносы'!$M224:'членские взносы'!Q224)</f>
        <v>0</v>
      </c>
      <c r="R223" s="29">
        <f>SUM('план на 2016'!$L224:R224)-SUM('членские взносы'!$M224:'членские взносы'!R224)</f>
        <v>800</v>
      </c>
      <c r="S223" s="29">
        <f>SUM('план на 2016'!$L224:S224)-SUM('членские взносы'!$M224:'членские взносы'!S224)</f>
        <v>0</v>
      </c>
      <c r="T223" s="29">
        <f>SUM('план на 2016'!$L224:T224)-SUM('членские взносы'!$M224:'членские взносы'!T224)</f>
        <v>800</v>
      </c>
      <c r="U223" s="29">
        <f>SUM('план на 2016'!$L224:U224)-SUM('членские взносы'!$M224:'членские взносы'!U224)</f>
        <v>1600</v>
      </c>
      <c r="V223" s="29">
        <f>SUM('план на 2016'!$L224:V224)-SUM('членские взносы'!$M224:'членские взносы'!V224)</f>
        <v>2400</v>
      </c>
      <c r="W223" s="29">
        <f>SUM('план на 2016'!$L224:W224)-SUM('членские взносы'!$M224:'членские взносы'!W224)</f>
        <v>3200</v>
      </c>
      <c r="X223" s="29">
        <f>SUM('план на 2016'!$L224:X224)-SUM('членские взносы'!$M224:'членские взносы'!X224)</f>
        <v>4000</v>
      </c>
      <c r="Y223" s="18">
        <f t="shared" si="23"/>
        <v>4000</v>
      </c>
    </row>
    <row r="224" spans="1:25">
      <c r="A224" s="41">
        <f>VLOOKUP(B224,справочник!$B$2:$E$322,4,FALSE)</f>
        <v>165</v>
      </c>
      <c r="B224" t="str">
        <f t="shared" si="22"/>
        <v xml:space="preserve">173Прохоров Владимир Михайлович        </v>
      </c>
      <c r="C224" s="1">
        <v>173</v>
      </c>
      <c r="D224" s="2" t="s">
        <v>208</v>
      </c>
      <c r="E224" s="1" t="s">
        <v>524</v>
      </c>
      <c r="F224" s="1"/>
      <c r="G224" s="1"/>
      <c r="H224" s="17">
        <v>17</v>
      </c>
      <c r="I224" s="1">
        <f t="shared" si="20"/>
        <v>17000</v>
      </c>
      <c r="J224" s="17">
        <v>17000</v>
      </c>
      <c r="K224" s="17"/>
      <c r="L224" s="18">
        <f t="shared" si="21"/>
        <v>0</v>
      </c>
      <c r="M224" s="29">
        <f>SUM('план на 2016'!$L225:M225)-SUM('членские взносы'!$M225:'членские взносы'!M225)</f>
        <v>800</v>
      </c>
      <c r="N224" s="29">
        <f>SUM('план на 2016'!$L225:N225)-SUM('членские взносы'!$M225:'членские взносы'!N225)</f>
        <v>1600</v>
      </c>
      <c r="O224" s="29">
        <f>SUM('план на 2016'!$L225:O225)-SUM('членские взносы'!$M225:'членские взносы'!O225)</f>
        <v>2400</v>
      </c>
      <c r="P224" s="29">
        <f>SUM('план на 2016'!$L225:P225)-SUM('членские взносы'!$M225:'членские взносы'!P225)</f>
        <v>3200</v>
      </c>
      <c r="Q224" s="29">
        <f>SUM('план на 2016'!$L225:Q225)-SUM('членские взносы'!$M225:'членские взносы'!Q225)</f>
        <v>4000</v>
      </c>
      <c r="R224" s="29">
        <f>SUM('план на 2016'!$L225:R225)-SUM('членские взносы'!$M225:'членские взносы'!R225)</f>
        <v>4800</v>
      </c>
      <c r="S224" s="29">
        <f>SUM('план на 2016'!$L225:S225)-SUM('членские взносы'!$M225:'членские взносы'!S225)</f>
        <v>5600</v>
      </c>
      <c r="T224" s="29">
        <f>SUM('план на 2016'!$L225:T225)-SUM('членские взносы'!$M225:'членские взносы'!T225)</f>
        <v>6400</v>
      </c>
      <c r="U224" s="29">
        <f>SUM('план на 2016'!$L225:U225)-SUM('членские взносы'!$M225:'членские взносы'!U225)</f>
        <v>7200</v>
      </c>
      <c r="V224" s="29">
        <f>SUM('план на 2016'!$L225:V225)-SUM('членские взносы'!$M225:'членские взносы'!V225)</f>
        <v>8000</v>
      </c>
      <c r="W224" s="29">
        <f>SUM('план на 2016'!$L225:W225)-SUM('членские взносы'!$M225:'членские взносы'!W225)</f>
        <v>8800</v>
      </c>
      <c r="X224" s="29">
        <f>SUM('план на 2016'!$L225:X225)-SUM('членские взносы'!$M225:'членские взносы'!X225)</f>
        <v>9600</v>
      </c>
      <c r="Y224" s="18">
        <f t="shared" si="23"/>
        <v>9600</v>
      </c>
    </row>
    <row r="225" spans="1:25">
      <c r="A225" s="41">
        <f>VLOOKUP(B225,справочник!$B$2:$E$322,4,FALSE)</f>
        <v>251</v>
      </c>
      <c r="B225" t="str">
        <f t="shared" si="22"/>
        <v xml:space="preserve">262Пузанова Екатерина Вячеславовна        </v>
      </c>
      <c r="C225" s="1">
        <v>262</v>
      </c>
      <c r="D225" s="2" t="s">
        <v>209</v>
      </c>
      <c r="E225" s="1" t="s">
        <v>525</v>
      </c>
      <c r="F225" s="16">
        <v>41751</v>
      </c>
      <c r="G225" s="16">
        <v>41760</v>
      </c>
      <c r="H225" s="17">
        <f t="shared" ref="H225:H266" si="26">INT(($H$326-G225)/30)</f>
        <v>20</v>
      </c>
      <c r="I225" s="1">
        <f t="shared" si="20"/>
        <v>20000</v>
      </c>
      <c r="J225" s="17"/>
      <c r="K225" s="17"/>
      <c r="L225" s="18">
        <f t="shared" si="21"/>
        <v>20000</v>
      </c>
      <c r="M225" s="29">
        <f>SUM('план на 2016'!$L226:M226)-SUM('членские взносы'!$M226:'членские взносы'!M226)</f>
        <v>20800</v>
      </c>
      <c r="N225" s="29">
        <f>SUM('план на 2016'!$L226:N226)-SUM('членские взносы'!$M226:'членские взносы'!N226)</f>
        <v>21600</v>
      </c>
      <c r="O225" s="29">
        <f>SUM('план на 2016'!$L226:O226)-SUM('членские взносы'!$M226:'членские взносы'!O226)</f>
        <v>22400</v>
      </c>
      <c r="P225" s="29">
        <f>SUM('план на 2016'!$L226:P226)-SUM('членские взносы'!$M226:'членские взносы'!P226)</f>
        <v>23200</v>
      </c>
      <c r="Q225" s="29">
        <f>SUM('план на 2016'!$L226:Q226)-SUM('членские взносы'!$M226:'членские взносы'!Q226)</f>
        <v>24000</v>
      </c>
      <c r="R225" s="29">
        <f>SUM('план на 2016'!$L226:R226)-SUM('членские взносы'!$M226:'членские взносы'!R226)</f>
        <v>24800</v>
      </c>
      <c r="S225" s="29">
        <f>SUM('план на 2016'!$L226:S226)-SUM('членские взносы'!$M226:'членские взносы'!S226)</f>
        <v>25600</v>
      </c>
      <c r="T225" s="29">
        <f>SUM('план на 2016'!$L226:T226)-SUM('членские взносы'!$M226:'членские взносы'!T226)</f>
        <v>26400</v>
      </c>
      <c r="U225" s="29">
        <f>SUM('план на 2016'!$L226:U226)-SUM('членские взносы'!$M226:'членские взносы'!U226)</f>
        <v>27200</v>
      </c>
      <c r="V225" s="29">
        <f>SUM('план на 2016'!$L226:V226)-SUM('членские взносы'!$M226:'членские взносы'!V226)</f>
        <v>28000</v>
      </c>
      <c r="W225" s="29">
        <f>SUM('план на 2016'!$L226:W226)-SUM('членские взносы'!$M226:'членские взносы'!W226)</f>
        <v>28800</v>
      </c>
      <c r="X225" s="29">
        <f>SUM('план на 2016'!$L226:X226)-SUM('членские взносы'!$M226:'членские взносы'!X226)</f>
        <v>29600</v>
      </c>
      <c r="Y225" s="18">
        <f t="shared" si="23"/>
        <v>29600</v>
      </c>
    </row>
    <row r="226" spans="1:25">
      <c r="A226" s="41">
        <f>VLOOKUP(B226,справочник!$B$2:$E$322,4,FALSE)</f>
        <v>315</v>
      </c>
      <c r="B226" t="str">
        <f t="shared" si="22"/>
        <v>265-266Ратников Алексей Сергеевич</v>
      </c>
      <c r="C226" s="1" t="s">
        <v>210</v>
      </c>
      <c r="D226" s="2" t="s">
        <v>211</v>
      </c>
      <c r="E226" s="1" t="s">
        <v>526</v>
      </c>
      <c r="F226" s="19">
        <v>40890</v>
      </c>
      <c r="G226" s="19">
        <v>40878</v>
      </c>
      <c r="H226" s="20">
        <f t="shared" si="26"/>
        <v>49</v>
      </c>
      <c r="I226" s="5">
        <f t="shared" si="20"/>
        <v>49000</v>
      </c>
      <c r="J226" s="20">
        <f>28000+2000</f>
        <v>30000</v>
      </c>
      <c r="K226" s="20"/>
      <c r="L226" s="21">
        <f t="shared" si="21"/>
        <v>19000</v>
      </c>
      <c r="M226" s="29">
        <f>SUM('план на 2016'!$L227:M227)-SUM('членские взносы'!$M227:'членские взносы'!M227)</f>
        <v>19800</v>
      </c>
      <c r="N226" s="29">
        <f>SUM('план на 2016'!$L227:N227)-SUM('членские взносы'!$M227:'членские взносы'!N227)</f>
        <v>20600</v>
      </c>
      <c r="O226" s="29">
        <f>SUM('план на 2016'!$L227:O227)-SUM('членские взносы'!$M227:'членские взносы'!O227)</f>
        <v>21400</v>
      </c>
      <c r="P226" s="29">
        <f>SUM('план на 2016'!$L227:P227)-SUM('членские взносы'!$M227:'членские взносы'!P227)</f>
        <v>22200</v>
      </c>
      <c r="Q226" s="29">
        <f>SUM('план на 2016'!$L227:Q227)-SUM('членские взносы'!$M227:'членские взносы'!Q227)</f>
        <v>23000</v>
      </c>
      <c r="R226" s="29">
        <f>SUM('план на 2016'!$L227:R227)-SUM('членские взносы'!$M227:'членские взносы'!R227)</f>
        <v>23800</v>
      </c>
      <c r="S226" s="29">
        <f>SUM('план на 2016'!$L227:S227)-SUM('членские взносы'!$M227:'членские взносы'!S227)</f>
        <v>24600</v>
      </c>
      <c r="T226" s="29">
        <f>SUM('план на 2016'!$L227:T227)-SUM('членские взносы'!$M227:'членские взносы'!T227)</f>
        <v>25400</v>
      </c>
      <c r="U226" s="29">
        <f>SUM('план на 2016'!$L227:U227)-SUM('членские взносы'!$M227:'членские взносы'!U227)</f>
        <v>26200</v>
      </c>
      <c r="V226" s="29">
        <f>SUM('план на 2016'!$L227:V227)-SUM('членские взносы'!$M227:'членские взносы'!V227)</f>
        <v>27000</v>
      </c>
      <c r="W226" s="29">
        <f>SUM('план на 2016'!$L227:W227)-SUM('членские взносы'!$M227:'членские взносы'!W227)</f>
        <v>27800</v>
      </c>
      <c r="X226" s="29">
        <f>SUM('план на 2016'!$L227:X227)-SUM('членские взносы'!$M227:'членские взносы'!X227)</f>
        <v>28600</v>
      </c>
      <c r="Y226" s="18">
        <f t="shared" si="23"/>
        <v>28600</v>
      </c>
    </row>
    <row r="227" spans="1:25" ht="25.5" customHeight="1">
      <c r="A227" s="41" t="e">
        <f>VLOOKUP(B227,справочник!$B$2:$E$322,4,FALSE)</f>
        <v>#N/A</v>
      </c>
      <c r="B227" t="str">
        <f t="shared" si="22"/>
        <v>210-211Решетов Владимир Генадьевич</v>
      </c>
      <c r="C227" s="1" t="s">
        <v>212</v>
      </c>
      <c r="D227" s="2" t="s">
        <v>213</v>
      </c>
      <c r="E227" s="5" t="s">
        <v>527</v>
      </c>
      <c r="F227" s="19">
        <v>40816</v>
      </c>
      <c r="G227" s="19">
        <v>40817</v>
      </c>
      <c r="H227" s="20">
        <f t="shared" si="26"/>
        <v>51</v>
      </c>
      <c r="I227" s="5">
        <v>61000</v>
      </c>
      <c r="J227" s="20">
        <f>2000+55000</f>
        <v>57000</v>
      </c>
      <c r="K227" s="20">
        <v>4000</v>
      </c>
      <c r="L227" s="21">
        <f t="shared" si="21"/>
        <v>0</v>
      </c>
      <c r="M227" s="29">
        <f>SUM('план на 2016'!$L228:M228)-SUM('членские взносы'!$M228:'членские взносы'!M228)</f>
        <v>-1200</v>
      </c>
      <c r="N227" s="29">
        <f>SUM('план на 2016'!$L228:N228)-SUM('членские взносы'!$M228:'членские взносы'!N228)</f>
        <v>-400</v>
      </c>
      <c r="O227" s="29">
        <f>SUM('план на 2016'!$L228:O228)-SUM('членские взносы'!$M228:'членские взносы'!O228)</f>
        <v>400</v>
      </c>
      <c r="P227" s="29">
        <f>SUM('план на 2016'!$L228:P228)-SUM('членские взносы'!$M228:'членские взносы'!P228)</f>
        <v>-800</v>
      </c>
      <c r="Q227" s="29">
        <f>SUM('план на 2016'!$L228:Q228)-SUM('членские взносы'!$M228:'членские взносы'!Q228)</f>
        <v>0</v>
      </c>
      <c r="R227" s="29">
        <f>SUM('план на 2016'!$L228:R228)-SUM('членские взносы'!$M228:'членские взносы'!R228)</f>
        <v>-1200</v>
      </c>
      <c r="S227" s="29">
        <f>SUM('план на 2016'!$L228:S228)-SUM('членские взносы'!$M228:'членские взносы'!S228)</f>
        <v>-400</v>
      </c>
      <c r="T227" s="29">
        <f>SUM('план на 2016'!$L228:T228)-SUM('членские взносы'!$M228:'членские взносы'!T228)</f>
        <v>-1600</v>
      </c>
      <c r="U227" s="29">
        <f>SUM('план на 2016'!$L228:U228)-SUM('членские взносы'!$M228:'членские взносы'!U228)</f>
        <v>-800</v>
      </c>
      <c r="V227" s="29">
        <f>SUM('план на 2016'!$L228:V228)-SUM('членские взносы'!$M228:'членские взносы'!V228)</f>
        <v>-2000</v>
      </c>
      <c r="W227" s="29">
        <f>SUM('план на 2016'!$L228:W228)-SUM('членские взносы'!$M228:'членские взносы'!W228)</f>
        <v>-1200</v>
      </c>
      <c r="X227" s="29">
        <f>SUM('план на 2016'!$L228:X228)-SUM('членские взносы'!$M228:'членские взносы'!X228)</f>
        <v>-2400</v>
      </c>
      <c r="Y227" s="18">
        <f t="shared" si="23"/>
        <v>-2400</v>
      </c>
    </row>
    <row r="228" spans="1:25">
      <c r="A228" s="41" t="e">
        <f>VLOOKUP(B228,справочник!$B$2:$E$322,4,FALSE)</f>
        <v>#N/A</v>
      </c>
      <c r="B228" t="str">
        <f t="shared" si="22"/>
        <v>210-211Решетов Владимир Генадьевич</v>
      </c>
      <c r="C228" s="91" t="s">
        <v>212</v>
      </c>
      <c r="D228" s="2" t="s">
        <v>213</v>
      </c>
      <c r="E228" s="5" t="s">
        <v>527</v>
      </c>
      <c r="F228" s="19">
        <v>40816</v>
      </c>
      <c r="G228" s="19">
        <v>40817</v>
      </c>
      <c r="H228" s="20">
        <f t="shared" si="26"/>
        <v>51</v>
      </c>
      <c r="I228" s="5">
        <v>61000</v>
      </c>
      <c r="J228" s="20">
        <v>58000</v>
      </c>
      <c r="K228" s="20">
        <v>3000</v>
      </c>
      <c r="L228" s="21">
        <f t="shared" si="21"/>
        <v>0</v>
      </c>
      <c r="M228" s="29">
        <f>SUM('план на 2016'!$L229:M229)-SUM('членские взносы'!$M229:'членские взносы'!M229)</f>
        <v>0</v>
      </c>
      <c r="N228" s="29">
        <f>SUM('план на 2016'!$L229:N229)-SUM('членские взносы'!$M229:'членские взносы'!N229)</f>
        <v>0</v>
      </c>
      <c r="O228" s="29">
        <f>SUM('план на 2016'!$L229:O229)-SUM('членские взносы'!$M229:'членские взносы'!O229)</f>
        <v>0</v>
      </c>
      <c r="P228" s="29">
        <f>SUM('план на 2016'!$L229:P229)-SUM('членские взносы'!$M229:'членские взносы'!P229)</f>
        <v>0</v>
      </c>
      <c r="Q228" s="29">
        <f>SUM('план на 2016'!$L229:Q229)-SUM('членские взносы'!$M229:'членские взносы'!Q229)</f>
        <v>0</v>
      </c>
      <c r="R228" s="29">
        <f>SUM('план на 2016'!$L229:R229)-SUM('членские взносы'!$M229:'членские взносы'!R229)</f>
        <v>0</v>
      </c>
      <c r="S228" s="29">
        <f>SUM('план на 2016'!$L229:S229)-SUM('членские взносы'!$M229:'членские взносы'!S229)</f>
        <v>0</v>
      </c>
      <c r="T228" s="29">
        <f>SUM('план на 2016'!$L229:T229)-SUM('членские взносы'!$M229:'членские взносы'!T229)</f>
        <v>0</v>
      </c>
      <c r="U228" s="29">
        <f>SUM('план на 2016'!$L229:U229)-SUM('членские взносы'!$M229:'членские взносы'!U229)</f>
        <v>0</v>
      </c>
      <c r="V228" s="29">
        <f>SUM('план на 2016'!$L229:V229)-SUM('членские взносы'!$M229:'членские взносы'!V229)</f>
        <v>0</v>
      </c>
      <c r="W228" s="29">
        <f>SUM('план на 2016'!$L229:W229)-SUM('членские взносы'!$M229:'членские взносы'!W229)</f>
        <v>0</v>
      </c>
      <c r="X228" s="29">
        <f>SUM('план на 2016'!$L229:X229)-SUM('членские взносы'!$M229:'членские взносы'!X229)</f>
        <v>0</v>
      </c>
      <c r="Y228" s="18">
        <f t="shared" si="23"/>
        <v>0</v>
      </c>
    </row>
    <row r="229" spans="1:25" ht="24">
      <c r="A229" s="41">
        <f>VLOOKUP(B229,справочник!$B$2:$E$322,4,FALSE)</f>
        <v>195</v>
      </c>
      <c r="B229" t="str">
        <f t="shared" si="22"/>
        <v>203Родичева Наталья Николаевна - Завилевская Е.И. ???</v>
      </c>
      <c r="C229" s="1">
        <v>203</v>
      </c>
      <c r="D229" s="2" t="s">
        <v>216</v>
      </c>
      <c r="E229" s="1" t="s">
        <v>528</v>
      </c>
      <c r="F229" s="16">
        <v>41599</v>
      </c>
      <c r="G229" s="16">
        <v>41609</v>
      </c>
      <c r="H229" s="17">
        <f t="shared" si="26"/>
        <v>25</v>
      </c>
      <c r="I229" s="1">
        <f t="shared" ref="I229:I266" si="27">H229*1000</f>
        <v>25000</v>
      </c>
      <c r="J229" s="17">
        <v>1000</v>
      </c>
      <c r="K229" s="17"/>
      <c r="L229" s="18">
        <f t="shared" si="21"/>
        <v>24000</v>
      </c>
      <c r="M229" s="29">
        <f>SUM('план на 2016'!$L230:M230)-SUM('членские взносы'!$M230:'членские взносы'!M230)</f>
        <v>24800</v>
      </c>
      <c r="N229" s="29">
        <f>SUM('план на 2016'!$L230:N230)-SUM('членские взносы'!$M230:'членские взносы'!N230)</f>
        <v>25600</v>
      </c>
      <c r="O229" s="29">
        <f>SUM('план на 2016'!$L230:O230)-SUM('членские взносы'!$M230:'членские взносы'!O230)</f>
        <v>26400</v>
      </c>
      <c r="P229" s="29">
        <f>SUM('план на 2016'!$L230:P230)-SUM('членские взносы'!$M230:'членские взносы'!P230)</f>
        <v>27200</v>
      </c>
      <c r="Q229" s="29">
        <f>SUM('план на 2016'!$L230:Q230)-SUM('членские взносы'!$M230:'членские взносы'!Q230)</f>
        <v>28000</v>
      </c>
      <c r="R229" s="29">
        <f>SUM('план на 2016'!$L230:R230)-SUM('членские взносы'!$M230:'членские взносы'!R230)</f>
        <v>24800</v>
      </c>
      <c r="S229" s="29">
        <f>SUM('план на 2016'!$L230:S230)-SUM('членские взносы'!$M230:'членские взносы'!S230)</f>
        <v>25600</v>
      </c>
      <c r="T229" s="29">
        <f>SUM('план на 2016'!$L230:T230)-SUM('членские взносы'!$M230:'членские взносы'!T230)</f>
        <v>26400</v>
      </c>
      <c r="U229" s="29">
        <f>SUM('план на 2016'!$L230:U230)-SUM('членские взносы'!$M230:'членские взносы'!U230)</f>
        <v>27200</v>
      </c>
      <c r="V229" s="29">
        <f>SUM('план на 2016'!$L230:V230)-SUM('членские взносы'!$M230:'членские взносы'!V230)</f>
        <v>28000</v>
      </c>
      <c r="W229" s="29">
        <f>SUM('план на 2016'!$L230:W230)-SUM('членские взносы'!$M230:'членские взносы'!W230)</f>
        <v>28800</v>
      </c>
      <c r="X229" s="29">
        <f>SUM('план на 2016'!$L230:X230)-SUM('членские взносы'!$M230:'членские взносы'!X230)</f>
        <v>29600</v>
      </c>
      <c r="Y229" s="18">
        <f t="shared" si="23"/>
        <v>29600</v>
      </c>
    </row>
    <row r="230" spans="1:25">
      <c r="A230" s="41">
        <f>VLOOKUP(B230,справочник!$B$2:$E$322,4,FALSE)</f>
        <v>144</v>
      </c>
      <c r="B230" t="str">
        <f t="shared" si="22"/>
        <v>152Рожкова Глафира Андреевна</v>
      </c>
      <c r="C230" s="1">
        <v>152</v>
      </c>
      <c r="D230" s="2" t="s">
        <v>217</v>
      </c>
      <c r="E230" s="1" t="s">
        <v>529</v>
      </c>
      <c r="F230" s="19">
        <v>40788</v>
      </c>
      <c r="G230" s="19">
        <v>40787</v>
      </c>
      <c r="H230" s="20">
        <f t="shared" si="26"/>
        <v>52</v>
      </c>
      <c r="I230" s="5">
        <f t="shared" si="27"/>
        <v>52000</v>
      </c>
      <c r="J230" s="20">
        <v>1000</v>
      </c>
      <c r="K230" s="20"/>
      <c r="L230" s="21">
        <f t="shared" si="21"/>
        <v>51000</v>
      </c>
      <c r="M230" s="29">
        <f>SUM('план на 2016'!$L231:M231)-SUM('членские взносы'!$M231:'членские взносы'!M231)</f>
        <v>51000</v>
      </c>
      <c r="N230" s="29">
        <f>SUM('план на 2016'!$L231:N231)-SUM('членские взносы'!$M231:'членские взносы'!N231)</f>
        <v>51000</v>
      </c>
      <c r="O230" s="29">
        <f>SUM('план на 2016'!$L231:O231)-SUM('членские взносы'!$M231:'членские взносы'!O231)</f>
        <v>51000</v>
      </c>
      <c r="P230" s="29">
        <f>SUM('план на 2016'!$L231:P231)-SUM('членские взносы'!$M231:'членские взносы'!P231)</f>
        <v>51000</v>
      </c>
      <c r="Q230" s="29">
        <f>SUM('план на 2016'!$L231:Q231)-SUM('членские взносы'!$M231:'членские взносы'!Q231)</f>
        <v>51000</v>
      </c>
      <c r="R230" s="29">
        <f>SUM('план на 2016'!$L231:R231)-SUM('членские взносы'!$M231:'членские взносы'!R231)</f>
        <v>51000</v>
      </c>
      <c r="S230" s="29">
        <f>SUM('план на 2016'!$L231:S231)-SUM('членские взносы'!$M231:'членские взносы'!S231)</f>
        <v>51000</v>
      </c>
      <c r="T230" s="29">
        <f>SUM('план на 2016'!$L231:T231)-SUM('членские взносы'!$M231:'членские взносы'!T231)</f>
        <v>51000</v>
      </c>
      <c r="U230" s="29">
        <f>SUM('план на 2016'!$L231:U231)-SUM('членские взносы'!$M231:'членские взносы'!U231)</f>
        <v>51000</v>
      </c>
      <c r="V230" s="29">
        <f>SUM('план на 2016'!$L231:V231)-SUM('членские взносы'!$M231:'членские взносы'!V231)</f>
        <v>51000</v>
      </c>
      <c r="W230" s="29">
        <f>SUM('план на 2016'!$L231:W231)-SUM('членские взносы'!$M231:'членские взносы'!W231)</f>
        <v>51000</v>
      </c>
      <c r="X230" s="29">
        <f>SUM('план на 2016'!$L231:X231)-SUM('членские взносы'!$M231:'членские взносы'!X231)</f>
        <v>51000</v>
      </c>
      <c r="Y230" s="18">
        <f t="shared" si="23"/>
        <v>51000</v>
      </c>
    </row>
    <row r="231" spans="1:25">
      <c r="A231" s="41">
        <f>VLOOKUP(B231,справочник!$B$2:$E$322,4,FALSE)</f>
        <v>144</v>
      </c>
      <c r="B231" t="str">
        <f t="shared" si="22"/>
        <v>153Рожкова Глафира Андреевна</v>
      </c>
      <c r="C231" s="1">
        <v>153</v>
      </c>
      <c r="D231" s="2" t="s">
        <v>217</v>
      </c>
      <c r="E231" s="1"/>
      <c r="F231" s="19">
        <v>40788</v>
      </c>
      <c r="G231" s="19">
        <v>40787</v>
      </c>
      <c r="H231" s="20">
        <f t="shared" si="26"/>
        <v>52</v>
      </c>
      <c r="I231" s="5">
        <f t="shared" si="27"/>
        <v>52000</v>
      </c>
      <c r="J231" s="20">
        <v>1000</v>
      </c>
      <c r="K231" s="20"/>
      <c r="L231" s="21">
        <f t="shared" si="21"/>
        <v>51000</v>
      </c>
      <c r="M231" s="29">
        <f>SUM('план на 2016'!$L232:M232)-SUM('членские взносы'!$M232:'членские взносы'!M232)</f>
        <v>51800</v>
      </c>
      <c r="N231" s="29">
        <f>SUM('план на 2016'!$L232:N232)-SUM('членские взносы'!$M232:'членские взносы'!N232)</f>
        <v>52600</v>
      </c>
      <c r="O231" s="29">
        <f>SUM('план на 2016'!$L232:O232)-SUM('членские взносы'!$M232:'членские взносы'!O232)</f>
        <v>53400</v>
      </c>
      <c r="P231" s="29">
        <f>SUM('план на 2016'!$L232:P232)-SUM('членские взносы'!$M232:'членские взносы'!P232)</f>
        <v>54200</v>
      </c>
      <c r="Q231" s="29">
        <f>SUM('план на 2016'!$L232:Q232)-SUM('членские взносы'!$M232:'членские взносы'!Q232)</f>
        <v>55000</v>
      </c>
      <c r="R231" s="29">
        <f>SUM('план на 2016'!$L232:R232)-SUM('членские взносы'!$M232:'членские взносы'!R232)</f>
        <v>55800</v>
      </c>
      <c r="S231" s="29">
        <f>SUM('план на 2016'!$L232:S232)-SUM('членские взносы'!$M232:'членские взносы'!S232)</f>
        <v>56600</v>
      </c>
      <c r="T231" s="29">
        <f>SUM('план на 2016'!$L232:T232)-SUM('членские взносы'!$M232:'членские взносы'!T232)</f>
        <v>57400</v>
      </c>
      <c r="U231" s="29">
        <f>SUM('план на 2016'!$L232:U232)-SUM('членские взносы'!$M232:'членские взносы'!U232)</f>
        <v>58200</v>
      </c>
      <c r="V231" s="29">
        <f>SUM('план на 2016'!$L232:V232)-SUM('членские взносы'!$M232:'членские взносы'!V232)</f>
        <v>59000</v>
      </c>
      <c r="W231" s="29">
        <f>SUM('план на 2016'!$L232:W232)-SUM('членские взносы'!$M232:'членские взносы'!W232)</f>
        <v>59800</v>
      </c>
      <c r="X231" s="29">
        <f>SUM('план на 2016'!$L232:X232)-SUM('членские взносы'!$M232:'членские взносы'!X232)</f>
        <v>60600</v>
      </c>
      <c r="Y231" s="18">
        <f t="shared" si="23"/>
        <v>60600</v>
      </c>
    </row>
    <row r="232" spans="1:25">
      <c r="A232" s="41">
        <f>VLOOKUP(B232,справочник!$B$2:$E$322,4,FALSE)</f>
        <v>74</v>
      </c>
      <c r="B232" t="str">
        <f t="shared" si="22"/>
        <v>80Розова Татьяна Викторовна</v>
      </c>
      <c r="C232" s="1">
        <v>80</v>
      </c>
      <c r="D232" s="2" t="s">
        <v>218</v>
      </c>
      <c r="E232" s="5" t="s">
        <v>530</v>
      </c>
      <c r="F232" s="19">
        <v>41310</v>
      </c>
      <c r="G232" s="19">
        <v>41334</v>
      </c>
      <c r="H232" s="20">
        <f t="shared" si="26"/>
        <v>34</v>
      </c>
      <c r="I232" s="5">
        <f t="shared" si="27"/>
        <v>34000</v>
      </c>
      <c r="J232" s="20">
        <v>31000</v>
      </c>
      <c r="K232" s="20"/>
      <c r="L232" s="21">
        <f t="shared" si="21"/>
        <v>3000</v>
      </c>
      <c r="M232" s="29">
        <f>SUM('план на 2016'!$L233:M233)-SUM('членские взносы'!$M233:'членские взносы'!M233)</f>
        <v>-3000</v>
      </c>
      <c r="N232" s="29">
        <f>SUM('план на 2016'!$L233:N233)-SUM('членские взносы'!$M233:'членские взносы'!N233)</f>
        <v>-3000</v>
      </c>
      <c r="O232" s="29">
        <f>SUM('план на 2016'!$L233:O233)-SUM('членские взносы'!$M233:'членские взносы'!O233)</f>
        <v>-3000</v>
      </c>
      <c r="P232" s="29">
        <f>SUM('план на 2016'!$L233:P233)-SUM('членские взносы'!$M233:'членские взносы'!P233)</f>
        <v>-3000</v>
      </c>
      <c r="Q232" s="29">
        <f>SUM('план на 2016'!$L233:Q233)-SUM('членские взносы'!$M233:'членские взносы'!Q233)</f>
        <v>-5400</v>
      </c>
      <c r="R232" s="29">
        <f>SUM('план на 2016'!$L233:R233)-SUM('членские взносы'!$M233:'членские взносы'!R233)</f>
        <v>-5400</v>
      </c>
      <c r="S232" s="29">
        <f>SUM('план на 2016'!$L233:S233)-SUM('членские взносы'!$M233:'членские взносы'!S233)</f>
        <v>-7800</v>
      </c>
      <c r="T232" s="29">
        <f>SUM('план на 2016'!$L233:T233)-SUM('членские взносы'!$M233:'членские взносы'!T233)</f>
        <v>-7800</v>
      </c>
      <c r="U232" s="29">
        <f>SUM('план на 2016'!$L233:U233)-SUM('членские взносы'!$M233:'членские взносы'!U233)</f>
        <v>-7800</v>
      </c>
      <c r="V232" s="29">
        <f>SUM('план на 2016'!$L233:V233)-SUM('членские взносы'!$M233:'членские взносы'!V233)</f>
        <v>-10200</v>
      </c>
      <c r="W232" s="29">
        <f>SUM('план на 2016'!$L233:W233)-SUM('членские взносы'!$M233:'членские взносы'!W233)</f>
        <v>-10200</v>
      </c>
      <c r="X232" s="29">
        <f>SUM('план на 2016'!$L233:X233)-SUM('членские взносы'!$M233:'членские взносы'!X233)</f>
        <v>-12600</v>
      </c>
      <c r="Y232" s="18">
        <f t="shared" si="23"/>
        <v>-12600</v>
      </c>
    </row>
    <row r="233" spans="1:25">
      <c r="A233" s="41">
        <f>VLOOKUP(B233,справочник!$B$2:$E$322,4,FALSE)</f>
        <v>74</v>
      </c>
      <c r="B233" t="str">
        <f t="shared" si="22"/>
        <v>81Розова Татьяна Викторовна</v>
      </c>
      <c r="C233" s="1">
        <v>81</v>
      </c>
      <c r="D233" s="2" t="s">
        <v>218</v>
      </c>
      <c r="E233" s="5" t="s">
        <v>531</v>
      </c>
      <c r="F233" s="19">
        <v>40682</v>
      </c>
      <c r="G233" s="19">
        <v>40695</v>
      </c>
      <c r="H233" s="20">
        <f t="shared" si="26"/>
        <v>55</v>
      </c>
      <c r="I233" s="5">
        <f t="shared" si="27"/>
        <v>55000</v>
      </c>
      <c r="J233" s="20">
        <f>7000+48000-3000</f>
        <v>52000</v>
      </c>
      <c r="K233" s="20"/>
      <c r="L233" s="21">
        <f t="shared" si="21"/>
        <v>3000</v>
      </c>
      <c r="M233" s="29">
        <f>SUM('план на 2016'!$L234:M234)-SUM('членские взносы'!$M234:'членские взносы'!M234)</f>
        <v>3800</v>
      </c>
      <c r="N233" s="29">
        <f>SUM('план на 2016'!$L234:N234)-SUM('членские взносы'!$M234:'членские взносы'!N234)</f>
        <v>4600</v>
      </c>
      <c r="O233" s="29">
        <f>SUM('план на 2016'!$L234:O234)-SUM('членские взносы'!$M234:'членские взносы'!O234)</f>
        <v>5400</v>
      </c>
      <c r="P233" s="29">
        <f>SUM('план на 2016'!$L234:P234)-SUM('членские взносы'!$M234:'членские взносы'!P234)</f>
        <v>6200</v>
      </c>
      <c r="Q233" s="29">
        <f>SUM('план на 2016'!$L234:Q234)-SUM('членские взносы'!$M234:'членские взносы'!Q234)</f>
        <v>7000</v>
      </c>
      <c r="R233" s="29">
        <f>SUM('план на 2016'!$L234:R234)-SUM('членские взносы'!$M234:'членские взносы'!R234)</f>
        <v>7800</v>
      </c>
      <c r="S233" s="29">
        <f>SUM('план на 2016'!$L234:S234)-SUM('членские взносы'!$M234:'членские взносы'!S234)</f>
        <v>8600</v>
      </c>
      <c r="T233" s="29">
        <f>SUM('план на 2016'!$L234:T234)-SUM('членские взносы'!$M234:'членские взносы'!T234)</f>
        <v>9400</v>
      </c>
      <c r="U233" s="29">
        <f>SUM('план на 2016'!$L234:U234)-SUM('членские взносы'!$M234:'членские взносы'!U234)</f>
        <v>10200</v>
      </c>
      <c r="V233" s="29">
        <f>SUM('план на 2016'!$L234:V234)-SUM('членские взносы'!$M234:'членские взносы'!V234)</f>
        <v>11000</v>
      </c>
      <c r="W233" s="29">
        <f>SUM('план на 2016'!$L234:W234)-SUM('членские взносы'!$M234:'членские взносы'!W234)</f>
        <v>11800</v>
      </c>
      <c r="X233" s="29">
        <f>SUM('план на 2016'!$L234:X234)-SUM('членские взносы'!$M234:'членские взносы'!X234)</f>
        <v>12600</v>
      </c>
      <c r="Y233" s="18">
        <f t="shared" si="23"/>
        <v>12600</v>
      </c>
    </row>
    <row r="234" spans="1:25">
      <c r="A234" s="41">
        <f>VLOOKUP(B234,справочник!$B$2:$E$322,4,FALSE)</f>
        <v>68</v>
      </c>
      <c r="B234" t="str">
        <f t="shared" si="22"/>
        <v>70Рощина Ирина Михайловна</v>
      </c>
      <c r="C234" s="1">
        <v>70</v>
      </c>
      <c r="D234" s="2" t="s">
        <v>219</v>
      </c>
      <c r="E234" s="1" t="s">
        <v>532</v>
      </c>
      <c r="F234" s="16">
        <v>40687</v>
      </c>
      <c r="G234" s="16">
        <v>40664</v>
      </c>
      <c r="H234" s="17">
        <f t="shared" si="26"/>
        <v>56</v>
      </c>
      <c r="I234" s="1">
        <f t="shared" si="27"/>
        <v>56000</v>
      </c>
      <c r="J234" s="17">
        <f>12000+44000</f>
        <v>56000</v>
      </c>
      <c r="K234" s="17"/>
      <c r="L234" s="18">
        <f t="shared" si="21"/>
        <v>0</v>
      </c>
      <c r="M234" s="29">
        <f>SUM('план на 2016'!$L235:M235)-SUM('членские взносы'!$M235:'членские взносы'!M235)</f>
        <v>800</v>
      </c>
      <c r="N234" s="29">
        <f>SUM('план на 2016'!$L235:N235)-SUM('членские взносы'!$M235:'членские взносы'!N235)</f>
        <v>0</v>
      </c>
      <c r="O234" s="29">
        <f>SUM('план на 2016'!$L235:O235)-SUM('членские взносы'!$M235:'членские взносы'!O235)</f>
        <v>0</v>
      </c>
      <c r="P234" s="29">
        <f>SUM('план на 2016'!$L235:P235)-SUM('членские взносы'!$M235:'членские взносы'!P235)</f>
        <v>800</v>
      </c>
      <c r="Q234" s="29">
        <f>SUM('план на 2016'!$L235:Q235)-SUM('членские взносы'!$M235:'членские взносы'!Q235)</f>
        <v>800</v>
      </c>
      <c r="R234" s="29">
        <f>SUM('план на 2016'!$L235:R235)-SUM('членские взносы'!$M235:'членские взносы'!R235)</f>
        <v>800</v>
      </c>
      <c r="S234" s="29">
        <f>SUM('план на 2016'!$L235:S235)-SUM('членские взносы'!$M235:'членские взносы'!S235)</f>
        <v>1600</v>
      </c>
      <c r="T234" s="29">
        <f>SUM('план на 2016'!$L235:T235)-SUM('членские взносы'!$M235:'членские взносы'!T235)</f>
        <v>2400</v>
      </c>
      <c r="U234" s="29">
        <f>SUM('план на 2016'!$L235:U235)-SUM('членские взносы'!$M235:'членские взносы'!U235)</f>
        <v>2400</v>
      </c>
      <c r="V234" s="29">
        <f>SUM('план на 2016'!$L235:V235)-SUM('членские взносы'!$M235:'членские взносы'!V235)</f>
        <v>3200</v>
      </c>
      <c r="W234" s="29">
        <f>SUM('план на 2016'!$L235:W235)-SUM('членские взносы'!$M235:'членские взносы'!W235)</f>
        <v>4000</v>
      </c>
      <c r="X234" s="29">
        <f>SUM('план на 2016'!$L235:X235)-SUM('членские взносы'!$M235:'членские взносы'!X235)</f>
        <v>4800</v>
      </c>
      <c r="Y234" s="18">
        <f t="shared" si="23"/>
        <v>4800</v>
      </c>
    </row>
    <row r="235" spans="1:25">
      <c r="A235" s="41">
        <f>VLOOKUP(B235,справочник!$B$2:$E$322,4,FALSE)</f>
        <v>224</v>
      </c>
      <c r="B235" t="str">
        <f t="shared" si="22"/>
        <v xml:space="preserve">233Рудая Наталья Викторовна           </v>
      </c>
      <c r="C235" s="1">
        <v>233</v>
      </c>
      <c r="D235" s="2" t="s">
        <v>220</v>
      </c>
      <c r="E235" s="1" t="s">
        <v>533</v>
      </c>
      <c r="F235" s="16">
        <v>41751</v>
      </c>
      <c r="G235" s="16">
        <v>41760</v>
      </c>
      <c r="H235" s="17">
        <f t="shared" si="26"/>
        <v>20</v>
      </c>
      <c r="I235" s="1">
        <f t="shared" si="27"/>
        <v>20000</v>
      </c>
      <c r="J235" s="17"/>
      <c r="K235" s="17"/>
      <c r="L235" s="18">
        <f t="shared" si="21"/>
        <v>20000</v>
      </c>
      <c r="M235" s="29">
        <f>SUM('план на 2016'!$L236:M236)-SUM('членские взносы'!$M236:'членские взносы'!M236)</f>
        <v>20800</v>
      </c>
      <c r="N235" s="29">
        <f>SUM('план на 2016'!$L236:N236)-SUM('членские взносы'!$M236:'членские взносы'!N236)</f>
        <v>21600</v>
      </c>
      <c r="O235" s="29">
        <f>SUM('план на 2016'!$L236:O236)-SUM('членские взносы'!$M236:'членские взносы'!O236)</f>
        <v>22400</v>
      </c>
      <c r="P235" s="29">
        <f>SUM('план на 2016'!$L236:P236)-SUM('членские взносы'!$M236:'членские взносы'!P236)</f>
        <v>23200</v>
      </c>
      <c r="Q235" s="29">
        <f>SUM('план на 2016'!$L236:Q236)-SUM('членские взносы'!$M236:'членские взносы'!Q236)</f>
        <v>24000</v>
      </c>
      <c r="R235" s="29">
        <f>SUM('план на 2016'!$L236:R236)-SUM('членские взносы'!$M236:'членские взносы'!R236)</f>
        <v>24800</v>
      </c>
      <c r="S235" s="29">
        <f>SUM('план на 2016'!$L236:S236)-SUM('членские взносы'!$M236:'членские взносы'!S236)</f>
        <v>25600</v>
      </c>
      <c r="T235" s="29">
        <f>SUM('план на 2016'!$L236:T236)-SUM('членские взносы'!$M236:'членские взносы'!T236)</f>
        <v>26400</v>
      </c>
      <c r="U235" s="29">
        <f>SUM('план на 2016'!$L236:U236)-SUM('членские взносы'!$M236:'членские взносы'!U236)</f>
        <v>27200</v>
      </c>
      <c r="V235" s="29">
        <f>SUM('план на 2016'!$L236:V236)-SUM('членские взносы'!$M236:'членские взносы'!V236)</f>
        <v>28000</v>
      </c>
      <c r="W235" s="29">
        <f>SUM('план на 2016'!$L236:W236)-SUM('членские взносы'!$M236:'членские взносы'!W236)</f>
        <v>28800</v>
      </c>
      <c r="X235" s="29">
        <f>SUM('план на 2016'!$L236:X236)-SUM('членские взносы'!$M236:'членские взносы'!X236)</f>
        <v>29600</v>
      </c>
      <c r="Y235" s="18">
        <f t="shared" si="23"/>
        <v>29600</v>
      </c>
    </row>
    <row r="236" spans="1:25">
      <c r="A236" s="41">
        <f>VLOOKUP(B236,справочник!$B$2:$E$322,4,FALSE)</f>
        <v>134</v>
      </c>
      <c r="B236" t="str">
        <f t="shared" si="22"/>
        <v>141Рыбалкин Андрей Сергеевич</v>
      </c>
      <c r="C236" s="1">
        <v>141</v>
      </c>
      <c r="D236" s="2" t="s">
        <v>221</v>
      </c>
      <c r="E236" s="1" t="s">
        <v>534</v>
      </c>
      <c r="F236" s="16">
        <v>40893</v>
      </c>
      <c r="G236" s="16">
        <v>40878</v>
      </c>
      <c r="H236" s="17">
        <f t="shared" si="26"/>
        <v>49</v>
      </c>
      <c r="I236" s="1">
        <f t="shared" si="27"/>
        <v>49000</v>
      </c>
      <c r="J236" s="17">
        <f>37000</f>
        <v>37000</v>
      </c>
      <c r="K236" s="17"/>
      <c r="L236" s="18">
        <f t="shared" si="21"/>
        <v>12000</v>
      </c>
      <c r="M236" s="29">
        <f>SUM('план на 2016'!$L237:M237)-SUM('членские взносы'!$M237:'членские взносы'!M237)</f>
        <v>800</v>
      </c>
      <c r="N236" s="29">
        <f>SUM('план на 2016'!$L237:N237)-SUM('членские взносы'!$M237:'членские взносы'!N237)</f>
        <v>-3200</v>
      </c>
      <c r="O236" s="29">
        <f>SUM('план на 2016'!$L237:O237)-SUM('членские взносы'!$M237:'членские взносы'!O237)</f>
        <v>-2400</v>
      </c>
      <c r="P236" s="29">
        <f>SUM('план на 2016'!$L237:P237)-SUM('членские взносы'!$M237:'членские взносы'!P237)</f>
        <v>-1600</v>
      </c>
      <c r="Q236" s="29">
        <f>SUM('план на 2016'!$L237:Q237)-SUM('членские взносы'!$M237:'членские взносы'!Q237)</f>
        <v>-800</v>
      </c>
      <c r="R236" s="29">
        <f>SUM('план на 2016'!$L237:R237)-SUM('членские взносы'!$M237:'членские взносы'!R237)</f>
        <v>0</v>
      </c>
      <c r="S236" s="29">
        <f>SUM('план на 2016'!$L237:S237)-SUM('членские взносы'!$M237:'членские взносы'!S237)</f>
        <v>800</v>
      </c>
      <c r="T236" s="29">
        <f>SUM('план на 2016'!$L237:T237)-SUM('членские взносы'!$M237:'членские взносы'!T237)</f>
        <v>1600</v>
      </c>
      <c r="U236" s="29">
        <f>SUM('план на 2016'!$L237:U237)-SUM('членские взносы'!$M237:'членские взносы'!U237)</f>
        <v>2400</v>
      </c>
      <c r="V236" s="29">
        <f>SUM('план на 2016'!$L237:V237)-SUM('членские взносы'!$M237:'членские взносы'!V237)</f>
        <v>-1600</v>
      </c>
      <c r="W236" s="29">
        <f>SUM('план на 2016'!$L237:W237)-SUM('членские взносы'!$M237:'членские взносы'!W237)</f>
        <v>-800</v>
      </c>
      <c r="X236" s="29">
        <f>SUM('план на 2016'!$L237:X237)-SUM('членские взносы'!$M237:'членские взносы'!X237)</f>
        <v>0</v>
      </c>
      <c r="Y236" s="18">
        <f t="shared" si="23"/>
        <v>0</v>
      </c>
    </row>
    <row r="237" spans="1:25" ht="38.25" customHeight="1">
      <c r="A237" s="41">
        <f>VLOOKUP(B237,справочник!$B$2:$E$322,4,FALSE)</f>
        <v>267</v>
      </c>
      <c r="B237" t="str">
        <f t="shared" si="22"/>
        <v>280Рыжов Андрей Николаевич</v>
      </c>
      <c r="C237" s="1">
        <v>280</v>
      </c>
      <c r="D237" s="2" t="s">
        <v>222</v>
      </c>
      <c r="E237" s="1" t="s">
        <v>535</v>
      </c>
      <c r="F237" s="16">
        <v>41023</v>
      </c>
      <c r="G237" s="16">
        <v>41000</v>
      </c>
      <c r="H237" s="17">
        <f t="shared" si="26"/>
        <v>45</v>
      </c>
      <c r="I237" s="1">
        <f t="shared" si="27"/>
        <v>45000</v>
      </c>
      <c r="J237" s="17">
        <f>41000</f>
        <v>41000</v>
      </c>
      <c r="K237" s="17"/>
      <c r="L237" s="18">
        <f t="shared" si="21"/>
        <v>4000</v>
      </c>
      <c r="M237" s="29">
        <f>SUM('план на 2016'!$L238:M238)-SUM('членские взносы'!$M238:'членские взносы'!M238)</f>
        <v>4800</v>
      </c>
      <c r="N237" s="29">
        <f>SUM('план на 2016'!$L238:N238)-SUM('членские взносы'!$M238:'членские взносы'!N238)</f>
        <v>1600</v>
      </c>
      <c r="O237" s="29">
        <f>SUM('план на 2016'!$L238:O238)-SUM('членские взносы'!$M238:'членские взносы'!O238)</f>
        <v>400</v>
      </c>
      <c r="P237" s="29">
        <f>SUM('план на 2016'!$L238:P238)-SUM('членские взносы'!$M238:'членские взносы'!P238)</f>
        <v>-800</v>
      </c>
      <c r="Q237" s="29">
        <f>SUM('план на 2016'!$L238:Q238)-SUM('членские взносы'!$M238:'членские взносы'!Q238)</f>
        <v>0</v>
      </c>
      <c r="R237" s="29">
        <f>SUM('план на 2016'!$L238:R238)-SUM('членские взносы'!$M238:'членские взносы'!R238)</f>
        <v>800</v>
      </c>
      <c r="S237" s="29">
        <f>SUM('план на 2016'!$L238:S238)-SUM('членские взносы'!$M238:'членские взносы'!S238)</f>
        <v>1600</v>
      </c>
      <c r="T237" s="29">
        <f>SUM('план на 2016'!$L238:T238)-SUM('членские взносы'!$M238:'членские взносы'!T238)</f>
        <v>2400</v>
      </c>
      <c r="U237" s="29">
        <f>SUM('план на 2016'!$L238:U238)-SUM('членские взносы'!$M238:'членские взносы'!U238)</f>
        <v>1200</v>
      </c>
      <c r="V237" s="29">
        <f>SUM('план на 2016'!$L238:V238)-SUM('членские взносы'!$M238:'членские взносы'!V238)</f>
        <v>0</v>
      </c>
      <c r="W237" s="29">
        <f>SUM('план на 2016'!$L238:W238)-SUM('членские взносы'!$M238:'членские взносы'!W238)</f>
        <v>-1200</v>
      </c>
      <c r="X237" s="29">
        <f>SUM('план на 2016'!$L238:X238)-SUM('членские взносы'!$M238:'членские взносы'!X238)</f>
        <v>-400</v>
      </c>
      <c r="Y237" s="18">
        <f t="shared" si="23"/>
        <v>-400</v>
      </c>
    </row>
    <row r="238" spans="1:25">
      <c r="A238" s="41">
        <f>VLOOKUP(B238,справочник!$B$2:$E$322,4,FALSE)</f>
        <v>258</v>
      </c>
      <c r="B238" t="str">
        <f t="shared" si="22"/>
        <v>271Савина Нина Ивановна</v>
      </c>
      <c r="C238" s="1">
        <v>271</v>
      </c>
      <c r="D238" s="2" t="s">
        <v>223</v>
      </c>
      <c r="E238" s="1" t="s">
        <v>536</v>
      </c>
      <c r="F238" s="16">
        <v>41039</v>
      </c>
      <c r="G238" s="16">
        <v>41030</v>
      </c>
      <c r="H238" s="17">
        <f t="shared" si="26"/>
        <v>44</v>
      </c>
      <c r="I238" s="1">
        <f t="shared" si="27"/>
        <v>44000</v>
      </c>
      <c r="J238" s="17">
        <v>44000</v>
      </c>
      <c r="K238" s="17"/>
      <c r="L238" s="18">
        <f t="shared" si="21"/>
        <v>0</v>
      </c>
      <c r="M238" s="29">
        <f>SUM('план на 2016'!$L239:M239)-SUM('членские взносы'!$M239:'членские взносы'!M239)</f>
        <v>800</v>
      </c>
      <c r="N238" s="29">
        <f>SUM('план на 2016'!$L239:N239)-SUM('членские взносы'!$M239:'членские взносы'!N239)</f>
        <v>1600</v>
      </c>
      <c r="O238" s="29">
        <f>SUM('план на 2016'!$L239:O239)-SUM('членские взносы'!$M239:'членские взносы'!O239)</f>
        <v>2400</v>
      </c>
      <c r="P238" s="29">
        <f>SUM('план на 2016'!$L239:P239)-SUM('членские взносы'!$M239:'членские взносы'!P239)</f>
        <v>3200</v>
      </c>
      <c r="Q238" s="29">
        <f>SUM('план на 2016'!$L239:Q239)-SUM('членские взносы'!$M239:'членские взносы'!Q239)</f>
        <v>4000</v>
      </c>
      <c r="R238" s="29">
        <f>SUM('план на 2016'!$L239:R239)-SUM('членские взносы'!$M239:'членские взносы'!R239)</f>
        <v>0</v>
      </c>
      <c r="S238" s="29">
        <f>SUM('план на 2016'!$L239:S239)-SUM('членские взносы'!$M239:'членские взносы'!S239)</f>
        <v>800</v>
      </c>
      <c r="T238" s="29">
        <f>SUM('план на 2016'!$L239:T239)-SUM('членские взносы'!$M239:'членские взносы'!T239)</f>
        <v>1600</v>
      </c>
      <c r="U238" s="29">
        <f>SUM('план на 2016'!$L239:U239)-SUM('членские взносы'!$M239:'членские взносы'!U239)</f>
        <v>2400</v>
      </c>
      <c r="V238" s="29">
        <f>SUM('план на 2016'!$L239:V239)-SUM('членские взносы'!$M239:'членские взносы'!V239)</f>
        <v>3200</v>
      </c>
      <c r="W238" s="29">
        <f>SUM('план на 2016'!$L239:W239)-SUM('членские взносы'!$M239:'членские взносы'!W239)</f>
        <v>4000</v>
      </c>
      <c r="X238" s="29">
        <f>SUM('план на 2016'!$L239:X239)-SUM('членские взносы'!$M239:'членские взносы'!X239)</f>
        <v>4800</v>
      </c>
      <c r="Y238" s="18">
        <f t="shared" si="23"/>
        <v>4800</v>
      </c>
    </row>
    <row r="239" spans="1:25" ht="24">
      <c r="A239" s="41">
        <f>VLOOKUP(B239,справочник!$B$2:$E$322,4,FALSE)</f>
        <v>299</v>
      </c>
      <c r="B239" t="str">
        <f t="shared" si="22"/>
        <v>314Садовников Алексей Владимирович(Рошка Александр Николаевич)</v>
      </c>
      <c r="C239" s="1">
        <v>314</v>
      </c>
      <c r="D239" s="2" t="s">
        <v>224</v>
      </c>
      <c r="E239" s="1"/>
      <c r="F239" s="16">
        <v>42017</v>
      </c>
      <c r="G239" s="16">
        <v>41275</v>
      </c>
      <c r="H239" s="17">
        <f t="shared" si="26"/>
        <v>36</v>
      </c>
      <c r="I239" s="1">
        <f t="shared" si="27"/>
        <v>36000</v>
      </c>
      <c r="J239" s="17">
        <f>1000</f>
        <v>1000</v>
      </c>
      <c r="K239" s="17">
        <v>3000</v>
      </c>
      <c r="L239" s="18">
        <f t="shared" si="21"/>
        <v>32000</v>
      </c>
      <c r="M239" s="29">
        <f>SUM('план на 2016'!$L240:M240)-SUM('членские взносы'!$M240:'членские взносы'!M240)</f>
        <v>32800</v>
      </c>
      <c r="N239" s="29">
        <f>SUM('план на 2016'!$L240:N240)-SUM('членские взносы'!$M240:'членские взносы'!N240)</f>
        <v>33600</v>
      </c>
      <c r="O239" s="29">
        <f>SUM('план на 2016'!$L240:O240)-SUM('членские взносы'!$M240:'членские взносы'!O240)</f>
        <v>34400</v>
      </c>
      <c r="P239" s="29">
        <f>SUM('план на 2016'!$L240:P240)-SUM('членские взносы'!$M240:'членские взносы'!P240)</f>
        <v>35200</v>
      </c>
      <c r="Q239" s="29">
        <f>SUM('план на 2016'!$L240:Q240)-SUM('членские взносы'!$M240:'членские взносы'!Q240)</f>
        <v>36000</v>
      </c>
      <c r="R239" s="29">
        <f>SUM('план на 2016'!$L240:R240)-SUM('членские взносы'!$M240:'членские взносы'!R240)</f>
        <v>36800</v>
      </c>
      <c r="S239" s="29">
        <f>SUM('план на 2016'!$L240:S240)-SUM('членские взносы'!$M240:'членские взносы'!S240)</f>
        <v>37600</v>
      </c>
      <c r="T239" s="29">
        <f>SUM('план на 2016'!$L240:T240)-SUM('членские взносы'!$M240:'членские взносы'!T240)</f>
        <v>38400</v>
      </c>
      <c r="U239" s="29">
        <f>SUM('план на 2016'!$L240:U240)-SUM('членские взносы'!$M240:'членские взносы'!U240)</f>
        <v>39200</v>
      </c>
      <c r="V239" s="29">
        <f>SUM('план на 2016'!$L240:V240)-SUM('членские взносы'!$M240:'членские взносы'!V240)</f>
        <v>40000</v>
      </c>
      <c r="W239" s="29">
        <f>SUM('план на 2016'!$L240:W240)-SUM('членские взносы'!$M240:'членские взносы'!W240)</f>
        <v>40800</v>
      </c>
      <c r="X239" s="29">
        <f>SUM('план на 2016'!$L240:X240)-SUM('членские взносы'!$M240:'членские взносы'!X240)</f>
        <v>41600</v>
      </c>
      <c r="Y239" s="18">
        <f t="shared" si="23"/>
        <v>41600</v>
      </c>
    </row>
    <row r="240" spans="1:25" ht="24">
      <c r="A240" s="41">
        <f>VLOOKUP(B240,справочник!$B$2:$E$322,4,FALSE)</f>
        <v>210</v>
      </c>
      <c r="B240" t="str">
        <f t="shared" si="22"/>
        <v>219Сазонов Сергей Александрович - Диденко Оксана Владимировна</v>
      </c>
      <c r="C240" s="1">
        <v>219</v>
      </c>
      <c r="D240" s="2" t="s">
        <v>225</v>
      </c>
      <c r="E240" s="1"/>
      <c r="F240" s="16">
        <v>41913</v>
      </c>
      <c r="G240" s="16">
        <v>41944</v>
      </c>
      <c r="H240" s="17">
        <f t="shared" si="26"/>
        <v>14</v>
      </c>
      <c r="I240" s="1">
        <f t="shared" si="27"/>
        <v>14000</v>
      </c>
      <c r="J240" s="17">
        <f>6000</f>
        <v>6000</v>
      </c>
      <c r="K240" s="17"/>
      <c r="L240" s="18">
        <f t="shared" si="21"/>
        <v>8000</v>
      </c>
      <c r="M240" s="29" t="e">
        <f>SUM('план на 2016'!$L241:M241)-SUM('членские взносы'!#REF!:'членские взносы'!#REF!)</f>
        <v>#REF!</v>
      </c>
      <c r="N240" s="29" t="e">
        <f>SUM('план на 2016'!$L241:N241)-SUM('членские взносы'!#REF!:'членские взносы'!#REF!)</f>
        <v>#REF!</v>
      </c>
      <c r="O240" s="29" t="e">
        <f>SUM('план на 2016'!$L241:O241)-SUM('членские взносы'!#REF!:'членские взносы'!#REF!)</f>
        <v>#REF!</v>
      </c>
      <c r="P240" s="29" t="e">
        <f>SUM('план на 2016'!$L241:P241)-SUM('членские взносы'!#REF!:'членские взносы'!#REF!)</f>
        <v>#REF!</v>
      </c>
      <c r="Q240" s="29" t="e">
        <f>SUM('план на 2016'!$L241:Q241)-SUM('членские взносы'!#REF!:'членские взносы'!#REF!)</f>
        <v>#REF!</v>
      </c>
      <c r="R240" s="29" t="e">
        <f>SUM('план на 2016'!$L241:R241)-SUM('членские взносы'!#REF!:'членские взносы'!#REF!)</f>
        <v>#REF!</v>
      </c>
      <c r="S240" s="29" t="e">
        <f>SUM('план на 2016'!$L241:S241)-SUM('членские взносы'!#REF!:'членские взносы'!#REF!)</f>
        <v>#REF!</v>
      </c>
      <c r="T240" s="29" t="e">
        <f>SUM('план на 2016'!$L241:T241)-SUM('членские взносы'!#REF!:'членские взносы'!#REF!)</f>
        <v>#REF!</v>
      </c>
      <c r="U240" s="29" t="e">
        <f>SUM('план на 2016'!$L241:U241)-SUM('членские взносы'!#REF!:'членские взносы'!#REF!)</f>
        <v>#REF!</v>
      </c>
      <c r="V240" s="29" t="e">
        <f>SUM('план на 2016'!$L241:V241)-SUM('членские взносы'!#REF!:'членские взносы'!#REF!)</f>
        <v>#REF!</v>
      </c>
      <c r="W240" s="29" t="e">
        <f>SUM('план на 2016'!$L241:W241)-SUM('членские взносы'!#REF!:'членские взносы'!#REF!)</f>
        <v>#REF!</v>
      </c>
      <c r="X240" s="29" t="e">
        <f>SUM('план на 2016'!$L241:X241)-SUM('членские взносы'!#REF!:'членские взносы'!#REF!)</f>
        <v>#REF!</v>
      </c>
      <c r="Y240" s="18" t="e">
        <f t="shared" si="23"/>
        <v>#REF!</v>
      </c>
    </row>
    <row r="241" spans="1:25">
      <c r="A241" s="41">
        <f>VLOOKUP(B241,справочник!$B$2:$E$322,4,FALSE)</f>
        <v>239</v>
      </c>
      <c r="B241" t="str">
        <f t="shared" si="22"/>
        <v>250Салопаева Татьяна Сергеевна</v>
      </c>
      <c r="C241" s="1">
        <v>250</v>
      </c>
      <c r="D241" s="2" t="s">
        <v>226</v>
      </c>
      <c r="E241" s="1" t="s">
        <v>537</v>
      </c>
      <c r="F241" s="16">
        <v>40973</v>
      </c>
      <c r="G241" s="16">
        <v>40969</v>
      </c>
      <c r="H241" s="17">
        <f t="shared" si="26"/>
        <v>46</v>
      </c>
      <c r="I241" s="1">
        <f t="shared" si="27"/>
        <v>46000</v>
      </c>
      <c r="J241" s="17">
        <v>26000</v>
      </c>
      <c r="K241" s="17"/>
      <c r="L241" s="18">
        <f t="shared" si="21"/>
        <v>20000</v>
      </c>
      <c r="M241" s="29">
        <f>SUM('план на 2016'!$L242:M242)-SUM('членские взносы'!$M241:'членские взносы'!M241)</f>
        <v>20800</v>
      </c>
      <c r="N241" s="29">
        <f>SUM('план на 2016'!$L242:N242)-SUM('членские взносы'!$M241:'членские взносы'!N241)</f>
        <v>21600</v>
      </c>
      <c r="O241" s="29">
        <f>SUM('план на 2016'!$L242:O242)-SUM('членские взносы'!$M241:'членские взносы'!O241)</f>
        <v>22400</v>
      </c>
      <c r="P241" s="29">
        <f>SUM('план на 2016'!$L242:P242)-SUM('членские взносы'!$M241:'членские взносы'!P241)</f>
        <v>23200</v>
      </c>
      <c r="Q241" s="29">
        <f>SUM('план на 2016'!$L242:Q242)-SUM('членские взносы'!$M241:'членские взносы'!Q241)</f>
        <v>24000</v>
      </c>
      <c r="R241" s="29">
        <f>SUM('план на 2016'!$L242:R242)-SUM('членские взносы'!$M241:'членские взносы'!R241)</f>
        <v>24800</v>
      </c>
      <c r="S241" s="29">
        <f>SUM('план на 2016'!$L242:S242)-SUM('членские взносы'!$M241:'членские взносы'!S241)</f>
        <v>25600</v>
      </c>
      <c r="T241" s="29">
        <f>SUM('план на 2016'!$L242:T242)-SUM('членские взносы'!$M241:'членские взносы'!T241)</f>
        <v>26400</v>
      </c>
      <c r="U241" s="29">
        <f>SUM('план на 2016'!$L242:U242)-SUM('членские взносы'!$M241:'членские взносы'!U241)</f>
        <v>27200</v>
      </c>
      <c r="V241" s="29">
        <f>SUM('план на 2016'!$L242:V242)-SUM('членские взносы'!$M241:'членские взносы'!V241)</f>
        <v>28000</v>
      </c>
      <c r="W241" s="29">
        <f>SUM('план на 2016'!$L242:W242)-SUM('членские взносы'!$M241:'членские взносы'!W241)</f>
        <v>28800</v>
      </c>
      <c r="X241" s="29">
        <f>SUM('план на 2016'!$L242:X242)-SUM('членские взносы'!$M241:'членские взносы'!X241)</f>
        <v>29600</v>
      </c>
      <c r="Y241" s="18">
        <f t="shared" si="23"/>
        <v>29600</v>
      </c>
    </row>
    <row r="242" spans="1:25">
      <c r="A242" s="41">
        <f>VLOOKUP(B242,справочник!$B$2:$E$322,4,FALSE)</f>
        <v>238</v>
      </c>
      <c r="B242" t="str">
        <f t="shared" si="22"/>
        <v>249Самоволькина Ирина Владимировна</v>
      </c>
      <c r="C242" s="1">
        <v>249</v>
      </c>
      <c r="D242" s="2" t="s">
        <v>227</v>
      </c>
      <c r="E242" s="1" t="s">
        <v>538</v>
      </c>
      <c r="F242" s="16">
        <v>41079</v>
      </c>
      <c r="G242" s="16">
        <v>41061</v>
      </c>
      <c r="H242" s="17">
        <f t="shared" si="26"/>
        <v>43</v>
      </c>
      <c r="I242" s="1">
        <f t="shared" si="27"/>
        <v>43000</v>
      </c>
      <c r="J242" s="17"/>
      <c r="K242" s="17"/>
      <c r="L242" s="18">
        <f t="shared" si="21"/>
        <v>43000</v>
      </c>
      <c r="M242" s="29">
        <f>SUM('план на 2016'!$L243:M243)-SUM('членские взносы'!$M242:'членские взносы'!M242)</f>
        <v>43800</v>
      </c>
      <c r="N242" s="29">
        <f>SUM('план на 2016'!$L243:N243)-SUM('членские взносы'!$M242:'членские взносы'!N242)</f>
        <v>44600</v>
      </c>
      <c r="O242" s="29">
        <f>SUM('план на 2016'!$L243:O243)-SUM('членские взносы'!$M242:'членские взносы'!O242)</f>
        <v>45400</v>
      </c>
      <c r="P242" s="29">
        <f>SUM('план на 2016'!$L243:P243)-SUM('членские взносы'!$M242:'членские взносы'!P242)</f>
        <v>46200</v>
      </c>
      <c r="Q242" s="29">
        <f>SUM('план на 2016'!$L243:Q243)-SUM('членские взносы'!$M242:'членские взносы'!Q242)</f>
        <v>47000</v>
      </c>
      <c r="R242" s="29">
        <f>SUM('план на 2016'!$L243:R243)-SUM('членские взносы'!$M242:'членские взносы'!R242)</f>
        <v>47800</v>
      </c>
      <c r="S242" s="29">
        <f>SUM('план на 2016'!$L243:S243)-SUM('членские взносы'!$M242:'членские взносы'!S242)</f>
        <v>48600</v>
      </c>
      <c r="T242" s="29">
        <f>SUM('план на 2016'!$L243:T243)-SUM('членские взносы'!$M242:'членские взносы'!T242)</f>
        <v>49400</v>
      </c>
      <c r="U242" s="29">
        <f>SUM('план на 2016'!$L243:U243)-SUM('членские взносы'!$M242:'членские взносы'!U242)</f>
        <v>50200</v>
      </c>
      <c r="V242" s="29">
        <f>SUM('план на 2016'!$L243:V243)-SUM('членские взносы'!$M242:'членские взносы'!V242)</f>
        <v>51000</v>
      </c>
      <c r="W242" s="29">
        <f>SUM('план на 2016'!$L243:W243)-SUM('членские взносы'!$M242:'членские взносы'!W242)</f>
        <v>51800</v>
      </c>
      <c r="X242" s="29">
        <f>SUM('план на 2016'!$L243:X243)-SUM('членские взносы'!$M242:'членские взносы'!X242)</f>
        <v>52600</v>
      </c>
      <c r="Y242" s="18">
        <f t="shared" si="23"/>
        <v>52600</v>
      </c>
    </row>
    <row r="243" spans="1:25">
      <c r="A243" s="41">
        <f>VLOOKUP(B243,справочник!$B$2:$E$322,4,FALSE)</f>
        <v>297</v>
      </c>
      <c r="B243" t="str">
        <f t="shared" si="22"/>
        <v>312Саргсян Оганнес Ншанович</v>
      </c>
      <c r="C243" s="1">
        <v>312</v>
      </c>
      <c r="D243" s="2" t="s">
        <v>228</v>
      </c>
      <c r="E243" s="1" t="s">
        <v>539</v>
      </c>
      <c r="F243" s="16">
        <v>42004</v>
      </c>
      <c r="G243" s="16">
        <v>42005</v>
      </c>
      <c r="H243" s="17">
        <f t="shared" si="26"/>
        <v>12</v>
      </c>
      <c r="I243" s="1">
        <f t="shared" si="27"/>
        <v>12000</v>
      </c>
      <c r="J243" s="17"/>
      <c r="K243" s="17"/>
      <c r="L243" s="18">
        <f t="shared" si="21"/>
        <v>12000</v>
      </c>
      <c r="M243" s="29">
        <f>SUM('план на 2016'!$L244:M244)-SUM('членские взносы'!$M243:'членские взносы'!M243)</f>
        <v>12800</v>
      </c>
      <c r="N243" s="29">
        <f>SUM('план на 2016'!$L244:N244)-SUM('членские взносы'!$M243:'членские взносы'!N243)</f>
        <v>13600</v>
      </c>
      <c r="O243" s="29">
        <f>SUM('план на 2016'!$L244:O244)-SUM('членские взносы'!$M243:'членские взносы'!O243)</f>
        <v>14400</v>
      </c>
      <c r="P243" s="29">
        <f>SUM('план на 2016'!$L244:P244)-SUM('членские взносы'!$M243:'членские взносы'!P243)</f>
        <v>15200</v>
      </c>
      <c r="Q243" s="29">
        <f>SUM('план на 2016'!$L244:Q244)-SUM('членские взносы'!$M243:'членские взносы'!Q243)</f>
        <v>16000</v>
      </c>
      <c r="R243" s="29">
        <f>SUM('план на 2016'!$L244:R244)-SUM('членские взносы'!$M243:'членские взносы'!R243)</f>
        <v>16800</v>
      </c>
      <c r="S243" s="29">
        <f>SUM('план на 2016'!$L244:S244)-SUM('членские взносы'!$M243:'членские взносы'!S243)</f>
        <v>17600</v>
      </c>
      <c r="T243" s="29">
        <f>SUM('план на 2016'!$L244:T244)-SUM('членские взносы'!$M243:'членские взносы'!T243)</f>
        <v>18400</v>
      </c>
      <c r="U243" s="29">
        <f>SUM('план на 2016'!$L244:U244)-SUM('членские взносы'!$M243:'членские взносы'!U243)</f>
        <v>19200</v>
      </c>
      <c r="V243" s="29">
        <f>SUM('план на 2016'!$L244:V244)-SUM('членские взносы'!$M243:'членские взносы'!V243)</f>
        <v>20000</v>
      </c>
      <c r="W243" s="29">
        <f>SUM('план на 2016'!$L244:W244)-SUM('членские взносы'!$M243:'членские взносы'!W243)</f>
        <v>20800</v>
      </c>
      <c r="X243" s="29">
        <f>SUM('план на 2016'!$L244:X244)-SUM('членские взносы'!$M243:'членские взносы'!X243)</f>
        <v>21600</v>
      </c>
      <c r="Y243" s="18">
        <f t="shared" si="23"/>
        <v>21600</v>
      </c>
    </row>
    <row r="244" spans="1:25" ht="24">
      <c r="A244" s="41">
        <f>VLOOKUP(B244,справочник!$B$2:$E$322,4,FALSE)</f>
        <v>128</v>
      </c>
      <c r="B244" t="str">
        <f t="shared" si="22"/>
        <v>135Сафронова Наталья Михайловна (у Дедков Илья Егорьевич купила)</v>
      </c>
      <c r="C244" s="1">
        <v>135</v>
      </c>
      <c r="D244" s="2" t="s">
        <v>229</v>
      </c>
      <c r="E244" s="1" t="s">
        <v>540</v>
      </c>
      <c r="F244" s="16">
        <v>41358</v>
      </c>
      <c r="G244" s="16">
        <v>41365</v>
      </c>
      <c r="H244" s="17">
        <f t="shared" si="26"/>
        <v>33</v>
      </c>
      <c r="I244" s="1">
        <f t="shared" si="27"/>
        <v>33000</v>
      </c>
      <c r="J244" s="17">
        <v>26000</v>
      </c>
      <c r="K244" s="17"/>
      <c r="L244" s="18">
        <f t="shared" si="21"/>
        <v>7000</v>
      </c>
      <c r="M244" s="29">
        <f>SUM('план на 2016'!$L245:M245)-SUM('членские взносы'!$M244:'членские взносы'!M244)</f>
        <v>3800</v>
      </c>
      <c r="N244" s="29">
        <f>SUM('план на 2016'!$L245:N245)-SUM('членские взносы'!$M244:'членские взносы'!N244)</f>
        <v>4600</v>
      </c>
      <c r="O244" s="29">
        <f>SUM('план на 2016'!$L245:O245)-SUM('членские взносы'!$M244:'членские взносы'!O244)</f>
        <v>5400</v>
      </c>
      <c r="P244" s="29">
        <f>SUM('план на 2016'!$L245:P245)-SUM('членские взносы'!$M244:'членские взносы'!P244)</f>
        <v>6200</v>
      </c>
      <c r="Q244" s="29">
        <f>SUM('план на 2016'!$L245:Q245)-SUM('членские взносы'!$M244:'членские взносы'!Q244)</f>
        <v>7000</v>
      </c>
      <c r="R244" s="29">
        <f>SUM('план на 2016'!$L245:R245)-SUM('членские взносы'!$M244:'членские взносы'!R244)</f>
        <v>7800</v>
      </c>
      <c r="S244" s="29">
        <f>SUM('план на 2016'!$L245:S245)-SUM('членские взносы'!$M244:'членские взносы'!S244)</f>
        <v>8600</v>
      </c>
      <c r="T244" s="29">
        <f>SUM('план на 2016'!$L245:T245)-SUM('членские взносы'!$M244:'членские взносы'!T244)</f>
        <v>9400</v>
      </c>
      <c r="U244" s="29">
        <f>SUM('план на 2016'!$L245:U245)-SUM('членские взносы'!$M244:'членские взносы'!U244)</f>
        <v>7000</v>
      </c>
      <c r="V244" s="29">
        <f>SUM('план на 2016'!$L245:V245)-SUM('членские взносы'!$M244:'членские взносы'!V244)</f>
        <v>7800</v>
      </c>
      <c r="W244" s="29">
        <f>SUM('план на 2016'!$L245:W245)-SUM('членские взносы'!$M244:'членские взносы'!W244)</f>
        <v>6200</v>
      </c>
      <c r="X244" s="29">
        <f>SUM('план на 2016'!$L245:X245)-SUM('членские взносы'!$M244:'членские взносы'!X244)</f>
        <v>7000</v>
      </c>
      <c r="Y244" s="18">
        <f t="shared" si="23"/>
        <v>7000</v>
      </c>
    </row>
    <row r="245" spans="1:25">
      <c r="A245" s="41">
        <f>VLOOKUP(B245,справочник!$B$2:$E$322,4,FALSE)</f>
        <v>67</v>
      </c>
      <c r="B245" t="str">
        <f t="shared" si="22"/>
        <v>69Сбитнева Юлия Сергеевна</v>
      </c>
      <c r="C245" s="1">
        <v>69</v>
      </c>
      <c r="D245" s="2" t="s">
        <v>230</v>
      </c>
      <c r="E245" s="1" t="s">
        <v>541</v>
      </c>
      <c r="F245" s="16">
        <v>41012</v>
      </c>
      <c r="G245" s="16">
        <v>41000</v>
      </c>
      <c r="H245" s="17">
        <f t="shared" si="26"/>
        <v>45</v>
      </c>
      <c r="I245" s="1">
        <f t="shared" si="27"/>
        <v>45000</v>
      </c>
      <c r="J245" s="17">
        <v>1000</v>
      </c>
      <c r="K245" s="17"/>
      <c r="L245" s="18">
        <f t="shared" si="21"/>
        <v>44000</v>
      </c>
      <c r="M245" s="29">
        <f>SUM('план на 2016'!$L246:M246)-SUM('членские взносы'!$M245:'членские взносы'!M245)</f>
        <v>44800</v>
      </c>
      <c r="N245" s="29">
        <f>SUM('план на 2016'!$L246:N246)-SUM('членские взносы'!$M245:'членские взносы'!N245)</f>
        <v>45600</v>
      </c>
      <c r="O245" s="29">
        <f>SUM('план на 2016'!$L246:O246)-SUM('членские взносы'!$M245:'членские взносы'!O245)</f>
        <v>46400</v>
      </c>
      <c r="P245" s="29">
        <f>SUM('план на 2016'!$L246:P246)-SUM('членские взносы'!$M245:'членские взносы'!P245)</f>
        <v>47200</v>
      </c>
      <c r="Q245" s="29">
        <f>SUM('план на 2016'!$L246:Q246)-SUM('членские взносы'!$M245:'членские взносы'!Q245)</f>
        <v>48000</v>
      </c>
      <c r="R245" s="29">
        <f>SUM('план на 2016'!$L246:R246)-SUM('членские взносы'!$M245:'членские взносы'!R245)</f>
        <v>48800</v>
      </c>
      <c r="S245" s="29">
        <f>SUM('план на 2016'!$L246:S246)-SUM('членские взносы'!$M245:'членские взносы'!S245)</f>
        <v>49600</v>
      </c>
      <c r="T245" s="29">
        <f>SUM('план на 2016'!$L246:T246)-SUM('членские взносы'!$M245:'членские взносы'!T245)</f>
        <v>50400</v>
      </c>
      <c r="U245" s="29">
        <f>SUM('план на 2016'!$L246:U246)-SUM('членские взносы'!$M245:'членские взносы'!U245)</f>
        <v>51200</v>
      </c>
      <c r="V245" s="29">
        <f>SUM('план на 2016'!$L246:V246)-SUM('членские взносы'!$M245:'членские взносы'!V245)</f>
        <v>52000</v>
      </c>
      <c r="W245" s="29">
        <f>SUM('план на 2016'!$L246:W246)-SUM('членские взносы'!$M245:'членские взносы'!W245)</f>
        <v>52800</v>
      </c>
      <c r="X245" s="29">
        <f>SUM('план на 2016'!$L246:X246)-SUM('членские взносы'!$M245:'членские взносы'!X245)</f>
        <v>53600</v>
      </c>
      <c r="Y245" s="18">
        <f t="shared" si="23"/>
        <v>53600</v>
      </c>
    </row>
    <row r="246" spans="1:25">
      <c r="A246" s="41">
        <f>VLOOKUP(B246,справочник!$B$2:$E$322,4,FALSE)</f>
        <v>278</v>
      </c>
      <c r="B246" t="str">
        <f t="shared" si="22"/>
        <v>290Севастьянов Михаил Григорьевич</v>
      </c>
      <c r="C246" s="1">
        <v>290</v>
      </c>
      <c r="D246" s="2" t="s">
        <v>231</v>
      </c>
      <c r="E246" s="1" t="s">
        <v>542</v>
      </c>
      <c r="F246" s="16">
        <v>40897</v>
      </c>
      <c r="G246" s="16">
        <v>40878</v>
      </c>
      <c r="H246" s="17">
        <f t="shared" si="26"/>
        <v>49</v>
      </c>
      <c r="I246" s="1">
        <f t="shared" si="27"/>
        <v>49000</v>
      </c>
      <c r="J246" s="17">
        <v>1000</v>
      </c>
      <c r="K246" s="17"/>
      <c r="L246" s="18">
        <f t="shared" si="21"/>
        <v>48000</v>
      </c>
      <c r="M246" s="29">
        <f>SUM('план на 2016'!$L247:M247)-SUM('членские взносы'!$M246:'членские взносы'!M246)</f>
        <v>0</v>
      </c>
      <c r="N246" s="29">
        <f>SUM('план на 2016'!$L247:N247)-SUM('членские взносы'!$M246:'членские взносы'!N246)</f>
        <v>0</v>
      </c>
      <c r="O246" s="29">
        <f>SUM('план на 2016'!$L247:O247)-SUM('членские взносы'!$M246:'членские взносы'!O246)</f>
        <v>0</v>
      </c>
      <c r="P246" s="29">
        <f>SUM('план на 2016'!$L247:P247)-SUM('членские взносы'!$M246:'членские взносы'!P246)</f>
        <v>0</v>
      </c>
      <c r="Q246" s="29">
        <f>SUM('план на 2016'!$L247:Q247)-SUM('членские взносы'!$M246:'членские взносы'!Q246)</f>
        <v>0</v>
      </c>
      <c r="R246" s="29">
        <f>SUM('план на 2016'!$L247:R247)-SUM('членские взносы'!$M246:'членские взносы'!R246)</f>
        <v>0</v>
      </c>
      <c r="S246" s="29">
        <f>SUM('план на 2016'!$L247:S247)-SUM('членские взносы'!$M246:'членские взносы'!S246)</f>
        <v>0</v>
      </c>
      <c r="T246" s="29">
        <f>SUM('план на 2016'!$L247:T247)-SUM('членские взносы'!$M246:'членские взносы'!T246)</f>
        <v>0</v>
      </c>
      <c r="U246" s="29">
        <f>SUM('план на 2016'!$L247:U247)-SUM('членские взносы'!$M246:'членские взносы'!U246)</f>
        <v>0</v>
      </c>
      <c r="V246" s="29">
        <f>SUM('план на 2016'!$L247:V247)-SUM('членские взносы'!$M246:'членские взносы'!V246)</f>
        <v>0</v>
      </c>
      <c r="W246" s="29">
        <f>SUM('план на 2016'!$L247:W247)-SUM('членские взносы'!$M246:'членские взносы'!W246)</f>
        <v>0</v>
      </c>
      <c r="X246" s="29">
        <f>SUM('план на 2016'!$L247:X247)-SUM('членские взносы'!$M246:'членские взносы'!X246)</f>
        <v>0</v>
      </c>
      <c r="Y246" s="18">
        <f t="shared" si="23"/>
        <v>0</v>
      </c>
    </row>
    <row r="247" spans="1:25">
      <c r="A247" s="41">
        <f>VLOOKUP(B247,справочник!$B$2:$E$322,4,FALSE)</f>
        <v>280</v>
      </c>
      <c r="B247" t="str">
        <f t="shared" si="22"/>
        <v>292Севрюгина Ольга Викторовна</v>
      </c>
      <c r="C247" s="1">
        <v>292</v>
      </c>
      <c r="D247" s="2" t="s">
        <v>232</v>
      </c>
      <c r="E247" s="1" t="s">
        <v>543</v>
      </c>
      <c r="F247" s="16">
        <v>40897</v>
      </c>
      <c r="G247" s="16">
        <v>40878</v>
      </c>
      <c r="H247" s="17">
        <f t="shared" si="26"/>
        <v>49</v>
      </c>
      <c r="I247" s="1">
        <f t="shared" si="27"/>
        <v>49000</v>
      </c>
      <c r="J247" s="17">
        <f>43000+1000</f>
        <v>44000</v>
      </c>
      <c r="K247" s="17"/>
      <c r="L247" s="18">
        <f t="shared" si="21"/>
        <v>5000</v>
      </c>
      <c r="M247" s="29">
        <f>SUM('план на 2016'!$L248:M248)-SUM('членские взносы'!$M247:'членские взносы'!M247)</f>
        <v>5800</v>
      </c>
      <c r="N247" s="29">
        <f>SUM('план на 2016'!$L248:N248)-SUM('членские взносы'!$M247:'членские взносы'!N247)</f>
        <v>6600</v>
      </c>
      <c r="O247" s="29">
        <f>SUM('план на 2016'!$L248:O248)-SUM('членские взносы'!$M247:'членские взносы'!O247)</f>
        <v>7400</v>
      </c>
      <c r="P247" s="29">
        <f>SUM('план на 2016'!$L248:P248)-SUM('членские взносы'!$M247:'членские взносы'!P247)</f>
        <v>8200</v>
      </c>
      <c r="Q247" s="29">
        <f>SUM('план на 2016'!$L248:Q248)-SUM('членские взносы'!$M247:'членские взносы'!Q247)</f>
        <v>9000</v>
      </c>
      <c r="R247" s="29">
        <f>SUM('план на 2016'!$L248:R248)-SUM('членские взносы'!$M247:'членские взносы'!R247)</f>
        <v>9800</v>
      </c>
      <c r="S247" s="29">
        <f>SUM('план на 2016'!$L248:S248)-SUM('членские взносы'!$M247:'членские взносы'!S247)</f>
        <v>10600</v>
      </c>
      <c r="T247" s="29">
        <f>SUM('план на 2016'!$L248:T248)-SUM('членские взносы'!$M247:'членские взносы'!T247)</f>
        <v>11400</v>
      </c>
      <c r="U247" s="29">
        <f>SUM('план на 2016'!$L248:U248)-SUM('членские взносы'!$M247:'членские взносы'!U247)</f>
        <v>12200</v>
      </c>
      <c r="V247" s="29">
        <f>SUM('план на 2016'!$L248:V248)-SUM('членские взносы'!$M247:'членские взносы'!V247)</f>
        <v>13000</v>
      </c>
      <c r="W247" s="29">
        <f>SUM('план на 2016'!$L248:W248)-SUM('членские взносы'!$M247:'членские взносы'!W247)</f>
        <v>13800</v>
      </c>
      <c r="X247" s="29">
        <f>SUM('план на 2016'!$L248:X248)-SUM('членские взносы'!$M247:'членские взносы'!X247)</f>
        <v>14600</v>
      </c>
      <c r="Y247" s="18">
        <f t="shared" si="23"/>
        <v>14600</v>
      </c>
    </row>
    <row r="248" spans="1:25">
      <c r="A248" s="41">
        <f>VLOOKUP(B248,справочник!$B$2:$E$322,4,FALSE)</f>
        <v>215</v>
      </c>
      <c r="B248" t="str">
        <f t="shared" si="22"/>
        <v xml:space="preserve">224Семенова Рима Прановна    </v>
      </c>
      <c r="C248" s="1">
        <v>224</v>
      </c>
      <c r="D248" s="2" t="s">
        <v>233</v>
      </c>
      <c r="E248" s="1" t="s">
        <v>544</v>
      </c>
      <c r="F248" s="16">
        <v>41772</v>
      </c>
      <c r="G248" s="16">
        <v>41791</v>
      </c>
      <c r="H248" s="17">
        <f t="shared" si="26"/>
        <v>19</v>
      </c>
      <c r="I248" s="1">
        <f t="shared" si="27"/>
        <v>19000</v>
      </c>
      <c r="J248" s="17">
        <v>16000</v>
      </c>
      <c r="K248" s="17"/>
      <c r="L248" s="18">
        <f t="shared" si="21"/>
        <v>3000</v>
      </c>
      <c r="M248" s="29">
        <f>SUM('план на 2016'!$L249:M249)-SUM('членские взносы'!$M248:'членские взносы'!M248)</f>
        <v>3800</v>
      </c>
      <c r="N248" s="29">
        <f>SUM('план на 2016'!$L249:N249)-SUM('членские взносы'!$M248:'членские взносы'!N248)</f>
        <v>-2400</v>
      </c>
      <c r="O248" s="29">
        <f>SUM('план на 2016'!$L249:O249)-SUM('членские взносы'!$M248:'членские взносы'!O248)</f>
        <v>-1600</v>
      </c>
      <c r="P248" s="29">
        <f>SUM('план на 2016'!$L249:P249)-SUM('членские взносы'!$M248:'членские взносы'!P248)</f>
        <v>-800</v>
      </c>
      <c r="Q248" s="29">
        <f>SUM('план на 2016'!$L249:Q249)-SUM('членские взносы'!$M248:'членские взносы'!Q248)</f>
        <v>0</v>
      </c>
      <c r="R248" s="29">
        <f>SUM('план на 2016'!$L249:R249)-SUM('членские взносы'!$M248:'членские взносы'!R248)</f>
        <v>800</v>
      </c>
      <c r="S248" s="29">
        <f>SUM('план на 2016'!$L249:S249)-SUM('членские взносы'!$M248:'членские взносы'!S248)</f>
        <v>1600</v>
      </c>
      <c r="T248" s="29">
        <f>SUM('план на 2016'!$L249:T249)-SUM('членские взносы'!$M248:'членские взносы'!T248)</f>
        <v>2400</v>
      </c>
      <c r="U248" s="29">
        <f>SUM('план на 2016'!$L249:U249)-SUM('членские взносы'!$M248:'членские взносы'!U248)</f>
        <v>3200</v>
      </c>
      <c r="V248" s="29">
        <f>SUM('план на 2016'!$L249:V249)-SUM('членские взносы'!$M248:'членские взносы'!V248)</f>
        <v>4000</v>
      </c>
      <c r="W248" s="29">
        <f>SUM('план на 2016'!$L249:W249)-SUM('членские взносы'!$M248:'членские взносы'!W248)</f>
        <v>4800</v>
      </c>
      <c r="X248" s="29">
        <f>SUM('план на 2016'!$L249:X249)-SUM('членские взносы'!$M248:'членские взносы'!X248)</f>
        <v>-4400</v>
      </c>
      <c r="Y248" s="18">
        <f t="shared" si="23"/>
        <v>-4400</v>
      </c>
    </row>
    <row r="249" spans="1:25">
      <c r="A249" s="41">
        <f>VLOOKUP(B249,справочник!$B$2:$E$322,4,FALSE)</f>
        <v>241</v>
      </c>
      <c r="B249" t="str">
        <f t="shared" si="22"/>
        <v>252Сёмин Александр Иванович</v>
      </c>
      <c r="C249" s="1">
        <v>252</v>
      </c>
      <c r="D249" s="2" t="s">
        <v>234</v>
      </c>
      <c r="E249" s="1" t="s">
        <v>545</v>
      </c>
      <c r="F249" s="16">
        <v>40677</v>
      </c>
      <c r="G249" s="16">
        <v>40695</v>
      </c>
      <c r="H249" s="17">
        <f t="shared" si="26"/>
        <v>55</v>
      </c>
      <c r="I249" s="1">
        <f t="shared" si="27"/>
        <v>55000</v>
      </c>
      <c r="J249" s="17">
        <f>7000+41000</f>
        <v>48000</v>
      </c>
      <c r="K249" s="17"/>
      <c r="L249" s="18">
        <f t="shared" si="21"/>
        <v>7000</v>
      </c>
      <c r="M249" s="29">
        <f>SUM('план на 2016'!$L250:M250)-SUM('членские взносы'!$M249:'членские взносы'!M249)</f>
        <v>0</v>
      </c>
      <c r="N249" s="29">
        <f>SUM('план на 2016'!$L250:N250)-SUM('членские взносы'!$M249:'членские взносы'!N249)</f>
        <v>0</v>
      </c>
      <c r="O249" s="29">
        <f>SUM('план на 2016'!$L250:O250)-SUM('членские взносы'!$M249:'членские взносы'!O249)</f>
        <v>0</v>
      </c>
      <c r="P249" s="29">
        <f>SUM('план на 2016'!$L250:P250)-SUM('членские взносы'!$M249:'членские взносы'!P249)</f>
        <v>800</v>
      </c>
      <c r="Q249" s="29">
        <f>SUM('план на 2016'!$L250:Q250)-SUM('членские взносы'!$M249:'членские взносы'!Q249)</f>
        <v>1600</v>
      </c>
      <c r="R249" s="29">
        <f>SUM('план на 2016'!$L250:R250)-SUM('членские взносы'!$M249:'членские взносы'!R249)</f>
        <v>0</v>
      </c>
      <c r="S249" s="29">
        <f>SUM('план на 2016'!$L250:S250)-SUM('членские взносы'!$M249:'членские взносы'!S249)</f>
        <v>0</v>
      </c>
      <c r="T249" s="29">
        <f>SUM('план на 2016'!$L250:T250)-SUM('членские взносы'!$M249:'членские взносы'!T249)</f>
        <v>0</v>
      </c>
      <c r="U249" s="29">
        <f>SUM('план на 2016'!$L250:U250)-SUM('членские взносы'!$M249:'членские взносы'!U249)</f>
        <v>0</v>
      </c>
      <c r="V249" s="29">
        <f>SUM('план на 2016'!$L250:V250)-SUM('членские взносы'!$M249:'членские взносы'!V249)</f>
        <v>0</v>
      </c>
      <c r="W249" s="29">
        <f>SUM('план на 2016'!$L250:W250)-SUM('членские взносы'!$M249:'членские взносы'!W249)</f>
        <v>0</v>
      </c>
      <c r="X249" s="29">
        <f>SUM('план на 2016'!$L250:X250)-SUM('членские взносы'!$M249:'членские взносы'!X249)</f>
        <v>0</v>
      </c>
      <c r="Y249" s="18">
        <f t="shared" si="23"/>
        <v>0</v>
      </c>
    </row>
    <row r="250" spans="1:25">
      <c r="A250" s="41">
        <f>VLOOKUP(B250,справочник!$B$2:$E$322,4,FALSE)</f>
        <v>161</v>
      </c>
      <c r="B250" t="str">
        <f t="shared" si="22"/>
        <v>169Сергиенко Николай Михайлович</v>
      </c>
      <c r="C250" s="1">
        <v>169</v>
      </c>
      <c r="D250" s="2" t="s">
        <v>235</v>
      </c>
      <c r="E250" s="1" t="s">
        <v>546</v>
      </c>
      <c r="F250" s="16">
        <v>41039</v>
      </c>
      <c r="G250" s="16">
        <v>41030</v>
      </c>
      <c r="H250" s="17">
        <f t="shared" si="26"/>
        <v>44</v>
      </c>
      <c r="I250" s="1">
        <f t="shared" si="27"/>
        <v>44000</v>
      </c>
      <c r="J250" s="17">
        <v>38000</v>
      </c>
      <c r="K250" s="17"/>
      <c r="L250" s="18">
        <f t="shared" si="21"/>
        <v>6000</v>
      </c>
      <c r="M250" s="29">
        <f>SUM('план на 2016'!$L251:M251)-SUM('членские взносы'!$M250:'членские взносы'!M250)</f>
        <v>6800</v>
      </c>
      <c r="N250" s="29">
        <f>SUM('план на 2016'!$L251:N251)-SUM('членские взносы'!$M250:'членские взносы'!N250)</f>
        <v>7600</v>
      </c>
      <c r="O250" s="29">
        <f>SUM('план на 2016'!$L251:O251)-SUM('членские взносы'!$M250:'членские взносы'!O250)</f>
        <v>8400</v>
      </c>
      <c r="P250" s="29">
        <f>SUM('план на 2016'!$L251:P251)-SUM('членские взносы'!$M250:'членские взносы'!P250)</f>
        <v>9200</v>
      </c>
      <c r="Q250" s="29">
        <f>SUM('план на 2016'!$L251:Q251)-SUM('членские взносы'!$M250:'членские взносы'!Q250)</f>
        <v>10000</v>
      </c>
      <c r="R250" s="29">
        <f>SUM('план на 2016'!$L251:R251)-SUM('членские взносы'!$M250:'членские взносы'!R250)</f>
        <v>10800</v>
      </c>
      <c r="S250" s="29">
        <f>SUM('план на 2016'!$L251:S251)-SUM('членские взносы'!$M250:'членские взносы'!S250)</f>
        <v>11600</v>
      </c>
      <c r="T250" s="29">
        <f>SUM('план на 2016'!$L251:T251)-SUM('членские взносы'!$M250:'членские взносы'!T250)</f>
        <v>12400</v>
      </c>
      <c r="U250" s="29">
        <f>SUM('план на 2016'!$L251:U251)-SUM('членские взносы'!$M250:'членские взносы'!U250)</f>
        <v>13200</v>
      </c>
      <c r="V250" s="29">
        <f>SUM('план на 2016'!$L251:V251)-SUM('членские взносы'!$M250:'членские взносы'!V250)</f>
        <v>14000</v>
      </c>
      <c r="W250" s="29">
        <f>SUM('план на 2016'!$L251:W251)-SUM('членские взносы'!$M250:'членские взносы'!W250)</f>
        <v>14800</v>
      </c>
      <c r="X250" s="29">
        <f>SUM('план на 2016'!$L251:X251)-SUM('членские взносы'!$M250:'членские взносы'!X250)</f>
        <v>15600</v>
      </c>
      <c r="Y250" s="18">
        <f t="shared" si="23"/>
        <v>15600</v>
      </c>
    </row>
    <row r="251" spans="1:25">
      <c r="A251" s="41">
        <f>VLOOKUP(B251,справочник!$B$2:$E$322,4,FALSE)</f>
        <v>272</v>
      </c>
      <c r="B251" t="str">
        <f t="shared" si="22"/>
        <v>285Серебряков Игорь Васильевич</v>
      </c>
      <c r="C251" s="1">
        <v>285</v>
      </c>
      <c r="D251" s="2" t="s">
        <v>236</v>
      </c>
      <c r="E251" s="1" t="s">
        <v>547</v>
      </c>
      <c r="F251" s="16">
        <v>42044</v>
      </c>
      <c r="G251" s="16">
        <v>42064</v>
      </c>
      <c r="H251" s="17">
        <f t="shared" si="26"/>
        <v>10</v>
      </c>
      <c r="I251" s="1">
        <f t="shared" si="27"/>
        <v>10000</v>
      </c>
      <c r="J251" s="17">
        <v>5000</v>
      </c>
      <c r="K251" s="17"/>
      <c r="L251" s="18">
        <f t="shared" ref="L251:L309" si="28">I251-J251-K251</f>
        <v>5000</v>
      </c>
      <c r="M251" s="29">
        <f>SUM('план на 2016'!$L252:M252)-SUM('членские взносы'!$M251:'членские взносы'!M251)</f>
        <v>5800</v>
      </c>
      <c r="N251" s="29">
        <f>SUM('план на 2016'!$L252:N252)-SUM('членские взносы'!$M251:'членские взносы'!N251)</f>
        <v>6600</v>
      </c>
      <c r="O251" s="29">
        <f>SUM('план на 2016'!$L252:O252)-SUM('членские взносы'!$M251:'членские взносы'!O251)</f>
        <v>7400</v>
      </c>
      <c r="P251" s="29">
        <f>SUM('план на 2016'!$L252:P252)-SUM('членские взносы'!$M251:'членские взносы'!P251)</f>
        <v>8200</v>
      </c>
      <c r="Q251" s="29">
        <f>SUM('план на 2016'!$L252:Q252)-SUM('членские взносы'!$M251:'членские взносы'!Q251)</f>
        <v>9000</v>
      </c>
      <c r="R251" s="29">
        <f>SUM('план на 2016'!$L252:R252)-SUM('членские взносы'!$M251:'членские взносы'!R251)</f>
        <v>9800</v>
      </c>
      <c r="S251" s="29">
        <f>SUM('план на 2016'!$L252:S252)-SUM('членские взносы'!$M251:'членские взносы'!S251)</f>
        <v>-1400</v>
      </c>
      <c r="T251" s="29">
        <f>SUM('план на 2016'!$L252:T252)-SUM('членские взносы'!$M251:'членские взносы'!T251)</f>
        <v>-600</v>
      </c>
      <c r="U251" s="29">
        <f>SUM('план на 2016'!$L252:U252)-SUM('членские взносы'!$M251:'членские взносы'!U251)</f>
        <v>200</v>
      </c>
      <c r="V251" s="29">
        <f>SUM('план на 2016'!$L252:V252)-SUM('членские взносы'!$M251:'членские взносы'!V251)</f>
        <v>1000</v>
      </c>
      <c r="W251" s="29">
        <f>SUM('план на 2016'!$L252:W252)-SUM('членские взносы'!$M251:'членские взносы'!W251)</f>
        <v>1800</v>
      </c>
      <c r="X251" s="29">
        <f>SUM('план на 2016'!$L252:X252)-SUM('членские взносы'!$M251:'членские взносы'!X251)</f>
        <v>2600</v>
      </c>
      <c r="Y251" s="18">
        <f t="shared" si="23"/>
        <v>2600</v>
      </c>
    </row>
    <row r="252" spans="1:25">
      <c r="A252" s="41">
        <f>VLOOKUP(B252,справочник!$B$2:$E$322,4,FALSE)</f>
        <v>19</v>
      </c>
      <c r="B252" t="str">
        <f t="shared" si="22"/>
        <v>19Серкин Сергей Львовович</v>
      </c>
      <c r="C252" s="1">
        <v>19</v>
      </c>
      <c r="D252" s="2" t="s">
        <v>237</v>
      </c>
      <c r="E252" s="1" t="s">
        <v>548</v>
      </c>
      <c r="F252" s="16">
        <v>41421</v>
      </c>
      <c r="G252" s="16">
        <v>41456</v>
      </c>
      <c r="H252" s="17">
        <f t="shared" si="26"/>
        <v>30</v>
      </c>
      <c r="I252" s="1">
        <f t="shared" si="27"/>
        <v>30000</v>
      </c>
      <c r="J252" s="17">
        <v>30000</v>
      </c>
      <c r="K252" s="17"/>
      <c r="L252" s="18">
        <f t="shared" si="28"/>
        <v>0</v>
      </c>
      <c r="M252" s="29">
        <f>SUM('план на 2016'!$L253:M253)-SUM('членские взносы'!$M252:'членские взносы'!M252)</f>
        <v>800</v>
      </c>
      <c r="N252" s="29">
        <f>SUM('план на 2016'!$L253:N253)-SUM('членские взносы'!$M252:'членские взносы'!N252)</f>
        <v>1600</v>
      </c>
      <c r="O252" s="29">
        <f>SUM('план на 2016'!$L253:O253)-SUM('членские взносы'!$M252:'членские взносы'!O252)</f>
        <v>2400</v>
      </c>
      <c r="P252" s="29">
        <f>SUM('план на 2016'!$L253:P253)-SUM('членские взносы'!$M252:'членские взносы'!P252)</f>
        <v>3200</v>
      </c>
      <c r="Q252" s="29">
        <f>SUM('план на 2016'!$L253:Q253)-SUM('членские взносы'!$M252:'членские взносы'!Q252)</f>
        <v>4000</v>
      </c>
      <c r="R252" s="29">
        <f>SUM('план на 2016'!$L253:R253)-SUM('членские взносы'!$M252:'членские взносы'!R252)</f>
        <v>800</v>
      </c>
      <c r="S252" s="29">
        <f>SUM('план на 2016'!$L253:S253)-SUM('членские взносы'!$M252:'членские взносы'!S252)</f>
        <v>1600</v>
      </c>
      <c r="T252" s="29">
        <f>SUM('план на 2016'!$L253:T253)-SUM('членские взносы'!$M252:'членские взносы'!T252)</f>
        <v>2400</v>
      </c>
      <c r="U252" s="29">
        <f>SUM('план на 2016'!$L253:U253)-SUM('членские взносы'!$M252:'членские взносы'!U252)</f>
        <v>3200</v>
      </c>
      <c r="V252" s="29">
        <f>SUM('план на 2016'!$L253:V253)-SUM('членские взносы'!$M252:'членские взносы'!V252)</f>
        <v>-1600</v>
      </c>
      <c r="W252" s="29">
        <f>SUM('план на 2016'!$L253:W253)-SUM('членские взносы'!$M252:'членские взносы'!W252)</f>
        <v>-800</v>
      </c>
      <c r="X252" s="29">
        <f>SUM('план на 2016'!$L253:X253)-SUM('членские взносы'!$M252:'членские взносы'!X252)</f>
        <v>0</v>
      </c>
      <c r="Y252" s="18">
        <f t="shared" si="23"/>
        <v>0</v>
      </c>
    </row>
    <row r="253" spans="1:25" ht="25.5" customHeight="1">
      <c r="A253" s="41">
        <f>VLOOKUP(B253,справочник!$B$2:$E$322,4,FALSE)</f>
        <v>310</v>
      </c>
      <c r="B253" t="str">
        <f t="shared" si="22"/>
        <v>133-134Сидельникова Ольга Петровна</v>
      </c>
      <c r="C253" s="1" t="s">
        <v>238</v>
      </c>
      <c r="D253" s="2" t="s">
        <v>239</v>
      </c>
      <c r="E253" s="1" t="s">
        <v>549</v>
      </c>
      <c r="F253" s="19">
        <v>40778</v>
      </c>
      <c r="G253" s="19">
        <v>40787</v>
      </c>
      <c r="H253" s="20">
        <f t="shared" si="26"/>
        <v>52</v>
      </c>
      <c r="I253" s="5">
        <f t="shared" si="27"/>
        <v>52000</v>
      </c>
      <c r="J253" s="20">
        <v>12000</v>
      </c>
      <c r="K253" s="20"/>
      <c r="L253" s="21">
        <f t="shared" si="28"/>
        <v>40000</v>
      </c>
      <c r="M253" s="29">
        <f>SUM('план на 2016'!$L254:M254)-SUM('членские взносы'!$M253:'членские взносы'!M253)</f>
        <v>35800</v>
      </c>
      <c r="N253" s="29">
        <f>SUM('план на 2016'!$L254:N254)-SUM('членские взносы'!$M253:'членские взносы'!N253)</f>
        <v>36600</v>
      </c>
      <c r="O253" s="29">
        <f>SUM('план на 2016'!$L254:O254)-SUM('членские взносы'!$M253:'членские взносы'!O253)</f>
        <v>32400</v>
      </c>
      <c r="P253" s="29">
        <f>SUM('план на 2016'!$L254:P254)-SUM('членские взносы'!$M253:'членские взносы'!P253)</f>
        <v>28250</v>
      </c>
      <c r="Q253" s="29">
        <f>SUM('план на 2016'!$L254:Q254)-SUM('членские взносы'!$M253:'членские взносы'!Q253)</f>
        <v>24050</v>
      </c>
      <c r="R253" s="29">
        <f>SUM('план на 2016'!$L254:R254)-SUM('членские взносы'!$M253:'членские взносы'!R253)</f>
        <v>24850</v>
      </c>
      <c r="S253" s="29">
        <f>SUM('план на 2016'!$L254:S254)-SUM('членские взносы'!$M253:'членские взносы'!S253)</f>
        <v>24850</v>
      </c>
      <c r="T253" s="29">
        <f>SUM('план на 2016'!$L254:T254)-SUM('членские взносы'!$M253:'членские взносы'!T253)</f>
        <v>21675</v>
      </c>
      <c r="U253" s="29">
        <f>SUM('план на 2016'!$L254:U254)-SUM('членские взносы'!$M253:'членские взносы'!U253)</f>
        <v>21675</v>
      </c>
      <c r="V253" s="29">
        <f>SUM('план на 2016'!$L254:V254)-SUM('членские взносы'!$M253:'членские взносы'!V253)</f>
        <v>21675</v>
      </c>
      <c r="W253" s="29">
        <f>SUM('план на 2016'!$L254:W254)-SUM('членские взносы'!$M253:'членские взносы'!W253)</f>
        <v>22475</v>
      </c>
      <c r="X253" s="29">
        <f>SUM('план на 2016'!$L254:X254)-SUM('членские взносы'!$M253:'членские взносы'!X253)</f>
        <v>23275</v>
      </c>
      <c r="Y253" s="18">
        <f t="shared" si="23"/>
        <v>23275</v>
      </c>
    </row>
    <row r="254" spans="1:25">
      <c r="A254" s="41">
        <f>VLOOKUP(B254,справочник!$B$2:$E$322,4,FALSE)</f>
        <v>205</v>
      </c>
      <c r="B254" t="str">
        <f t="shared" si="22"/>
        <v>215Сидоров Александр Юрьевич</v>
      </c>
      <c r="C254" s="1">
        <v>215</v>
      </c>
      <c r="D254" s="2" t="s">
        <v>240</v>
      </c>
      <c r="E254" s="1" t="s">
        <v>550</v>
      </c>
      <c r="F254" s="16">
        <v>41023</v>
      </c>
      <c r="G254" s="16">
        <v>41000</v>
      </c>
      <c r="H254" s="17">
        <f t="shared" si="26"/>
        <v>45</v>
      </c>
      <c r="I254" s="1">
        <f t="shared" si="27"/>
        <v>45000</v>
      </c>
      <c r="J254" s="17">
        <v>33000</v>
      </c>
      <c r="K254" s="17"/>
      <c r="L254" s="18">
        <f t="shared" si="28"/>
        <v>12000</v>
      </c>
      <c r="M254" s="29">
        <f>SUM('план на 2016'!$L255:M255)-SUM('членские взносы'!$M254:'членские взносы'!M254)</f>
        <v>12800</v>
      </c>
      <c r="N254" s="29">
        <f>SUM('план на 2016'!$L255:N255)-SUM('членские взносы'!$M254:'членские взносы'!N254)</f>
        <v>13600</v>
      </c>
      <c r="O254" s="29">
        <f>SUM('план на 2016'!$L255:O255)-SUM('членские взносы'!$M254:'членские взносы'!O254)</f>
        <v>14400</v>
      </c>
      <c r="P254" s="29">
        <f>SUM('план на 2016'!$L255:P255)-SUM('членские взносы'!$M254:'членские взносы'!P254)</f>
        <v>15200</v>
      </c>
      <c r="Q254" s="29">
        <f>SUM('план на 2016'!$L255:Q255)-SUM('членские взносы'!$M254:'членские взносы'!Q254)</f>
        <v>16000</v>
      </c>
      <c r="R254" s="29">
        <f>SUM('план на 2016'!$L255:R255)-SUM('членские взносы'!$M254:'членские взносы'!R254)</f>
        <v>16800</v>
      </c>
      <c r="S254" s="29">
        <f>SUM('план на 2016'!$L255:S255)-SUM('членские взносы'!$M254:'членские взносы'!S254)</f>
        <v>5600</v>
      </c>
      <c r="T254" s="29">
        <f>SUM('план на 2016'!$L255:T255)-SUM('членские взносы'!$M254:'членские взносы'!T254)</f>
        <v>6400</v>
      </c>
      <c r="U254" s="29">
        <f>SUM('план на 2016'!$L255:U255)-SUM('членские взносы'!$M254:'членские взносы'!U254)</f>
        <v>7200</v>
      </c>
      <c r="V254" s="29">
        <f>SUM('план на 2016'!$L255:V255)-SUM('членские взносы'!$M254:'членские взносы'!V254)</f>
        <v>8000</v>
      </c>
      <c r="W254" s="29">
        <f>SUM('план на 2016'!$L255:W255)-SUM('членские взносы'!$M254:'членские взносы'!W254)</f>
        <v>8800</v>
      </c>
      <c r="X254" s="29">
        <f>SUM('план на 2016'!$L255:X255)-SUM('членские взносы'!$M254:'членские взносы'!X254)</f>
        <v>9600</v>
      </c>
      <c r="Y254" s="18">
        <f t="shared" si="23"/>
        <v>9600</v>
      </c>
    </row>
    <row r="255" spans="1:25" ht="25.5" customHeight="1">
      <c r="A255" s="41">
        <f>VLOOKUP(B255,справочник!$B$2:$E$322,4,FALSE)</f>
        <v>107</v>
      </c>
      <c r="B255" t="str">
        <f t="shared" si="22"/>
        <v>112Сиротин Дмитрий Борисович (Приставалова)</v>
      </c>
      <c r="C255" s="1">
        <v>112</v>
      </c>
      <c r="D255" s="2" t="s">
        <v>241</v>
      </c>
      <c r="E255" s="1" t="s">
        <v>551</v>
      </c>
      <c r="F255" s="16">
        <v>40932</v>
      </c>
      <c r="G255" s="16">
        <v>40909</v>
      </c>
      <c r="H255" s="17">
        <f t="shared" si="26"/>
        <v>48</v>
      </c>
      <c r="I255" s="1">
        <f t="shared" si="27"/>
        <v>48000</v>
      </c>
      <c r="J255" s="17">
        <v>40000</v>
      </c>
      <c r="K255" s="17">
        <v>4000</v>
      </c>
      <c r="L255" s="18">
        <f t="shared" si="28"/>
        <v>4000</v>
      </c>
      <c r="M255" s="29">
        <f>SUM('план на 2016'!$L256:M256)-SUM('членские взносы'!$M255:'членские взносы'!M255)</f>
        <v>4800</v>
      </c>
      <c r="N255" s="29">
        <f>SUM('план на 2016'!$L256:N256)-SUM('членские взносы'!$M255:'членские взносы'!N255)</f>
        <v>3600</v>
      </c>
      <c r="O255" s="29">
        <f>SUM('план на 2016'!$L256:O256)-SUM('членские взносы'!$M255:'членские взносы'!O255)</f>
        <v>800</v>
      </c>
      <c r="P255" s="29">
        <f>SUM('план на 2016'!$L256:P256)-SUM('членские взносы'!$M255:'членские взносы'!P255)</f>
        <v>0</v>
      </c>
      <c r="Q255" s="29">
        <f>SUM('план на 2016'!$L256:Q256)-SUM('членские взносы'!$M255:'членские взносы'!Q255)</f>
        <v>800</v>
      </c>
      <c r="R255" s="29">
        <f>SUM('план на 2016'!$L256:R256)-SUM('членские взносы'!$M255:'членские взносы'!R255)</f>
        <v>800</v>
      </c>
      <c r="S255" s="29">
        <f>SUM('план на 2016'!$L256:S256)-SUM('членские взносы'!$M255:'членские взносы'!S255)</f>
        <v>0</v>
      </c>
      <c r="T255" s="29">
        <f>SUM('план на 2016'!$L256:T256)-SUM('членские взносы'!$M255:'членские взносы'!T255)</f>
        <v>0</v>
      </c>
      <c r="U255" s="29">
        <f>SUM('план на 2016'!$L256:U256)-SUM('членские взносы'!$M255:'членские взносы'!U255)</f>
        <v>800</v>
      </c>
      <c r="V255" s="29">
        <f>SUM('план на 2016'!$L256:V256)-SUM('членские взносы'!$M255:'членские взносы'!V255)</f>
        <v>800</v>
      </c>
      <c r="W255" s="29">
        <f>SUM('план на 2016'!$L256:W256)-SUM('членские взносы'!$M255:'членские взносы'!W255)</f>
        <v>800</v>
      </c>
      <c r="X255" s="29">
        <f>SUM('план на 2016'!$L256:X256)-SUM('членские взносы'!$M255:'членские взносы'!X255)</f>
        <v>1600</v>
      </c>
      <c r="Y255" s="18">
        <f t="shared" si="23"/>
        <v>1600</v>
      </c>
    </row>
    <row r="256" spans="1:25">
      <c r="A256" s="41">
        <f>VLOOKUP(B256,справочник!$B$2:$E$322,4,FALSE)</f>
        <v>48</v>
      </c>
      <c r="B256" t="str">
        <f t="shared" si="22"/>
        <v>48Сломов Константин Витальевич</v>
      </c>
      <c r="C256" s="1">
        <v>48</v>
      </c>
      <c r="D256" s="2" t="s">
        <v>242</v>
      </c>
      <c r="E256" s="1" t="s">
        <v>552</v>
      </c>
      <c r="F256" s="16">
        <v>40786</v>
      </c>
      <c r="G256" s="16">
        <v>40787</v>
      </c>
      <c r="H256" s="17">
        <f t="shared" si="26"/>
        <v>52</v>
      </c>
      <c r="I256" s="1">
        <f t="shared" si="27"/>
        <v>52000</v>
      </c>
      <c r="J256" s="17">
        <f>1000+22000</f>
        <v>23000</v>
      </c>
      <c r="K256" s="17"/>
      <c r="L256" s="18">
        <f t="shared" si="28"/>
        <v>29000</v>
      </c>
      <c r="M256" s="29">
        <f>SUM('план на 2016'!$L257:M257)-SUM('членские взносы'!$M256:'членские взносы'!M256)</f>
        <v>29800</v>
      </c>
      <c r="N256" s="29">
        <f>SUM('план на 2016'!$L257:N257)-SUM('членские взносы'!$M256:'членские взносы'!N256)</f>
        <v>30600</v>
      </c>
      <c r="O256" s="29">
        <f>SUM('план на 2016'!$L257:O257)-SUM('членские взносы'!$M256:'членские взносы'!O256)</f>
        <v>31400</v>
      </c>
      <c r="P256" s="29">
        <f>SUM('план на 2016'!$L257:P257)-SUM('членские взносы'!$M256:'членские взносы'!P256)</f>
        <v>32200</v>
      </c>
      <c r="Q256" s="29">
        <f>SUM('план на 2016'!$L257:Q257)-SUM('членские взносы'!$M256:'членские взносы'!Q256)</f>
        <v>33000</v>
      </c>
      <c r="R256" s="29">
        <f>SUM('план на 2016'!$L257:R257)-SUM('членские взносы'!$M256:'членские взносы'!R256)</f>
        <v>33800</v>
      </c>
      <c r="S256" s="29">
        <f>SUM('план на 2016'!$L257:S257)-SUM('членские взносы'!$M256:'членские взносы'!S256)</f>
        <v>800</v>
      </c>
      <c r="T256" s="29">
        <f>SUM('план на 2016'!$L257:T257)-SUM('членские взносы'!$M256:'членские взносы'!T256)</f>
        <v>0</v>
      </c>
      <c r="U256" s="29">
        <f>SUM('план на 2016'!$L257:U257)-SUM('членские взносы'!$M256:'членские взносы'!U256)</f>
        <v>-800</v>
      </c>
      <c r="V256" s="29">
        <f>SUM('план на 2016'!$L257:V257)-SUM('членские взносы'!$M256:'членские взносы'!V256)</f>
        <v>0</v>
      </c>
      <c r="W256" s="29">
        <f>SUM('план на 2016'!$L257:W257)-SUM('членские взносы'!$M256:'членские взносы'!W256)</f>
        <v>-800</v>
      </c>
      <c r="X256" s="29">
        <f>SUM('план на 2016'!$L257:X257)-SUM('членские взносы'!$M256:'членские взносы'!X256)</f>
        <v>0</v>
      </c>
      <c r="Y256" s="18">
        <f t="shared" si="23"/>
        <v>0</v>
      </c>
    </row>
    <row r="257" spans="1:25">
      <c r="A257" s="41">
        <f>VLOOKUP(B257,справочник!$B$2:$E$322,4,FALSE)</f>
        <v>237</v>
      </c>
      <c r="B257" t="str">
        <f t="shared" si="22"/>
        <v>248Смирнов Максим Анатольевич, Светлана</v>
      </c>
      <c r="C257" s="1">
        <v>248</v>
      </c>
      <c r="D257" s="2" t="s">
        <v>243</v>
      </c>
      <c r="E257" s="1" t="s">
        <v>553</v>
      </c>
      <c r="F257" s="16">
        <v>41036</v>
      </c>
      <c r="G257" s="16">
        <v>41030</v>
      </c>
      <c r="H257" s="17">
        <f t="shared" si="26"/>
        <v>44</v>
      </c>
      <c r="I257" s="1">
        <f t="shared" si="27"/>
        <v>44000</v>
      </c>
      <c r="J257" s="17">
        <v>13000</v>
      </c>
      <c r="K257" s="17"/>
      <c r="L257" s="18">
        <f t="shared" si="28"/>
        <v>31000</v>
      </c>
      <c r="M257" s="29">
        <f>SUM('план на 2016'!$L258:M258)-SUM('членские взносы'!$M257:'членские взносы'!M257)</f>
        <v>800</v>
      </c>
      <c r="N257" s="29">
        <f>SUM('план на 2016'!$L258:N258)-SUM('членские взносы'!$M257:'членские взносы'!N257)</f>
        <v>1600</v>
      </c>
      <c r="O257" s="29">
        <f>SUM('план на 2016'!$L258:O258)-SUM('членские взносы'!$M257:'членские взносы'!O257)</f>
        <v>400</v>
      </c>
      <c r="P257" s="29">
        <f>SUM('план на 2016'!$L258:P258)-SUM('членские взносы'!$M257:'членские взносы'!P257)</f>
        <v>1200</v>
      </c>
      <c r="Q257" s="29">
        <f>SUM('план на 2016'!$L258:Q258)-SUM('членские взносы'!$M257:'членские взносы'!Q257)</f>
        <v>2000</v>
      </c>
      <c r="R257" s="29">
        <f>SUM('план на 2016'!$L258:R258)-SUM('членские взносы'!$M257:'членские взносы'!R257)</f>
        <v>2800</v>
      </c>
      <c r="S257" s="29">
        <f>SUM('план на 2016'!$L258:S258)-SUM('членские взносы'!$M257:'членские взносы'!S257)</f>
        <v>3600</v>
      </c>
      <c r="T257" s="29">
        <f>SUM('план на 2016'!$L258:T258)-SUM('членские взносы'!$M257:'членские взносы'!T257)</f>
        <v>4400</v>
      </c>
      <c r="U257" s="29">
        <f>SUM('план на 2016'!$L258:U258)-SUM('членские взносы'!$M257:'членские взносы'!U257)</f>
        <v>5200</v>
      </c>
      <c r="V257" s="29">
        <f>SUM('план на 2016'!$L258:V258)-SUM('членские взносы'!$M257:'членские взносы'!V257)</f>
        <v>6000</v>
      </c>
      <c r="W257" s="29">
        <f>SUM('план на 2016'!$L258:W258)-SUM('членские взносы'!$M257:'членские взносы'!W257)</f>
        <v>6800</v>
      </c>
      <c r="X257" s="29">
        <f>SUM('план на 2016'!$L258:X258)-SUM('членские взносы'!$M257:'членские взносы'!X257)</f>
        <v>7600</v>
      </c>
      <c r="Y257" s="18">
        <f t="shared" si="23"/>
        <v>7600</v>
      </c>
    </row>
    <row r="258" spans="1:25">
      <c r="A258" s="41">
        <f>VLOOKUP(B258,справочник!$B$2:$E$322,4,FALSE)</f>
        <v>263</v>
      </c>
      <c r="B258" t="str">
        <f t="shared" si="22"/>
        <v>276Соколова Ирина Анатольевна</v>
      </c>
      <c r="C258" s="1">
        <v>276</v>
      </c>
      <c r="D258" s="2" t="s">
        <v>244</v>
      </c>
      <c r="E258" s="1" t="s">
        <v>554</v>
      </c>
      <c r="F258" s="16">
        <v>41289</v>
      </c>
      <c r="G258" s="16">
        <v>41306</v>
      </c>
      <c r="H258" s="17">
        <f t="shared" si="26"/>
        <v>35</v>
      </c>
      <c r="I258" s="1">
        <f t="shared" si="27"/>
        <v>35000</v>
      </c>
      <c r="J258" s="17">
        <v>32000</v>
      </c>
      <c r="K258" s="17"/>
      <c r="L258" s="18">
        <f t="shared" si="28"/>
        <v>3000</v>
      </c>
      <c r="M258" s="29">
        <f>SUM('план на 2016'!$L259:M259)-SUM('членские взносы'!$M258:'членские взносы'!M258)</f>
        <v>3800</v>
      </c>
      <c r="N258" s="29">
        <f>SUM('план на 2016'!$L259:N259)-SUM('членские взносы'!$M258:'членские взносы'!N258)</f>
        <v>2000</v>
      </c>
      <c r="O258" s="29">
        <f>SUM('план на 2016'!$L259:O259)-SUM('членские взносы'!$M258:'членские взносы'!O258)</f>
        <v>2000</v>
      </c>
      <c r="P258" s="29">
        <f>SUM('план на 2016'!$L259:P259)-SUM('членские взносы'!$M258:'членские взносы'!P258)</f>
        <v>2800</v>
      </c>
      <c r="Q258" s="29">
        <f>SUM('план на 2016'!$L259:Q259)-SUM('членские взносы'!$M258:'членские взносы'!Q258)</f>
        <v>3600</v>
      </c>
      <c r="R258" s="29">
        <f>SUM('план на 2016'!$L259:R259)-SUM('членские взносы'!$M258:'членские взносы'!R258)</f>
        <v>4400</v>
      </c>
      <c r="S258" s="29">
        <f>SUM('план на 2016'!$L259:S259)-SUM('членские взносы'!$M258:'членские взносы'!S258)</f>
        <v>5200</v>
      </c>
      <c r="T258" s="29">
        <f>SUM('план на 2016'!$L259:T259)-SUM('членские взносы'!$M258:'членские взносы'!T258)</f>
        <v>6000</v>
      </c>
      <c r="U258" s="29">
        <f>SUM('план на 2016'!$L259:U259)-SUM('членские взносы'!$M258:'членские взносы'!U258)</f>
        <v>4400</v>
      </c>
      <c r="V258" s="29">
        <f>SUM('план на 2016'!$L259:V259)-SUM('членские взносы'!$M258:'членские взносы'!V258)</f>
        <v>5200</v>
      </c>
      <c r="W258" s="29">
        <f>SUM('план на 2016'!$L259:W259)-SUM('членские взносы'!$M258:'членские взносы'!W258)</f>
        <v>6000</v>
      </c>
      <c r="X258" s="29">
        <f>SUM('план на 2016'!$L259:X259)-SUM('членские взносы'!$M258:'членские взносы'!X258)</f>
        <v>4400</v>
      </c>
      <c r="Y258" s="18">
        <f t="shared" si="23"/>
        <v>4400</v>
      </c>
    </row>
    <row r="259" spans="1:25">
      <c r="A259" s="41">
        <f>VLOOKUP(B259,справочник!$B$2:$E$322,4,FALSE)</f>
        <v>100</v>
      </c>
      <c r="B259" t="str">
        <f t="shared" si="22"/>
        <v>105Солодкий Дмитрий Павлович</v>
      </c>
      <c r="C259" s="1">
        <v>105</v>
      </c>
      <c r="D259" s="2" t="s">
        <v>245</v>
      </c>
      <c r="E259" s="1" t="s">
        <v>555</v>
      </c>
      <c r="F259" s="16">
        <v>41065</v>
      </c>
      <c r="G259" s="16">
        <v>41061</v>
      </c>
      <c r="H259" s="17">
        <f t="shared" si="26"/>
        <v>43</v>
      </c>
      <c r="I259" s="1">
        <f t="shared" si="27"/>
        <v>43000</v>
      </c>
      <c r="J259" s="17">
        <v>28000</v>
      </c>
      <c r="K259" s="17"/>
      <c r="L259" s="18">
        <f t="shared" si="28"/>
        <v>15000</v>
      </c>
      <c r="M259" s="29">
        <f>SUM('план на 2016'!$L260:M260)-SUM('членские взносы'!$M259:'членские взносы'!M259)</f>
        <v>10749.7</v>
      </c>
      <c r="N259" s="29">
        <f>SUM('план на 2016'!$L260:N260)-SUM('членские взносы'!$M259:'членские взносы'!N259)</f>
        <v>11549.7</v>
      </c>
      <c r="O259" s="29">
        <f>SUM('план на 2016'!$L260:O260)-SUM('членские взносы'!$M259:'членские взносы'!O259)</f>
        <v>12349.7</v>
      </c>
      <c r="P259" s="29">
        <f>SUM('план на 2016'!$L260:P260)-SUM('членские взносы'!$M259:'членские взносы'!P259)</f>
        <v>13149.7</v>
      </c>
      <c r="Q259" s="29">
        <f>SUM('план на 2016'!$L260:Q260)-SUM('членские взносы'!$M259:'членские взносы'!Q259)</f>
        <v>13949.7</v>
      </c>
      <c r="R259" s="29">
        <f>SUM('план на 2016'!$L260:R260)-SUM('членские взносы'!$M259:'членские взносы'!R259)</f>
        <v>14749.7</v>
      </c>
      <c r="S259" s="29">
        <f>SUM('план на 2016'!$L260:S260)-SUM('членские взносы'!$M259:'членские взносы'!S259)</f>
        <v>12749.7</v>
      </c>
      <c r="T259" s="29">
        <f>SUM('план на 2016'!$L260:T260)-SUM('членские взносы'!$M259:'членские взносы'!T259)</f>
        <v>11549.7</v>
      </c>
      <c r="U259" s="29">
        <f>SUM('план на 2016'!$L260:U260)-SUM('членские взносы'!$M259:'членские взносы'!U259)</f>
        <v>12349.7</v>
      </c>
      <c r="V259" s="29">
        <f>SUM('план на 2016'!$L260:V260)-SUM('членские взносы'!$M259:'членские взносы'!V259)</f>
        <v>13149.7</v>
      </c>
      <c r="W259" s="29">
        <f>SUM('план на 2016'!$L260:W260)-SUM('членские взносы'!$M259:'членские взносы'!W259)</f>
        <v>13949.7</v>
      </c>
      <c r="X259" s="29">
        <f>SUM('план на 2016'!$L260:X260)-SUM('членские взносы'!$M259:'членские взносы'!X259)</f>
        <v>14749.7</v>
      </c>
      <c r="Y259" s="18">
        <f t="shared" si="23"/>
        <v>14749.7</v>
      </c>
    </row>
    <row r="260" spans="1:25">
      <c r="A260" s="41">
        <f>VLOOKUP(B260,справочник!$B$2:$E$322,4,FALSE)</f>
        <v>131</v>
      </c>
      <c r="B260" t="str">
        <f t="shared" si="22"/>
        <v>138Спивак Сергей Николаевич</v>
      </c>
      <c r="C260" s="1">
        <v>138</v>
      </c>
      <c r="D260" s="2" t="s">
        <v>246</v>
      </c>
      <c r="E260" s="1" t="s">
        <v>556</v>
      </c>
      <c r="F260" s="16">
        <v>41114</v>
      </c>
      <c r="G260" s="16">
        <v>41122</v>
      </c>
      <c r="H260" s="17">
        <f t="shared" si="26"/>
        <v>41</v>
      </c>
      <c r="I260" s="1">
        <f t="shared" si="27"/>
        <v>41000</v>
      </c>
      <c r="J260" s="17">
        <v>23000</v>
      </c>
      <c r="K260" s="17">
        <v>6000</v>
      </c>
      <c r="L260" s="18">
        <f t="shared" si="28"/>
        <v>12000</v>
      </c>
      <c r="M260" s="29">
        <f>SUM('план на 2016'!$L261:M261)-SUM('членские взносы'!$M260:'членские взносы'!M260)</f>
        <v>12800</v>
      </c>
      <c r="N260" s="29">
        <f>SUM('план на 2016'!$L261:N261)-SUM('членские взносы'!$M260:'членские взносы'!N260)</f>
        <v>13600</v>
      </c>
      <c r="O260" s="29">
        <f>SUM('план на 2016'!$L261:O261)-SUM('членские взносы'!$M260:'членские взносы'!O260)</f>
        <v>14400</v>
      </c>
      <c r="P260" s="29">
        <f>SUM('план на 2016'!$L261:P261)-SUM('членские взносы'!$M260:'членские взносы'!P260)</f>
        <v>800</v>
      </c>
      <c r="Q260" s="29">
        <f>SUM('план на 2016'!$L261:Q261)-SUM('членские взносы'!$M260:'членские взносы'!Q260)</f>
        <v>1600</v>
      </c>
      <c r="R260" s="29">
        <f>SUM('план на 2016'!$L261:R261)-SUM('членские взносы'!$M260:'членские взносы'!R260)</f>
        <v>2400</v>
      </c>
      <c r="S260" s="29">
        <f>SUM('план на 2016'!$L261:S261)-SUM('членские взносы'!$M260:'членские взносы'!S260)</f>
        <v>3200</v>
      </c>
      <c r="T260" s="29">
        <f>SUM('план на 2016'!$L261:T261)-SUM('членские взносы'!$M260:'членские взносы'!T260)</f>
        <v>4000</v>
      </c>
      <c r="U260" s="29">
        <f>SUM('план на 2016'!$L261:U261)-SUM('членские взносы'!$M260:'членские взносы'!U260)</f>
        <v>4800</v>
      </c>
      <c r="V260" s="29">
        <f>SUM('план на 2016'!$L261:V261)-SUM('членские взносы'!$M260:'членские взносы'!V260)</f>
        <v>0</v>
      </c>
      <c r="W260" s="29">
        <f>SUM('план на 2016'!$L261:W261)-SUM('членские взносы'!$M260:'членские взносы'!W260)</f>
        <v>800</v>
      </c>
      <c r="X260" s="29">
        <f>SUM('план на 2016'!$L261:X261)-SUM('членские взносы'!$M260:'членские взносы'!X260)</f>
        <v>0</v>
      </c>
      <c r="Y260" s="18">
        <f t="shared" si="23"/>
        <v>0</v>
      </c>
    </row>
    <row r="261" spans="1:25">
      <c r="A261" s="41">
        <f>VLOOKUP(B261,справочник!$B$2:$E$322,4,FALSE)</f>
        <v>183</v>
      </c>
      <c r="B261" t="str">
        <f t="shared" ref="B261:B324" si="29">CONCATENATE(C261,D261)</f>
        <v>191Спиридонов Андрей Владимирович</v>
      </c>
      <c r="C261" s="1">
        <v>191</v>
      </c>
      <c r="D261" s="2" t="s">
        <v>247</v>
      </c>
      <c r="E261" s="1" t="s">
        <v>557</v>
      </c>
      <c r="F261" s="19">
        <v>41505</v>
      </c>
      <c r="G261" s="19">
        <v>41518</v>
      </c>
      <c r="H261" s="20">
        <f t="shared" si="26"/>
        <v>28</v>
      </c>
      <c r="I261" s="5">
        <f t="shared" si="27"/>
        <v>28000</v>
      </c>
      <c r="J261" s="20">
        <v>1000</v>
      </c>
      <c r="K261" s="20"/>
      <c r="L261" s="21">
        <f t="shared" si="28"/>
        <v>27000</v>
      </c>
      <c r="M261" s="29">
        <f>SUM('план на 2016'!$L262:M262)-SUM('членские взносы'!$M261:'членские взносы'!M261)</f>
        <v>7800</v>
      </c>
      <c r="N261" s="29">
        <f>SUM('план на 2016'!$L262:N262)-SUM('членские взносы'!$M261:'членские взносы'!N261)</f>
        <v>8600</v>
      </c>
      <c r="O261" s="29">
        <f>SUM('план на 2016'!$L262:O262)-SUM('членские взносы'!$M261:'членские взносы'!O261)</f>
        <v>9400</v>
      </c>
      <c r="P261" s="29">
        <f>SUM('план на 2016'!$L262:P262)-SUM('членские взносы'!$M261:'членские взносы'!P261)</f>
        <v>10200</v>
      </c>
      <c r="Q261" s="29">
        <f>SUM('план на 2016'!$L262:Q262)-SUM('членские взносы'!$M261:'членские взносы'!Q261)</f>
        <v>11000</v>
      </c>
      <c r="R261" s="29">
        <f>SUM('план на 2016'!$L262:R262)-SUM('членские взносы'!$M261:'членские взносы'!R261)</f>
        <v>11800</v>
      </c>
      <c r="S261" s="29">
        <f>SUM('план на 2016'!$L262:S262)-SUM('членские взносы'!$M261:'членские взносы'!S261)</f>
        <v>12600</v>
      </c>
      <c r="T261" s="29">
        <f>SUM('план на 2016'!$L262:T262)-SUM('членские взносы'!$M261:'членские взносы'!T261)</f>
        <v>-24243</v>
      </c>
      <c r="U261" s="29">
        <f>SUM('план на 2016'!$L262:U262)-SUM('членские взносы'!$M261:'членские взносы'!U261)</f>
        <v>-29443</v>
      </c>
      <c r="V261" s="29">
        <f>SUM('план на 2016'!$L262:V262)-SUM('членские взносы'!$M261:'членские взносы'!V261)</f>
        <v>-28643</v>
      </c>
      <c r="W261" s="29">
        <f>SUM('план на 2016'!$L262:W262)-SUM('членские взносы'!$M261:'членские взносы'!W261)</f>
        <v>-27843</v>
      </c>
      <c r="X261" s="29">
        <f>SUM('план на 2016'!$L262:X262)-SUM('членские взносы'!$M261:'членские взносы'!X261)</f>
        <v>-27043</v>
      </c>
      <c r="Y261" s="18">
        <f t="shared" ref="Y261:Y324" si="30">X261</f>
        <v>-27043</v>
      </c>
    </row>
    <row r="262" spans="1:25">
      <c r="A262" s="41">
        <f>VLOOKUP(B262,справочник!$B$2:$E$322,4,FALSE)</f>
        <v>183</v>
      </c>
      <c r="B262" t="str">
        <f t="shared" si="29"/>
        <v>192Спиридонов Андрей Владимирович</v>
      </c>
      <c r="C262" s="1">
        <v>192</v>
      </c>
      <c r="D262" s="2" t="s">
        <v>247</v>
      </c>
      <c r="E262" s="1" t="s">
        <v>558</v>
      </c>
      <c r="F262" s="19">
        <v>41505</v>
      </c>
      <c r="G262" s="19">
        <v>41518</v>
      </c>
      <c r="H262" s="20">
        <f t="shared" si="26"/>
        <v>28</v>
      </c>
      <c r="I262" s="5">
        <f t="shared" si="27"/>
        <v>28000</v>
      </c>
      <c r="J262" s="20">
        <v>1000</v>
      </c>
      <c r="K262" s="20"/>
      <c r="L262" s="21">
        <f t="shared" si="28"/>
        <v>27000</v>
      </c>
      <c r="M262" s="29">
        <f>SUM('план на 2016'!$L263:M263)-SUM('членские взносы'!$M262:'членские взносы'!M262)</f>
        <v>27000</v>
      </c>
      <c r="N262" s="29">
        <f>SUM('план на 2016'!$L263:N263)-SUM('членские взносы'!$M262:'членские взносы'!N262)</f>
        <v>27000</v>
      </c>
      <c r="O262" s="29">
        <f>SUM('план на 2016'!$L263:O263)-SUM('членские взносы'!$M262:'членские взносы'!O262)</f>
        <v>27000</v>
      </c>
      <c r="P262" s="29">
        <f>SUM('план на 2016'!$L263:P263)-SUM('членские взносы'!$M262:'членские взносы'!P262)</f>
        <v>27000</v>
      </c>
      <c r="Q262" s="29">
        <f>SUM('план на 2016'!$L263:Q263)-SUM('членские взносы'!$M262:'членские взносы'!Q262)</f>
        <v>27000</v>
      </c>
      <c r="R262" s="29">
        <f>SUM('план на 2016'!$L263:R263)-SUM('членские взносы'!$M262:'членские взносы'!R262)</f>
        <v>27000</v>
      </c>
      <c r="S262" s="29">
        <f>SUM('план на 2016'!$L263:S263)-SUM('членские взносы'!$M262:'членские взносы'!S262)</f>
        <v>27000</v>
      </c>
      <c r="T262" s="29">
        <f>SUM('план на 2016'!$L263:T263)-SUM('членские взносы'!$M262:'членские взносы'!T262)</f>
        <v>27000</v>
      </c>
      <c r="U262" s="29">
        <f>SUM('план на 2016'!$L263:U263)-SUM('членские взносы'!$M262:'членские взносы'!U262)</f>
        <v>27000</v>
      </c>
      <c r="V262" s="29">
        <f>SUM('план на 2016'!$L263:V263)-SUM('членские взносы'!$M262:'членские взносы'!V262)</f>
        <v>27000</v>
      </c>
      <c r="W262" s="29">
        <f>SUM('план на 2016'!$L263:W263)-SUM('членские взносы'!$M262:'членские взносы'!W262)</f>
        <v>27000</v>
      </c>
      <c r="X262" s="29">
        <f>SUM('план на 2016'!$L263:X263)-SUM('членские взносы'!$M262:'членские взносы'!X262)</f>
        <v>27000</v>
      </c>
      <c r="Y262" s="18">
        <f t="shared" si="30"/>
        <v>27000</v>
      </c>
    </row>
    <row r="263" spans="1:25" ht="25.5" customHeight="1">
      <c r="A263" s="41">
        <f>VLOOKUP(B263,справочник!$B$2:$E$322,4,FALSE)</f>
        <v>21</v>
      </c>
      <c r="B263" t="str">
        <f t="shared" si="29"/>
        <v>21Старостин Виктор Вячеславович</v>
      </c>
      <c r="C263" s="1">
        <v>21</v>
      </c>
      <c r="D263" s="2" t="s">
        <v>248</v>
      </c>
      <c r="E263" s="1" t="s">
        <v>559</v>
      </c>
      <c r="F263" s="16">
        <v>41107</v>
      </c>
      <c r="G263" s="16">
        <v>41091</v>
      </c>
      <c r="H263" s="17">
        <f t="shared" si="26"/>
        <v>42</v>
      </c>
      <c r="I263" s="1">
        <f t="shared" si="27"/>
        <v>42000</v>
      </c>
      <c r="J263" s="17">
        <v>40000</v>
      </c>
      <c r="K263" s="17"/>
      <c r="L263" s="18">
        <f t="shared" si="28"/>
        <v>2000</v>
      </c>
      <c r="M263" s="29">
        <f>SUM('план на 2016'!$L264:M264)-SUM('членские взносы'!$M263:'членские взносы'!M263)</f>
        <v>2800</v>
      </c>
      <c r="N263" s="29">
        <f>SUM('план на 2016'!$L264:N264)-SUM('членские взносы'!$M263:'членские взносы'!N263)</f>
        <v>3600</v>
      </c>
      <c r="O263" s="29">
        <f>SUM('план на 2016'!$L264:O264)-SUM('членские взносы'!$M263:'членские взносы'!O263)</f>
        <v>4400</v>
      </c>
      <c r="P263" s="29">
        <f>SUM('план на 2016'!$L264:P264)-SUM('членские взносы'!$M263:'членские взносы'!P263)</f>
        <v>5200</v>
      </c>
      <c r="Q263" s="29">
        <f>SUM('план на 2016'!$L264:Q264)-SUM('членские взносы'!$M263:'членские взносы'!Q263)</f>
        <v>6000</v>
      </c>
      <c r="R263" s="29">
        <f>SUM('план на 2016'!$L264:R264)-SUM('членские взносы'!$M263:'членские взносы'!R263)</f>
        <v>6800</v>
      </c>
      <c r="S263" s="29">
        <f>SUM('план на 2016'!$L264:S264)-SUM('членские взносы'!$M263:'членские взносы'!S263)</f>
        <v>7600</v>
      </c>
      <c r="T263" s="29">
        <f>SUM('план на 2016'!$L264:T264)-SUM('членские взносы'!$M263:'членские взносы'!T263)</f>
        <v>8400</v>
      </c>
      <c r="U263" s="29">
        <f>SUM('план на 2016'!$L264:U264)-SUM('членские взносы'!$M263:'членские взносы'!U263)</f>
        <v>-800</v>
      </c>
      <c r="V263" s="29">
        <f>SUM('план на 2016'!$L264:V264)-SUM('членские взносы'!$M263:'членские взносы'!V263)</f>
        <v>0</v>
      </c>
      <c r="W263" s="29">
        <f>SUM('план на 2016'!$L264:W264)-SUM('членские взносы'!$M263:'членские взносы'!W263)</f>
        <v>800</v>
      </c>
      <c r="X263" s="29">
        <f>SUM('план на 2016'!$L264:X264)-SUM('членские взносы'!$M263:'членские взносы'!X263)</f>
        <v>1600</v>
      </c>
      <c r="Y263" s="18">
        <f t="shared" si="30"/>
        <v>1600</v>
      </c>
    </row>
    <row r="264" spans="1:25">
      <c r="A264" s="41">
        <f>VLOOKUP(B264,справочник!$B$2:$E$322,4,FALSE)</f>
        <v>298</v>
      </c>
      <c r="B264" t="str">
        <f t="shared" si="29"/>
        <v>313Степанов Валерий Владимирович</v>
      </c>
      <c r="C264" s="1">
        <v>313</v>
      </c>
      <c r="D264" s="2" t="s">
        <v>249</v>
      </c>
      <c r="E264" s="1" t="s">
        <v>560</v>
      </c>
      <c r="F264" s="16">
        <v>41994</v>
      </c>
      <c r="G264" s="16">
        <v>42005</v>
      </c>
      <c r="H264" s="17">
        <f t="shared" si="26"/>
        <v>12</v>
      </c>
      <c r="I264" s="1">
        <f t="shared" si="27"/>
        <v>12000</v>
      </c>
      <c r="J264" s="17">
        <v>12000</v>
      </c>
      <c r="K264" s="17"/>
      <c r="L264" s="18">
        <f t="shared" si="28"/>
        <v>0</v>
      </c>
      <c r="M264" s="29">
        <f>SUM('план на 2016'!$L265:M265)-SUM('членские взносы'!$M264:'членские взносы'!M264)</f>
        <v>800</v>
      </c>
      <c r="N264" s="29">
        <f>SUM('план на 2016'!$L265:N265)-SUM('членские взносы'!$M264:'членские взносы'!N264)</f>
        <v>-3200</v>
      </c>
      <c r="O264" s="29">
        <f>SUM('план на 2016'!$L265:O265)-SUM('членские взносы'!$M264:'членские взносы'!O264)</f>
        <v>-2400</v>
      </c>
      <c r="P264" s="29">
        <f>SUM('план на 2016'!$L265:P265)-SUM('членские взносы'!$M264:'членские взносы'!P264)</f>
        <v>-1600</v>
      </c>
      <c r="Q264" s="29">
        <f>SUM('план на 2016'!$L265:Q265)-SUM('членские взносы'!$M264:'членские взносы'!Q264)</f>
        <v>-800</v>
      </c>
      <c r="R264" s="29">
        <f>SUM('план на 2016'!$L265:R265)-SUM('членские взносы'!$M264:'членские взносы'!R264)</f>
        <v>0</v>
      </c>
      <c r="S264" s="29">
        <f>SUM('план на 2016'!$L265:S265)-SUM('членские взносы'!$M264:'членские взносы'!S264)</f>
        <v>800</v>
      </c>
      <c r="T264" s="29">
        <f>SUM('план на 2016'!$L265:T265)-SUM('членские взносы'!$M264:'членские взносы'!T264)</f>
        <v>1600</v>
      </c>
      <c r="U264" s="29">
        <f>SUM('план на 2016'!$L265:U265)-SUM('членские взносы'!$M264:'членские взносы'!U264)</f>
        <v>-2600</v>
      </c>
      <c r="V264" s="29">
        <f>SUM('план на 2016'!$L265:V265)-SUM('членские взносы'!$M264:'членские взносы'!V264)</f>
        <v>-1800</v>
      </c>
      <c r="W264" s="29">
        <f>SUM('план на 2016'!$L265:W265)-SUM('членские взносы'!$M264:'членские взносы'!W264)</f>
        <v>-1000</v>
      </c>
      <c r="X264" s="29">
        <f>SUM('план на 2016'!$L265:X265)-SUM('членские взносы'!$M264:'членские взносы'!X264)</f>
        <v>-200</v>
      </c>
      <c r="Y264" s="18">
        <f t="shared" si="30"/>
        <v>-200</v>
      </c>
    </row>
    <row r="265" spans="1:25">
      <c r="A265" s="41">
        <f>VLOOKUP(B265,справочник!$B$2:$E$322,4,FALSE)</f>
        <v>91</v>
      </c>
      <c r="B265" t="str">
        <f t="shared" si="29"/>
        <v>96Степанова Марина Николаевна (Артем)</v>
      </c>
      <c r="C265" s="1">
        <v>96</v>
      </c>
      <c r="D265" s="2" t="s">
        <v>250</v>
      </c>
      <c r="E265" s="1" t="s">
        <v>561</v>
      </c>
      <c r="F265" s="16">
        <v>41070</v>
      </c>
      <c r="G265" s="16">
        <v>41061</v>
      </c>
      <c r="H265" s="17">
        <f t="shared" si="26"/>
        <v>43</v>
      </c>
      <c r="I265" s="1">
        <f t="shared" si="27"/>
        <v>43000</v>
      </c>
      <c r="J265" s="17">
        <v>12000</v>
      </c>
      <c r="K265" s="17"/>
      <c r="L265" s="18">
        <f t="shared" si="28"/>
        <v>31000</v>
      </c>
      <c r="M265" s="29">
        <f>SUM('план на 2016'!$L266:M266)-SUM('членские взносы'!$M265:'членские взносы'!M265)</f>
        <v>31800</v>
      </c>
      <c r="N265" s="29">
        <f>SUM('план на 2016'!$L266:N266)-SUM('членские взносы'!$M265:'членские взносы'!N265)</f>
        <v>32600</v>
      </c>
      <c r="O265" s="29">
        <f>SUM('план на 2016'!$L266:O266)-SUM('членские взносы'!$M265:'членские взносы'!O265)</f>
        <v>33400</v>
      </c>
      <c r="P265" s="29">
        <f>SUM('план на 2016'!$L266:P266)-SUM('членские взносы'!$M265:'членские взносы'!P265)</f>
        <v>34200</v>
      </c>
      <c r="Q265" s="29">
        <f>SUM('план на 2016'!$L266:Q266)-SUM('членские взносы'!$M265:'членские взносы'!Q265)</f>
        <v>35000</v>
      </c>
      <c r="R265" s="29">
        <f>SUM('план на 2016'!$L266:R266)-SUM('членские взносы'!$M265:'членские взносы'!R265)</f>
        <v>35800</v>
      </c>
      <c r="S265" s="29">
        <f>SUM('план на 2016'!$L266:S266)-SUM('членские взносы'!$M265:'членские взносы'!S265)</f>
        <v>21600</v>
      </c>
      <c r="T265" s="29">
        <f>SUM('план на 2016'!$L266:T266)-SUM('членские взносы'!$M265:'членские взносы'!T265)</f>
        <v>22400</v>
      </c>
      <c r="U265" s="29">
        <f>SUM('план на 2016'!$L266:U266)-SUM('членские взносы'!$M265:'членские взносы'!U265)</f>
        <v>23200</v>
      </c>
      <c r="V265" s="29">
        <f>SUM('план на 2016'!$L266:V266)-SUM('членские взносы'!$M265:'членские взносы'!V265)</f>
        <v>24000</v>
      </c>
      <c r="W265" s="29">
        <f>SUM('план на 2016'!$L266:W266)-SUM('членские взносы'!$M265:'членские взносы'!W265)</f>
        <v>24800</v>
      </c>
      <c r="X265" s="29">
        <f>SUM('план на 2016'!$L266:X266)-SUM('членские взносы'!$M265:'членские взносы'!X265)</f>
        <v>25600</v>
      </c>
      <c r="Y265" s="18">
        <f t="shared" si="30"/>
        <v>25600</v>
      </c>
    </row>
    <row r="266" spans="1:25">
      <c r="A266" s="41">
        <f>VLOOKUP(B266,справочник!$B$2:$E$322,4,FALSE)</f>
        <v>54</v>
      </c>
      <c r="B266" t="str">
        <f t="shared" si="29"/>
        <v>56Стрелков Андрей Вячеславович</v>
      </c>
      <c r="C266" s="1">
        <v>56</v>
      </c>
      <c r="D266" s="2" t="s">
        <v>251</v>
      </c>
      <c r="E266" s="1" t="s">
        <v>562</v>
      </c>
      <c r="F266" s="16">
        <v>41184</v>
      </c>
      <c r="G266" s="16">
        <v>41214</v>
      </c>
      <c r="H266" s="17">
        <f t="shared" si="26"/>
        <v>38</v>
      </c>
      <c r="I266" s="1">
        <f t="shared" si="27"/>
        <v>38000</v>
      </c>
      <c r="J266" s="17">
        <v>38000</v>
      </c>
      <c r="K266" s="17"/>
      <c r="L266" s="18">
        <f t="shared" si="28"/>
        <v>0</v>
      </c>
      <c r="M266" s="29">
        <f>SUM('план на 2016'!$L267:M267)-SUM('членские взносы'!$M266:'членские взносы'!M266)</f>
        <v>800</v>
      </c>
      <c r="N266" s="29">
        <f>SUM('план на 2016'!$L267:N267)-SUM('членские взносы'!$M266:'членские взносы'!N266)</f>
        <v>1600</v>
      </c>
      <c r="O266" s="29">
        <f>SUM('план на 2016'!$L267:O267)-SUM('членские взносы'!$M266:'членские взносы'!O266)</f>
        <v>2400</v>
      </c>
      <c r="P266" s="29">
        <f>SUM('план на 2016'!$L267:P267)-SUM('членские взносы'!$M266:'членские взносы'!P266)</f>
        <v>3200</v>
      </c>
      <c r="Q266" s="29">
        <f>SUM('план на 2016'!$L267:Q267)-SUM('членские взносы'!$M266:'членские взносы'!Q266)</f>
        <v>4000</v>
      </c>
      <c r="R266" s="29">
        <f>SUM('план на 2016'!$L267:R267)-SUM('членские взносы'!$M266:'членские взносы'!R266)</f>
        <v>4800</v>
      </c>
      <c r="S266" s="29">
        <f>SUM('план на 2016'!$L267:S267)-SUM('членские взносы'!$M266:'членские взносы'!S266)</f>
        <v>5600</v>
      </c>
      <c r="T266" s="29">
        <f>SUM('план на 2016'!$L267:T267)-SUM('членские взносы'!$M266:'членские взносы'!T266)</f>
        <v>6400</v>
      </c>
      <c r="U266" s="29">
        <f>SUM('план на 2016'!$L267:U267)-SUM('членские взносы'!$M266:'членские взносы'!U266)</f>
        <v>7200</v>
      </c>
      <c r="V266" s="29">
        <f>SUM('план на 2016'!$L267:V267)-SUM('членские взносы'!$M266:'членские взносы'!V266)</f>
        <v>8000</v>
      </c>
      <c r="W266" s="29">
        <f>SUM('план на 2016'!$L267:W267)-SUM('членские взносы'!$M266:'членские взносы'!W266)</f>
        <v>8800</v>
      </c>
      <c r="X266" s="29">
        <f>SUM('план на 2016'!$L267:X267)-SUM('членские взносы'!$M266:'членские взносы'!X266)</f>
        <v>9600</v>
      </c>
      <c r="Y266" s="18">
        <f t="shared" si="30"/>
        <v>9600</v>
      </c>
    </row>
    <row r="267" spans="1:25">
      <c r="A267" s="41">
        <f>VLOOKUP(B267,справочник!$B$2:$E$322,4,FALSE)</f>
        <v>317</v>
      </c>
      <c r="B267" t="str">
        <f t="shared" si="29"/>
        <v xml:space="preserve">51-52Стрелков Андрей Вячеславович  </v>
      </c>
      <c r="C267" s="1" t="s">
        <v>252</v>
      </c>
      <c r="D267" s="2" t="s">
        <v>253</v>
      </c>
      <c r="E267" s="1" t="s">
        <v>563</v>
      </c>
      <c r="F267" s="16">
        <v>41184</v>
      </c>
      <c r="G267" s="16">
        <v>41214</v>
      </c>
      <c r="H267" s="17">
        <f>INT(($H$326-G267)/30)*2</f>
        <v>76</v>
      </c>
      <c r="I267" s="1">
        <v>89000</v>
      </c>
      <c r="J267" s="17">
        <v>89000</v>
      </c>
      <c r="K267" s="17"/>
      <c r="L267" s="18">
        <f t="shared" si="28"/>
        <v>0</v>
      </c>
      <c r="M267" s="29">
        <f>SUM('план на 2016'!$L268:M268)-SUM('членские взносы'!$M267:'членские взносы'!M267)</f>
        <v>0</v>
      </c>
      <c r="N267" s="29">
        <f>SUM('план на 2016'!$L268:N268)-SUM('членские взносы'!$M267:'членские взносы'!N267)</f>
        <v>0</v>
      </c>
      <c r="O267" s="29">
        <f>SUM('план на 2016'!$L268:O268)-SUM('членские взносы'!$M267:'членские взносы'!O267)</f>
        <v>0</v>
      </c>
      <c r="P267" s="29">
        <f>SUM('план на 2016'!$L268:P268)-SUM('членские взносы'!$M267:'членские взносы'!P267)</f>
        <v>0</v>
      </c>
      <c r="Q267" s="29">
        <f>SUM('план на 2016'!$L268:Q268)-SUM('членские взносы'!$M267:'членские взносы'!Q267)</f>
        <v>0</v>
      </c>
      <c r="R267" s="29">
        <f>SUM('план на 2016'!$L268:R268)-SUM('членские взносы'!$M267:'членские взносы'!R267)</f>
        <v>0</v>
      </c>
      <c r="S267" s="29">
        <f>SUM('план на 2016'!$L268:S268)-SUM('членские взносы'!$M267:'членские взносы'!S267)</f>
        <v>0</v>
      </c>
      <c r="T267" s="29">
        <f>SUM('план на 2016'!$L268:T268)-SUM('членские взносы'!$M267:'членские взносы'!T267)</f>
        <v>0</v>
      </c>
      <c r="U267" s="29">
        <f>SUM('план на 2016'!$L268:U268)-SUM('членские взносы'!$M267:'членские взносы'!U267)</f>
        <v>-6400</v>
      </c>
      <c r="V267" s="29">
        <f>SUM('план на 2016'!$L268:V268)-SUM('членские взносы'!$M267:'членские взносы'!V267)</f>
        <v>-6400</v>
      </c>
      <c r="W267" s="29">
        <f>SUM('план на 2016'!$L268:W268)-SUM('членские взносы'!$M267:'членские взносы'!W267)</f>
        <v>-6400</v>
      </c>
      <c r="X267" s="29">
        <f>SUM('план на 2016'!$L268:X268)-SUM('членские взносы'!$M267:'членские взносы'!X267)</f>
        <v>-6400</v>
      </c>
      <c r="Y267" s="18">
        <f t="shared" si="30"/>
        <v>-6400</v>
      </c>
    </row>
    <row r="268" spans="1:25">
      <c r="A268" s="41">
        <f>VLOOKUP(B268,справочник!$B$2:$E$322,4,FALSE)</f>
        <v>268</v>
      </c>
      <c r="B268" t="str">
        <f t="shared" si="29"/>
        <v>281Стрелков Николай Валентинович</v>
      </c>
      <c r="C268" s="1">
        <v>281</v>
      </c>
      <c r="D268" s="2" t="s">
        <v>254</v>
      </c>
      <c r="E268" s="1" t="s">
        <v>564</v>
      </c>
      <c r="F268" s="16">
        <v>41184</v>
      </c>
      <c r="G268" s="16">
        <v>41214</v>
      </c>
      <c r="H268" s="17">
        <f t="shared" ref="H268:H286" si="31">INT(($H$326-G268)/30)</f>
        <v>38</v>
      </c>
      <c r="I268" s="1">
        <f t="shared" ref="I268:I277" si="32">H268*1000</f>
        <v>38000</v>
      </c>
      <c r="J268" s="17">
        <v>28000</v>
      </c>
      <c r="K268" s="17"/>
      <c r="L268" s="18">
        <f t="shared" si="28"/>
        <v>10000</v>
      </c>
      <c r="M268" s="29">
        <f>SUM('план на 2016'!$L269:M269)-SUM('членские взносы'!$M268:'членские взносы'!M268)</f>
        <v>7800</v>
      </c>
      <c r="N268" s="29">
        <f>SUM('план на 2016'!$L269:N269)-SUM('членские взносы'!$M268:'членские взносы'!N268)</f>
        <v>8600</v>
      </c>
      <c r="O268" s="29">
        <f>SUM('план на 2016'!$L269:O269)-SUM('членские взносы'!$M268:'членские взносы'!O268)</f>
        <v>9400</v>
      </c>
      <c r="P268" s="29">
        <f>SUM('план на 2016'!$L269:P269)-SUM('членские взносы'!$M268:'членские взносы'!P268)</f>
        <v>7200</v>
      </c>
      <c r="Q268" s="29">
        <f>SUM('план на 2016'!$L269:Q269)-SUM('членские взносы'!$M268:'членские взносы'!Q268)</f>
        <v>8000</v>
      </c>
      <c r="R268" s="29">
        <f>SUM('план на 2016'!$L269:R269)-SUM('членские взносы'!$M268:'членские взносы'!R268)</f>
        <v>5800</v>
      </c>
      <c r="S268" s="29">
        <f>SUM('план на 2016'!$L269:S269)-SUM('членские взносы'!$M268:'членские взносы'!S268)</f>
        <v>6600</v>
      </c>
      <c r="T268" s="29">
        <f>SUM('план на 2016'!$L269:T269)-SUM('членские взносы'!$M268:'членские взносы'!T268)</f>
        <v>7400</v>
      </c>
      <c r="U268" s="29">
        <f>SUM('план на 2016'!$L269:U269)-SUM('членские взносы'!$M268:'членские взносы'!U268)</f>
        <v>5200</v>
      </c>
      <c r="V268" s="29">
        <f>SUM('план на 2016'!$L269:V269)-SUM('членские взносы'!$M268:'членские взносы'!V268)</f>
        <v>6000</v>
      </c>
      <c r="W268" s="29">
        <f>SUM('план на 2016'!$L269:W269)-SUM('членские взносы'!$M268:'членские взносы'!W268)</f>
        <v>6800</v>
      </c>
      <c r="X268" s="29">
        <f>SUM('план на 2016'!$L269:X269)-SUM('членские взносы'!$M268:'членские взносы'!X268)</f>
        <v>7600</v>
      </c>
      <c r="Y268" s="18">
        <f t="shared" si="30"/>
        <v>7600</v>
      </c>
    </row>
    <row r="269" spans="1:25">
      <c r="A269" s="41">
        <f>VLOOKUP(B269,справочник!$B$2:$E$322,4,FALSE)</f>
        <v>172</v>
      </c>
      <c r="B269" t="str">
        <f t="shared" si="29"/>
        <v>180Ступнев Евгений  Романович</v>
      </c>
      <c r="C269" s="1">
        <v>180</v>
      </c>
      <c r="D269" s="2" t="s">
        <v>255</v>
      </c>
      <c r="E269" s="1" t="s">
        <v>565</v>
      </c>
      <c r="F269" s="16">
        <v>40809</v>
      </c>
      <c r="G269" s="16">
        <v>40787</v>
      </c>
      <c r="H269" s="17">
        <f t="shared" si="31"/>
        <v>52</v>
      </c>
      <c r="I269" s="1">
        <f t="shared" si="32"/>
        <v>52000</v>
      </c>
      <c r="J269" s="17">
        <f>13000+1000</f>
        <v>14000</v>
      </c>
      <c r="K269" s="17"/>
      <c r="L269" s="18">
        <f t="shared" si="28"/>
        <v>38000</v>
      </c>
      <c r="M269" s="29">
        <f>SUM('план на 2016'!$L270:M270)-SUM('членские взносы'!$M269:'членские взносы'!M269)</f>
        <v>38800</v>
      </c>
      <c r="N269" s="29">
        <f>SUM('план на 2016'!$L270:N270)-SUM('членские взносы'!$M269:'членские взносы'!N269)</f>
        <v>39600</v>
      </c>
      <c r="O269" s="29">
        <f>SUM('план на 2016'!$L270:O270)-SUM('членские взносы'!$M269:'членские взносы'!O269)</f>
        <v>40400</v>
      </c>
      <c r="P269" s="29">
        <f>SUM('план на 2016'!$L270:P270)-SUM('членские взносы'!$M269:'членские взносы'!P269)</f>
        <v>41200</v>
      </c>
      <c r="Q269" s="29">
        <f>SUM('план на 2016'!$L270:Q270)-SUM('членские взносы'!$M269:'членские взносы'!Q269)</f>
        <v>42000</v>
      </c>
      <c r="R269" s="29">
        <f>SUM('план на 2016'!$L270:R270)-SUM('членские взносы'!$M269:'членские взносы'!R269)</f>
        <v>42800</v>
      </c>
      <c r="S269" s="29">
        <f>SUM('план на 2016'!$L270:S270)-SUM('членские взносы'!$M269:'членские взносы'!S269)</f>
        <v>43600</v>
      </c>
      <c r="T269" s="29">
        <f>SUM('план на 2016'!$L270:T270)-SUM('членские взносы'!$M269:'членские взносы'!T269)</f>
        <v>44400</v>
      </c>
      <c r="U269" s="29">
        <f>SUM('план на 2016'!$L270:U270)-SUM('членские взносы'!$M269:'членские взносы'!U269)</f>
        <v>45200</v>
      </c>
      <c r="V269" s="29">
        <f>SUM('план на 2016'!$L270:V270)-SUM('членские взносы'!$M269:'членские взносы'!V269)</f>
        <v>35800</v>
      </c>
      <c r="W269" s="29">
        <f>SUM('план на 2016'!$L270:W270)-SUM('членские взносы'!$M269:'членские взносы'!W269)</f>
        <v>36600</v>
      </c>
      <c r="X269" s="29">
        <f>SUM('план на 2016'!$L270:X270)-SUM('членские взносы'!$M269:'членские взносы'!X269)</f>
        <v>37400</v>
      </c>
      <c r="Y269" s="18">
        <f t="shared" si="30"/>
        <v>37400</v>
      </c>
    </row>
    <row r="270" spans="1:25">
      <c r="A270" s="41">
        <f>VLOOKUP(B270,справочник!$B$2:$E$322,4,FALSE)</f>
        <v>116</v>
      </c>
      <c r="B270" t="str">
        <f t="shared" si="29"/>
        <v>121Суворов Сергей Анатольевич</v>
      </c>
      <c r="C270" s="1">
        <v>121</v>
      </c>
      <c r="D270" s="2" t="s">
        <v>256</v>
      </c>
      <c r="E270" s="1" t="s">
        <v>566</v>
      </c>
      <c r="F270" s="16">
        <v>41531</v>
      </c>
      <c r="G270" s="16">
        <v>41518</v>
      </c>
      <c r="H270" s="17">
        <f t="shared" si="31"/>
        <v>28</v>
      </c>
      <c r="I270" s="1">
        <f t="shared" si="32"/>
        <v>28000</v>
      </c>
      <c r="J270" s="17">
        <v>20000</v>
      </c>
      <c r="K270" s="17"/>
      <c r="L270" s="18">
        <f t="shared" si="28"/>
        <v>8000</v>
      </c>
      <c r="M270" s="29">
        <f>SUM('план на 2016'!$L271:M271)-SUM('членские взносы'!$M270:'членские взносы'!M270)</f>
        <v>8800</v>
      </c>
      <c r="N270" s="29">
        <f>SUM('план на 2016'!$L271:N271)-SUM('членские взносы'!$M270:'членские взносы'!N270)</f>
        <v>9600</v>
      </c>
      <c r="O270" s="29">
        <f>SUM('план на 2016'!$L271:O271)-SUM('членские взносы'!$M270:'членские взносы'!O270)</f>
        <v>400</v>
      </c>
      <c r="P270" s="29">
        <f>SUM('план на 2016'!$L271:P271)-SUM('членские взносы'!$M270:'членские взносы'!P270)</f>
        <v>1200</v>
      </c>
      <c r="Q270" s="29">
        <f>SUM('план на 2016'!$L271:Q271)-SUM('членские взносы'!$M270:'членские взносы'!Q270)</f>
        <v>2000</v>
      </c>
      <c r="R270" s="29">
        <f>SUM('план на 2016'!$L271:R271)-SUM('членские взносы'!$M270:'членские взносы'!R270)</f>
        <v>2800</v>
      </c>
      <c r="S270" s="29">
        <f>SUM('план на 2016'!$L271:S271)-SUM('членские взносы'!$M270:'членские взносы'!S270)</f>
        <v>3600</v>
      </c>
      <c r="T270" s="29">
        <f>SUM('план на 2016'!$L271:T271)-SUM('членские взносы'!$M270:'членские взносы'!T270)</f>
        <v>4400</v>
      </c>
      <c r="U270" s="29">
        <f>SUM('план на 2016'!$L271:U271)-SUM('членские взносы'!$M270:'членские взносы'!U270)</f>
        <v>5200</v>
      </c>
      <c r="V270" s="29">
        <f>SUM('план на 2016'!$L271:V271)-SUM('членские взносы'!$M270:'членские взносы'!V270)</f>
        <v>6000</v>
      </c>
      <c r="W270" s="29">
        <f>SUM('план на 2016'!$L271:W271)-SUM('членские взносы'!$M270:'членские взносы'!W270)</f>
        <v>6800</v>
      </c>
      <c r="X270" s="29">
        <f>SUM('план на 2016'!$L271:X271)-SUM('членские взносы'!$M270:'членские взносы'!X270)</f>
        <v>7600</v>
      </c>
      <c r="Y270" s="18">
        <f t="shared" si="30"/>
        <v>7600</v>
      </c>
    </row>
    <row r="271" spans="1:25">
      <c r="A271" s="41">
        <f>VLOOKUP(B271,справочник!$B$2:$E$322,4,FALSE)</f>
        <v>57</v>
      </c>
      <c r="B271" t="str">
        <f t="shared" si="29"/>
        <v>59Суркова Татьяна Александровна</v>
      </c>
      <c r="C271" s="1">
        <v>59</v>
      </c>
      <c r="D271" s="2" t="s">
        <v>257</v>
      </c>
      <c r="E271" s="1" t="s">
        <v>567</v>
      </c>
      <c r="F271" s="16">
        <v>41044</v>
      </c>
      <c r="G271" s="16">
        <v>41030</v>
      </c>
      <c r="H271" s="17">
        <f t="shared" si="31"/>
        <v>44</v>
      </c>
      <c r="I271" s="1">
        <f t="shared" si="32"/>
        <v>44000</v>
      </c>
      <c r="J271" s="17">
        <v>34000</v>
      </c>
      <c r="K271" s="17"/>
      <c r="L271" s="18">
        <f t="shared" si="28"/>
        <v>10000</v>
      </c>
      <c r="M271" s="29">
        <f>SUM('план на 2016'!$L272:M272)-SUM('членские взносы'!$M271:'членские взносы'!M271)</f>
        <v>10800</v>
      </c>
      <c r="N271" s="29">
        <f>SUM('план на 2016'!$L272:N272)-SUM('членские взносы'!$M271:'членские взносы'!N271)</f>
        <v>11600</v>
      </c>
      <c r="O271" s="29">
        <f>SUM('план на 2016'!$L272:O272)-SUM('членские взносы'!$M271:'членские взносы'!O271)</f>
        <v>12400</v>
      </c>
      <c r="P271" s="29">
        <f>SUM('план на 2016'!$L272:P272)-SUM('членские взносы'!$M271:'членские взносы'!P271)</f>
        <v>3200</v>
      </c>
      <c r="Q271" s="29">
        <f>SUM('план на 2016'!$L272:Q272)-SUM('членские взносы'!$M271:'членские взносы'!Q271)</f>
        <v>4000</v>
      </c>
      <c r="R271" s="29">
        <f>SUM('план на 2016'!$L272:R272)-SUM('членские взносы'!$M271:'членские взносы'!R271)</f>
        <v>4800</v>
      </c>
      <c r="S271" s="29">
        <f>SUM('план на 2016'!$L272:S272)-SUM('членские взносы'!$M271:'членские взносы'!S271)</f>
        <v>5600</v>
      </c>
      <c r="T271" s="29">
        <f>SUM('план на 2016'!$L272:T272)-SUM('членские взносы'!$M271:'членские взносы'!T271)</f>
        <v>6400</v>
      </c>
      <c r="U271" s="29">
        <f>SUM('план на 2016'!$L272:U272)-SUM('членские взносы'!$M271:'членские взносы'!U271)</f>
        <v>7200</v>
      </c>
      <c r="V271" s="29">
        <f>SUM('план на 2016'!$L272:V272)-SUM('членские взносы'!$M271:'членские взносы'!V271)</f>
        <v>8000</v>
      </c>
      <c r="W271" s="29">
        <f>SUM('план на 2016'!$L272:W272)-SUM('членские взносы'!$M271:'членские взносы'!W271)</f>
        <v>8800</v>
      </c>
      <c r="X271" s="29">
        <f>SUM('план на 2016'!$L272:X272)-SUM('членские взносы'!$M271:'членские взносы'!X271)</f>
        <v>9600</v>
      </c>
      <c r="Y271" s="18">
        <f t="shared" si="30"/>
        <v>9600</v>
      </c>
    </row>
    <row r="272" spans="1:25">
      <c r="A272" s="41">
        <f>VLOOKUP(B272,справочник!$B$2:$E$322,4,FALSE)</f>
        <v>46</v>
      </c>
      <c r="B272" t="str">
        <f t="shared" si="29"/>
        <v>46Сысоев Евгений Анатольевич</v>
      </c>
      <c r="C272" s="1">
        <v>46</v>
      </c>
      <c r="D272" s="2" t="s">
        <v>258</v>
      </c>
      <c r="E272" s="1" t="s">
        <v>568</v>
      </c>
      <c r="F272" s="16">
        <v>41382</v>
      </c>
      <c r="G272" s="16">
        <v>41395</v>
      </c>
      <c r="H272" s="17">
        <f t="shared" si="31"/>
        <v>32</v>
      </c>
      <c r="I272" s="1">
        <f t="shared" si="32"/>
        <v>32000</v>
      </c>
      <c r="J272" s="17">
        <v>17000</v>
      </c>
      <c r="K272" s="17"/>
      <c r="L272" s="18">
        <f t="shared" si="28"/>
        <v>15000</v>
      </c>
      <c r="M272" s="29">
        <f>SUM('план на 2016'!$L273:M273)-SUM('членские взносы'!$M272:'членские взносы'!M272)</f>
        <v>15800</v>
      </c>
      <c r="N272" s="29">
        <f>SUM('план на 2016'!$L273:N273)-SUM('членские взносы'!$M272:'членские взносы'!N272)</f>
        <v>16600</v>
      </c>
      <c r="O272" s="29">
        <f>SUM('план на 2016'!$L273:O273)-SUM('членские взносы'!$M272:'членские взносы'!O272)</f>
        <v>17400</v>
      </c>
      <c r="P272" s="29">
        <f>SUM('план на 2016'!$L273:P273)-SUM('членские взносы'!$M272:'членские взносы'!P272)</f>
        <v>18200</v>
      </c>
      <c r="Q272" s="29">
        <f>SUM('план на 2016'!$L273:Q273)-SUM('членские взносы'!$M272:'членские взносы'!Q272)</f>
        <v>19000</v>
      </c>
      <c r="R272" s="29">
        <f>SUM('план на 2016'!$L273:R273)-SUM('членские взносы'!$M272:'членские взносы'!R272)</f>
        <v>19800</v>
      </c>
      <c r="S272" s="29">
        <f>SUM('план на 2016'!$L273:S273)-SUM('членские взносы'!$M272:'членские взносы'!S272)</f>
        <v>20600</v>
      </c>
      <c r="T272" s="29">
        <f>SUM('план на 2016'!$L273:T273)-SUM('членские взносы'!$M272:'членские взносы'!T272)</f>
        <v>21400</v>
      </c>
      <c r="U272" s="29">
        <f>SUM('план на 2016'!$L273:U273)-SUM('членские взносы'!$M272:'членские взносы'!U272)</f>
        <v>22200</v>
      </c>
      <c r="V272" s="29">
        <f>SUM('план на 2016'!$L273:V273)-SUM('членские взносы'!$M272:'членские взносы'!V272)</f>
        <v>23000</v>
      </c>
      <c r="W272" s="29">
        <f>SUM('план на 2016'!$L273:W273)-SUM('членские взносы'!$M272:'членские взносы'!W272)</f>
        <v>23800</v>
      </c>
      <c r="X272" s="29">
        <f>SUM('план на 2016'!$L273:X273)-SUM('членские взносы'!$M272:'членские взносы'!X272)</f>
        <v>24600</v>
      </c>
      <c r="Y272" s="18">
        <f t="shared" si="30"/>
        <v>24600</v>
      </c>
    </row>
    <row r="273" spans="1:25">
      <c r="A273" s="41">
        <f>VLOOKUP(B273,справочник!$B$2:$E$322,4,FALSE)</f>
        <v>73</v>
      </c>
      <c r="B273" t="str">
        <f t="shared" si="29"/>
        <v>79Сысоев Семен Евгеньевич</v>
      </c>
      <c r="C273" s="1">
        <v>79</v>
      </c>
      <c r="D273" s="2" t="s">
        <v>259</v>
      </c>
      <c r="E273" s="1" t="s">
        <v>569</v>
      </c>
      <c r="F273" s="16">
        <v>41382</v>
      </c>
      <c r="G273" s="16">
        <v>41395</v>
      </c>
      <c r="H273" s="17">
        <f t="shared" si="31"/>
        <v>32</v>
      </c>
      <c r="I273" s="1">
        <f t="shared" si="32"/>
        <v>32000</v>
      </c>
      <c r="J273" s="17">
        <v>21000</v>
      </c>
      <c r="K273" s="17"/>
      <c r="L273" s="18">
        <f t="shared" si="28"/>
        <v>11000</v>
      </c>
      <c r="M273" s="29">
        <f>SUM('план на 2016'!$L274:M274)-SUM('членские взносы'!$M273:'членские взносы'!M273)</f>
        <v>11800</v>
      </c>
      <c r="N273" s="29">
        <f>SUM('план на 2016'!$L274:N274)-SUM('членские взносы'!$M273:'членские взносы'!N273)</f>
        <v>12600</v>
      </c>
      <c r="O273" s="29">
        <f>SUM('план на 2016'!$L274:O274)-SUM('членские взносы'!$M273:'членские взносы'!O273)</f>
        <v>13400</v>
      </c>
      <c r="P273" s="29">
        <f>SUM('план на 2016'!$L274:P274)-SUM('членские взносы'!$M273:'членские взносы'!P273)</f>
        <v>14200</v>
      </c>
      <c r="Q273" s="29">
        <f>SUM('план на 2016'!$L274:Q274)-SUM('членские взносы'!$M273:'членские взносы'!Q273)</f>
        <v>15000</v>
      </c>
      <c r="R273" s="29">
        <f>SUM('план на 2016'!$L274:R274)-SUM('членские взносы'!$M273:'членские взносы'!R273)</f>
        <v>15800</v>
      </c>
      <c r="S273" s="29">
        <f>SUM('план на 2016'!$L274:S274)-SUM('членские взносы'!$M273:'членские взносы'!S273)</f>
        <v>16600</v>
      </c>
      <c r="T273" s="29">
        <f>SUM('план на 2016'!$L274:T274)-SUM('членские взносы'!$M273:'членские взносы'!T273)</f>
        <v>17400</v>
      </c>
      <c r="U273" s="29">
        <f>SUM('план на 2016'!$L274:U274)-SUM('членские взносы'!$M273:'членские взносы'!U273)</f>
        <v>18200</v>
      </c>
      <c r="V273" s="29">
        <f>SUM('план на 2016'!$L274:V274)-SUM('членские взносы'!$M273:'членские взносы'!V273)</f>
        <v>19000</v>
      </c>
      <c r="W273" s="29">
        <f>SUM('план на 2016'!$L274:W274)-SUM('членские взносы'!$M273:'членские взносы'!W273)</f>
        <v>19800</v>
      </c>
      <c r="X273" s="29">
        <f>SUM('план на 2016'!$L274:X274)-SUM('членские взносы'!$M273:'членские взносы'!X273)</f>
        <v>20600</v>
      </c>
      <c r="Y273" s="18">
        <f t="shared" si="30"/>
        <v>20600</v>
      </c>
    </row>
    <row r="274" spans="1:25">
      <c r="A274" s="41">
        <f>VLOOKUP(B274,справочник!$B$2:$E$322,4,FALSE)</f>
        <v>162</v>
      </c>
      <c r="B274" t="str">
        <f t="shared" si="29"/>
        <v>170Тадлов Виталий Петрович</v>
      </c>
      <c r="C274" s="1">
        <v>170</v>
      </c>
      <c r="D274" s="2" t="s">
        <v>260</v>
      </c>
      <c r="E274" s="1" t="s">
        <v>570</v>
      </c>
      <c r="F274" s="16">
        <v>41800</v>
      </c>
      <c r="G274" s="16">
        <v>41821</v>
      </c>
      <c r="H274" s="17">
        <f t="shared" si="31"/>
        <v>18</v>
      </c>
      <c r="I274" s="1">
        <f t="shared" si="32"/>
        <v>18000</v>
      </c>
      <c r="J274" s="17">
        <v>12000</v>
      </c>
      <c r="K274" s="17"/>
      <c r="L274" s="18">
        <f t="shared" si="28"/>
        <v>6000</v>
      </c>
      <c r="M274" s="29">
        <f>SUM('план на 2016'!$L275:M275)-SUM('членские взносы'!$M274:'членские взносы'!M274)</f>
        <v>6800</v>
      </c>
      <c r="N274" s="29">
        <f>SUM('план на 2016'!$L275:N275)-SUM('членские взносы'!$M274:'членские взносы'!N274)</f>
        <v>7600</v>
      </c>
      <c r="O274" s="29">
        <f>SUM('план на 2016'!$L275:O275)-SUM('членские взносы'!$M274:'членские взносы'!O274)</f>
        <v>8400</v>
      </c>
      <c r="P274" s="29">
        <f>SUM('план на 2016'!$L275:P275)-SUM('членские взносы'!$M274:'членские взносы'!P274)</f>
        <v>9200</v>
      </c>
      <c r="Q274" s="29">
        <f>SUM('план на 2016'!$L275:Q275)-SUM('членские взносы'!$M274:'членские взносы'!Q274)</f>
        <v>-2000</v>
      </c>
      <c r="R274" s="29">
        <f>SUM('план на 2016'!$L275:R275)-SUM('членские взносы'!$M274:'членские взносы'!R274)</f>
        <v>-1200</v>
      </c>
      <c r="S274" s="29">
        <f>SUM('план на 2016'!$L275:S275)-SUM('членские взносы'!$M274:'членские взносы'!S274)</f>
        <v>-400</v>
      </c>
      <c r="T274" s="29">
        <f>SUM('план на 2016'!$L275:T275)-SUM('членские взносы'!$M274:'членские взносы'!T274)</f>
        <v>400</v>
      </c>
      <c r="U274" s="29">
        <f>SUM('план на 2016'!$L275:U275)-SUM('членские взносы'!$M274:'членские взносы'!U274)</f>
        <v>1200</v>
      </c>
      <c r="V274" s="29">
        <f>SUM('план на 2016'!$L275:V275)-SUM('членские взносы'!$M274:'членские взносы'!V274)</f>
        <v>2000</v>
      </c>
      <c r="W274" s="29">
        <f>SUM('план на 2016'!$L275:W275)-SUM('членские взносы'!$M274:'членские взносы'!W274)</f>
        <v>2800</v>
      </c>
      <c r="X274" s="29">
        <f>SUM('план на 2016'!$L275:X275)-SUM('членские взносы'!$M274:'членские взносы'!X274)</f>
        <v>3600</v>
      </c>
      <c r="Y274" s="18">
        <f t="shared" si="30"/>
        <v>3600</v>
      </c>
    </row>
    <row r="275" spans="1:25">
      <c r="A275" s="41">
        <f>VLOOKUP(B275,справочник!$B$2:$E$322,4,FALSE)</f>
        <v>252</v>
      </c>
      <c r="B275" t="str">
        <f t="shared" si="29"/>
        <v>263Тарасенко Анатолий Семенович</v>
      </c>
      <c r="C275" s="1">
        <v>263</v>
      </c>
      <c r="D275" s="2" t="s">
        <v>261</v>
      </c>
      <c r="E275" s="1" t="s">
        <v>571</v>
      </c>
      <c r="F275" s="19">
        <v>41967</v>
      </c>
      <c r="G275" s="19">
        <v>41974</v>
      </c>
      <c r="H275" s="20">
        <f t="shared" si="31"/>
        <v>13</v>
      </c>
      <c r="I275" s="5">
        <f t="shared" si="32"/>
        <v>13000</v>
      </c>
      <c r="J275" s="20">
        <v>8000</v>
      </c>
      <c r="K275" s="20"/>
      <c r="L275" s="21">
        <f t="shared" si="28"/>
        <v>5000</v>
      </c>
      <c r="M275" s="29">
        <f>SUM('план на 2016'!$L276:M276)-SUM('членские взносы'!$M275:'членские взносы'!M275)</f>
        <v>5800</v>
      </c>
      <c r="N275" s="29">
        <f>SUM('план на 2016'!$L276:N276)-SUM('членские взносы'!$M275:'членские взносы'!N275)</f>
        <v>5800</v>
      </c>
      <c r="O275" s="29">
        <f>SUM('план на 2016'!$L276:O276)-SUM('членские взносы'!$M275:'членские взносы'!O275)</f>
        <v>5000</v>
      </c>
      <c r="P275" s="29">
        <f>SUM('план на 2016'!$L276:P276)-SUM('членские взносы'!$M275:'членские взносы'!P275)</f>
        <v>5800</v>
      </c>
      <c r="Q275" s="29">
        <f>SUM('план на 2016'!$L276:Q276)-SUM('членские взносы'!$M275:'членские взносы'!Q275)</f>
        <v>5000</v>
      </c>
      <c r="R275" s="29">
        <f>SUM('план на 2016'!$L276:R276)-SUM('членские взносы'!$M275:'членские взносы'!R275)</f>
        <v>5800</v>
      </c>
      <c r="S275" s="29">
        <f>SUM('план на 2016'!$L276:S276)-SUM('членские взносы'!$M275:'членские взносы'!S275)</f>
        <v>5000</v>
      </c>
      <c r="T275" s="29">
        <f>SUM('план на 2016'!$L276:T276)-SUM('членские взносы'!$M275:'членские взносы'!T275)</f>
        <v>5000</v>
      </c>
      <c r="U275" s="29">
        <f>SUM('план на 2016'!$L276:U276)-SUM('членские взносы'!$M275:'членские взносы'!U275)</f>
        <v>5000</v>
      </c>
      <c r="V275" s="29">
        <f>SUM('план на 2016'!$L276:V276)-SUM('членские взносы'!$M275:'членские взносы'!V275)</f>
        <v>5800</v>
      </c>
      <c r="W275" s="29">
        <f>SUM('план на 2016'!$L276:W276)-SUM('членские взносы'!$M275:'членские взносы'!W275)</f>
        <v>5800</v>
      </c>
      <c r="X275" s="29">
        <f>SUM('план на 2016'!$L276:X276)-SUM('членские взносы'!$M275:'членские взносы'!X275)</f>
        <v>5000</v>
      </c>
      <c r="Y275" s="18">
        <f t="shared" si="30"/>
        <v>5000</v>
      </c>
    </row>
    <row r="276" spans="1:25">
      <c r="A276" s="41">
        <f>VLOOKUP(B276,справочник!$B$2:$E$322,4,FALSE)</f>
        <v>252</v>
      </c>
      <c r="B276" t="str">
        <f t="shared" si="29"/>
        <v>264Тарасенко Анатолий Семенович</v>
      </c>
      <c r="C276" s="1">
        <v>264</v>
      </c>
      <c r="D276" s="2" t="s">
        <v>261</v>
      </c>
      <c r="E276" s="1" t="s">
        <v>572</v>
      </c>
      <c r="F276" s="19">
        <v>41967</v>
      </c>
      <c r="G276" s="19">
        <v>41974</v>
      </c>
      <c r="H276" s="20">
        <f t="shared" si="31"/>
        <v>13</v>
      </c>
      <c r="I276" s="5">
        <f t="shared" si="32"/>
        <v>13000</v>
      </c>
      <c r="J276" s="20">
        <v>8000</v>
      </c>
      <c r="K276" s="20"/>
      <c r="L276" s="21">
        <f t="shared" si="28"/>
        <v>5000</v>
      </c>
      <c r="M276" s="29">
        <f>SUM('план на 2016'!$L277:M277)-SUM('членские взносы'!$M276:'членские взносы'!M276)</f>
        <v>5000</v>
      </c>
      <c r="N276" s="29">
        <f>SUM('план на 2016'!$L277:N277)-SUM('членские взносы'!$M276:'членские взносы'!N276)</f>
        <v>5000</v>
      </c>
      <c r="O276" s="29">
        <f>SUM('план на 2016'!$L277:O277)-SUM('членские взносы'!$M276:'членские взносы'!O276)</f>
        <v>5000</v>
      </c>
      <c r="P276" s="29">
        <f>SUM('план на 2016'!$L277:P277)-SUM('членские взносы'!$M276:'членские взносы'!P276)</f>
        <v>5000</v>
      </c>
      <c r="Q276" s="29">
        <f>SUM('план на 2016'!$L277:Q277)-SUM('членские взносы'!$M276:'членские взносы'!Q276)</f>
        <v>5000</v>
      </c>
      <c r="R276" s="29">
        <f>SUM('план на 2016'!$L277:R277)-SUM('членские взносы'!$M276:'членские взносы'!R276)</f>
        <v>5000</v>
      </c>
      <c r="S276" s="29">
        <f>SUM('план на 2016'!$L277:S277)-SUM('членские взносы'!$M276:'членские взносы'!S276)</f>
        <v>5000</v>
      </c>
      <c r="T276" s="29">
        <f>SUM('план на 2016'!$L277:T277)-SUM('членские взносы'!$M276:'членские взносы'!T276)</f>
        <v>5000</v>
      </c>
      <c r="U276" s="29">
        <f>SUM('план на 2016'!$L277:U277)-SUM('членские взносы'!$M276:'членские взносы'!U276)</f>
        <v>5000</v>
      </c>
      <c r="V276" s="29">
        <f>SUM('план на 2016'!$L277:V277)-SUM('членские взносы'!$M276:'членские взносы'!V276)</f>
        <v>5000</v>
      </c>
      <c r="W276" s="29">
        <f>SUM('план на 2016'!$L277:W277)-SUM('членские взносы'!$M276:'членские взносы'!W276)</f>
        <v>5000</v>
      </c>
      <c r="X276" s="29">
        <f>SUM('план на 2016'!$L277:X277)-SUM('членские взносы'!$M276:'членские взносы'!X276)</f>
        <v>5000</v>
      </c>
      <c r="Y276" s="18">
        <f t="shared" si="30"/>
        <v>5000</v>
      </c>
    </row>
    <row r="277" spans="1:25" ht="25.5" customHeight="1">
      <c r="A277" s="41">
        <f>VLOOKUP(B277,справочник!$B$2:$E$322,4,FALSE)</f>
        <v>45</v>
      </c>
      <c r="B277" t="str">
        <f t="shared" si="29"/>
        <v>45Темникова Елена Станиславовна</v>
      </c>
      <c r="C277" s="1">
        <v>45</v>
      </c>
      <c r="D277" s="2" t="s">
        <v>262</v>
      </c>
      <c r="E277" s="1" t="s">
        <v>573</v>
      </c>
      <c r="F277" s="16">
        <v>41044</v>
      </c>
      <c r="G277" s="16">
        <v>41030</v>
      </c>
      <c r="H277" s="17">
        <f t="shared" si="31"/>
        <v>44</v>
      </c>
      <c r="I277" s="1">
        <f t="shared" si="32"/>
        <v>44000</v>
      </c>
      <c r="J277" s="17">
        <f>27000+8000</f>
        <v>35000</v>
      </c>
      <c r="K277" s="17">
        <v>9000</v>
      </c>
      <c r="L277" s="18">
        <f t="shared" si="28"/>
        <v>0</v>
      </c>
      <c r="M277" s="29">
        <f>SUM('план на 2016'!$L278:M278)-SUM('членские взносы'!$M277:'членские взносы'!M277)</f>
        <v>0</v>
      </c>
      <c r="N277" s="29">
        <f>SUM('план на 2016'!$L278:N278)-SUM('членские взносы'!$M277:'членские взносы'!N277)</f>
        <v>0</v>
      </c>
      <c r="O277" s="29">
        <f>SUM('план на 2016'!$L278:O278)-SUM('членские взносы'!$M277:'членские взносы'!O277)</f>
        <v>0</v>
      </c>
      <c r="P277" s="29">
        <f>SUM('план на 2016'!$L278:P278)-SUM('членские взносы'!$M277:'членские взносы'!P277)</f>
        <v>0</v>
      </c>
      <c r="Q277" s="29">
        <f>SUM('план на 2016'!$L278:Q278)-SUM('членские взносы'!$M277:'членские взносы'!Q277)</f>
        <v>0</v>
      </c>
      <c r="R277" s="29">
        <f>SUM('план на 2016'!$L278:R278)-SUM('членские взносы'!$M277:'членские взносы'!R277)</f>
        <v>0</v>
      </c>
      <c r="S277" s="29">
        <f>SUM('план на 2016'!$L278:S278)-SUM('членские взносы'!$M277:'членские взносы'!S277)</f>
        <v>0</v>
      </c>
      <c r="T277" s="29">
        <f>SUM('план на 2016'!$L278:T278)-SUM('членские взносы'!$M277:'членские взносы'!T277)</f>
        <v>0</v>
      </c>
      <c r="U277" s="29">
        <f>SUM('план на 2016'!$L278:U278)-SUM('членские взносы'!$M277:'членские взносы'!U277)</f>
        <v>-2400</v>
      </c>
      <c r="V277" s="29">
        <f>SUM('план на 2016'!$L278:V278)-SUM('членские взносы'!$M277:'членские взносы'!V277)</f>
        <v>-4200</v>
      </c>
      <c r="W277" s="29">
        <f>SUM('план на 2016'!$L278:W278)-SUM('членские взносы'!$M277:'членские взносы'!W277)</f>
        <v>-3400</v>
      </c>
      <c r="X277" s="29">
        <f>SUM('план на 2016'!$L278:X278)-SUM('членские взносы'!$M277:'членские взносы'!X277)</f>
        <v>-2600</v>
      </c>
      <c r="Y277" s="18">
        <f t="shared" si="30"/>
        <v>-2600</v>
      </c>
    </row>
    <row r="278" spans="1:25">
      <c r="A278" s="41">
        <f>VLOOKUP(B278,справочник!$B$2:$E$322,4,FALSE)</f>
        <v>319</v>
      </c>
      <c r="B278" t="str">
        <f t="shared" si="29"/>
        <v>73-74Тимофеева Лариса Викторовна</v>
      </c>
      <c r="C278" s="1" t="s">
        <v>263</v>
      </c>
      <c r="D278" s="2" t="s">
        <v>264</v>
      </c>
      <c r="E278" s="1" t="s">
        <v>574</v>
      </c>
      <c r="F278" s="16">
        <v>40774</v>
      </c>
      <c r="G278" s="16">
        <v>40787</v>
      </c>
      <c r="H278" s="17">
        <f t="shared" si="31"/>
        <v>52</v>
      </c>
      <c r="I278" s="1">
        <v>76000</v>
      </c>
      <c r="J278" s="17">
        <f>8000+68000</f>
        <v>76000</v>
      </c>
      <c r="K278" s="17"/>
      <c r="L278" s="18">
        <f t="shared" si="28"/>
        <v>0</v>
      </c>
      <c r="M278" s="29">
        <f>SUM('план на 2016'!$L279:M279)-SUM('членские взносы'!$M278:'членские взносы'!M278)</f>
        <v>800</v>
      </c>
      <c r="N278" s="29">
        <f>SUM('план на 2016'!$L279:N279)-SUM('членские взносы'!$M278:'членские взносы'!N278)</f>
        <v>-400</v>
      </c>
      <c r="O278" s="29">
        <f>SUM('план на 2016'!$L279:O279)-SUM('членские взносы'!$M278:'членские взносы'!O278)</f>
        <v>400</v>
      </c>
      <c r="P278" s="29">
        <f>SUM('план на 2016'!$L279:P279)-SUM('членские взносы'!$M278:'членские взносы'!P278)</f>
        <v>-2800</v>
      </c>
      <c r="Q278" s="29">
        <f>SUM('план на 2016'!$L279:Q279)-SUM('членские взносы'!$M278:'членские взносы'!Q278)</f>
        <v>-6000</v>
      </c>
      <c r="R278" s="29">
        <f>SUM('план на 2016'!$L279:R279)-SUM('членские взносы'!$M278:'членские взносы'!R278)</f>
        <v>-5200</v>
      </c>
      <c r="S278" s="29">
        <f>SUM('план на 2016'!$L279:S279)-SUM('членские взносы'!$M278:'членские взносы'!S278)</f>
        <v>-4400</v>
      </c>
      <c r="T278" s="29">
        <f>SUM('план на 2016'!$L279:T279)-SUM('членские взносы'!$M278:'членские взносы'!T278)</f>
        <v>-7600</v>
      </c>
      <c r="U278" s="29">
        <f>SUM('план на 2016'!$L279:U279)-SUM('членские взносы'!$M278:'членские взносы'!U278)</f>
        <v>-6800</v>
      </c>
      <c r="V278" s="29">
        <f>SUM('план на 2016'!$L279:V279)-SUM('членские взносы'!$M278:'членские взносы'!V278)</f>
        <v>-10000</v>
      </c>
      <c r="W278" s="29">
        <f>SUM('план на 2016'!$L279:W279)-SUM('членские взносы'!$M278:'членские взносы'!W278)</f>
        <v>-13200</v>
      </c>
      <c r="X278" s="29">
        <f>SUM('план на 2016'!$L279:X279)-SUM('членские взносы'!$M278:'членские взносы'!X278)</f>
        <v>-12400</v>
      </c>
      <c r="Y278" s="18">
        <f t="shared" si="30"/>
        <v>-12400</v>
      </c>
    </row>
    <row r="279" spans="1:25">
      <c r="A279" s="41">
        <f>VLOOKUP(B279,справочник!$B$2:$E$322,4,FALSE)</f>
        <v>93</v>
      </c>
      <c r="B279" t="str">
        <f t="shared" si="29"/>
        <v>98Тимофеева Татьяна Александровна (Денис)</v>
      </c>
      <c r="C279" s="1">
        <v>98</v>
      </c>
      <c r="D279" s="2" t="s">
        <v>265</v>
      </c>
      <c r="E279" s="1" t="s">
        <v>575</v>
      </c>
      <c r="F279" s="16">
        <v>40774</v>
      </c>
      <c r="G279" s="16">
        <v>40787</v>
      </c>
      <c r="H279" s="17">
        <f t="shared" si="31"/>
        <v>52</v>
      </c>
      <c r="I279" s="1">
        <f t="shared" ref="I279:I309" si="33">H279*1000</f>
        <v>52000</v>
      </c>
      <c r="J279" s="17">
        <f>4000+30000</f>
        <v>34000</v>
      </c>
      <c r="K279" s="17"/>
      <c r="L279" s="18">
        <f t="shared" si="28"/>
        <v>18000</v>
      </c>
      <c r="M279" s="29">
        <f>SUM('план на 2016'!$L280:M280)-SUM('членские взносы'!$M279:'членские взносы'!M279)</f>
        <v>18800</v>
      </c>
      <c r="N279" s="29">
        <f>SUM('план на 2016'!$L280:N280)-SUM('членские взносы'!$M279:'членские взносы'!N279)</f>
        <v>19600</v>
      </c>
      <c r="O279" s="29">
        <f>SUM('план на 2016'!$L280:O280)-SUM('членские взносы'!$M279:'членские взносы'!O279)</f>
        <v>20400</v>
      </c>
      <c r="P279" s="29">
        <f>SUM('план на 2016'!$L280:P280)-SUM('членские взносы'!$M279:'членские взносы'!P279)</f>
        <v>21200</v>
      </c>
      <c r="Q279" s="29">
        <f>SUM('план на 2016'!$L280:Q280)-SUM('членские взносы'!$M279:'членские взносы'!Q279)</f>
        <v>22000</v>
      </c>
      <c r="R279" s="29">
        <f>SUM('план на 2016'!$L280:R280)-SUM('членские взносы'!$M279:'членские взносы'!R279)</f>
        <v>22800</v>
      </c>
      <c r="S279" s="29">
        <f>SUM('план на 2016'!$L280:S280)-SUM('членские взносы'!$M279:'членские взносы'!S279)</f>
        <v>23600</v>
      </c>
      <c r="T279" s="29">
        <f>SUM('план на 2016'!$L280:T280)-SUM('членские взносы'!$M279:'членские взносы'!T279)</f>
        <v>24400</v>
      </c>
      <c r="U279" s="29">
        <f>SUM('план на 2016'!$L280:U280)-SUM('членские взносы'!$M279:'членские взносы'!U279)</f>
        <v>25200</v>
      </c>
      <c r="V279" s="29">
        <f>SUM('план на 2016'!$L280:V280)-SUM('членские взносы'!$M279:'членские взносы'!V279)</f>
        <v>26000</v>
      </c>
      <c r="W279" s="29">
        <f>SUM('план на 2016'!$L280:W280)-SUM('членские взносы'!$M279:'членские взносы'!W279)</f>
        <v>26800</v>
      </c>
      <c r="X279" s="29">
        <f>SUM('план на 2016'!$L280:X280)-SUM('членские взносы'!$M279:'членские взносы'!X279)</f>
        <v>27600</v>
      </c>
      <c r="Y279" s="18">
        <f t="shared" si="30"/>
        <v>27600</v>
      </c>
    </row>
    <row r="280" spans="1:25">
      <c r="A280" s="41">
        <f>VLOOKUP(B280,справочник!$B$2:$E$322,4,FALSE)</f>
        <v>255</v>
      </c>
      <c r="B280" t="str">
        <f t="shared" si="29"/>
        <v>268Толкова Елена Анатольевна (Олег)</v>
      </c>
      <c r="C280" s="1">
        <v>268</v>
      </c>
      <c r="D280" s="2" t="s">
        <v>266</v>
      </c>
      <c r="E280" s="1" t="s">
        <v>576</v>
      </c>
      <c r="F280" s="16">
        <v>40959</v>
      </c>
      <c r="G280" s="16">
        <v>40969</v>
      </c>
      <c r="H280" s="17">
        <f t="shared" si="31"/>
        <v>46</v>
      </c>
      <c r="I280" s="1">
        <f t="shared" si="33"/>
        <v>46000</v>
      </c>
      <c r="J280" s="17">
        <f>37000+9000</f>
        <v>46000</v>
      </c>
      <c r="K280" s="17"/>
      <c r="L280" s="18">
        <f t="shared" si="28"/>
        <v>0</v>
      </c>
      <c r="M280" s="29">
        <f>SUM('план на 2016'!$L281:M281)-SUM('членские взносы'!$M280:'членские взносы'!M280)</f>
        <v>800</v>
      </c>
      <c r="N280" s="29">
        <f>SUM('план на 2016'!$L281:N281)-SUM('членские взносы'!$M280:'членские взносы'!N280)</f>
        <v>1600</v>
      </c>
      <c r="O280" s="29">
        <f>SUM('план на 2016'!$L281:O281)-SUM('членские взносы'!$M280:'членские взносы'!O280)</f>
        <v>-800</v>
      </c>
      <c r="P280" s="29">
        <f>SUM('план на 2016'!$L281:P281)-SUM('членские взносы'!$M280:'членские взносы'!P280)</f>
        <v>0</v>
      </c>
      <c r="Q280" s="29">
        <f>SUM('план на 2016'!$L281:Q281)-SUM('членские взносы'!$M280:'членские взносы'!Q280)</f>
        <v>-2400</v>
      </c>
      <c r="R280" s="29">
        <f>SUM('план на 2016'!$L281:R281)-SUM('членские взносы'!$M280:'членские взносы'!R280)</f>
        <v>-1600</v>
      </c>
      <c r="S280" s="29">
        <f>SUM('план на 2016'!$L281:S281)-SUM('членские взносы'!$M280:'членские взносы'!S280)</f>
        <v>-800</v>
      </c>
      <c r="T280" s="29">
        <f>SUM('план на 2016'!$L281:T281)-SUM('членские взносы'!$M280:'членские взносы'!T280)</f>
        <v>0</v>
      </c>
      <c r="U280" s="29">
        <f>SUM('план на 2016'!$L281:U281)-SUM('членские взносы'!$M280:'членские взносы'!U280)</f>
        <v>800</v>
      </c>
      <c r="V280" s="29">
        <f>SUM('план на 2016'!$L281:V281)-SUM('членские взносы'!$M280:'членские взносы'!V280)</f>
        <v>1600</v>
      </c>
      <c r="W280" s="29">
        <f>SUM('план на 2016'!$L281:W281)-SUM('членские взносы'!$M280:'членские взносы'!W280)</f>
        <v>-800</v>
      </c>
      <c r="X280" s="29">
        <f>SUM('план на 2016'!$L281:X281)-SUM('членские взносы'!$M280:'членские взносы'!X280)</f>
        <v>0</v>
      </c>
      <c r="Y280" s="18">
        <f t="shared" si="30"/>
        <v>0</v>
      </c>
    </row>
    <row r="281" spans="1:25">
      <c r="A281" s="41">
        <f>VLOOKUP(B281,справочник!$B$2:$E$322,4,FALSE)</f>
        <v>167</v>
      </c>
      <c r="B281" t="str">
        <f t="shared" si="29"/>
        <v>175Трубченко Петр Александрович</v>
      </c>
      <c r="C281" s="1">
        <v>175</v>
      </c>
      <c r="D281" s="2" t="s">
        <v>267</v>
      </c>
      <c r="E281" s="1" t="s">
        <v>577</v>
      </c>
      <c r="F281" s="16">
        <v>41613</v>
      </c>
      <c r="G281" s="16">
        <v>41640</v>
      </c>
      <c r="H281" s="17">
        <f t="shared" si="31"/>
        <v>24</v>
      </c>
      <c r="I281" s="1">
        <f t="shared" si="33"/>
        <v>24000</v>
      </c>
      <c r="J281" s="17">
        <v>12000</v>
      </c>
      <c r="K281" s="17"/>
      <c r="L281" s="18">
        <f t="shared" si="28"/>
        <v>12000</v>
      </c>
      <c r="M281" s="29">
        <f>SUM('план на 2016'!$L282:M282)-SUM('членские взносы'!$M281:'членские взносы'!M281)</f>
        <v>12800</v>
      </c>
      <c r="N281" s="29">
        <f>SUM('план на 2016'!$L282:N282)-SUM('членские взносы'!$M281:'членские взносы'!N281)</f>
        <v>13600</v>
      </c>
      <c r="O281" s="29">
        <f>SUM('план на 2016'!$L282:O282)-SUM('членские взносы'!$M281:'членские взносы'!O281)</f>
        <v>14400</v>
      </c>
      <c r="P281" s="29">
        <f>SUM('план на 2016'!$L282:P282)-SUM('членские взносы'!$M281:'членские взносы'!P281)</f>
        <v>15200</v>
      </c>
      <c r="Q281" s="29">
        <f>SUM('план на 2016'!$L282:Q282)-SUM('членские взносы'!$M281:'членские взносы'!Q281)</f>
        <v>16000</v>
      </c>
      <c r="R281" s="29">
        <f>SUM('план на 2016'!$L282:R282)-SUM('членские взносы'!$M281:'членские взносы'!R281)</f>
        <v>16800</v>
      </c>
      <c r="S281" s="29">
        <f>SUM('план на 2016'!$L282:S282)-SUM('членские взносы'!$M281:'членские взносы'!S281)</f>
        <v>17600</v>
      </c>
      <c r="T281" s="29">
        <f>SUM('план на 2016'!$L282:T282)-SUM('членские взносы'!$M281:'членские взносы'!T281)</f>
        <v>18400</v>
      </c>
      <c r="U281" s="29">
        <f>SUM('план на 2016'!$L282:U282)-SUM('членские взносы'!$M281:'членские взносы'!U281)</f>
        <v>19200</v>
      </c>
      <c r="V281" s="29">
        <f>SUM('план на 2016'!$L282:V282)-SUM('членские взносы'!$M281:'членские взносы'!V281)</f>
        <v>20000</v>
      </c>
      <c r="W281" s="29">
        <f>SUM('план на 2016'!$L282:W282)-SUM('членские взносы'!$M281:'членские взносы'!W281)</f>
        <v>20800</v>
      </c>
      <c r="X281" s="29">
        <f>SUM('план на 2016'!$L282:X282)-SUM('членские взносы'!$M281:'членские взносы'!X281)</f>
        <v>21600</v>
      </c>
      <c r="Y281" s="18">
        <f t="shared" si="30"/>
        <v>21600</v>
      </c>
    </row>
    <row r="282" spans="1:25" ht="25.5" customHeight="1">
      <c r="A282" s="41">
        <f>VLOOKUP(B282,справочник!$B$2:$E$322,4,FALSE)</f>
        <v>99</v>
      </c>
      <c r="B282" t="str">
        <f t="shared" si="29"/>
        <v>104Трыкин Евгений Викторович</v>
      </c>
      <c r="C282" s="1">
        <v>104</v>
      </c>
      <c r="D282" s="2" t="s">
        <v>268</v>
      </c>
      <c r="E282" s="1" t="s">
        <v>578</v>
      </c>
      <c r="F282" s="16">
        <v>41104</v>
      </c>
      <c r="G282" s="16">
        <v>41091</v>
      </c>
      <c r="H282" s="17">
        <f t="shared" si="31"/>
        <v>42</v>
      </c>
      <c r="I282" s="1">
        <f t="shared" si="33"/>
        <v>42000</v>
      </c>
      <c r="J282" s="17">
        <v>13000</v>
      </c>
      <c r="K282" s="17"/>
      <c r="L282" s="18">
        <f t="shared" si="28"/>
        <v>29000</v>
      </c>
      <c r="M282" s="29">
        <f>SUM('план на 2016'!$L283:M283)-SUM('членские взносы'!$M282:'членские взносы'!M282)</f>
        <v>29800</v>
      </c>
      <c r="N282" s="29">
        <f>SUM('план на 2016'!$L283:N283)-SUM('членские взносы'!$M282:'членские взносы'!N282)</f>
        <v>30600</v>
      </c>
      <c r="O282" s="29">
        <f>SUM('план на 2016'!$L283:O283)-SUM('членские взносы'!$M282:'членские взносы'!O282)</f>
        <v>31400</v>
      </c>
      <c r="P282" s="29">
        <f>SUM('план на 2016'!$L283:P283)-SUM('членские взносы'!$M282:'членские взносы'!P282)</f>
        <v>32200</v>
      </c>
      <c r="Q282" s="29">
        <f>SUM('план на 2016'!$L283:Q283)-SUM('членские взносы'!$M282:'членские взносы'!Q282)</f>
        <v>33000</v>
      </c>
      <c r="R282" s="29">
        <f>SUM('план на 2016'!$L283:R283)-SUM('членские взносы'!$M282:'членские взносы'!R282)</f>
        <v>33800</v>
      </c>
      <c r="S282" s="29">
        <f>SUM('план на 2016'!$L283:S283)-SUM('членские взносы'!$M282:'членские взносы'!S282)</f>
        <v>34600</v>
      </c>
      <c r="T282" s="29">
        <f>SUM('план на 2016'!$L283:T283)-SUM('членские взносы'!$M282:'членские взносы'!T282)</f>
        <v>35400</v>
      </c>
      <c r="U282" s="29">
        <f>SUM('план на 2016'!$L283:U283)-SUM('членские взносы'!$M282:'членские взносы'!U282)</f>
        <v>36200</v>
      </c>
      <c r="V282" s="29">
        <f>SUM('план на 2016'!$L283:V283)-SUM('членские взносы'!$M282:'членские взносы'!V282)</f>
        <v>37000</v>
      </c>
      <c r="W282" s="29">
        <f>SUM('план на 2016'!$L283:W283)-SUM('членские взносы'!$M282:'членские взносы'!W282)</f>
        <v>37800</v>
      </c>
      <c r="X282" s="29">
        <f>SUM('план на 2016'!$L283:X283)-SUM('членские взносы'!$M282:'членские взносы'!X282)</f>
        <v>38600</v>
      </c>
      <c r="Y282" s="18">
        <f t="shared" si="30"/>
        <v>38600</v>
      </c>
    </row>
    <row r="283" spans="1:25">
      <c r="A283" s="41">
        <f>VLOOKUP(B283,справочник!$B$2:$E$322,4,FALSE)</f>
        <v>146</v>
      </c>
      <c r="B283" t="str">
        <f t="shared" si="29"/>
        <v>154Тюленев Вячеслав Рудольфович</v>
      </c>
      <c r="C283" s="1">
        <v>154</v>
      </c>
      <c r="D283" s="2" t="s">
        <v>269</v>
      </c>
      <c r="E283" s="1" t="s">
        <v>579</v>
      </c>
      <c r="F283" s="16">
        <v>40757</v>
      </c>
      <c r="G283" s="16">
        <v>40756</v>
      </c>
      <c r="H283" s="17">
        <f t="shared" si="31"/>
        <v>53</v>
      </c>
      <c r="I283" s="1">
        <f t="shared" si="33"/>
        <v>53000</v>
      </c>
      <c r="J283" s="17">
        <f>31000</f>
        <v>31000</v>
      </c>
      <c r="K283" s="17"/>
      <c r="L283" s="18">
        <f t="shared" si="28"/>
        <v>22000</v>
      </c>
      <c r="M283" s="29">
        <f>SUM('план на 2016'!$L284:M284)-SUM('членские взносы'!$M283:'членские взносы'!M283)</f>
        <v>22800</v>
      </c>
      <c r="N283" s="29">
        <f>SUM('план на 2016'!$L284:N284)-SUM('членские взносы'!$M283:'членские взносы'!N283)</f>
        <v>23600</v>
      </c>
      <c r="O283" s="29">
        <f>SUM('план на 2016'!$L284:O284)-SUM('членские взносы'!$M283:'членские взносы'!O283)</f>
        <v>24400</v>
      </c>
      <c r="P283" s="29">
        <f>SUM('план на 2016'!$L284:P284)-SUM('членские взносы'!$M283:'членские взносы'!P283)</f>
        <v>25200</v>
      </c>
      <c r="Q283" s="29">
        <f>SUM('план на 2016'!$L284:Q284)-SUM('членские взносы'!$M283:'членские взносы'!Q283)</f>
        <v>26000</v>
      </c>
      <c r="R283" s="29">
        <f>SUM('план на 2016'!$L284:R284)-SUM('членские взносы'!$M283:'членские взносы'!R283)</f>
        <v>800</v>
      </c>
      <c r="S283" s="29">
        <f>SUM('план на 2016'!$L284:S284)-SUM('членские взносы'!$M283:'членские взносы'!S283)</f>
        <v>1600</v>
      </c>
      <c r="T283" s="29">
        <f>SUM('план на 2016'!$L284:T284)-SUM('членские взносы'!$M283:'членские взносы'!T283)</f>
        <v>2400</v>
      </c>
      <c r="U283" s="29">
        <f>SUM('план на 2016'!$L284:U284)-SUM('членские взносы'!$M283:'членские взносы'!U283)</f>
        <v>3200</v>
      </c>
      <c r="V283" s="29">
        <f>SUM('план на 2016'!$L284:V284)-SUM('членские взносы'!$M283:'членские взносы'!V283)</f>
        <v>4000</v>
      </c>
      <c r="W283" s="29">
        <f>SUM('план на 2016'!$L284:W284)-SUM('членские взносы'!$M283:'членские взносы'!W283)</f>
        <v>4800</v>
      </c>
      <c r="X283" s="29">
        <f>SUM('план на 2016'!$L284:X284)-SUM('членские взносы'!$M283:'членские взносы'!X283)</f>
        <v>5600</v>
      </c>
      <c r="Y283" s="18">
        <f t="shared" si="30"/>
        <v>5600</v>
      </c>
    </row>
    <row r="284" spans="1:25">
      <c r="A284" s="41">
        <f>VLOOKUP(B284,справочник!$B$2:$E$322,4,FALSE)</f>
        <v>29</v>
      </c>
      <c r="B284" t="str">
        <f t="shared" si="29"/>
        <v>29Петрик Наталья Вячеславовна</v>
      </c>
      <c r="C284" s="1">
        <v>29</v>
      </c>
      <c r="D284" s="46" t="s">
        <v>707</v>
      </c>
      <c r="E284" s="1"/>
      <c r="F284" s="16">
        <v>41130</v>
      </c>
      <c r="G284" s="16">
        <v>41122</v>
      </c>
      <c r="H284" s="17">
        <f t="shared" si="31"/>
        <v>41</v>
      </c>
      <c r="I284" s="1">
        <f t="shared" si="33"/>
        <v>41000</v>
      </c>
      <c r="J284" s="17">
        <v>32000</v>
      </c>
      <c r="K284" s="17"/>
      <c r="L284" s="18">
        <f t="shared" si="28"/>
        <v>9000</v>
      </c>
      <c r="M284" s="29">
        <f>SUM('план на 2016'!$L285:M285)-SUM('членские взносы'!$M284:'членские взносы'!M284)</f>
        <v>800</v>
      </c>
      <c r="N284" s="29">
        <f>SUM('план на 2016'!$L285:N285)-SUM('членские взносы'!$M284:'членские взносы'!N284)</f>
        <v>0</v>
      </c>
      <c r="O284" s="29">
        <f>SUM('план на 2016'!$L285:O285)-SUM('членские взносы'!$M284:'членские взносы'!O284)</f>
        <v>0</v>
      </c>
      <c r="P284" s="29">
        <f>SUM('план на 2016'!$L285:P285)-SUM('членские взносы'!$M284:'членские взносы'!P284)</f>
        <v>-800</v>
      </c>
      <c r="Q284" s="29">
        <f>SUM('план на 2016'!$L285:Q285)-SUM('членские взносы'!$M284:'членские взносы'!Q284)</f>
        <v>0</v>
      </c>
      <c r="R284" s="29">
        <f>SUM('план на 2016'!$L285:R285)-SUM('членские взносы'!$M284:'членские взносы'!R284)</f>
        <v>800</v>
      </c>
      <c r="S284" s="29">
        <f>SUM('план на 2016'!$L285:S285)-SUM('членские взносы'!$M284:'членские взносы'!S284)</f>
        <v>-800</v>
      </c>
      <c r="T284" s="29">
        <f>SUM('план на 2016'!$L285:T285)-SUM('членские взносы'!$M284:'членские взносы'!T284)</f>
        <v>0</v>
      </c>
      <c r="U284" s="29">
        <f>SUM('план на 2016'!$L285:U285)-SUM('членские взносы'!$M284:'членские взносы'!U284)</f>
        <v>0</v>
      </c>
      <c r="V284" s="29">
        <f>SUM('план на 2016'!$L285:V285)-SUM('членские взносы'!$M284:'членские взносы'!V284)</f>
        <v>-800</v>
      </c>
      <c r="W284" s="29">
        <f>SUM('план на 2016'!$L285:W285)-SUM('членские взносы'!$M284:'членские взносы'!W284)</f>
        <v>0</v>
      </c>
      <c r="X284" s="29">
        <f>SUM('план на 2016'!$L285:X285)-SUM('членские взносы'!$M284:'членские взносы'!X284)</f>
        <v>-800</v>
      </c>
      <c r="Y284" s="18">
        <f t="shared" si="30"/>
        <v>-800</v>
      </c>
    </row>
    <row r="285" spans="1:25">
      <c r="A285" s="41">
        <f>VLOOKUP(B285,справочник!$B$2:$E$322,4,FALSE)</f>
        <v>28</v>
      </c>
      <c r="B285" t="str">
        <f t="shared" si="29"/>
        <v>28Федорова Наталья Владимировна</v>
      </c>
      <c r="C285" s="1">
        <v>28</v>
      </c>
      <c r="D285" s="2" t="s">
        <v>271</v>
      </c>
      <c r="E285" s="1" t="s">
        <v>580</v>
      </c>
      <c r="F285" s="16">
        <v>41039</v>
      </c>
      <c r="G285" s="16">
        <v>41030</v>
      </c>
      <c r="H285" s="17">
        <f t="shared" si="31"/>
        <v>44</v>
      </c>
      <c r="I285" s="1">
        <f t="shared" si="33"/>
        <v>44000</v>
      </c>
      <c r="J285" s="17">
        <f>33000+8000</f>
        <v>41000</v>
      </c>
      <c r="K285" s="17"/>
      <c r="L285" s="18">
        <f t="shared" si="28"/>
        <v>3000</v>
      </c>
      <c r="M285" s="29">
        <f>SUM('план на 2016'!$L286:M286)-SUM('членские взносы'!$M285:'членские взносы'!M285)</f>
        <v>3800</v>
      </c>
      <c r="N285" s="29">
        <f>SUM('план на 2016'!$L286:N286)-SUM('членские взносы'!$M285:'членские взносы'!N285)</f>
        <v>600</v>
      </c>
      <c r="O285" s="29">
        <f>SUM('план на 2016'!$L286:O286)-SUM('членские взносы'!$M285:'членские взносы'!O285)</f>
        <v>1400</v>
      </c>
      <c r="P285" s="29">
        <f>SUM('план на 2016'!$L286:P286)-SUM('членские взносы'!$M285:'членские взносы'!P285)</f>
        <v>-200</v>
      </c>
      <c r="Q285" s="29">
        <f>SUM('план на 2016'!$L286:Q286)-SUM('членские взносы'!$M285:'членские взносы'!Q285)</f>
        <v>600</v>
      </c>
      <c r="R285" s="29">
        <f>SUM('план на 2016'!$L286:R286)-SUM('членские взносы'!$M285:'членские взносы'!R285)</f>
        <v>1400</v>
      </c>
      <c r="S285" s="29">
        <f>SUM('план на 2016'!$L286:S286)-SUM('членские взносы'!$M285:'членские взносы'!S285)</f>
        <v>2200</v>
      </c>
      <c r="T285" s="29">
        <f>SUM('план на 2016'!$L286:T286)-SUM('членские взносы'!$M285:'членские взносы'!T285)</f>
        <v>3000</v>
      </c>
      <c r="U285" s="29">
        <f>SUM('план на 2016'!$L286:U286)-SUM('членские взносы'!$M285:'членские взносы'!U285)</f>
        <v>-1800</v>
      </c>
      <c r="V285" s="29">
        <f>SUM('план на 2016'!$L286:V286)-SUM('членские взносы'!$M285:'членские взносы'!V285)</f>
        <v>-1000</v>
      </c>
      <c r="W285" s="29">
        <f>SUM('план на 2016'!$L286:W286)-SUM('членские взносы'!$M285:'членские взносы'!W285)</f>
        <v>-200</v>
      </c>
      <c r="X285" s="29">
        <f>SUM('план на 2016'!$L286:X286)-SUM('членские взносы'!$M285:'членские взносы'!X285)</f>
        <v>600</v>
      </c>
      <c r="Y285" s="18">
        <f t="shared" si="30"/>
        <v>600</v>
      </c>
    </row>
    <row r="286" spans="1:25">
      <c r="A286" s="41">
        <f>VLOOKUP(B286,справочник!$B$2:$E$322,4,FALSE)</f>
        <v>27</v>
      </c>
      <c r="B286" t="str">
        <f t="shared" si="29"/>
        <v>27Федорова Юлия Владимировна</v>
      </c>
      <c r="C286" s="1">
        <v>27</v>
      </c>
      <c r="D286" s="2" t="s">
        <v>272</v>
      </c>
      <c r="E286" s="1" t="s">
        <v>581</v>
      </c>
      <c r="F286" s="16">
        <v>41260</v>
      </c>
      <c r="G286" s="16">
        <v>41275</v>
      </c>
      <c r="H286" s="17">
        <f t="shared" si="31"/>
        <v>36</v>
      </c>
      <c r="I286" s="1">
        <f t="shared" si="33"/>
        <v>36000</v>
      </c>
      <c r="J286" s="17">
        <v>24000</v>
      </c>
      <c r="K286" s="17"/>
      <c r="L286" s="18">
        <f t="shared" si="28"/>
        <v>12000</v>
      </c>
      <c r="M286" s="29">
        <f>SUM('план на 2016'!$L287:M287)-SUM('членские взносы'!$M286:'членские взносы'!M286)</f>
        <v>12800</v>
      </c>
      <c r="N286" s="29">
        <f>SUM('план на 2016'!$L287:N287)-SUM('членские взносы'!$M286:'членские взносы'!N286)</f>
        <v>13600</v>
      </c>
      <c r="O286" s="29">
        <f>SUM('план на 2016'!$L287:O287)-SUM('членские взносы'!$M286:'членские взносы'!O286)</f>
        <v>14400</v>
      </c>
      <c r="P286" s="29">
        <f>SUM('план на 2016'!$L287:P287)-SUM('членские взносы'!$M286:'членские взносы'!P286)</f>
        <v>15200</v>
      </c>
      <c r="Q286" s="29">
        <f>SUM('план на 2016'!$L287:Q287)-SUM('членские взносы'!$M286:'членские взносы'!Q286)</f>
        <v>16000</v>
      </c>
      <c r="R286" s="29">
        <f>SUM('план на 2016'!$L287:R287)-SUM('членские взносы'!$M286:'членские взносы'!R286)</f>
        <v>16800</v>
      </c>
      <c r="S286" s="29">
        <f>SUM('план на 2016'!$L287:S287)-SUM('членские взносы'!$M286:'членские взносы'!S286)</f>
        <v>17600</v>
      </c>
      <c r="T286" s="29">
        <f>SUM('план на 2016'!$L287:T287)-SUM('членские взносы'!$M286:'членские взносы'!T286)</f>
        <v>18400</v>
      </c>
      <c r="U286" s="29">
        <f>SUM('план на 2016'!$L287:U287)-SUM('членские взносы'!$M286:'членские взносы'!U286)</f>
        <v>19200</v>
      </c>
      <c r="V286" s="29">
        <f>SUM('план на 2016'!$L287:V287)-SUM('членские взносы'!$M286:'членские взносы'!V286)</f>
        <v>20000</v>
      </c>
      <c r="W286" s="29">
        <f>SUM('план на 2016'!$L287:W287)-SUM('членские взносы'!$M286:'членские взносы'!W286)</f>
        <v>20800</v>
      </c>
      <c r="X286" s="29">
        <f>SUM('план на 2016'!$L287:X287)-SUM('членские взносы'!$M286:'членские взносы'!X286)</f>
        <v>21600</v>
      </c>
      <c r="Y286" s="18">
        <f t="shared" si="30"/>
        <v>21600</v>
      </c>
    </row>
    <row r="287" spans="1:25">
      <c r="A287" s="41">
        <f>VLOOKUP(B287,справочник!$B$2:$E$322,4,FALSE)</f>
        <v>135</v>
      </c>
      <c r="B287" t="str">
        <f t="shared" si="29"/>
        <v>142-143Финогин Сергей Александрович</v>
      </c>
      <c r="C287" s="91" t="s">
        <v>274</v>
      </c>
      <c r="D287" s="2" t="s">
        <v>273</v>
      </c>
      <c r="E287" s="1" t="s">
        <v>582</v>
      </c>
      <c r="F287" s="19">
        <v>40834</v>
      </c>
      <c r="G287" s="19">
        <v>40817</v>
      </c>
      <c r="H287" s="20">
        <v>11</v>
      </c>
      <c r="I287" s="5">
        <f t="shared" si="33"/>
        <v>11000</v>
      </c>
      <c r="J287" s="20">
        <v>1000</v>
      </c>
      <c r="K287" s="20"/>
      <c r="L287" s="21">
        <f t="shared" si="28"/>
        <v>10000</v>
      </c>
      <c r="M287" s="29">
        <f>SUM('план на 2016'!$L288:M288)-SUM('членские взносы'!$M287:'членские взносы'!M287)</f>
        <v>10800</v>
      </c>
      <c r="N287" s="29">
        <f>SUM('план на 2016'!$L288:N288)-SUM('членские взносы'!$M287:'членские взносы'!N287)</f>
        <v>11600</v>
      </c>
      <c r="O287" s="29">
        <f>SUM('план на 2016'!$L288:O288)-SUM('членские взносы'!$M287:'членские взносы'!O287)</f>
        <v>4400</v>
      </c>
      <c r="P287" s="29">
        <f>SUM('план на 2016'!$L288:P288)-SUM('членские взносы'!$M287:'членские взносы'!P287)</f>
        <v>5200</v>
      </c>
      <c r="Q287" s="29">
        <f>SUM('план на 2016'!$L288:Q288)-SUM('членские взносы'!$M287:'членские взносы'!Q287)</f>
        <v>6000</v>
      </c>
      <c r="R287" s="29">
        <f>SUM('план на 2016'!$L288:R288)-SUM('членские взносы'!$M287:'членские взносы'!R287)</f>
        <v>-14200</v>
      </c>
      <c r="S287" s="29">
        <f>SUM('план на 2016'!$L288:S288)-SUM('членские взносы'!$M287:'членские взносы'!S287)</f>
        <v>-13400</v>
      </c>
      <c r="T287" s="29">
        <f>SUM('план на 2016'!$L288:T288)-SUM('членские взносы'!$M287:'членские взносы'!T287)</f>
        <v>-12600</v>
      </c>
      <c r="U287" s="29">
        <f>SUM('план на 2016'!$L288:U288)-SUM('членские взносы'!$M287:'членские взносы'!U287)</f>
        <v>-11800</v>
      </c>
      <c r="V287" s="29">
        <f>SUM('план на 2016'!$L288:V288)-SUM('членские взносы'!$M287:'членские взносы'!V287)</f>
        <v>-11000</v>
      </c>
      <c r="W287" s="29">
        <f>SUM('план на 2016'!$L288:W288)-SUM('членские взносы'!$M287:'членские взносы'!W287)</f>
        <v>-10200</v>
      </c>
      <c r="X287" s="29">
        <f>SUM('план на 2016'!$L288:X288)-SUM('членские взносы'!$M287:'членские взносы'!X287)</f>
        <v>-9400</v>
      </c>
      <c r="Y287" s="18">
        <f t="shared" si="30"/>
        <v>-9400</v>
      </c>
    </row>
    <row r="288" spans="1:25">
      <c r="A288" s="41">
        <f>VLOOKUP(B288,справочник!$B$2:$E$322,4,FALSE)</f>
        <v>135</v>
      </c>
      <c r="B288" t="str">
        <f t="shared" si="29"/>
        <v>142-143Финогин Сергей Александрович</v>
      </c>
      <c r="C288" s="91" t="s">
        <v>274</v>
      </c>
      <c r="D288" s="2" t="s">
        <v>273</v>
      </c>
      <c r="E288" s="1"/>
      <c r="F288" s="19">
        <v>40834</v>
      </c>
      <c r="G288" s="19">
        <v>40817</v>
      </c>
      <c r="H288" s="20">
        <v>11</v>
      </c>
      <c r="I288" s="5">
        <f t="shared" si="33"/>
        <v>11000</v>
      </c>
      <c r="J288" s="20">
        <v>1000</v>
      </c>
      <c r="K288" s="20"/>
      <c r="L288" s="21">
        <f t="shared" si="28"/>
        <v>10000</v>
      </c>
      <c r="M288" s="29">
        <f>SUM('план на 2016'!$L289:M289)-SUM('членские взносы'!$M288:'членские взносы'!M288)</f>
        <v>10000</v>
      </c>
      <c r="N288" s="29">
        <f>SUM('план на 2016'!$L289:N289)-SUM('членские взносы'!$M288:'членские взносы'!N288)</f>
        <v>10000</v>
      </c>
      <c r="O288" s="29">
        <f>SUM('план на 2016'!$L289:O289)-SUM('членские взносы'!$M288:'членские взносы'!O288)</f>
        <v>10000</v>
      </c>
      <c r="P288" s="29">
        <f>SUM('план на 2016'!$L289:P289)-SUM('членские взносы'!$M288:'членские взносы'!P288)</f>
        <v>10000</v>
      </c>
      <c r="Q288" s="29">
        <f>SUM('план на 2016'!$L289:Q289)-SUM('членские взносы'!$M288:'членские взносы'!Q288)</f>
        <v>10000</v>
      </c>
      <c r="R288" s="29">
        <f>SUM('план на 2016'!$L289:R289)-SUM('членские взносы'!$M288:'членские взносы'!R288)</f>
        <v>10000</v>
      </c>
      <c r="S288" s="29">
        <f>SUM('план на 2016'!$L289:S289)-SUM('членские взносы'!$M288:'членские взносы'!S288)</f>
        <v>10000</v>
      </c>
      <c r="T288" s="29">
        <f>SUM('план на 2016'!$L289:T289)-SUM('членские взносы'!$M288:'членские взносы'!T288)</f>
        <v>10000</v>
      </c>
      <c r="U288" s="29">
        <f>SUM('план на 2016'!$L289:U289)-SUM('членские взносы'!$M288:'членские взносы'!U288)</f>
        <v>10000</v>
      </c>
      <c r="V288" s="29">
        <f>SUM('план на 2016'!$L289:V289)-SUM('членские взносы'!$M288:'членские взносы'!V288)</f>
        <v>10000</v>
      </c>
      <c r="W288" s="29">
        <f>SUM('план на 2016'!$L289:W289)-SUM('членские взносы'!$M288:'членские взносы'!W288)</f>
        <v>10000</v>
      </c>
      <c r="X288" s="29">
        <f>SUM('план на 2016'!$L289:X289)-SUM('членские взносы'!$M288:'членские взносы'!X288)</f>
        <v>10000</v>
      </c>
      <c r="Y288" s="18">
        <f t="shared" si="30"/>
        <v>10000</v>
      </c>
    </row>
    <row r="289" spans="1:25">
      <c r="A289" s="41">
        <f>VLOOKUP(B289,справочник!$B$2:$E$322,4,FALSE)</f>
        <v>135</v>
      </c>
      <c r="B289" t="str">
        <f t="shared" si="29"/>
        <v>142-143Финогин Сергей Александрович</v>
      </c>
      <c r="C289" s="1" t="s">
        <v>274</v>
      </c>
      <c r="D289" s="2" t="s">
        <v>273</v>
      </c>
      <c r="E289" s="1"/>
      <c r="F289" s="19">
        <v>41183</v>
      </c>
      <c r="G289" s="19">
        <v>41183</v>
      </c>
      <c r="H289" s="20">
        <f t="shared" ref="H289:H320" si="34">INT(($H$326-G289)/30)</f>
        <v>39</v>
      </c>
      <c r="I289" s="5">
        <f t="shared" si="33"/>
        <v>39000</v>
      </c>
      <c r="J289" s="20"/>
      <c r="K289" s="20"/>
      <c r="L289" s="21">
        <f t="shared" si="28"/>
        <v>39000</v>
      </c>
      <c r="M289" s="29">
        <f>SUM('план на 2016'!$L290:M290)-SUM('членские взносы'!$M289:'членские взносы'!M289)</f>
        <v>39000</v>
      </c>
      <c r="N289" s="29">
        <f>SUM('план на 2016'!$L290:N290)-SUM('членские взносы'!$M289:'членские взносы'!N289)</f>
        <v>39000</v>
      </c>
      <c r="O289" s="29">
        <f>SUM('план на 2016'!$L290:O290)-SUM('членские взносы'!$M289:'членские взносы'!O289)</f>
        <v>39000</v>
      </c>
      <c r="P289" s="29">
        <f>SUM('план на 2016'!$L290:P290)-SUM('членские взносы'!$M289:'членские взносы'!P289)</f>
        <v>39000</v>
      </c>
      <c r="Q289" s="29">
        <f>SUM('план на 2016'!$L290:Q290)-SUM('членские взносы'!$M289:'членские взносы'!Q289)</f>
        <v>39000</v>
      </c>
      <c r="R289" s="29">
        <f>SUM('план на 2016'!$L290:R290)-SUM('членские взносы'!$M289:'членские взносы'!R289)</f>
        <v>39000</v>
      </c>
      <c r="S289" s="29">
        <f>SUM('план на 2016'!$L290:S290)-SUM('членские взносы'!$M289:'членские взносы'!S289)</f>
        <v>39000</v>
      </c>
      <c r="T289" s="29">
        <f>SUM('план на 2016'!$L290:T290)-SUM('членские взносы'!$M289:'членские взносы'!T289)</f>
        <v>39000</v>
      </c>
      <c r="U289" s="29">
        <f>SUM('план на 2016'!$L290:U290)-SUM('членские взносы'!$M289:'членские взносы'!U289)</f>
        <v>39000</v>
      </c>
      <c r="V289" s="29">
        <f>SUM('план на 2016'!$L290:V290)-SUM('членские взносы'!$M289:'членские взносы'!V289)</f>
        <v>39000</v>
      </c>
      <c r="W289" s="29">
        <f>SUM('план на 2016'!$L290:W290)-SUM('членские взносы'!$M289:'членские взносы'!W289)</f>
        <v>39000</v>
      </c>
      <c r="X289" s="29">
        <f>SUM('план на 2016'!$L290:X290)-SUM('членские взносы'!$M289:'членские взносы'!X289)</f>
        <v>39000</v>
      </c>
      <c r="Y289" s="18">
        <f t="shared" si="30"/>
        <v>39000</v>
      </c>
    </row>
    <row r="290" spans="1:25">
      <c r="A290" s="41">
        <f>VLOOKUP(B290,справочник!$B$2:$E$322,4,FALSE)</f>
        <v>59</v>
      </c>
      <c r="B290" t="str">
        <f t="shared" si="29"/>
        <v>61Фисенко Вадим Петрович</v>
      </c>
      <c r="C290" s="1">
        <v>61</v>
      </c>
      <c r="D290" s="2" t="s">
        <v>275</v>
      </c>
      <c r="E290" s="1" t="s">
        <v>583</v>
      </c>
      <c r="F290" s="16">
        <v>40868</v>
      </c>
      <c r="G290" s="16">
        <v>40848</v>
      </c>
      <c r="H290" s="17">
        <f t="shared" si="34"/>
        <v>50</v>
      </c>
      <c r="I290" s="1">
        <f t="shared" si="33"/>
        <v>50000</v>
      </c>
      <c r="J290" s="17">
        <f>1000+49000</f>
        <v>50000</v>
      </c>
      <c r="K290" s="17"/>
      <c r="L290" s="18">
        <f t="shared" si="28"/>
        <v>0</v>
      </c>
      <c r="M290" s="29">
        <f>SUM('план на 2016'!$L291:M291)-SUM('членские взносы'!$M290:'членские взносы'!M290)</f>
        <v>-1600</v>
      </c>
      <c r="N290" s="29">
        <f>SUM('план на 2016'!$L291:N291)-SUM('членские взносы'!$M290:'членские взносы'!N290)</f>
        <v>-800</v>
      </c>
      <c r="O290" s="29">
        <f>SUM('план на 2016'!$L291:O291)-SUM('членские взносы'!$M290:'членские взносы'!O290)</f>
        <v>0</v>
      </c>
      <c r="P290" s="29">
        <f>SUM('план на 2016'!$L291:P291)-SUM('членские взносы'!$M290:'членские взносы'!P290)</f>
        <v>800</v>
      </c>
      <c r="Q290" s="29">
        <f>SUM('план на 2016'!$L291:Q291)-SUM('членские взносы'!$M290:'членские взносы'!Q290)</f>
        <v>1600</v>
      </c>
      <c r="R290" s="29">
        <f>SUM('план на 2016'!$L291:R291)-SUM('членские взносы'!$M290:'членские взносы'!R290)</f>
        <v>2400</v>
      </c>
      <c r="S290" s="29">
        <f>SUM('план на 2016'!$L291:S291)-SUM('членские взносы'!$M290:'членские взносы'!S290)</f>
        <v>3200</v>
      </c>
      <c r="T290" s="29">
        <f>SUM('план на 2016'!$L291:T291)-SUM('членские взносы'!$M290:'членские взносы'!T290)</f>
        <v>4000</v>
      </c>
      <c r="U290" s="29">
        <f>SUM('план на 2016'!$L291:U291)-SUM('членские взносы'!$M290:'членские взносы'!U290)</f>
        <v>4800</v>
      </c>
      <c r="V290" s="29">
        <f>SUM('план на 2016'!$L291:V291)-SUM('членские взносы'!$M290:'членские взносы'!V290)</f>
        <v>5600</v>
      </c>
      <c r="W290" s="29">
        <f>SUM('план на 2016'!$L291:W291)-SUM('членские взносы'!$M290:'членские взносы'!W290)</f>
        <v>6400</v>
      </c>
      <c r="X290" s="29">
        <f>SUM('план на 2016'!$L291:X291)-SUM('членские взносы'!$M290:'членские взносы'!X290)</f>
        <v>7200</v>
      </c>
      <c r="Y290" s="18">
        <f t="shared" si="30"/>
        <v>7200</v>
      </c>
    </row>
    <row r="291" spans="1:25">
      <c r="A291" s="41">
        <f>VLOOKUP(B291,справочник!$B$2:$E$322,4,FALSE)</f>
        <v>60</v>
      </c>
      <c r="B291" t="str">
        <f t="shared" si="29"/>
        <v>62Фисенко Дмитрий Петрович</v>
      </c>
      <c r="C291" s="1">
        <v>62</v>
      </c>
      <c r="D291" s="2" t="s">
        <v>276</v>
      </c>
      <c r="E291" s="1" t="s">
        <v>584</v>
      </c>
      <c r="F291" s="16">
        <v>40885</v>
      </c>
      <c r="G291" s="16">
        <v>40878</v>
      </c>
      <c r="H291" s="17">
        <f t="shared" si="34"/>
        <v>49</v>
      </c>
      <c r="I291" s="1">
        <f t="shared" si="33"/>
        <v>49000</v>
      </c>
      <c r="J291" s="17">
        <f>8000+54000</f>
        <v>62000</v>
      </c>
      <c r="K291" s="17"/>
      <c r="L291" s="18">
        <f t="shared" si="28"/>
        <v>-13000</v>
      </c>
      <c r="M291" s="29">
        <f>SUM('план на 2016'!$L292:M292)-SUM('членские взносы'!$M291:'членские взносы'!M291)</f>
        <v>-12200</v>
      </c>
      <c r="N291" s="29">
        <f>SUM('план на 2016'!$L292:N292)-SUM('членские взносы'!$M291:'членские взносы'!N291)</f>
        <v>-11400</v>
      </c>
      <c r="O291" s="29">
        <f>SUM('план на 2016'!$L292:O292)-SUM('членские взносы'!$M291:'членские взносы'!O291)</f>
        <v>-10600</v>
      </c>
      <c r="P291" s="29">
        <f>SUM('план на 2016'!$L292:P292)-SUM('членские взносы'!$M291:'членские взносы'!P291)</f>
        <v>-9800</v>
      </c>
      <c r="Q291" s="29">
        <f>SUM('план на 2016'!$L292:Q292)-SUM('членские взносы'!$M291:'членские взносы'!Q291)</f>
        <v>-9000</v>
      </c>
      <c r="R291" s="29">
        <f>SUM('план на 2016'!$L292:R292)-SUM('членские взносы'!$M291:'членские взносы'!R291)</f>
        <v>-8200</v>
      </c>
      <c r="S291" s="29">
        <f>SUM('план на 2016'!$L292:S292)-SUM('членские взносы'!$M291:'членские взносы'!S291)</f>
        <v>-7400</v>
      </c>
      <c r="T291" s="29">
        <f>SUM('план на 2016'!$L292:T292)-SUM('членские взносы'!$M291:'членские взносы'!T291)</f>
        <v>-6600</v>
      </c>
      <c r="U291" s="29">
        <f>SUM('план на 2016'!$L292:U292)-SUM('членские взносы'!$M291:'членские взносы'!U291)</f>
        <v>-5800</v>
      </c>
      <c r="V291" s="29">
        <f>SUM('план на 2016'!$L292:V292)-SUM('членские взносы'!$M291:'членские взносы'!V291)</f>
        <v>-5000</v>
      </c>
      <c r="W291" s="29">
        <f>SUM('план на 2016'!$L292:W292)-SUM('членские взносы'!$M291:'членские взносы'!W291)</f>
        <v>-4200</v>
      </c>
      <c r="X291" s="29">
        <f>SUM('план на 2016'!$L292:X292)-SUM('членские взносы'!$M291:'членские взносы'!X291)</f>
        <v>-3400</v>
      </c>
      <c r="Y291" s="18">
        <f t="shared" si="30"/>
        <v>-3400</v>
      </c>
    </row>
    <row r="292" spans="1:25">
      <c r="A292" s="41">
        <f>VLOOKUP(B292,справочник!$B$2:$E$322,4,FALSE)</f>
        <v>248</v>
      </c>
      <c r="B292" t="str">
        <f t="shared" si="29"/>
        <v>259Фомин Андрей Анатольевич</v>
      </c>
      <c r="C292" s="1">
        <v>259</v>
      </c>
      <c r="D292" s="2" t="s">
        <v>277</v>
      </c>
      <c r="E292" s="1" t="s">
        <v>585</v>
      </c>
      <c r="F292" s="16">
        <v>41628</v>
      </c>
      <c r="G292" s="16">
        <v>41640</v>
      </c>
      <c r="H292" s="17">
        <f t="shared" si="34"/>
        <v>24</v>
      </c>
      <c r="I292" s="1">
        <f t="shared" si="33"/>
        <v>24000</v>
      </c>
      <c r="J292" s="17">
        <v>21300</v>
      </c>
      <c r="K292" s="17"/>
      <c r="L292" s="18">
        <f t="shared" si="28"/>
        <v>2700</v>
      </c>
      <c r="M292" s="29">
        <f>SUM('план на 2016'!$L293:M293)-SUM('членские взносы'!$M292:'членские взносы'!M292)</f>
        <v>3500</v>
      </c>
      <c r="N292" s="29">
        <f>SUM('план на 2016'!$L293:N293)-SUM('членские взносы'!$M292:'членские взносы'!N292)</f>
        <v>4300</v>
      </c>
      <c r="O292" s="29">
        <f>SUM('план на 2016'!$L293:O293)-SUM('членские взносы'!$M292:'членские взносы'!O292)</f>
        <v>5100</v>
      </c>
      <c r="P292" s="29">
        <f>SUM('план на 2016'!$L293:P293)-SUM('членские взносы'!$M292:'членские взносы'!P292)</f>
        <v>5900</v>
      </c>
      <c r="Q292" s="29">
        <f>SUM('план на 2016'!$L293:Q293)-SUM('членские взносы'!$M292:'членские взносы'!Q292)</f>
        <v>6700</v>
      </c>
      <c r="R292" s="29">
        <f>SUM('план на 2016'!$L293:R293)-SUM('членские взносы'!$M292:'членские взносы'!R292)</f>
        <v>5800</v>
      </c>
      <c r="S292" s="29">
        <f>SUM('план на 2016'!$L293:S293)-SUM('членские взносы'!$M292:'членские взносы'!S292)</f>
        <v>5600</v>
      </c>
      <c r="T292" s="29">
        <f>SUM('план на 2016'!$L293:T293)-SUM('членские взносы'!$M292:'членские взносы'!T292)</f>
        <v>6400</v>
      </c>
      <c r="U292" s="29">
        <f>SUM('план на 2016'!$L293:U293)-SUM('членские взносы'!$M292:'членские взносы'!U292)</f>
        <v>5600</v>
      </c>
      <c r="V292" s="29">
        <f>SUM('план на 2016'!$L293:V293)-SUM('членские взносы'!$M292:'членские взносы'!V292)</f>
        <v>6400</v>
      </c>
      <c r="W292" s="29">
        <f>SUM('план на 2016'!$L293:W293)-SUM('членские взносы'!$M292:'членские взносы'!W292)</f>
        <v>-800</v>
      </c>
      <c r="X292" s="29">
        <f>SUM('план на 2016'!$L293:X293)-SUM('членские взносы'!$M292:'членские взносы'!X292)</f>
        <v>0</v>
      </c>
      <c r="Y292" s="18">
        <f t="shared" si="30"/>
        <v>0</v>
      </c>
    </row>
    <row r="293" spans="1:25">
      <c r="A293" s="41">
        <f>VLOOKUP(B293,справочник!$B$2:$E$322,4,FALSE)</f>
        <v>247</v>
      </c>
      <c r="B293" t="str">
        <f t="shared" si="29"/>
        <v>258Фомин Игорь Анатольевич</v>
      </c>
      <c r="C293" s="1">
        <v>258</v>
      </c>
      <c r="D293" s="2" t="s">
        <v>278</v>
      </c>
      <c r="E293" s="1" t="s">
        <v>586</v>
      </c>
      <c r="F293" s="16">
        <v>41628</v>
      </c>
      <c r="G293" s="16">
        <v>41640</v>
      </c>
      <c r="H293" s="17">
        <f t="shared" si="34"/>
        <v>24</v>
      </c>
      <c r="I293" s="1">
        <f t="shared" si="33"/>
        <v>24000</v>
      </c>
      <c r="J293" s="17">
        <v>13000</v>
      </c>
      <c r="K293" s="17"/>
      <c r="L293" s="18">
        <f t="shared" si="28"/>
        <v>11000</v>
      </c>
      <c r="M293" s="29">
        <f>SUM('план на 2016'!$L294:M294)-SUM('членские взносы'!$M293:'членские взносы'!M293)</f>
        <v>11800</v>
      </c>
      <c r="N293" s="29">
        <f>SUM('план на 2016'!$L294:N294)-SUM('членские взносы'!$M293:'членские взносы'!N293)</f>
        <v>12600</v>
      </c>
      <c r="O293" s="29">
        <f>SUM('план на 2016'!$L294:O294)-SUM('членские взносы'!$M293:'членские взносы'!O293)</f>
        <v>13400</v>
      </c>
      <c r="P293" s="29">
        <f>SUM('план на 2016'!$L294:P294)-SUM('членские взносы'!$M293:'членские взносы'!P293)</f>
        <v>14200</v>
      </c>
      <c r="Q293" s="29">
        <f>SUM('план на 2016'!$L294:Q294)-SUM('членские взносы'!$M293:'членские взносы'!Q293)</f>
        <v>15000</v>
      </c>
      <c r="R293" s="29">
        <f>SUM('план на 2016'!$L294:R294)-SUM('членские взносы'!$M293:'членские взносы'!R293)</f>
        <v>15800</v>
      </c>
      <c r="S293" s="29">
        <f>SUM('план на 2016'!$L294:S294)-SUM('членские взносы'!$M293:'членские взносы'!S293)</f>
        <v>16600</v>
      </c>
      <c r="T293" s="29">
        <f>SUM('план на 2016'!$L294:T294)-SUM('членские взносы'!$M293:'членские взносы'!T293)</f>
        <v>17400</v>
      </c>
      <c r="U293" s="29">
        <f>SUM('план на 2016'!$L294:U294)-SUM('членские взносы'!$M293:'членские взносы'!U293)</f>
        <v>18200</v>
      </c>
      <c r="V293" s="29">
        <f>SUM('план на 2016'!$L294:V294)-SUM('членские взносы'!$M293:'членские взносы'!V293)</f>
        <v>19000</v>
      </c>
      <c r="W293" s="29">
        <f>SUM('план на 2016'!$L294:W294)-SUM('членские взносы'!$M293:'членские взносы'!W293)</f>
        <v>-200</v>
      </c>
      <c r="X293" s="29">
        <f>SUM('план на 2016'!$L294:X294)-SUM('членские взносы'!$M293:'членские взносы'!X293)</f>
        <v>600</v>
      </c>
      <c r="Y293" s="18">
        <f t="shared" si="30"/>
        <v>600</v>
      </c>
    </row>
    <row r="294" spans="1:25">
      <c r="A294" s="41">
        <f>VLOOKUP(B294,справочник!$B$2:$E$322,4,FALSE)</f>
        <v>103</v>
      </c>
      <c r="B294" t="str">
        <f t="shared" si="29"/>
        <v>108Фомичев Александр Петрович</v>
      </c>
      <c r="C294" s="1">
        <v>108</v>
      </c>
      <c r="D294" s="2" t="s">
        <v>279</v>
      </c>
      <c r="E294" s="1" t="s">
        <v>587</v>
      </c>
      <c r="F294" s="16">
        <v>40715</v>
      </c>
      <c r="G294" s="16">
        <v>40725</v>
      </c>
      <c r="H294" s="17">
        <f t="shared" si="34"/>
        <v>54</v>
      </c>
      <c r="I294" s="1">
        <f t="shared" si="33"/>
        <v>54000</v>
      </c>
      <c r="J294" s="17">
        <f>2000+45000</f>
        <v>47000</v>
      </c>
      <c r="K294" s="17"/>
      <c r="L294" s="18">
        <f t="shared" si="28"/>
        <v>7000</v>
      </c>
      <c r="M294" s="29">
        <f>SUM('план на 2016'!$L295:M295)-SUM('членские взносы'!$M294:'членские взносы'!M294)</f>
        <v>1800</v>
      </c>
      <c r="N294" s="29">
        <f>SUM('план на 2016'!$L295:N295)-SUM('членские взносы'!$M294:'членские взносы'!N294)</f>
        <v>2600</v>
      </c>
      <c r="O294" s="29">
        <f>SUM('план на 2016'!$L295:O295)-SUM('членские взносы'!$M294:'членские взносы'!O294)</f>
        <v>-2600</v>
      </c>
      <c r="P294" s="29">
        <f>SUM('план на 2016'!$L295:P295)-SUM('членские взносы'!$M294:'членские взносы'!P294)</f>
        <v>-1800</v>
      </c>
      <c r="Q294" s="29">
        <f>SUM('план на 2016'!$L295:Q295)-SUM('членские взносы'!$M294:'членские взносы'!Q294)</f>
        <v>-1000</v>
      </c>
      <c r="R294" s="29">
        <f>SUM('план на 2016'!$L295:R295)-SUM('членские взносы'!$M294:'членские взносы'!R294)</f>
        <v>-200</v>
      </c>
      <c r="S294" s="29">
        <f>SUM('план на 2016'!$L295:S295)-SUM('членские взносы'!$M294:'членские взносы'!S294)</f>
        <v>600</v>
      </c>
      <c r="T294" s="29">
        <f>SUM('план на 2016'!$L295:T295)-SUM('членские взносы'!$M294:'членские взносы'!T294)</f>
        <v>1400</v>
      </c>
      <c r="U294" s="29">
        <f>SUM('план на 2016'!$L295:U295)-SUM('членские взносы'!$M294:'членские взносы'!U294)</f>
        <v>2200</v>
      </c>
      <c r="V294" s="29">
        <f>SUM('план на 2016'!$L295:V295)-SUM('членские взносы'!$M294:'членские взносы'!V294)</f>
        <v>3000</v>
      </c>
      <c r="W294" s="29">
        <f>SUM('план на 2016'!$L295:W295)-SUM('членские взносы'!$M294:'членские взносы'!W294)</f>
        <v>-2200</v>
      </c>
      <c r="X294" s="29">
        <f>SUM('план на 2016'!$L295:X295)-SUM('членские взносы'!$M294:'членские взносы'!X294)</f>
        <v>-1400</v>
      </c>
      <c r="Y294" s="18">
        <f t="shared" si="30"/>
        <v>-1400</v>
      </c>
    </row>
    <row r="295" spans="1:25" ht="25.5" customHeight="1">
      <c r="A295" s="41">
        <f>VLOOKUP(B295,справочник!$B$2:$E$322,4,FALSE)</f>
        <v>275</v>
      </c>
      <c r="B295" t="str">
        <f t="shared" si="29"/>
        <v>288Хайлов Алексей Анатольевич</v>
      </c>
      <c r="C295" s="1">
        <v>288</v>
      </c>
      <c r="D295" s="2" t="s">
        <v>280</v>
      </c>
      <c r="E295" s="1" t="s">
        <v>588</v>
      </c>
      <c r="F295" s="16">
        <v>41999</v>
      </c>
      <c r="G295" s="16">
        <v>42005</v>
      </c>
      <c r="H295" s="17">
        <f t="shared" si="34"/>
        <v>12</v>
      </c>
      <c r="I295" s="1">
        <f t="shared" si="33"/>
        <v>12000</v>
      </c>
      <c r="J295" s="17"/>
      <c r="K295" s="17"/>
      <c r="L295" s="18">
        <f t="shared" si="28"/>
        <v>12000</v>
      </c>
      <c r="M295" s="29">
        <f>SUM('план на 2016'!$L296:M296)-SUM('членские взносы'!$M295:'членские взносы'!M295)</f>
        <v>12800</v>
      </c>
      <c r="N295" s="29">
        <f>SUM('план на 2016'!$L296:N296)-SUM('членские взносы'!$M295:'членские взносы'!N295)</f>
        <v>13600</v>
      </c>
      <c r="O295" s="29">
        <f>SUM('план на 2016'!$L296:O296)-SUM('членские взносы'!$M295:'членские взносы'!O295)</f>
        <v>14400</v>
      </c>
      <c r="P295" s="29">
        <f>SUM('план на 2016'!$L296:P296)-SUM('членские взносы'!$M295:'членские взносы'!P295)</f>
        <v>15200</v>
      </c>
      <c r="Q295" s="29">
        <f>SUM('план на 2016'!$L296:Q296)-SUM('членские взносы'!$M295:'членские взносы'!Q295)</f>
        <v>16000</v>
      </c>
      <c r="R295" s="29">
        <f>SUM('план на 2016'!$L296:R296)-SUM('членские взносы'!$M295:'членские взносы'!R295)</f>
        <v>800</v>
      </c>
      <c r="S295" s="29">
        <f>SUM('план на 2016'!$L296:S296)-SUM('членские взносы'!$M295:'членские взносы'!S295)</f>
        <v>800</v>
      </c>
      <c r="T295" s="29">
        <f>SUM('план на 2016'!$L296:T296)-SUM('членские взносы'!$M295:'членские взносы'!T295)</f>
        <v>800</v>
      </c>
      <c r="U295" s="29">
        <f>SUM('план на 2016'!$L296:U296)-SUM('членские взносы'!$M295:'членские взносы'!U295)</f>
        <v>800</v>
      </c>
      <c r="V295" s="29">
        <f>SUM('план на 2016'!$L296:V296)-SUM('членские взносы'!$M295:'членские взносы'!V295)</f>
        <v>800</v>
      </c>
      <c r="W295" s="29">
        <f>SUM('план на 2016'!$L296:W296)-SUM('членские взносы'!$M295:'членские взносы'!W295)</f>
        <v>800</v>
      </c>
      <c r="X295" s="29">
        <f>SUM('план на 2016'!$L296:X296)-SUM('членские взносы'!$M295:'членские взносы'!X295)</f>
        <v>1600</v>
      </c>
      <c r="Y295" s="18">
        <f t="shared" si="30"/>
        <v>1600</v>
      </c>
    </row>
    <row r="296" spans="1:25">
      <c r="A296" s="41">
        <f>VLOOKUP(B296,справочник!$B$2:$E$322,4,FALSE)</f>
        <v>22</v>
      </c>
      <c r="B296" t="str">
        <f t="shared" si="29"/>
        <v>22Хан Виталий Борисович</v>
      </c>
      <c r="C296" s="1">
        <v>22</v>
      </c>
      <c r="D296" s="2" t="s">
        <v>281</v>
      </c>
      <c r="E296" s="1" t="s">
        <v>589</v>
      </c>
      <c r="F296" s="16">
        <v>41107</v>
      </c>
      <c r="G296" s="16">
        <v>41091</v>
      </c>
      <c r="H296" s="17">
        <f t="shared" si="34"/>
        <v>42</v>
      </c>
      <c r="I296" s="1">
        <f t="shared" si="33"/>
        <v>42000</v>
      </c>
      <c r="J296" s="17">
        <f>34000+6000</f>
        <v>40000</v>
      </c>
      <c r="K296" s="17"/>
      <c r="L296" s="18">
        <f t="shared" si="28"/>
        <v>2000</v>
      </c>
      <c r="M296" s="29">
        <f>SUM('план на 2016'!$L297:M297)-SUM('членские взносы'!$M296:'членские взносы'!M296)</f>
        <v>2800</v>
      </c>
      <c r="N296" s="29">
        <f>SUM('план на 2016'!$L297:N297)-SUM('членские взносы'!$M296:'членские взносы'!N296)</f>
        <v>3600</v>
      </c>
      <c r="O296" s="29">
        <f>SUM('план на 2016'!$L297:O297)-SUM('членские взносы'!$M296:'членские взносы'!O296)</f>
        <v>4400</v>
      </c>
      <c r="P296" s="29">
        <f>SUM('план на 2016'!$L297:P297)-SUM('членские взносы'!$M296:'членские взносы'!P296)</f>
        <v>5200</v>
      </c>
      <c r="Q296" s="29">
        <f>SUM('план на 2016'!$L297:Q297)-SUM('членские взносы'!$M296:'членские взносы'!Q296)</f>
        <v>6000</v>
      </c>
      <c r="R296" s="29">
        <f>SUM('план на 2016'!$L297:R297)-SUM('членские взносы'!$M296:'членские взносы'!R296)</f>
        <v>6800</v>
      </c>
      <c r="S296" s="29">
        <f>SUM('план на 2016'!$L297:S297)-SUM('членские взносы'!$M296:'членские взносы'!S296)</f>
        <v>7600</v>
      </c>
      <c r="T296" s="29">
        <f>SUM('план на 2016'!$L297:T297)-SUM('членские взносы'!$M296:'членские взносы'!T296)</f>
        <v>8400</v>
      </c>
      <c r="U296" s="29">
        <f>SUM('план на 2016'!$L297:U297)-SUM('членские взносы'!$M296:'членские взносы'!U296)</f>
        <v>-800</v>
      </c>
      <c r="V296" s="29">
        <f>SUM('план на 2016'!$L297:V297)-SUM('членские взносы'!$M296:'членские взносы'!V296)</f>
        <v>0</v>
      </c>
      <c r="W296" s="29">
        <f>SUM('план на 2016'!$L297:W297)-SUM('членские взносы'!$M296:'членские взносы'!W296)</f>
        <v>800</v>
      </c>
      <c r="X296" s="29">
        <f>SUM('план на 2016'!$L297:X297)-SUM('членские взносы'!$M296:'членские взносы'!X296)</f>
        <v>1600</v>
      </c>
      <c r="Y296" s="18">
        <f t="shared" si="30"/>
        <v>1600</v>
      </c>
    </row>
    <row r="297" spans="1:25">
      <c r="A297" s="41">
        <f>VLOOKUP(B297,справочник!$B$2:$E$322,4,FALSE)</f>
        <v>20</v>
      </c>
      <c r="B297" t="str">
        <f t="shared" si="29"/>
        <v>20Харинкина Танзиля Гарафутдиновна</v>
      </c>
      <c r="C297" s="1">
        <v>20</v>
      </c>
      <c r="D297" s="2" t="s">
        <v>282</v>
      </c>
      <c r="E297" s="1" t="s">
        <v>590</v>
      </c>
      <c r="F297" s="16">
        <v>41443</v>
      </c>
      <c r="G297" s="16">
        <v>41487</v>
      </c>
      <c r="H297" s="17">
        <f t="shared" si="34"/>
        <v>29</v>
      </c>
      <c r="I297" s="1">
        <f t="shared" si="33"/>
        <v>29000</v>
      </c>
      <c r="J297" s="17">
        <v>12000</v>
      </c>
      <c r="K297" s="17"/>
      <c r="L297" s="18">
        <f t="shared" si="28"/>
        <v>17000</v>
      </c>
      <c r="M297" s="29">
        <f>SUM('план на 2016'!$L298:M298)-SUM('членские взносы'!$M297:'членские взносы'!M297)</f>
        <v>17800</v>
      </c>
      <c r="N297" s="29">
        <f>SUM('план на 2016'!$L298:N298)-SUM('членские взносы'!$M297:'членские взносы'!N297)</f>
        <v>18600</v>
      </c>
      <c r="O297" s="29">
        <f>SUM('план на 2016'!$L298:O298)-SUM('членские взносы'!$M297:'членские взносы'!O297)</f>
        <v>19400</v>
      </c>
      <c r="P297" s="29">
        <f>SUM('план на 2016'!$L298:P298)-SUM('членские взносы'!$M297:'членские взносы'!P297)</f>
        <v>20200</v>
      </c>
      <c r="Q297" s="29">
        <f>SUM('план на 2016'!$L298:Q298)-SUM('членские взносы'!$M297:'членские взносы'!Q297)</f>
        <v>21000</v>
      </c>
      <c r="R297" s="29">
        <f>SUM('план на 2016'!$L298:R298)-SUM('членские взносы'!$M297:'членские взносы'!R297)</f>
        <v>21800</v>
      </c>
      <c r="S297" s="29">
        <f>SUM('план на 2016'!$L298:S298)-SUM('членские взносы'!$M297:'членские взносы'!S297)</f>
        <v>22600</v>
      </c>
      <c r="T297" s="29">
        <f>SUM('план на 2016'!$L298:T298)-SUM('членские взносы'!$M297:'членские взносы'!T297)</f>
        <v>23400</v>
      </c>
      <c r="U297" s="29">
        <f>SUM('план на 2016'!$L298:U298)-SUM('членские взносы'!$M297:'членские взносы'!U297)</f>
        <v>24200</v>
      </c>
      <c r="V297" s="29">
        <f>SUM('план на 2016'!$L298:V298)-SUM('членские взносы'!$M297:'членские взносы'!V297)</f>
        <v>25000</v>
      </c>
      <c r="W297" s="29">
        <f>SUM('план на 2016'!$L298:W298)-SUM('членские взносы'!$M297:'членские взносы'!W297)</f>
        <v>25800</v>
      </c>
      <c r="X297" s="29">
        <f>SUM('план на 2016'!$L298:X298)-SUM('членские взносы'!$M297:'членские взносы'!X297)</f>
        <v>26600</v>
      </c>
      <c r="Y297" s="18">
        <f t="shared" si="30"/>
        <v>26600</v>
      </c>
    </row>
    <row r="298" spans="1:25">
      <c r="A298" s="41">
        <f>VLOOKUP(B298,справочник!$B$2:$E$322,4,FALSE)</f>
        <v>233</v>
      </c>
      <c r="B298" t="str">
        <f t="shared" si="29"/>
        <v>242Хаустова Люция Егоровна</v>
      </c>
      <c r="C298" s="1">
        <v>242</v>
      </c>
      <c r="D298" s="2" t="s">
        <v>283</v>
      </c>
      <c r="E298" s="1" t="s">
        <v>591</v>
      </c>
      <c r="F298" s="16">
        <v>41382</v>
      </c>
      <c r="G298" s="16">
        <v>41395</v>
      </c>
      <c r="H298" s="17">
        <f t="shared" si="34"/>
        <v>32</v>
      </c>
      <c r="I298" s="1">
        <f t="shared" si="33"/>
        <v>32000</v>
      </c>
      <c r="J298" s="17">
        <v>29000</v>
      </c>
      <c r="K298" s="17"/>
      <c r="L298" s="18">
        <f t="shared" si="28"/>
        <v>3000</v>
      </c>
      <c r="M298" s="29">
        <f>SUM('план на 2016'!$L299:M299)-SUM('членские взносы'!$M298:'членские взносы'!M298)</f>
        <v>3800</v>
      </c>
      <c r="N298" s="29">
        <f>SUM('план на 2016'!$L299:N299)-SUM('членские взносы'!$M298:'членские взносы'!N298)</f>
        <v>4600</v>
      </c>
      <c r="O298" s="29">
        <f>SUM('план на 2016'!$L299:O299)-SUM('членские взносы'!$M298:'членские взносы'!O298)</f>
        <v>5400</v>
      </c>
      <c r="P298" s="29">
        <f>SUM('план на 2016'!$L299:P299)-SUM('членские взносы'!$M298:'членские взносы'!P298)</f>
        <v>6200</v>
      </c>
      <c r="Q298" s="29">
        <f>SUM('план на 2016'!$L299:Q299)-SUM('членские взносы'!$M298:'членские взносы'!Q298)</f>
        <v>7000</v>
      </c>
      <c r="R298" s="29">
        <f>SUM('план на 2016'!$L299:R299)-SUM('членские взносы'!$M298:'членские взносы'!R298)</f>
        <v>800</v>
      </c>
      <c r="S298" s="29">
        <f>SUM('план на 2016'!$L299:S299)-SUM('членские взносы'!$M298:'членские взносы'!S298)</f>
        <v>1600</v>
      </c>
      <c r="T298" s="29">
        <f>SUM('план на 2016'!$L299:T299)-SUM('членские взносы'!$M298:'членские взносы'!T298)</f>
        <v>2400</v>
      </c>
      <c r="U298" s="29">
        <f>SUM('план на 2016'!$L299:U299)-SUM('членские взносы'!$M298:'членские взносы'!U298)</f>
        <v>3200</v>
      </c>
      <c r="V298" s="29">
        <f>SUM('план на 2016'!$L299:V299)-SUM('членские взносы'!$M298:'членские взносы'!V298)</f>
        <v>4000</v>
      </c>
      <c r="W298" s="29">
        <f>SUM('план на 2016'!$L299:W299)-SUM('членские взносы'!$M298:'членские взносы'!W298)</f>
        <v>800</v>
      </c>
      <c r="X298" s="29">
        <f>SUM('план на 2016'!$L299:X299)-SUM('членские взносы'!$M298:'членские взносы'!X298)</f>
        <v>1600</v>
      </c>
      <c r="Y298" s="18">
        <f t="shared" si="30"/>
        <v>1600</v>
      </c>
    </row>
    <row r="299" spans="1:25">
      <c r="A299" s="41">
        <f>VLOOKUP(B299,справочник!$B$2:$E$322,4,FALSE)</f>
        <v>256</v>
      </c>
      <c r="B299" t="str">
        <f t="shared" si="29"/>
        <v>269Хачатрян Алла Самвеловна</v>
      </c>
      <c r="C299" s="1">
        <v>269</v>
      </c>
      <c r="D299" s="2" t="s">
        <v>284</v>
      </c>
      <c r="E299" s="1" t="s">
        <v>592</v>
      </c>
      <c r="F299" s="16">
        <v>41012</v>
      </c>
      <c r="G299" s="16">
        <v>41000</v>
      </c>
      <c r="H299" s="17">
        <f t="shared" si="34"/>
        <v>45</v>
      </c>
      <c r="I299" s="1">
        <f t="shared" si="33"/>
        <v>45000</v>
      </c>
      <c r="J299" s="17">
        <f>32000+7000</f>
        <v>39000</v>
      </c>
      <c r="K299" s="17">
        <v>8000</v>
      </c>
      <c r="L299" s="18">
        <f t="shared" si="28"/>
        <v>-2000</v>
      </c>
      <c r="M299" s="29">
        <f>SUM('план на 2016'!$L300:M300)-SUM('членские взносы'!$M299:'членские взносы'!M299)</f>
        <v>-1200</v>
      </c>
      <c r="N299" s="29">
        <f>SUM('план на 2016'!$L300:N300)-SUM('членские взносы'!$M299:'членские взносы'!N299)</f>
        <v>-400</v>
      </c>
      <c r="O299" s="29">
        <f>SUM('план на 2016'!$L300:O300)-SUM('членские взносы'!$M299:'членские взносы'!O299)</f>
        <v>400</v>
      </c>
      <c r="P299" s="29">
        <f>SUM('план на 2016'!$L300:P300)-SUM('членские взносы'!$M299:'членские взносы'!P299)</f>
        <v>1200</v>
      </c>
      <c r="Q299" s="29">
        <f>SUM('план на 2016'!$L300:Q300)-SUM('членские взносы'!$M299:'членские взносы'!Q299)</f>
        <v>2000</v>
      </c>
      <c r="R299" s="29">
        <f>SUM('план на 2016'!$L300:R300)-SUM('членские взносы'!$M299:'членские взносы'!R299)</f>
        <v>2800</v>
      </c>
      <c r="S299" s="29">
        <f>SUM('план на 2016'!$L300:S300)-SUM('членские взносы'!$M299:'членские взносы'!S299)</f>
        <v>3600</v>
      </c>
      <c r="T299" s="29">
        <f>SUM('план на 2016'!$L300:T300)-SUM('членские взносы'!$M299:'членские взносы'!T299)</f>
        <v>4400</v>
      </c>
      <c r="U299" s="29">
        <f>SUM('план на 2016'!$L300:U300)-SUM('членские взносы'!$M299:'членские взносы'!U299)</f>
        <v>5200</v>
      </c>
      <c r="V299" s="29">
        <f>SUM('план на 2016'!$L300:V300)-SUM('членские взносы'!$M299:'членские взносы'!V299)</f>
        <v>6000</v>
      </c>
      <c r="W299" s="29">
        <f>SUM('план на 2016'!$L300:W300)-SUM('членские взносы'!$M299:'членские взносы'!W299)</f>
        <v>6800</v>
      </c>
      <c r="X299" s="29">
        <f>SUM('план на 2016'!$L300:X300)-SUM('членские взносы'!$M299:'членские взносы'!X299)</f>
        <v>7600</v>
      </c>
      <c r="Y299" s="18">
        <f t="shared" si="30"/>
        <v>7600</v>
      </c>
    </row>
    <row r="300" spans="1:25" ht="25.5" customHeight="1">
      <c r="A300" s="41">
        <f>VLOOKUP(B300,справочник!$B$2:$E$322,4,FALSE)</f>
        <v>113</v>
      </c>
      <c r="B300" t="str">
        <f t="shared" si="29"/>
        <v>116+118+120Хрупало Николай Алексеевич</v>
      </c>
      <c r="C300" s="91" t="s">
        <v>705</v>
      </c>
      <c r="D300" s="2" t="s">
        <v>285</v>
      </c>
      <c r="E300" s="1" t="s">
        <v>593</v>
      </c>
      <c r="F300" s="16">
        <v>41107</v>
      </c>
      <c r="G300" s="16">
        <v>41122</v>
      </c>
      <c r="H300" s="17">
        <f t="shared" si="34"/>
        <v>41</v>
      </c>
      <c r="I300" s="1">
        <f t="shared" si="33"/>
        <v>41000</v>
      </c>
      <c r="J300" s="17">
        <v>41000</v>
      </c>
      <c r="K300" s="17"/>
      <c r="L300" s="18">
        <f t="shared" si="28"/>
        <v>0</v>
      </c>
      <c r="M300" s="29">
        <f>SUM('план на 2016'!$L301:M301)-SUM('членские взносы'!$M300:'членские взносы'!M300)</f>
        <v>800</v>
      </c>
      <c r="N300" s="29">
        <f>SUM('план на 2016'!$L301:N301)-SUM('членские взносы'!$M300:'членские взносы'!N300)</f>
        <v>1600</v>
      </c>
      <c r="O300" s="29">
        <f>SUM('план на 2016'!$L301:O301)-SUM('членские взносы'!$M300:'членские взносы'!O300)</f>
        <v>2400</v>
      </c>
      <c r="P300" s="29">
        <f>SUM('план на 2016'!$L301:P301)-SUM('членские взносы'!$M300:'членские взносы'!P300)</f>
        <v>3200</v>
      </c>
      <c r="Q300" s="29">
        <f>SUM('план на 2016'!$L301:Q301)-SUM('членские взносы'!$M300:'членские взносы'!Q300)</f>
        <v>4000</v>
      </c>
      <c r="R300" s="29">
        <f>SUM('план на 2016'!$L301:R301)-SUM('членские взносы'!$M300:'членские взносы'!R300)</f>
        <v>4800</v>
      </c>
      <c r="S300" s="29">
        <f>SUM('план на 2016'!$L301:S301)-SUM('членские взносы'!$M300:'членские взносы'!S300)</f>
        <v>5600</v>
      </c>
      <c r="T300" s="29">
        <f>SUM('план на 2016'!$L301:T301)-SUM('членские взносы'!$M300:'членские взносы'!T300)</f>
        <v>6400</v>
      </c>
      <c r="U300" s="29">
        <f>SUM('план на 2016'!$L301:U301)-SUM('членские взносы'!$M300:'членские взносы'!U300)</f>
        <v>7200</v>
      </c>
      <c r="V300" s="29">
        <f>SUM('план на 2016'!$L301:V301)-SUM('членские взносы'!$M300:'членские взносы'!V300)</f>
        <v>8000</v>
      </c>
      <c r="W300" s="29">
        <f>SUM('план на 2016'!$L301:W301)-SUM('членские взносы'!$M300:'членские взносы'!W300)</f>
        <v>8800</v>
      </c>
      <c r="X300" s="29">
        <f>SUM('план на 2016'!$L301:X301)-SUM('членские взносы'!$M300:'членские взносы'!X300)</f>
        <v>9600</v>
      </c>
      <c r="Y300" s="18">
        <f t="shared" si="30"/>
        <v>9600</v>
      </c>
    </row>
    <row r="301" spans="1:25" ht="24">
      <c r="A301" s="41">
        <f>VLOOKUP(B301,справочник!$B$2:$E$322,4,FALSE)</f>
        <v>113</v>
      </c>
      <c r="B301" t="str">
        <f t="shared" si="29"/>
        <v>116+118+120Хрупало Николай Алексеевич</v>
      </c>
      <c r="C301" s="91" t="s">
        <v>705</v>
      </c>
      <c r="D301" s="2" t="s">
        <v>285</v>
      </c>
      <c r="E301" s="1" t="s">
        <v>593</v>
      </c>
      <c r="F301" s="19">
        <v>41107</v>
      </c>
      <c r="G301" s="19">
        <v>41122</v>
      </c>
      <c r="H301" s="20">
        <f t="shared" si="34"/>
        <v>41</v>
      </c>
      <c r="I301" s="5">
        <f t="shared" si="33"/>
        <v>41000</v>
      </c>
      <c r="J301" s="20">
        <v>20000</v>
      </c>
      <c r="K301" s="20"/>
      <c r="L301" s="21">
        <f t="shared" si="28"/>
        <v>21000</v>
      </c>
      <c r="M301" s="29">
        <f>SUM('план на 2016'!$L302:M302)-SUM('членские взносы'!$M301:'членские взносы'!M301)</f>
        <v>21000</v>
      </c>
      <c r="N301" s="29">
        <f>SUM('план на 2016'!$L302:N302)-SUM('членские взносы'!$M301:'членские взносы'!N301)</f>
        <v>21000</v>
      </c>
      <c r="O301" s="29">
        <f>SUM('план на 2016'!$L302:O302)-SUM('членские взносы'!$M301:'членские взносы'!O301)</f>
        <v>21000</v>
      </c>
      <c r="P301" s="29">
        <f>SUM('план на 2016'!$L302:P302)-SUM('членские взносы'!$M301:'членские взносы'!P301)</f>
        <v>21000</v>
      </c>
      <c r="Q301" s="29">
        <f>SUM('план на 2016'!$L302:Q302)-SUM('членские взносы'!$M301:'членские взносы'!Q301)</f>
        <v>21000</v>
      </c>
      <c r="R301" s="29">
        <f>SUM('план на 2016'!$L302:R302)-SUM('членские взносы'!$M301:'членские взносы'!R301)</f>
        <v>21000</v>
      </c>
      <c r="S301" s="29">
        <f>SUM('план на 2016'!$L302:S302)-SUM('членские взносы'!$M301:'членские взносы'!S301)</f>
        <v>21000</v>
      </c>
      <c r="T301" s="29">
        <f>SUM('план на 2016'!$L302:T302)-SUM('членские взносы'!$M301:'членские взносы'!T301)</f>
        <v>21000</v>
      </c>
      <c r="U301" s="29">
        <f>SUM('план на 2016'!$L302:U302)-SUM('членские взносы'!$M301:'членские взносы'!U301)</f>
        <v>21000</v>
      </c>
      <c r="V301" s="29">
        <f>SUM('план на 2016'!$L302:V302)-SUM('членские взносы'!$M301:'членские взносы'!V301)</f>
        <v>21000</v>
      </c>
      <c r="W301" s="29">
        <f>SUM('план на 2016'!$L302:W302)-SUM('членские взносы'!$M301:'членские взносы'!W301)</f>
        <v>21000</v>
      </c>
      <c r="X301" s="29">
        <f>SUM('план на 2016'!$L302:X302)-SUM('членские взносы'!$M301:'членские взносы'!X301)</f>
        <v>21000</v>
      </c>
      <c r="Y301" s="18">
        <f t="shared" si="30"/>
        <v>21000</v>
      </c>
    </row>
    <row r="302" spans="1:25" ht="24">
      <c r="A302" s="41">
        <f>VLOOKUP(B302,справочник!$B$2:$E$322,4,FALSE)</f>
        <v>113</v>
      </c>
      <c r="B302" t="str">
        <f t="shared" si="29"/>
        <v>116+118+120Хрупало Николай Алексеевич</v>
      </c>
      <c r="C302" s="91" t="s">
        <v>705</v>
      </c>
      <c r="D302" s="2" t="s">
        <v>285</v>
      </c>
      <c r="E302" s="1" t="s">
        <v>593</v>
      </c>
      <c r="F302" s="19">
        <v>41107</v>
      </c>
      <c r="G302" s="19">
        <v>41122</v>
      </c>
      <c r="H302" s="20">
        <f t="shared" si="34"/>
        <v>41</v>
      </c>
      <c r="I302" s="5">
        <f t="shared" si="33"/>
        <v>41000</v>
      </c>
      <c r="J302" s="20"/>
      <c r="K302" s="20"/>
      <c r="L302" s="21">
        <f t="shared" si="28"/>
        <v>41000</v>
      </c>
      <c r="M302" s="29">
        <f>SUM('план на 2016'!$L303:M303)-SUM('членские взносы'!$M302:'членские взносы'!M302)</f>
        <v>35000</v>
      </c>
      <c r="N302" s="29">
        <f>SUM('план на 2016'!$L303:N303)-SUM('членские взносы'!$M302:'членские взносы'!N302)</f>
        <v>35000</v>
      </c>
      <c r="O302" s="29">
        <f>SUM('план на 2016'!$L303:O303)-SUM('членские взносы'!$M302:'членские взносы'!O302)</f>
        <v>35000</v>
      </c>
      <c r="P302" s="29">
        <f>SUM('план на 2016'!$L303:P303)-SUM('членские взносы'!$M302:'членские взносы'!P302)</f>
        <v>32000</v>
      </c>
      <c r="Q302" s="29">
        <f>SUM('план на 2016'!$L303:Q303)-SUM('членские взносы'!$M302:'членские взносы'!Q302)</f>
        <v>32000</v>
      </c>
      <c r="R302" s="29">
        <f>SUM('план на 2016'!$L303:R303)-SUM('членские взносы'!$M302:'членские взносы'!R302)</f>
        <v>29000</v>
      </c>
      <c r="S302" s="29">
        <f>SUM('план на 2016'!$L303:S303)-SUM('членские взносы'!$M302:'членские взносы'!S302)</f>
        <v>29000</v>
      </c>
      <c r="T302" s="29">
        <f>SUM('план на 2016'!$L303:T303)-SUM('членские взносы'!$M302:'членские взносы'!T302)</f>
        <v>29000</v>
      </c>
      <c r="U302" s="29">
        <f>SUM('план на 2016'!$L303:U303)-SUM('членские взносы'!$M302:'членские взносы'!U302)</f>
        <v>29000</v>
      </c>
      <c r="V302" s="29">
        <f>SUM('план на 2016'!$L303:V303)-SUM('членские взносы'!$M302:'членские взносы'!V302)</f>
        <v>29000</v>
      </c>
      <c r="W302" s="29">
        <f>SUM('план на 2016'!$L303:W303)-SUM('членские взносы'!$M302:'членские взносы'!W302)</f>
        <v>26000</v>
      </c>
      <c r="X302" s="29">
        <f>SUM('план на 2016'!$L303:X303)-SUM('членские взносы'!$M302:'членские взносы'!X302)</f>
        <v>26000</v>
      </c>
      <c r="Y302" s="18">
        <f t="shared" si="30"/>
        <v>26000</v>
      </c>
    </row>
    <row r="303" spans="1:25" ht="25.5" customHeight="1">
      <c r="A303" s="41">
        <f>VLOOKUP(B303,справочник!$B$2:$E$322,4,FALSE)</f>
        <v>180</v>
      </c>
      <c r="B303" t="str">
        <f t="shared" si="29"/>
        <v>188Черешнева Виктория Викторовна</v>
      </c>
      <c r="C303" s="1">
        <v>188</v>
      </c>
      <c r="D303" s="2" t="s">
        <v>287</v>
      </c>
      <c r="E303" s="1" t="s">
        <v>594</v>
      </c>
      <c r="F303" s="16">
        <v>41786</v>
      </c>
      <c r="G303" s="16">
        <v>41791</v>
      </c>
      <c r="H303" s="17">
        <f t="shared" si="34"/>
        <v>19</v>
      </c>
      <c r="I303" s="1">
        <f t="shared" si="33"/>
        <v>19000</v>
      </c>
      <c r="J303" s="17">
        <v>19000</v>
      </c>
      <c r="K303" s="17"/>
      <c r="L303" s="18">
        <f t="shared" si="28"/>
        <v>0</v>
      </c>
      <c r="M303" s="29">
        <f>SUM('план на 2016'!$L304:M304)-SUM('членские взносы'!$M303:'членские взносы'!M303)</f>
        <v>800</v>
      </c>
      <c r="N303" s="29">
        <f>SUM('план на 2016'!$L304:N304)-SUM('членские взносы'!$M303:'членские взносы'!N303)</f>
        <v>1600</v>
      </c>
      <c r="O303" s="29">
        <f>SUM('план на 2016'!$L304:O304)-SUM('членские взносы'!$M303:'членские взносы'!O303)</f>
        <v>2400</v>
      </c>
      <c r="P303" s="29">
        <f>SUM('план на 2016'!$L304:P304)-SUM('членские взносы'!$M303:'членские взносы'!P303)</f>
        <v>3200</v>
      </c>
      <c r="Q303" s="29">
        <f>SUM('план на 2016'!$L304:Q304)-SUM('членские взносы'!$M303:'членские взносы'!Q303)</f>
        <v>-800</v>
      </c>
      <c r="R303" s="29">
        <f>SUM('план на 2016'!$L304:R304)-SUM('членские взносы'!$M303:'членские взносы'!R303)</f>
        <v>0</v>
      </c>
      <c r="S303" s="29">
        <f>SUM('план на 2016'!$L304:S304)-SUM('членские взносы'!$M303:'членские взносы'!S303)</f>
        <v>800</v>
      </c>
      <c r="T303" s="29">
        <f>SUM('план на 2016'!$L304:T304)-SUM('членские взносы'!$M303:'членские взносы'!T303)</f>
        <v>1600</v>
      </c>
      <c r="U303" s="29">
        <f>SUM('план на 2016'!$L304:U304)-SUM('членские взносы'!$M303:'членские взносы'!U303)</f>
        <v>2400</v>
      </c>
      <c r="V303" s="29">
        <f>SUM('план на 2016'!$L304:V304)-SUM('членские взносы'!$M303:'членские взносы'!V303)</f>
        <v>3200</v>
      </c>
      <c r="W303" s="29">
        <f>SUM('план на 2016'!$L304:W304)-SUM('членские взносы'!$M303:'членские взносы'!W303)</f>
        <v>4000</v>
      </c>
      <c r="X303" s="29">
        <f>SUM('план на 2016'!$L304:X304)-SUM('членские взносы'!$M303:'членские взносы'!X303)</f>
        <v>4800</v>
      </c>
      <c r="Y303" s="18">
        <f t="shared" si="30"/>
        <v>4800</v>
      </c>
    </row>
    <row r="304" spans="1:25">
      <c r="A304" s="41">
        <f>VLOOKUP(B304,справочник!$B$2:$E$322,4,FALSE)</f>
        <v>2</v>
      </c>
      <c r="B304" t="str">
        <f t="shared" si="29"/>
        <v xml:space="preserve">2Чернявская Оксана Юрьевна        </v>
      </c>
      <c r="C304" s="1">
        <v>2</v>
      </c>
      <c r="D304" s="2" t="s">
        <v>288</v>
      </c>
      <c r="E304" s="1" t="s">
        <v>595</v>
      </c>
      <c r="F304" s="16">
        <v>41737</v>
      </c>
      <c r="G304" s="16">
        <v>41760</v>
      </c>
      <c r="H304" s="17">
        <f t="shared" si="34"/>
        <v>20</v>
      </c>
      <c r="I304" s="1">
        <f t="shared" si="33"/>
        <v>20000</v>
      </c>
      <c r="J304" s="17">
        <v>11000</v>
      </c>
      <c r="K304" s="17"/>
      <c r="L304" s="18">
        <f t="shared" si="28"/>
        <v>9000</v>
      </c>
      <c r="M304" s="29">
        <f>SUM('план на 2016'!$L305:M305)-SUM('членские взносы'!$M304:'членские взносы'!M304)</f>
        <v>9800</v>
      </c>
      <c r="N304" s="29">
        <f>SUM('план на 2016'!$L305:N305)-SUM('членские взносы'!$M304:'членские взносы'!N304)</f>
        <v>10600</v>
      </c>
      <c r="O304" s="29">
        <f>SUM('план на 2016'!$L305:O305)-SUM('членские взносы'!$M304:'членские взносы'!O304)</f>
        <v>11400</v>
      </c>
      <c r="P304" s="29">
        <f>SUM('план на 2016'!$L305:P305)-SUM('членские взносы'!$M304:'членские взносы'!P304)</f>
        <v>12200</v>
      </c>
      <c r="Q304" s="29">
        <f>SUM('план на 2016'!$L305:Q305)-SUM('членские взносы'!$M304:'членские взносы'!Q304)</f>
        <v>13000</v>
      </c>
      <c r="R304" s="29">
        <f>SUM('план на 2016'!$L305:R305)-SUM('членские взносы'!$M304:'членские взносы'!R304)</f>
        <v>13800</v>
      </c>
      <c r="S304" s="29">
        <f>SUM('план на 2016'!$L305:S305)-SUM('членские взносы'!$M304:'членские взносы'!S304)</f>
        <v>14600</v>
      </c>
      <c r="T304" s="29">
        <f>SUM('план на 2016'!$L305:T305)-SUM('членские взносы'!$M304:'членские взносы'!T304)</f>
        <v>15400</v>
      </c>
      <c r="U304" s="29">
        <f>SUM('план на 2016'!$L305:U305)-SUM('членские взносы'!$M304:'членские взносы'!U304)</f>
        <v>16200</v>
      </c>
      <c r="V304" s="29">
        <f>SUM('план на 2016'!$L305:V305)-SUM('членские взносы'!$M304:'членские взносы'!V304)</f>
        <v>16000</v>
      </c>
      <c r="W304" s="29">
        <f>SUM('план на 2016'!$L305:W305)-SUM('членские взносы'!$M304:'членские взносы'!W304)</f>
        <v>16800</v>
      </c>
      <c r="X304" s="29">
        <f>SUM('план на 2016'!$L305:X305)-SUM('членские взносы'!$M304:'членские взносы'!X304)</f>
        <v>17600</v>
      </c>
      <c r="Y304" s="18">
        <f t="shared" si="30"/>
        <v>17600</v>
      </c>
    </row>
    <row r="305" spans="1:25">
      <c r="A305" s="41">
        <f>VLOOKUP(B305,справочник!$B$2:$E$322,4,FALSE)</f>
        <v>23</v>
      </c>
      <c r="B305" t="str">
        <f t="shared" si="29"/>
        <v>23Чигрины Анна Анатольевна и Геннадий Иванович</v>
      </c>
      <c r="C305" s="1">
        <v>23</v>
      </c>
      <c r="D305" s="2" t="s">
        <v>289</v>
      </c>
      <c r="E305" s="1" t="s">
        <v>596</v>
      </c>
      <c r="F305" s="16">
        <v>41422</v>
      </c>
      <c r="G305" s="16">
        <v>41456</v>
      </c>
      <c r="H305" s="17">
        <f t="shared" si="34"/>
        <v>30</v>
      </c>
      <c r="I305" s="1">
        <f t="shared" si="33"/>
        <v>30000</v>
      </c>
      <c r="J305" s="17">
        <v>30000</v>
      </c>
      <c r="K305" s="17"/>
      <c r="L305" s="18">
        <f t="shared" si="28"/>
        <v>0</v>
      </c>
      <c r="M305" s="29">
        <f>SUM('план на 2016'!$L306:M306)-SUM('членские взносы'!$M305:'членские взносы'!M305)</f>
        <v>-10800</v>
      </c>
      <c r="N305" s="29">
        <f>SUM('план на 2016'!$L306:N306)-SUM('членские взносы'!$M305:'членские взносы'!N305)</f>
        <v>-10000</v>
      </c>
      <c r="O305" s="29">
        <f>SUM('план на 2016'!$L306:O306)-SUM('членские взносы'!$M305:'членские взносы'!O305)</f>
        <v>-9200</v>
      </c>
      <c r="P305" s="29">
        <f>SUM('план на 2016'!$L306:P306)-SUM('членские взносы'!$M305:'членские взносы'!P305)</f>
        <v>-8400</v>
      </c>
      <c r="Q305" s="29">
        <f>SUM('план на 2016'!$L306:Q306)-SUM('членские взносы'!$M305:'членские взносы'!Q305)</f>
        <v>-7600</v>
      </c>
      <c r="R305" s="29">
        <f>SUM('план на 2016'!$L306:R306)-SUM('членские взносы'!$M305:'членские взносы'!R305)</f>
        <v>-6800</v>
      </c>
      <c r="S305" s="29">
        <f>SUM('план на 2016'!$L306:S306)-SUM('членские взносы'!$M305:'членские взносы'!S305)</f>
        <v>-6000</v>
      </c>
      <c r="T305" s="29">
        <f>SUM('план на 2016'!$L306:T306)-SUM('членские взносы'!$M305:'членские взносы'!T305)</f>
        <v>-5200</v>
      </c>
      <c r="U305" s="29">
        <f>SUM('план на 2016'!$L306:U306)-SUM('членские взносы'!$M305:'членские взносы'!U305)</f>
        <v>-4400</v>
      </c>
      <c r="V305" s="29">
        <f>SUM('план на 2016'!$L306:V306)-SUM('членские взносы'!$M305:'членские взносы'!V305)</f>
        <v>-3600</v>
      </c>
      <c r="W305" s="29">
        <f>SUM('план на 2016'!$L306:W306)-SUM('членские взносы'!$M305:'членские взносы'!W305)</f>
        <v>-2800</v>
      </c>
      <c r="X305" s="29">
        <f>SUM('план на 2016'!$L306:X306)-SUM('членские взносы'!$M305:'членские взносы'!X305)</f>
        <v>-11600</v>
      </c>
      <c r="Y305" s="18">
        <f t="shared" si="30"/>
        <v>-11600</v>
      </c>
    </row>
    <row r="306" spans="1:25">
      <c r="A306" s="41">
        <f>VLOOKUP(B306,справочник!$B$2:$E$322,4,FALSE)</f>
        <v>168</v>
      </c>
      <c r="B306" t="str">
        <f t="shared" si="29"/>
        <v>176Чикачёв Сергей Иванович</v>
      </c>
      <c r="C306" s="1">
        <v>176</v>
      </c>
      <c r="D306" s="2" t="s">
        <v>290</v>
      </c>
      <c r="E306" s="1" t="s">
        <v>597</v>
      </c>
      <c r="F306" s="16">
        <v>41939</v>
      </c>
      <c r="G306" s="16">
        <v>41974</v>
      </c>
      <c r="H306" s="17">
        <f t="shared" si="34"/>
        <v>13</v>
      </c>
      <c r="I306" s="1">
        <f t="shared" si="33"/>
        <v>13000</v>
      </c>
      <c r="J306" s="17">
        <v>11000</v>
      </c>
      <c r="K306" s="17">
        <v>2000</v>
      </c>
      <c r="L306" s="18">
        <f t="shared" si="28"/>
        <v>0</v>
      </c>
      <c r="M306" s="29">
        <f>SUM('план на 2016'!$L307:M307)-SUM('членские взносы'!$M306:'членские взносы'!M306)</f>
        <v>800</v>
      </c>
      <c r="N306" s="29">
        <f>SUM('план на 2016'!$L307:N307)-SUM('членские взносы'!$M306:'членские взносы'!N306)</f>
        <v>-400</v>
      </c>
      <c r="O306" s="29">
        <f>SUM('план на 2016'!$L307:O307)-SUM('членские взносы'!$M306:'членские взносы'!O306)</f>
        <v>400</v>
      </c>
      <c r="P306" s="29">
        <f>SUM('план на 2016'!$L307:P307)-SUM('членские взносы'!$M306:'членские взносы'!P306)</f>
        <v>-800</v>
      </c>
      <c r="Q306" s="29">
        <f>SUM('план на 2016'!$L307:Q307)-SUM('членские взносы'!$M306:'членские взносы'!Q306)</f>
        <v>-2000</v>
      </c>
      <c r="R306" s="29">
        <f>SUM('план на 2016'!$L307:R307)-SUM('членские взносы'!$M306:'членские взносы'!R306)</f>
        <v>-1200</v>
      </c>
      <c r="S306" s="29">
        <f>SUM('план на 2016'!$L307:S307)-SUM('членские взносы'!$M306:'членские взносы'!S306)</f>
        <v>-2400</v>
      </c>
      <c r="T306" s="29">
        <f>SUM('план на 2016'!$L307:T307)-SUM('членские взносы'!$M306:'членские взносы'!T306)</f>
        <v>-1600</v>
      </c>
      <c r="U306" s="29">
        <f>SUM('план на 2016'!$L307:U307)-SUM('членские взносы'!$M306:'членские взносы'!U306)</f>
        <v>-2800</v>
      </c>
      <c r="V306" s="29">
        <f>SUM('план на 2016'!$L307:V307)-SUM('членские взносы'!$M306:'членские взносы'!V306)</f>
        <v>-2000</v>
      </c>
      <c r="W306" s="29">
        <f>SUM('план на 2016'!$L307:W307)-SUM('членские взносы'!$M306:'членские взносы'!W306)</f>
        <v>-3200</v>
      </c>
      <c r="X306" s="29">
        <f>SUM('план на 2016'!$L307:X307)-SUM('членские взносы'!$M306:'членские взносы'!X306)</f>
        <v>-2400</v>
      </c>
      <c r="Y306" s="18">
        <f t="shared" si="30"/>
        <v>-2400</v>
      </c>
    </row>
    <row r="307" spans="1:25" ht="25.5" customHeight="1">
      <c r="A307" s="41">
        <f>VLOOKUP(B307,справочник!$B$2:$E$322,4,FALSE)</f>
        <v>84</v>
      </c>
      <c r="B307" t="str">
        <f t="shared" si="29"/>
        <v>89Шабунина Светлана Николаевна</v>
      </c>
      <c r="C307" s="1">
        <v>89</v>
      </c>
      <c r="D307" s="2" t="s">
        <v>291</v>
      </c>
      <c r="E307" s="1" t="s">
        <v>598</v>
      </c>
      <c r="F307" s="16">
        <v>40785</v>
      </c>
      <c r="G307" s="16">
        <v>40787</v>
      </c>
      <c r="H307" s="17">
        <f t="shared" si="34"/>
        <v>52</v>
      </c>
      <c r="I307" s="1">
        <f t="shared" si="33"/>
        <v>52000</v>
      </c>
      <c r="J307" s="17">
        <f>1000+51000</f>
        <v>52000</v>
      </c>
      <c r="K307" s="17"/>
      <c r="L307" s="18">
        <f t="shared" si="28"/>
        <v>0</v>
      </c>
      <c r="M307" s="29">
        <f>SUM('план на 2016'!$L308:M308)-SUM('членские взносы'!$M307:'членские взносы'!M307)</f>
        <v>800</v>
      </c>
      <c r="N307" s="29">
        <f>SUM('план на 2016'!$L308:N308)-SUM('членские взносы'!$M307:'членские взносы'!N307)</f>
        <v>1600</v>
      </c>
      <c r="O307" s="29">
        <f>SUM('план на 2016'!$L308:O308)-SUM('членские взносы'!$M307:'членские взносы'!O307)</f>
        <v>2400</v>
      </c>
      <c r="P307" s="29">
        <f>SUM('план на 2016'!$L308:P308)-SUM('членские взносы'!$M307:'членские взносы'!P307)</f>
        <v>3200</v>
      </c>
      <c r="Q307" s="29">
        <f>SUM('план на 2016'!$L308:Q308)-SUM('членские взносы'!$M307:'членские взносы'!Q307)</f>
        <v>4000</v>
      </c>
      <c r="R307" s="29">
        <f>SUM('план на 2016'!$L308:R308)-SUM('членские взносы'!$M307:'членские взносы'!R307)</f>
        <v>0</v>
      </c>
      <c r="S307" s="29">
        <f>SUM('план на 2016'!$L308:S308)-SUM('членские взносы'!$M307:'членские взносы'!S307)</f>
        <v>800</v>
      </c>
      <c r="T307" s="29">
        <f>SUM('план на 2016'!$L308:T308)-SUM('членские взносы'!$M307:'членские взносы'!T307)</f>
        <v>1600</v>
      </c>
      <c r="U307" s="29">
        <f>SUM('план на 2016'!$L308:U308)-SUM('членские взносы'!$M307:'членские взносы'!U307)</f>
        <v>2400</v>
      </c>
      <c r="V307" s="29">
        <f>SUM('план на 2016'!$L308:V308)-SUM('членские взносы'!$M307:'членские взносы'!V307)</f>
        <v>3200</v>
      </c>
      <c r="W307" s="29">
        <f>SUM('план на 2016'!$L308:W308)-SUM('членские взносы'!$M307:'членские взносы'!W307)</f>
        <v>-800</v>
      </c>
      <c r="X307" s="29">
        <f>SUM('план на 2016'!$L308:X308)-SUM('членские взносы'!$M307:'членские взносы'!X307)</f>
        <v>0</v>
      </c>
      <c r="Y307" s="18">
        <f t="shared" si="30"/>
        <v>0</v>
      </c>
    </row>
    <row r="308" spans="1:25">
      <c r="A308" s="41">
        <f>VLOOKUP(B308,справочник!$B$2:$E$322,4,FALSE)</f>
        <v>88</v>
      </c>
      <c r="B308" t="str">
        <f t="shared" si="29"/>
        <v>97+93Шалинов Андрей Вадимович</v>
      </c>
      <c r="C308" s="91" t="s">
        <v>706</v>
      </c>
      <c r="D308" s="2" t="s">
        <v>292</v>
      </c>
      <c r="E308" s="1" t="s">
        <v>599</v>
      </c>
      <c r="F308" s="16">
        <v>40925</v>
      </c>
      <c r="G308" s="16">
        <v>40909</v>
      </c>
      <c r="H308" s="17">
        <f t="shared" si="34"/>
        <v>48</v>
      </c>
      <c r="I308" s="1">
        <f t="shared" si="33"/>
        <v>48000</v>
      </c>
      <c r="J308" s="17">
        <v>44000</v>
      </c>
      <c r="K308" s="17"/>
      <c r="L308" s="18">
        <f t="shared" si="28"/>
        <v>4000</v>
      </c>
      <c r="M308" s="29">
        <f>SUM('план на 2016'!$L309:M309)-SUM('членские взносы'!$M308:'членские взносы'!M308)</f>
        <v>-4000</v>
      </c>
      <c r="N308" s="29">
        <f>SUM('план на 2016'!$L309:N309)-SUM('членские взносы'!$M308:'членские взносы'!N308)</f>
        <v>-4000</v>
      </c>
      <c r="O308" s="29">
        <f>SUM('план на 2016'!$L309:O309)-SUM('членские взносы'!$M308:'членские взносы'!O308)</f>
        <v>-4000</v>
      </c>
      <c r="P308" s="29">
        <f>SUM('план на 2016'!$L309:P309)-SUM('членские взносы'!$M308:'членские взносы'!P308)</f>
        <v>-4000</v>
      </c>
      <c r="Q308" s="29">
        <f>SUM('план на 2016'!$L309:Q309)-SUM('членские взносы'!$M308:'членские взносы'!Q308)</f>
        <v>-4000</v>
      </c>
      <c r="R308" s="29">
        <f>SUM('план на 2016'!$L309:R309)-SUM('членские взносы'!$M308:'членские взносы'!R308)</f>
        <v>-4000</v>
      </c>
      <c r="S308" s="29">
        <f>SUM('план на 2016'!$L309:S309)-SUM('членские взносы'!$M308:'членские взносы'!S308)</f>
        <v>-13600</v>
      </c>
      <c r="T308" s="29">
        <f>SUM('план на 2016'!$L309:T309)-SUM('членские взносы'!$M308:'членские взносы'!T308)</f>
        <v>-13600</v>
      </c>
      <c r="U308" s="29">
        <f>SUM('план на 2016'!$L309:U309)-SUM('членские взносы'!$M308:'членские взносы'!U308)</f>
        <v>-13600</v>
      </c>
      <c r="V308" s="29">
        <f>SUM('план на 2016'!$L309:V309)-SUM('членские взносы'!$M308:'членские взносы'!V308)</f>
        <v>-13600</v>
      </c>
      <c r="W308" s="29">
        <f>SUM('план на 2016'!$L309:W309)-SUM('членские взносы'!$M308:'членские взносы'!W308)</f>
        <v>-13600</v>
      </c>
      <c r="X308" s="29">
        <f>SUM('план на 2016'!$L309:X309)-SUM('членские взносы'!$M308:'членские взносы'!X308)</f>
        <v>-13600</v>
      </c>
      <c r="Y308" s="18">
        <f t="shared" si="30"/>
        <v>-13600</v>
      </c>
    </row>
    <row r="309" spans="1:25">
      <c r="A309" s="41">
        <f>VLOOKUP(B309,справочник!$B$2:$E$322,4,FALSE)</f>
        <v>88</v>
      </c>
      <c r="B309" t="str">
        <f t="shared" si="29"/>
        <v>97+93Шалинов Андрей Вадимович</v>
      </c>
      <c r="C309" s="91" t="s">
        <v>706</v>
      </c>
      <c r="D309" s="2" t="s">
        <v>292</v>
      </c>
      <c r="E309" s="1" t="s">
        <v>600</v>
      </c>
      <c r="F309" s="16">
        <v>40925</v>
      </c>
      <c r="G309" s="16">
        <v>40909</v>
      </c>
      <c r="H309" s="17">
        <f t="shared" si="34"/>
        <v>48</v>
      </c>
      <c r="I309" s="1">
        <f t="shared" si="33"/>
        <v>48000</v>
      </c>
      <c r="J309" s="17">
        <v>44000</v>
      </c>
      <c r="K309" s="17"/>
      <c r="L309" s="18">
        <f t="shared" si="28"/>
        <v>4000</v>
      </c>
      <c r="M309" s="29">
        <f>SUM('план на 2016'!$L310:M310)-SUM('членские взносы'!$M309:'членские взносы'!M309)</f>
        <v>4800</v>
      </c>
      <c r="N309" s="29">
        <f>SUM('план на 2016'!$L310:N310)-SUM('членские взносы'!$M309:'членские взносы'!N309)</f>
        <v>5600</v>
      </c>
      <c r="O309" s="29">
        <f>SUM('план на 2016'!$L310:O310)-SUM('членские взносы'!$M309:'членские взносы'!O309)</f>
        <v>6400</v>
      </c>
      <c r="P309" s="29">
        <f>SUM('план на 2016'!$L310:P310)-SUM('членские взносы'!$M309:'членские взносы'!P309)</f>
        <v>7200</v>
      </c>
      <c r="Q309" s="29">
        <f>SUM('план на 2016'!$L310:Q310)-SUM('членские взносы'!$M309:'членские взносы'!Q309)</f>
        <v>8000</v>
      </c>
      <c r="R309" s="29">
        <f>SUM('план на 2016'!$L310:R310)-SUM('членские взносы'!$M309:'членские взносы'!R309)</f>
        <v>8800</v>
      </c>
      <c r="S309" s="29">
        <f>SUM('план на 2016'!$L310:S310)-SUM('членские взносы'!$M309:'членские взносы'!S309)</f>
        <v>9600</v>
      </c>
      <c r="T309" s="29">
        <f>SUM('план на 2016'!$L310:T310)-SUM('членские взносы'!$M309:'членские взносы'!T309)</f>
        <v>10400</v>
      </c>
      <c r="U309" s="29">
        <f>SUM('план на 2016'!$L310:U310)-SUM('членские взносы'!$M309:'членские взносы'!U309)</f>
        <v>11200</v>
      </c>
      <c r="V309" s="29">
        <f>SUM('план на 2016'!$L310:V310)-SUM('членские взносы'!$M309:'членские взносы'!V309)</f>
        <v>12000</v>
      </c>
      <c r="W309" s="29">
        <f>SUM('план на 2016'!$L310:W310)-SUM('членские взносы'!$M309:'членские взносы'!W309)</f>
        <v>12800</v>
      </c>
      <c r="X309" s="29">
        <f>SUM('план на 2016'!$L310:X310)-SUM('членские взносы'!$M309:'членские взносы'!X309)</f>
        <v>13600</v>
      </c>
      <c r="Y309" s="18">
        <f t="shared" si="30"/>
        <v>13600</v>
      </c>
    </row>
    <row r="310" spans="1:25">
      <c r="A310" s="41">
        <f>VLOOKUP(B310,справочник!$B$2:$E$322,4,FALSE)</f>
        <v>78</v>
      </c>
      <c r="B310" t="str">
        <f t="shared" si="29"/>
        <v>83Шелухина Мария Сергеевна</v>
      </c>
      <c r="C310" s="1">
        <v>83</v>
      </c>
      <c r="D310" s="2" t="s">
        <v>294</v>
      </c>
      <c r="E310" s="1"/>
      <c r="F310" s="16">
        <v>41456</v>
      </c>
      <c r="G310" s="16">
        <v>41457</v>
      </c>
      <c r="H310" s="17">
        <f t="shared" si="34"/>
        <v>30</v>
      </c>
      <c r="I310" s="1">
        <v>30000</v>
      </c>
      <c r="J310" s="17">
        <v>0</v>
      </c>
      <c r="K310" s="17"/>
      <c r="L310" s="18">
        <v>30000</v>
      </c>
      <c r="M310" s="29">
        <f>SUM('план на 2016'!$L311:M311)-SUM('членские взносы'!$M310:'членские взносы'!M310)</f>
        <v>30800</v>
      </c>
      <c r="N310" s="29">
        <f>SUM('план на 2016'!$L311:N311)-SUM('членские взносы'!$M310:'членские взносы'!N310)</f>
        <v>31600</v>
      </c>
      <c r="O310" s="29">
        <f>SUM('план на 2016'!$L311:O311)-SUM('членские взносы'!$M310:'членские взносы'!O310)</f>
        <v>32400</v>
      </c>
      <c r="P310" s="29">
        <f>SUM('план на 2016'!$L311:P311)-SUM('членские взносы'!$M310:'членские взносы'!P310)</f>
        <v>33200</v>
      </c>
      <c r="Q310" s="29">
        <f>SUM('план на 2016'!$L311:Q311)-SUM('членские взносы'!$M310:'членские взносы'!Q310)</f>
        <v>34000</v>
      </c>
      <c r="R310" s="29">
        <f>SUM('план на 2016'!$L311:R311)-SUM('членские взносы'!$M310:'членские взносы'!R310)</f>
        <v>34800</v>
      </c>
      <c r="S310" s="29">
        <f>SUM('план на 2016'!$L311:S311)-SUM('членские взносы'!$M310:'членские взносы'!S310)</f>
        <v>35600</v>
      </c>
      <c r="T310" s="29">
        <f>SUM('план на 2016'!$L311:T311)-SUM('членские взносы'!$M310:'членские взносы'!T310)</f>
        <v>36400</v>
      </c>
      <c r="U310" s="29">
        <f>SUM('план на 2016'!$L311:U311)-SUM('членские взносы'!$M310:'членские взносы'!U310)</f>
        <v>12200</v>
      </c>
      <c r="V310" s="29">
        <f>SUM('план на 2016'!$L311:V311)-SUM('членские взносы'!$M310:'членские взносы'!V310)</f>
        <v>13000</v>
      </c>
      <c r="W310" s="29">
        <f>SUM('план на 2016'!$L311:W311)-SUM('членские взносы'!$M310:'членские взносы'!W310)</f>
        <v>13800</v>
      </c>
      <c r="X310" s="29">
        <f>SUM('план на 2016'!$L311:X311)-SUM('членские взносы'!$M310:'членские взносы'!X310)</f>
        <v>14600</v>
      </c>
      <c r="Y310" s="18">
        <f t="shared" si="30"/>
        <v>14600</v>
      </c>
    </row>
    <row r="311" spans="1:25">
      <c r="A311" s="41">
        <f>VLOOKUP(B311,справочник!$B$2:$E$322,4,FALSE)</f>
        <v>77</v>
      </c>
      <c r="B311" t="str">
        <f t="shared" si="29"/>
        <v>83Самородов</v>
      </c>
      <c r="C311" s="1">
        <v>83</v>
      </c>
      <c r="D311" s="2" t="s">
        <v>295</v>
      </c>
      <c r="E311" s="1" t="s">
        <v>601</v>
      </c>
      <c r="F311" s="16">
        <v>40932</v>
      </c>
      <c r="G311" s="16">
        <v>40909</v>
      </c>
      <c r="H311" s="17">
        <f t="shared" si="34"/>
        <v>48</v>
      </c>
      <c r="I311" s="1">
        <f t="shared" ref="I311:I325" si="35">H311*1000</f>
        <v>48000</v>
      </c>
      <c r="J311" s="17">
        <v>15000</v>
      </c>
      <c r="K311" s="17"/>
      <c r="L311" s="18">
        <f t="shared" ref="L311:L325" si="36">I311-J311-K311</f>
        <v>33000</v>
      </c>
      <c r="M311" s="29">
        <f>SUM('план на 2016'!$L312:M312)-SUM('членские взносы'!$M311:'членские взносы'!M311)</f>
        <v>33800</v>
      </c>
      <c r="N311" s="29">
        <f>SUM('план на 2016'!$L312:N312)-SUM('членские взносы'!$M311:'членские взносы'!N311)</f>
        <v>34600</v>
      </c>
      <c r="O311" s="29">
        <f>SUM('план на 2016'!$L312:O312)-SUM('членские взносы'!$M311:'членские взносы'!O311)</f>
        <v>35400</v>
      </c>
      <c r="P311" s="29">
        <f>SUM('план на 2016'!$L312:P312)-SUM('членские взносы'!$M311:'членские взносы'!P311)</f>
        <v>36200</v>
      </c>
      <c r="Q311" s="29">
        <f>SUM('план на 2016'!$L312:Q312)-SUM('членские взносы'!$M311:'членские взносы'!Q311)</f>
        <v>37000</v>
      </c>
      <c r="R311" s="29">
        <f>SUM('план на 2016'!$L312:R312)-SUM('членские взносы'!$M311:'членские взносы'!R311)</f>
        <v>37800</v>
      </c>
      <c r="S311" s="29">
        <f>SUM('план на 2016'!$L312:S312)-SUM('членские взносы'!$M311:'членские взносы'!S311)</f>
        <v>38600</v>
      </c>
      <c r="T311" s="29">
        <f>SUM('план на 2016'!$L312:T312)-SUM('членские взносы'!$M311:'членские взносы'!T311)</f>
        <v>39400</v>
      </c>
      <c r="U311" s="29">
        <f>SUM('план на 2016'!$L312:U312)-SUM('членские взносы'!$M311:'членские взносы'!U311)</f>
        <v>40200</v>
      </c>
      <c r="V311" s="29">
        <f>SUM('план на 2016'!$L312:V312)-SUM('членские взносы'!$M311:'членские взносы'!V311)</f>
        <v>41000</v>
      </c>
      <c r="W311" s="29">
        <f>SUM('план на 2016'!$L312:W312)-SUM('членские взносы'!$M311:'членские взносы'!W311)</f>
        <v>41800</v>
      </c>
      <c r="X311" s="29">
        <f>SUM('план на 2016'!$L312:X312)-SUM('членские взносы'!$M311:'членские взносы'!X311)</f>
        <v>42600</v>
      </c>
      <c r="Y311" s="18">
        <f t="shared" si="30"/>
        <v>42600</v>
      </c>
    </row>
    <row r="312" spans="1:25" ht="25.5" customHeight="1">
      <c r="A312" s="41">
        <f>VLOOKUP(B312,справочник!$B$2:$E$322,4,FALSE)</f>
        <v>306</v>
      </c>
      <c r="B312" t="str">
        <f t="shared" si="29"/>
        <v>321Шептухина Александра Борисовна</v>
      </c>
      <c r="C312" s="1">
        <v>321</v>
      </c>
      <c r="D312" s="2" t="s">
        <v>296</v>
      </c>
      <c r="E312" s="1" t="s">
        <v>602</v>
      </c>
      <c r="F312" s="16">
        <v>41093</v>
      </c>
      <c r="G312" s="16">
        <v>41091</v>
      </c>
      <c r="H312" s="17">
        <f t="shared" si="34"/>
        <v>42</v>
      </c>
      <c r="I312" s="1">
        <f t="shared" si="35"/>
        <v>42000</v>
      </c>
      <c r="J312" s="17">
        <v>11000</v>
      </c>
      <c r="K312" s="17"/>
      <c r="L312" s="18">
        <f t="shared" si="36"/>
        <v>31000</v>
      </c>
      <c r="M312" s="29">
        <f>SUM('план на 2016'!$L313:M313)-SUM('членские взносы'!$M312:'членские взносы'!M312)</f>
        <v>31800</v>
      </c>
      <c r="N312" s="29">
        <f>SUM('план на 2016'!$L313:N313)-SUM('членские взносы'!$M312:'членские взносы'!N312)</f>
        <v>32600</v>
      </c>
      <c r="O312" s="29">
        <f>SUM('план на 2016'!$L313:O313)-SUM('членские взносы'!$M312:'членские взносы'!O312)</f>
        <v>33400</v>
      </c>
      <c r="P312" s="29">
        <f>SUM('план на 2016'!$L313:P313)-SUM('членские взносы'!$M312:'членские взносы'!P312)</f>
        <v>34200</v>
      </c>
      <c r="Q312" s="29">
        <f>SUM('план на 2016'!$L313:Q313)-SUM('членские взносы'!$M312:'членские взносы'!Q312)</f>
        <v>35000</v>
      </c>
      <c r="R312" s="29">
        <f>SUM('план на 2016'!$L313:R313)-SUM('членские взносы'!$M312:'членские взносы'!R312)</f>
        <v>35800</v>
      </c>
      <c r="S312" s="29">
        <f>SUM('план на 2016'!$L313:S313)-SUM('членские взносы'!$M312:'членские взносы'!S312)</f>
        <v>36600</v>
      </c>
      <c r="T312" s="29">
        <f>SUM('план на 2016'!$L313:T313)-SUM('членские взносы'!$M312:'членские взносы'!T312)</f>
        <v>37400</v>
      </c>
      <c r="U312" s="29">
        <f>SUM('план на 2016'!$L313:U313)-SUM('членские взносы'!$M312:'членские взносы'!U312)</f>
        <v>38200</v>
      </c>
      <c r="V312" s="29">
        <f>SUM('план на 2016'!$L313:V313)-SUM('членские взносы'!$M312:'членские взносы'!V312)</f>
        <v>39000</v>
      </c>
      <c r="W312" s="29">
        <f>SUM('план на 2016'!$L313:W313)-SUM('членские взносы'!$M312:'членские взносы'!W312)</f>
        <v>39800</v>
      </c>
      <c r="X312" s="29">
        <f>SUM('план на 2016'!$L313:X313)-SUM('членские взносы'!$M312:'членские взносы'!X312)</f>
        <v>40600</v>
      </c>
      <c r="Y312" s="18">
        <f t="shared" si="30"/>
        <v>40600</v>
      </c>
    </row>
    <row r="313" spans="1:25" ht="25.5" customHeight="1">
      <c r="A313" s="41">
        <f>VLOOKUP(B313,справочник!$B$2:$E$322,4,FALSE)</f>
        <v>182</v>
      </c>
      <c r="B313" t="str">
        <f t="shared" si="29"/>
        <v>190Широков Евгений Александрович</v>
      </c>
      <c r="C313" s="1">
        <v>190</v>
      </c>
      <c r="D313" s="2" t="s">
        <v>297</v>
      </c>
      <c r="E313" s="1" t="s">
        <v>603</v>
      </c>
      <c r="F313" s="16">
        <v>41734</v>
      </c>
      <c r="G313" s="16">
        <v>41760</v>
      </c>
      <c r="H313" s="17">
        <f t="shared" si="34"/>
        <v>20</v>
      </c>
      <c r="I313" s="1">
        <f t="shared" si="35"/>
        <v>20000</v>
      </c>
      <c r="J313" s="17">
        <v>14000</v>
      </c>
      <c r="K313" s="17"/>
      <c r="L313" s="18">
        <f t="shared" si="36"/>
        <v>6000</v>
      </c>
      <c r="M313" s="29">
        <f>SUM('план на 2016'!$L314:M314)-SUM('членские взносы'!$M313:'членские взносы'!M313)</f>
        <v>6800</v>
      </c>
      <c r="N313" s="29">
        <f>SUM('план на 2016'!$L314:N314)-SUM('членские взносы'!$M313:'членские взносы'!N313)</f>
        <v>7600</v>
      </c>
      <c r="O313" s="29">
        <f>SUM('план на 2016'!$L314:O314)-SUM('членские взносы'!$M313:'членские взносы'!O313)</f>
        <v>8400</v>
      </c>
      <c r="P313" s="29">
        <f>SUM('план на 2016'!$L314:P314)-SUM('членские взносы'!$M313:'членские взносы'!P313)</f>
        <v>9200</v>
      </c>
      <c r="Q313" s="29">
        <f>SUM('план на 2016'!$L314:Q314)-SUM('членские взносы'!$M313:'членские взносы'!Q313)</f>
        <v>800</v>
      </c>
      <c r="R313" s="29">
        <f>SUM('план на 2016'!$L314:R314)-SUM('членские взносы'!$M313:'членские взносы'!R313)</f>
        <v>1600</v>
      </c>
      <c r="S313" s="29">
        <f>SUM('план на 2016'!$L314:S314)-SUM('членские взносы'!$M313:'членские взносы'!S313)</f>
        <v>2400</v>
      </c>
      <c r="T313" s="29">
        <f>SUM('план на 2016'!$L314:T314)-SUM('членские взносы'!$M313:'членские взносы'!T313)</f>
        <v>3200</v>
      </c>
      <c r="U313" s="29">
        <f>SUM('план на 2016'!$L314:U314)-SUM('членские взносы'!$M313:'членские взносы'!U313)</f>
        <v>4000</v>
      </c>
      <c r="V313" s="29">
        <f>SUM('план на 2016'!$L314:V314)-SUM('членские взносы'!$M313:'членские взносы'!V313)</f>
        <v>4800</v>
      </c>
      <c r="W313" s="29">
        <f>SUM('план на 2016'!$L314:W314)-SUM('членские взносы'!$M313:'членские взносы'!W313)</f>
        <v>5600</v>
      </c>
      <c r="X313" s="29">
        <f>SUM('план на 2016'!$L314:X314)-SUM('членские взносы'!$M313:'членские взносы'!X313)</f>
        <v>6400</v>
      </c>
      <c r="Y313" s="18">
        <f t="shared" si="30"/>
        <v>6400</v>
      </c>
    </row>
    <row r="314" spans="1:25">
      <c r="A314" s="41">
        <f>VLOOKUP(B314,справочник!$B$2:$E$322,4,FALSE)</f>
        <v>95</v>
      </c>
      <c r="B314" t="str">
        <f t="shared" si="29"/>
        <v>100Шорахматов Мухаммадхуджа Замшоевич</v>
      </c>
      <c r="C314" s="1">
        <v>100</v>
      </c>
      <c r="D314" s="2" t="s">
        <v>298</v>
      </c>
      <c r="E314" s="1" t="s">
        <v>604</v>
      </c>
      <c r="F314" s="16">
        <v>41401</v>
      </c>
      <c r="G314" s="16">
        <v>41609</v>
      </c>
      <c r="H314" s="17">
        <f t="shared" si="34"/>
        <v>25</v>
      </c>
      <c r="I314" s="1">
        <f t="shared" si="35"/>
        <v>25000</v>
      </c>
      <c r="J314" s="17">
        <v>20000</v>
      </c>
      <c r="K314" s="17"/>
      <c r="L314" s="18">
        <f t="shared" si="36"/>
        <v>5000</v>
      </c>
      <c r="M314" s="29">
        <f>SUM('план на 2016'!$L315:M315)-SUM('членские взносы'!$M314:'членские взносы'!M314)</f>
        <v>5800</v>
      </c>
      <c r="N314" s="29">
        <f>SUM('план на 2016'!$L315:N315)-SUM('членские взносы'!$M314:'членские взносы'!N314)</f>
        <v>6600</v>
      </c>
      <c r="O314" s="29">
        <f>SUM('план на 2016'!$L315:O315)-SUM('членские взносы'!$M314:'членские взносы'!O314)</f>
        <v>7400</v>
      </c>
      <c r="P314" s="29">
        <f>SUM('план на 2016'!$L315:P315)-SUM('членские взносы'!$M314:'членские взносы'!P314)</f>
        <v>8200</v>
      </c>
      <c r="Q314" s="29">
        <f>SUM('план на 2016'!$L315:Q315)-SUM('членские взносы'!$M314:'членские взносы'!Q314)</f>
        <v>9000</v>
      </c>
      <c r="R314" s="29">
        <f>SUM('план на 2016'!$L315:R315)-SUM('членские взносы'!$M314:'членские взносы'!R314)</f>
        <v>800</v>
      </c>
      <c r="S314" s="29">
        <f>SUM('план на 2016'!$L315:S315)-SUM('членские взносы'!$M314:'членские взносы'!S314)</f>
        <v>1600</v>
      </c>
      <c r="T314" s="29">
        <f>SUM('план на 2016'!$L315:T315)-SUM('членские взносы'!$M314:'членские взносы'!T314)</f>
        <v>2400</v>
      </c>
      <c r="U314" s="29">
        <f>SUM('план на 2016'!$L315:U315)-SUM('членские взносы'!$M314:'членские взносы'!U314)</f>
        <v>3200</v>
      </c>
      <c r="V314" s="29">
        <f>SUM('план на 2016'!$L315:V315)-SUM('членские взносы'!$M314:'членские взносы'!V314)</f>
        <v>4000</v>
      </c>
      <c r="W314" s="29">
        <f>SUM('план на 2016'!$L315:W315)-SUM('членские взносы'!$M314:'членские взносы'!W314)</f>
        <v>4800</v>
      </c>
      <c r="X314" s="29">
        <f>SUM('план на 2016'!$L315:X315)-SUM('членские взносы'!$M314:'членские взносы'!X314)</f>
        <v>5600</v>
      </c>
      <c r="Y314" s="18">
        <f t="shared" si="30"/>
        <v>5600</v>
      </c>
    </row>
    <row r="315" spans="1:25">
      <c r="A315" s="41">
        <f>VLOOKUP(B315,справочник!$B$2:$E$322,4,FALSE)</f>
        <v>108</v>
      </c>
      <c r="B315" t="str">
        <f t="shared" si="29"/>
        <v>113Шурдук Лариса Анатольевна (Игорь)</v>
      </c>
      <c r="C315" s="1">
        <v>113</v>
      </c>
      <c r="D315" s="2" t="s">
        <v>299</v>
      </c>
      <c r="E315" s="1" t="s">
        <v>605</v>
      </c>
      <c r="F315" s="16">
        <v>40938</v>
      </c>
      <c r="G315" s="16">
        <v>40940</v>
      </c>
      <c r="H315" s="17">
        <f t="shared" si="34"/>
        <v>47</v>
      </c>
      <c r="I315" s="1">
        <f t="shared" si="35"/>
        <v>47000</v>
      </c>
      <c r="J315" s="17">
        <f>24000+11000</f>
        <v>35000</v>
      </c>
      <c r="K315" s="17">
        <v>8000</v>
      </c>
      <c r="L315" s="18">
        <f t="shared" si="36"/>
        <v>4000</v>
      </c>
      <c r="M315" s="29">
        <f>SUM('план на 2016'!$L316:M316)-SUM('членские взносы'!$M315:'членские взносы'!M315)</f>
        <v>4800</v>
      </c>
      <c r="N315" s="29">
        <f>SUM('план на 2016'!$L316:N316)-SUM('членские взносы'!$M315:'членские взносы'!N315)</f>
        <v>1600</v>
      </c>
      <c r="O315" s="29">
        <f>SUM('план на 2016'!$L316:O316)-SUM('членские взносы'!$M315:'членские взносы'!O315)</f>
        <v>0</v>
      </c>
      <c r="P315" s="29">
        <f>SUM('план на 2016'!$L316:P316)-SUM('членские взносы'!$M315:'членские взносы'!P315)</f>
        <v>800</v>
      </c>
      <c r="Q315" s="29">
        <f>SUM('план на 2016'!$L316:Q316)-SUM('членские взносы'!$M315:'членские взносы'!Q315)</f>
        <v>1600</v>
      </c>
      <c r="R315" s="29">
        <f>SUM('план на 2016'!$L316:R316)-SUM('членские взносы'!$M315:'членские взносы'!R315)</f>
        <v>0</v>
      </c>
      <c r="S315" s="29">
        <f>SUM('план на 2016'!$L316:S316)-SUM('членские взносы'!$M315:'членские взносы'!S315)</f>
        <v>800</v>
      </c>
      <c r="T315" s="29">
        <f>SUM('план на 2016'!$L316:T316)-SUM('членские взносы'!$M315:'членские взносы'!T315)</f>
        <v>1600</v>
      </c>
      <c r="U315" s="29">
        <f>SUM('план на 2016'!$L316:U316)-SUM('членские взносы'!$M315:'членские взносы'!U315)</f>
        <v>0</v>
      </c>
      <c r="V315" s="29">
        <f>SUM('план на 2016'!$L316:V316)-SUM('членские взносы'!$M315:'членские взносы'!V315)</f>
        <v>800</v>
      </c>
      <c r="W315" s="29">
        <f>SUM('план на 2016'!$L316:W316)-SUM('членские взносы'!$M315:'членские взносы'!W315)</f>
        <v>1600</v>
      </c>
      <c r="X315" s="29">
        <f>SUM('план на 2016'!$L316:X316)-SUM('членские взносы'!$M315:'членские взносы'!X315)</f>
        <v>0</v>
      </c>
      <c r="Y315" s="18">
        <f t="shared" si="30"/>
        <v>0</v>
      </c>
    </row>
    <row r="316" spans="1:25">
      <c r="A316" s="41">
        <f>VLOOKUP(B316,справочник!$B$2:$E$322,4,FALSE)</f>
        <v>41</v>
      </c>
      <c r="B316" t="str">
        <f t="shared" si="29"/>
        <v>41Шустов Василий Александрович</v>
      </c>
      <c r="C316" s="1">
        <v>41</v>
      </c>
      <c r="D316" s="2" t="s">
        <v>300</v>
      </c>
      <c r="E316" s="1" t="s">
        <v>606</v>
      </c>
      <c r="F316" s="16">
        <v>40772</v>
      </c>
      <c r="G316" s="16">
        <v>40756</v>
      </c>
      <c r="H316" s="17">
        <f t="shared" si="34"/>
        <v>53</v>
      </c>
      <c r="I316" s="1">
        <f t="shared" si="35"/>
        <v>53000</v>
      </c>
      <c r="J316" s="17">
        <f>1000+37000</f>
        <v>38000</v>
      </c>
      <c r="K316" s="17"/>
      <c r="L316" s="18">
        <f t="shared" si="36"/>
        <v>15000</v>
      </c>
      <c r="M316" s="29">
        <f>SUM('план на 2016'!$L317:M317)-SUM('членские взносы'!$M316:'членские взносы'!M316)</f>
        <v>15800</v>
      </c>
      <c r="N316" s="29">
        <f>SUM('план на 2016'!$L317:N317)-SUM('членские взносы'!$M316:'членские взносы'!N316)</f>
        <v>16600</v>
      </c>
      <c r="O316" s="29">
        <f>SUM('план на 2016'!$L317:O317)-SUM('членские взносы'!$M316:'членские взносы'!O316)</f>
        <v>17400</v>
      </c>
      <c r="P316" s="29">
        <f>SUM('план на 2016'!$L317:P317)-SUM('членские взносы'!$M316:'членские взносы'!P316)</f>
        <v>18200</v>
      </c>
      <c r="Q316" s="29">
        <f>SUM('план на 2016'!$L317:Q317)-SUM('членские взносы'!$M316:'членские взносы'!Q316)</f>
        <v>19000</v>
      </c>
      <c r="R316" s="29">
        <f>SUM('план на 2016'!$L317:R317)-SUM('членские взносы'!$M316:'членские взносы'!R316)</f>
        <v>19800</v>
      </c>
      <c r="S316" s="29">
        <f>SUM('план на 2016'!$L317:S317)-SUM('членские взносы'!$M316:'членские взносы'!S316)</f>
        <v>20600</v>
      </c>
      <c r="T316" s="29">
        <f>SUM('план на 2016'!$L317:T317)-SUM('членские взносы'!$M316:'членские взносы'!T316)</f>
        <v>21400</v>
      </c>
      <c r="U316" s="29">
        <f>SUM('план на 2016'!$L317:U317)-SUM('членские взносы'!$M316:'членские взносы'!U316)</f>
        <v>800</v>
      </c>
      <c r="V316" s="29">
        <f>SUM('план на 2016'!$L317:V317)-SUM('членские взносы'!$M316:'членские взносы'!V316)</f>
        <v>1600</v>
      </c>
      <c r="W316" s="29">
        <f>SUM('план на 2016'!$L317:W317)-SUM('членские взносы'!$M316:'членские взносы'!W316)</f>
        <v>2400</v>
      </c>
      <c r="X316" s="29">
        <f>SUM('план на 2016'!$L317:X317)-SUM('членские взносы'!$M316:'членские взносы'!X316)</f>
        <v>3200</v>
      </c>
      <c r="Y316" s="18">
        <f t="shared" si="30"/>
        <v>3200</v>
      </c>
    </row>
    <row r="317" spans="1:25" ht="25.5" customHeight="1">
      <c r="A317" s="41">
        <f>VLOOKUP(B317,справочник!$B$2:$E$322,4,FALSE)</f>
        <v>152</v>
      </c>
      <c r="B317" t="str">
        <f t="shared" si="29"/>
        <v>160Щербаков Павел Евгеньевич</v>
      </c>
      <c r="C317" s="1">
        <v>160</v>
      </c>
      <c r="D317" s="2" t="s">
        <v>301</v>
      </c>
      <c r="E317" s="1" t="s">
        <v>607</v>
      </c>
      <c r="F317" s="16">
        <v>40850</v>
      </c>
      <c r="G317" s="16">
        <v>40848</v>
      </c>
      <c r="H317" s="17">
        <f t="shared" si="34"/>
        <v>50</v>
      </c>
      <c r="I317" s="1">
        <f t="shared" si="35"/>
        <v>50000</v>
      </c>
      <c r="J317" s="17">
        <f>46000+1000</f>
        <v>47000</v>
      </c>
      <c r="K317" s="17"/>
      <c r="L317" s="18">
        <f t="shared" si="36"/>
        <v>3000</v>
      </c>
      <c r="M317" s="29">
        <f>SUM('план на 2016'!$L318:M318)-SUM('членские взносы'!$M317:'членские взносы'!M317)</f>
        <v>3800</v>
      </c>
      <c r="N317" s="29">
        <f>SUM('план на 2016'!$L318:N318)-SUM('членские взносы'!$M317:'членские взносы'!N317)</f>
        <v>4600</v>
      </c>
      <c r="O317" s="29">
        <f>SUM('план на 2016'!$L318:O318)-SUM('членские взносы'!$M317:'членские взносы'!O317)</f>
        <v>5400</v>
      </c>
      <c r="P317" s="29">
        <f>SUM('план на 2016'!$L318:P318)-SUM('членские взносы'!$M317:'членские взносы'!P317)</f>
        <v>6200</v>
      </c>
      <c r="Q317" s="29">
        <f>SUM('план на 2016'!$L318:Q318)-SUM('членские взносы'!$M317:'членские взносы'!Q317)</f>
        <v>7000</v>
      </c>
      <c r="R317" s="29">
        <f>SUM('план на 2016'!$L318:R318)-SUM('членские взносы'!$M317:'членские взносы'!R317)</f>
        <v>7800</v>
      </c>
      <c r="S317" s="29">
        <f>SUM('план на 2016'!$L318:S318)-SUM('членские взносы'!$M317:'членские взносы'!S317)</f>
        <v>8600</v>
      </c>
      <c r="T317" s="29">
        <f>SUM('план на 2016'!$L318:T318)-SUM('членские взносы'!$M317:'членские взносы'!T317)</f>
        <v>9400</v>
      </c>
      <c r="U317" s="29">
        <f>SUM('план на 2016'!$L318:U318)-SUM('членские взносы'!$M317:'членские взносы'!U317)</f>
        <v>10200</v>
      </c>
      <c r="V317" s="29">
        <f>SUM('план на 2016'!$L318:V318)-SUM('членские взносы'!$M317:'членские взносы'!V317)</f>
        <v>11000</v>
      </c>
      <c r="W317" s="29">
        <f>SUM('план на 2016'!$L318:W318)-SUM('членские взносы'!$M317:'членские взносы'!W317)</f>
        <v>11800</v>
      </c>
      <c r="X317" s="29">
        <f>SUM('план на 2016'!$L318:X318)-SUM('членские взносы'!$M317:'членские взносы'!X317)</f>
        <v>12600</v>
      </c>
      <c r="Y317" s="18">
        <f t="shared" si="30"/>
        <v>12600</v>
      </c>
    </row>
    <row r="318" spans="1:25">
      <c r="A318" s="41">
        <f>VLOOKUP(B318,справочник!$B$2:$E$322,4,FALSE)</f>
        <v>227</v>
      </c>
      <c r="B318" t="str">
        <f t="shared" si="29"/>
        <v xml:space="preserve">236Щербакова Татьяна Дмитриевна      </v>
      </c>
      <c r="C318" s="1">
        <v>236</v>
      </c>
      <c r="D318" s="2" t="s">
        <v>302</v>
      </c>
      <c r="E318" s="1" t="s">
        <v>608</v>
      </c>
      <c r="F318" s="16">
        <v>41738</v>
      </c>
      <c r="G318" s="16">
        <v>41760</v>
      </c>
      <c r="H318" s="17">
        <f t="shared" si="34"/>
        <v>20</v>
      </c>
      <c r="I318" s="1">
        <f t="shared" si="35"/>
        <v>20000</v>
      </c>
      <c r="J318" s="17">
        <v>9000</v>
      </c>
      <c r="K318" s="17"/>
      <c r="L318" s="18">
        <f t="shared" si="36"/>
        <v>11000</v>
      </c>
      <c r="M318" s="29">
        <f>SUM('план на 2016'!$L319:M319)-SUM('членские взносы'!$M318:'членские взносы'!M318)</f>
        <v>11800</v>
      </c>
      <c r="N318" s="29">
        <f>SUM('план на 2016'!$L319:N319)-SUM('членские взносы'!$M318:'членские взносы'!N318)</f>
        <v>8800</v>
      </c>
      <c r="O318" s="29">
        <f>SUM('план на 2016'!$L319:O319)-SUM('членские взносы'!$M318:'членские взносы'!O318)</f>
        <v>4800</v>
      </c>
      <c r="P318" s="29">
        <f>SUM('план на 2016'!$L319:P319)-SUM('членские взносы'!$M318:'членские взносы'!P318)</f>
        <v>5600</v>
      </c>
      <c r="Q318" s="29">
        <f>SUM('план на 2016'!$L319:Q319)-SUM('членские взносы'!$M318:'членские взносы'!Q318)</f>
        <v>6400</v>
      </c>
      <c r="R318" s="29">
        <f>SUM('план на 2016'!$L319:R319)-SUM('членские взносы'!$M318:'членские взносы'!R318)</f>
        <v>7200</v>
      </c>
      <c r="S318" s="29">
        <f>SUM('план на 2016'!$L319:S319)-SUM('членские взносы'!$M318:'членские взносы'!S318)</f>
        <v>8000</v>
      </c>
      <c r="T318" s="29">
        <f>SUM('план на 2016'!$L319:T319)-SUM('членские взносы'!$M318:'членские взносы'!T318)</f>
        <v>8800</v>
      </c>
      <c r="U318" s="29">
        <f>SUM('план на 2016'!$L319:U319)-SUM('членские взносы'!$M318:'членские взносы'!U318)</f>
        <v>9600</v>
      </c>
      <c r="V318" s="29">
        <f>SUM('план на 2016'!$L319:V319)-SUM('членские взносы'!$M318:'членские взносы'!V318)</f>
        <v>10400</v>
      </c>
      <c r="W318" s="29">
        <f>SUM('план на 2016'!$L319:W319)-SUM('членские взносы'!$M318:'членские взносы'!W318)</f>
        <v>11200</v>
      </c>
      <c r="X318" s="29">
        <f>SUM('план на 2016'!$L319:X319)-SUM('членские взносы'!$M318:'членские взносы'!X318)</f>
        <v>12000</v>
      </c>
      <c r="Y318" s="18">
        <f t="shared" si="30"/>
        <v>12000</v>
      </c>
    </row>
    <row r="319" spans="1:25">
      <c r="A319" s="41">
        <f>VLOOKUP(B319,справочник!$B$2:$E$322,4,FALSE)</f>
        <v>15</v>
      </c>
      <c r="B319" t="str">
        <f t="shared" si="29"/>
        <v>15Элефтерова Евгения Викторовна (Михаил)</v>
      </c>
      <c r="C319" s="1">
        <v>15</v>
      </c>
      <c r="D319" s="2" t="s">
        <v>303</v>
      </c>
      <c r="E319" s="1" t="s">
        <v>609</v>
      </c>
      <c r="F319" s="16">
        <v>41261</v>
      </c>
      <c r="G319" s="16">
        <v>41275</v>
      </c>
      <c r="H319" s="17">
        <f t="shared" si="34"/>
        <v>36</v>
      </c>
      <c r="I319" s="1">
        <f t="shared" si="35"/>
        <v>36000</v>
      </c>
      <c r="J319" s="17">
        <v>32000</v>
      </c>
      <c r="K319" s="17"/>
      <c r="L319" s="18">
        <f t="shared" si="36"/>
        <v>4000</v>
      </c>
      <c r="M319" s="29">
        <f>SUM('план на 2016'!$L320:M320)-SUM('членские взносы'!$M319:'членские взносы'!M319)</f>
        <v>4800</v>
      </c>
      <c r="N319" s="29">
        <f>SUM('план на 2016'!$L320:N320)-SUM('членские взносы'!$M319:'членские взносы'!N319)</f>
        <v>1600</v>
      </c>
      <c r="O319" s="29">
        <f>SUM('план на 2016'!$L320:O320)-SUM('членские взносы'!$M319:'членские взносы'!O319)</f>
        <v>2400</v>
      </c>
      <c r="P319" s="29">
        <f>SUM('план на 2016'!$L320:P320)-SUM('членские взносы'!$M319:'членские взносы'!P319)</f>
        <v>3200</v>
      </c>
      <c r="Q319" s="29">
        <f>SUM('план на 2016'!$L320:Q320)-SUM('членские взносы'!$M319:'членские взносы'!Q319)</f>
        <v>4000</v>
      </c>
      <c r="R319" s="29">
        <f>SUM('план на 2016'!$L320:R320)-SUM('членские взносы'!$M319:'членские взносы'!R319)</f>
        <v>0</v>
      </c>
      <c r="S319" s="29">
        <f>SUM('план на 2016'!$L320:S320)-SUM('членские взносы'!$M319:'членские взносы'!S319)</f>
        <v>800</v>
      </c>
      <c r="T319" s="29">
        <f>SUM('план на 2016'!$L320:T320)-SUM('членские взносы'!$M319:'членские взносы'!T319)</f>
        <v>1600</v>
      </c>
      <c r="U319" s="29">
        <f>SUM('план на 2016'!$L320:U320)-SUM('членские взносы'!$M319:'членские взносы'!U319)</f>
        <v>0</v>
      </c>
      <c r="V319" s="29">
        <f>SUM('план на 2016'!$L320:V320)-SUM('членские взносы'!$M319:'членские взносы'!V319)</f>
        <v>800</v>
      </c>
      <c r="W319" s="29">
        <f>SUM('план на 2016'!$L320:W320)-SUM('членские взносы'!$M319:'членские взносы'!W319)</f>
        <v>1600</v>
      </c>
      <c r="X319" s="29">
        <f>SUM('план на 2016'!$L320:X320)-SUM('членские взносы'!$M319:'членские взносы'!X319)</f>
        <v>2400</v>
      </c>
      <c r="Y319" s="18">
        <f t="shared" si="30"/>
        <v>2400</v>
      </c>
    </row>
    <row r="320" spans="1:25">
      <c r="A320" s="41">
        <f>VLOOKUP(B320,справочник!$B$2:$E$322,4,FALSE)</f>
        <v>240</v>
      </c>
      <c r="B320" t="str">
        <f t="shared" si="29"/>
        <v>251Якиманский Александр Александрович</v>
      </c>
      <c r="C320" s="1">
        <v>251</v>
      </c>
      <c r="D320" s="11" t="s">
        <v>304</v>
      </c>
      <c r="E320" s="1" t="s">
        <v>610</v>
      </c>
      <c r="F320" s="16">
        <v>40799</v>
      </c>
      <c r="G320" s="16">
        <v>40787</v>
      </c>
      <c r="H320" s="17">
        <f t="shared" si="34"/>
        <v>52</v>
      </c>
      <c r="I320" s="1">
        <f t="shared" si="35"/>
        <v>52000</v>
      </c>
      <c r="J320" s="17">
        <f>1000+49000</f>
        <v>50000</v>
      </c>
      <c r="K320" s="17">
        <v>3000</v>
      </c>
      <c r="L320" s="18">
        <f t="shared" si="36"/>
        <v>-1000</v>
      </c>
      <c r="M320" s="29">
        <f>SUM('план на 2016'!$L321:M321)-SUM('членские взносы'!$M320:'членские взносы'!M320)</f>
        <v>-200</v>
      </c>
      <c r="N320" s="29">
        <f>SUM('план на 2016'!$L321:N321)-SUM('членские взносы'!$M320:'членские взносы'!N320)</f>
        <v>600</v>
      </c>
      <c r="O320" s="29">
        <f>SUM('план на 2016'!$L321:O321)-SUM('членские взносы'!$M320:'членские взносы'!O320)</f>
        <v>1400</v>
      </c>
      <c r="P320" s="29">
        <f>SUM('план на 2016'!$L321:P321)-SUM('членские взносы'!$M320:'членские взносы'!P320)</f>
        <v>2200</v>
      </c>
      <c r="Q320" s="29">
        <f>SUM('план на 2016'!$L321:Q321)-SUM('членские взносы'!$M320:'членские взносы'!Q320)</f>
        <v>3000</v>
      </c>
      <c r="R320" s="29">
        <f>SUM('план на 2016'!$L321:R321)-SUM('членские взносы'!$M320:'членские взносы'!R320)</f>
        <v>3800</v>
      </c>
      <c r="S320" s="29">
        <f>SUM('план на 2016'!$L321:S321)-SUM('членские взносы'!$M320:'членские взносы'!S320)</f>
        <v>4600</v>
      </c>
      <c r="T320" s="29">
        <f>SUM('план на 2016'!$L321:T321)-SUM('членские взносы'!$M320:'членские взносы'!T320)</f>
        <v>5400</v>
      </c>
      <c r="U320" s="29">
        <f>SUM('план на 2016'!$L321:U321)-SUM('членские взносы'!$M320:'членские взносы'!U320)</f>
        <v>1200</v>
      </c>
      <c r="V320" s="29">
        <f>SUM('план на 2016'!$L321:V321)-SUM('членские взносы'!$M320:'членские взносы'!V320)</f>
        <v>2000</v>
      </c>
      <c r="W320" s="29">
        <f>SUM('план на 2016'!$L321:W321)-SUM('членские взносы'!$M320:'членские взносы'!W320)</f>
        <v>1200</v>
      </c>
      <c r="X320" s="29">
        <f>SUM('план на 2016'!$L321:X321)-SUM('членские взносы'!$M320:'членские взносы'!X320)</f>
        <v>2000</v>
      </c>
      <c r="Y320" s="18">
        <f t="shared" si="30"/>
        <v>2000</v>
      </c>
    </row>
    <row r="321" spans="1:25">
      <c r="A321" s="41">
        <f>VLOOKUP(B321,справочник!$B$2:$E$322,4,FALSE)</f>
        <v>10</v>
      </c>
      <c r="B321" t="str">
        <f t="shared" si="29"/>
        <v>10Якушина Любовь Викторовна</v>
      </c>
      <c r="C321" s="1">
        <v>10</v>
      </c>
      <c r="D321" s="2" t="s">
        <v>305</v>
      </c>
      <c r="E321" s="1" t="s">
        <v>611</v>
      </c>
      <c r="F321" s="16">
        <v>42023</v>
      </c>
      <c r="G321" s="1"/>
      <c r="H321" s="17">
        <v>0</v>
      </c>
      <c r="I321" s="1">
        <f t="shared" si="35"/>
        <v>0</v>
      </c>
      <c r="J321" s="17"/>
      <c r="K321" s="17"/>
      <c r="L321" s="18">
        <f t="shared" si="36"/>
        <v>0</v>
      </c>
      <c r="M321" s="29">
        <f>SUM('план на 2016'!$L322:M322)-SUM('членские взносы'!$M321:'членские взносы'!M321)</f>
        <v>800</v>
      </c>
      <c r="N321" s="29">
        <f>SUM('план на 2016'!$L322:N322)-SUM('членские взносы'!$M321:'членские взносы'!N321)</f>
        <v>1600</v>
      </c>
      <c r="O321" s="29">
        <f>SUM('план на 2016'!$L322:O322)-SUM('членские взносы'!$M321:'членские взносы'!O321)</f>
        <v>2400</v>
      </c>
      <c r="P321" s="29">
        <f>SUM('план на 2016'!$L322:P322)-SUM('членские взносы'!$M321:'членские взносы'!P321)</f>
        <v>3200</v>
      </c>
      <c r="Q321" s="29">
        <f>SUM('план на 2016'!$L322:Q322)-SUM('членские взносы'!$M321:'членские взносы'!Q321)</f>
        <v>4000</v>
      </c>
      <c r="R321" s="29">
        <f>SUM('план на 2016'!$L322:R322)-SUM('членские взносы'!$M321:'членские взносы'!R321)</f>
        <v>4800</v>
      </c>
      <c r="S321" s="29">
        <f>SUM('план на 2016'!$L322:S322)-SUM('членские взносы'!$M321:'членские взносы'!S321)</f>
        <v>5600</v>
      </c>
      <c r="T321" s="29">
        <f>SUM('план на 2016'!$L322:T322)-SUM('членские взносы'!$M321:'членские взносы'!T321)</f>
        <v>6400</v>
      </c>
      <c r="U321" s="29">
        <f>SUM('план на 2016'!$L322:U322)-SUM('членские взносы'!$M321:'членские взносы'!U321)</f>
        <v>7200</v>
      </c>
      <c r="V321" s="29">
        <f>SUM('план на 2016'!$L322:V322)-SUM('членские взносы'!$M321:'членские взносы'!V321)</f>
        <v>8000</v>
      </c>
      <c r="W321" s="29">
        <f>SUM('план на 2016'!$L322:W322)-SUM('членские взносы'!$M321:'членские взносы'!W321)</f>
        <v>8800</v>
      </c>
      <c r="X321" s="29">
        <f>SUM('план на 2016'!$L322:X322)-SUM('членские взносы'!$M321:'членские взносы'!X321)</f>
        <v>9600</v>
      </c>
      <c r="Y321" s="18">
        <f t="shared" si="30"/>
        <v>9600</v>
      </c>
    </row>
    <row r="322" spans="1:25">
      <c r="A322" s="41">
        <f>VLOOKUP(B322,справочник!$B$2:$E$322,4,FALSE)</f>
        <v>55</v>
      </c>
      <c r="B322" t="str">
        <f t="shared" si="29"/>
        <v>57Янковская Елена Александровна</v>
      </c>
      <c r="C322" s="1">
        <v>57</v>
      </c>
      <c r="D322" s="2" t="s">
        <v>306</v>
      </c>
      <c r="E322" s="1" t="s">
        <v>612</v>
      </c>
      <c r="F322" s="16">
        <v>40772</v>
      </c>
      <c r="G322" s="16">
        <v>40756</v>
      </c>
      <c r="H322" s="17">
        <f>INT(($H$326-G322)/30)</f>
        <v>53</v>
      </c>
      <c r="I322" s="1">
        <f t="shared" si="35"/>
        <v>53000</v>
      </c>
      <c r="J322" s="17">
        <f>1000+53000</f>
        <v>54000</v>
      </c>
      <c r="K322" s="17">
        <v>3000</v>
      </c>
      <c r="L322" s="18">
        <f t="shared" si="36"/>
        <v>-4000</v>
      </c>
      <c r="M322" s="29">
        <f>SUM('план на 2016'!$L323:M323)-SUM('членские взносы'!$M322:'членские взносы'!M322)</f>
        <v>-3200</v>
      </c>
      <c r="N322" s="29">
        <f>SUM('план на 2016'!$L323:N323)-SUM('членские взносы'!$M322:'членские взносы'!N322)</f>
        <v>-2400</v>
      </c>
      <c r="O322" s="29">
        <f>SUM('план на 2016'!$L323:O323)-SUM('членские взносы'!$M322:'членские взносы'!O322)</f>
        <v>-4800</v>
      </c>
      <c r="P322" s="29">
        <f>SUM('план на 2016'!$L323:P323)-SUM('членские взносы'!$M322:'членские взносы'!P322)</f>
        <v>-4000</v>
      </c>
      <c r="Q322" s="29">
        <f>SUM('план на 2016'!$L323:Q323)-SUM('членские взносы'!$M322:'членские взносы'!Q322)</f>
        <v>-3200</v>
      </c>
      <c r="R322" s="29">
        <f>SUM('план на 2016'!$L323:R323)-SUM('членские взносы'!$M322:'членские взносы'!R322)</f>
        <v>-2400</v>
      </c>
      <c r="S322" s="29">
        <f>SUM('план на 2016'!$L323:S323)-SUM('членские взносы'!$M322:'членские взносы'!S322)</f>
        <v>-4800</v>
      </c>
      <c r="T322" s="29">
        <f>SUM('план на 2016'!$L323:T323)-SUM('членские взносы'!$M322:'членские взносы'!T322)</f>
        <v>-4000</v>
      </c>
      <c r="U322" s="29">
        <f>SUM('план на 2016'!$L323:U323)-SUM('членские взносы'!$M322:'членские взносы'!U322)</f>
        <v>-3200</v>
      </c>
      <c r="V322" s="29">
        <f>SUM('план на 2016'!$L323:V323)-SUM('членские взносы'!$M322:'членские взносы'!V322)</f>
        <v>-2400</v>
      </c>
      <c r="W322" s="29">
        <f>SUM('план на 2016'!$L323:W323)-SUM('членские взносы'!$M322:'членские взносы'!W322)</f>
        <v>-4800</v>
      </c>
      <c r="X322" s="29">
        <f>SUM('план на 2016'!$L323:X323)-SUM('членские взносы'!$M322:'членские взносы'!X322)</f>
        <v>-4000</v>
      </c>
      <c r="Y322" s="18">
        <f t="shared" si="30"/>
        <v>-4000</v>
      </c>
    </row>
    <row r="323" spans="1:25">
      <c r="A323" s="41">
        <f>VLOOKUP(B323,справочник!$B$2:$E$322,4,FALSE)</f>
        <v>309</v>
      </c>
      <c r="B323" t="str">
        <f t="shared" si="29"/>
        <v>324Янковская Яна Валерьевна</v>
      </c>
      <c r="C323" s="1">
        <v>324</v>
      </c>
      <c r="D323" s="2" t="s">
        <v>307</v>
      </c>
      <c r="E323" s="1" t="s">
        <v>613</v>
      </c>
      <c r="F323" s="16">
        <v>41002</v>
      </c>
      <c r="G323" s="16">
        <v>41000</v>
      </c>
      <c r="H323" s="17">
        <f>INT(($H$326-G323)/30)</f>
        <v>45</v>
      </c>
      <c r="I323" s="1">
        <f t="shared" si="35"/>
        <v>45000</v>
      </c>
      <c r="J323" s="17">
        <f>17000+1000</f>
        <v>18000</v>
      </c>
      <c r="K323" s="17">
        <v>5000</v>
      </c>
      <c r="L323" s="18">
        <f t="shared" si="36"/>
        <v>22000</v>
      </c>
      <c r="M323" s="29">
        <f>SUM('план на 2016'!$L324:M324)-SUM('членские взносы'!$M323:'членские взносы'!M323)</f>
        <v>22800</v>
      </c>
      <c r="N323" s="29">
        <f>SUM('план на 2016'!$L324:N324)-SUM('членские взносы'!$M323:'членские взносы'!N323)</f>
        <v>23600</v>
      </c>
      <c r="O323" s="29">
        <f>SUM('план на 2016'!$L324:O324)-SUM('членские взносы'!$M323:'членские взносы'!O323)</f>
        <v>24400</v>
      </c>
      <c r="P323" s="29">
        <f>SUM('план на 2016'!$L324:P324)-SUM('членские взносы'!$M323:'членские взносы'!P323)</f>
        <v>25200</v>
      </c>
      <c r="Q323" s="29">
        <f>SUM('план на 2016'!$L324:Q324)-SUM('членские взносы'!$M323:'членские взносы'!Q323)</f>
        <v>26000</v>
      </c>
      <c r="R323" s="29">
        <f>SUM('план на 2016'!$L324:R324)-SUM('членские взносы'!$M323:'членские взносы'!R323)</f>
        <v>26800</v>
      </c>
      <c r="S323" s="29">
        <f>SUM('план на 2016'!$L324:S324)-SUM('членские взносы'!$M323:'членские взносы'!S323)</f>
        <v>27600</v>
      </c>
      <c r="T323" s="29">
        <f>SUM('план на 2016'!$L324:T324)-SUM('членские взносы'!$M323:'членские взносы'!T323)</f>
        <v>28400</v>
      </c>
      <c r="U323" s="29">
        <f>SUM('план на 2016'!$L324:U324)-SUM('членские взносы'!$M323:'членские взносы'!U323)</f>
        <v>29200</v>
      </c>
      <c r="V323" s="29">
        <f>SUM('план на 2016'!$L324:V324)-SUM('членские взносы'!$M323:'членские взносы'!V323)</f>
        <v>30000</v>
      </c>
      <c r="W323" s="29">
        <f>SUM('план на 2016'!$L324:W324)-SUM('членские взносы'!$M323:'членские взносы'!W323)</f>
        <v>30800</v>
      </c>
      <c r="X323" s="29">
        <f>SUM('план на 2016'!$L324:X324)-SUM('членские взносы'!$M323:'членские взносы'!X323)</f>
        <v>31600</v>
      </c>
      <c r="Y323" s="18">
        <f t="shared" si="30"/>
        <v>31600</v>
      </c>
    </row>
    <row r="324" spans="1:25">
      <c r="A324" s="41">
        <f>VLOOKUP(B324,справочник!$B$2:$E$322,4,FALSE)</f>
        <v>17</v>
      </c>
      <c r="B324" t="str">
        <f t="shared" si="29"/>
        <v>17Яструб Валерий Викторович</v>
      </c>
      <c r="C324" s="1">
        <v>17</v>
      </c>
      <c r="D324" s="2" t="s">
        <v>308</v>
      </c>
      <c r="E324" s="1" t="s">
        <v>614</v>
      </c>
      <c r="F324" s="16">
        <v>41254</v>
      </c>
      <c r="G324" s="16">
        <v>41275</v>
      </c>
      <c r="H324" s="17">
        <f>INT(($H$326-G324)/30)</f>
        <v>36</v>
      </c>
      <c r="I324" s="1">
        <f t="shared" si="35"/>
        <v>36000</v>
      </c>
      <c r="J324" s="17">
        <v>31000</v>
      </c>
      <c r="K324" s="17"/>
      <c r="L324" s="18">
        <f t="shared" si="36"/>
        <v>5000</v>
      </c>
      <c r="M324" s="29">
        <f>SUM('план на 2016'!$L325:M325)-SUM('членские взносы'!$M324:'членские взносы'!M324)</f>
        <v>2800</v>
      </c>
      <c r="N324" s="29">
        <f>SUM('план на 2016'!$L325:N325)-SUM('членские взносы'!$M324:'членские взносы'!N324)</f>
        <v>3600</v>
      </c>
      <c r="O324" s="29">
        <f>SUM('план на 2016'!$L325:O325)-SUM('членские взносы'!$M324:'членские взносы'!O324)</f>
        <v>2400</v>
      </c>
      <c r="P324" s="29">
        <f>SUM('план на 2016'!$L325:P325)-SUM('членские взносы'!$M324:'членские взносы'!P324)</f>
        <v>3200</v>
      </c>
      <c r="Q324" s="29">
        <f>SUM('план на 2016'!$L325:Q325)-SUM('членские взносы'!$M324:'членские взносы'!Q324)</f>
        <v>4000</v>
      </c>
      <c r="R324" s="29">
        <f>SUM('план на 2016'!$L325:R325)-SUM('членские взносы'!$M324:'членские взносы'!R324)</f>
        <v>2800</v>
      </c>
      <c r="S324" s="29">
        <f>SUM('план на 2016'!$L325:S325)-SUM('членские взносы'!$M324:'членские взносы'!S324)</f>
        <v>3600</v>
      </c>
      <c r="T324" s="29">
        <f>SUM('план на 2016'!$L325:T325)-SUM('членские взносы'!$M324:'членские взносы'!T324)</f>
        <v>1400</v>
      </c>
      <c r="U324" s="29">
        <f>SUM('план на 2016'!$L325:U325)-SUM('членские взносы'!$M324:'членские взносы'!U324)</f>
        <v>2200</v>
      </c>
      <c r="V324" s="29">
        <f>SUM('план на 2016'!$L325:V325)-SUM('членские взносы'!$M324:'членские взносы'!V324)</f>
        <v>-1600</v>
      </c>
      <c r="W324" s="29">
        <f>SUM('план на 2016'!$L325:W325)-SUM('членские взносы'!$M324:'членские взносы'!W324)</f>
        <v>-800</v>
      </c>
      <c r="X324" s="29">
        <f>SUM('план на 2016'!$L325:X325)-SUM('членские взносы'!$M324:'членские взносы'!X324)</f>
        <v>0</v>
      </c>
      <c r="Y324" s="18">
        <f t="shared" si="30"/>
        <v>0</v>
      </c>
    </row>
    <row r="325" spans="1:25">
      <c r="A325" s="41">
        <f>VLOOKUP(B325,справочник!$B$2:$E$322,4,FALSE)</f>
        <v>40</v>
      </c>
      <c r="B325" t="str">
        <f t="shared" ref="B325" si="37">CONCATENATE(C325,D325)</f>
        <v>40Яшин Евгений Иванович</v>
      </c>
      <c r="C325" s="1">
        <v>40</v>
      </c>
      <c r="D325" s="2" t="s">
        <v>309</v>
      </c>
      <c r="E325" s="1" t="s">
        <v>615</v>
      </c>
      <c r="F325" s="16">
        <v>40772</v>
      </c>
      <c r="G325" s="16">
        <v>40756</v>
      </c>
      <c r="H325" s="17">
        <f>INT(($H$326-G325)/30)</f>
        <v>53</v>
      </c>
      <c r="I325" s="1">
        <f t="shared" si="35"/>
        <v>53000</v>
      </c>
      <c r="J325" s="17">
        <f>1000+37000</f>
        <v>38000</v>
      </c>
      <c r="K325" s="17"/>
      <c r="L325" s="18">
        <f t="shared" si="36"/>
        <v>15000</v>
      </c>
      <c r="M325" s="29">
        <f>SUM('план на 2016'!$L326:M326)-SUM('членские взносы'!$M325:'членские взносы'!M325)</f>
        <v>15800</v>
      </c>
      <c r="N325" s="29">
        <f>SUM('план на 2016'!$L326:N326)-SUM('членские взносы'!$M325:'членские взносы'!N325)</f>
        <v>16600</v>
      </c>
      <c r="O325" s="29">
        <f>SUM('план на 2016'!$L326:O326)-SUM('членские взносы'!$M325:'членские взносы'!O325)</f>
        <v>17400</v>
      </c>
      <c r="P325" s="29">
        <f>SUM('план на 2016'!$L326:P326)-SUM('членские взносы'!$M325:'членские взносы'!P325)</f>
        <v>18200</v>
      </c>
      <c r="Q325" s="29">
        <f>SUM('план на 2016'!$L326:Q326)-SUM('членские взносы'!$M325:'членские взносы'!Q325)</f>
        <v>19000</v>
      </c>
      <c r="R325" s="29">
        <f>SUM('план на 2016'!$L326:R326)-SUM('членские взносы'!$M325:'членские взносы'!R325)</f>
        <v>19800</v>
      </c>
      <c r="S325" s="29">
        <f>SUM('план на 2016'!$L326:S326)-SUM('членские взносы'!$M325:'членские взносы'!S325)</f>
        <v>20600</v>
      </c>
      <c r="T325" s="29">
        <f>SUM('план на 2016'!$L326:T326)-SUM('членские взносы'!$M325:'членские взносы'!T325)</f>
        <v>21400</v>
      </c>
      <c r="U325" s="29">
        <f>SUM('план на 2016'!$L326:U326)-SUM('членские взносы'!$M325:'членские взносы'!U325)</f>
        <v>800</v>
      </c>
      <c r="V325" s="29">
        <f>SUM('план на 2016'!$L326:V326)-SUM('членские взносы'!$M325:'членские взносы'!V325)</f>
        <v>1600</v>
      </c>
      <c r="W325" s="29">
        <f>SUM('план на 2016'!$L326:W326)-SUM('членские взносы'!$M325:'членские взносы'!W325)</f>
        <v>2400</v>
      </c>
      <c r="X325" s="29">
        <f>SUM('план на 2016'!$L326:X326)-SUM('членские взносы'!$M325:'членские взносы'!X325)</f>
        <v>3200</v>
      </c>
      <c r="Y325" s="18">
        <f t="shared" ref="Y325" si="38">X325</f>
        <v>3200</v>
      </c>
    </row>
    <row r="326" spans="1:25">
      <c r="H326" s="26">
        <v>42369</v>
      </c>
      <c r="M326" s="29" t="e">
        <f>SUM(M4:M325)</f>
        <v>#REF!</v>
      </c>
      <c r="N326" s="29" t="e">
        <f t="shared" ref="N326:Y326" si="39">SUM(N4:N325)</f>
        <v>#REF!</v>
      </c>
      <c r="O326" s="29" t="e">
        <f t="shared" si="39"/>
        <v>#REF!</v>
      </c>
      <c r="P326" s="29" t="e">
        <f t="shared" si="39"/>
        <v>#REF!</v>
      </c>
      <c r="Q326" s="29" t="e">
        <f t="shared" si="39"/>
        <v>#REF!</v>
      </c>
      <c r="R326" s="29" t="e">
        <f t="shared" si="39"/>
        <v>#REF!</v>
      </c>
      <c r="S326" s="29" t="e">
        <f t="shared" si="39"/>
        <v>#REF!</v>
      </c>
      <c r="T326" s="29" t="e">
        <f t="shared" si="39"/>
        <v>#REF!</v>
      </c>
      <c r="U326" s="29" t="e">
        <f t="shared" si="39"/>
        <v>#REF!</v>
      </c>
      <c r="V326" s="29" t="e">
        <f t="shared" si="39"/>
        <v>#REF!</v>
      </c>
      <c r="W326" s="29" t="e">
        <f t="shared" si="39"/>
        <v>#REF!</v>
      </c>
      <c r="X326" s="29" t="e">
        <f t="shared" si="39"/>
        <v>#REF!</v>
      </c>
      <c r="Y326" s="29" t="e">
        <f t="shared" si="39"/>
        <v>#REF!</v>
      </c>
    </row>
  </sheetData>
  <autoFilter ref="A3:Y326"/>
  <conditionalFormatting sqref="S4:S325">
    <cfRule type="cellIs" dxfId="10" priority="2" operator="between">
      <formula>5000</formula>
      <formula>10000</formula>
    </cfRule>
    <cfRule type="cellIs" dxfId="9" priority="3" operator="greaterThan">
      <formula>10000</formula>
    </cfRule>
  </conditionalFormatting>
  <conditionalFormatting sqref="S3:S326 S493:S1048576">
    <cfRule type="cellIs" dxfId="8" priority="1" operator="lessThanOrEqual">
      <formula>0</formula>
    </cfRule>
  </conditionalFormatting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Y327"/>
  <sheetViews>
    <sheetView workbookViewId="0">
      <pane xSplit="5" ySplit="4" topLeftCell="F5" activePane="bottomRight" state="frozen"/>
      <selection pane="topRight" activeCell="D1" sqref="D1"/>
      <selection pane="bottomLeft" activeCell="A5" sqref="A5"/>
      <selection pane="bottomRight" activeCell="D8" sqref="D8"/>
    </sheetView>
  </sheetViews>
  <sheetFormatPr baseColWidth="10" defaultColWidth="8.83203125" defaultRowHeight="14" x14ac:dyDescent="0"/>
  <cols>
    <col min="3" max="3" width="8.33203125" style="25" customWidth="1"/>
    <col min="4" max="4" width="37.5" style="25" customWidth="1"/>
    <col min="5" max="5" width="20.5" style="25" hidden="1" customWidth="1"/>
    <col min="6" max="6" width="18.1640625" style="25" customWidth="1"/>
    <col min="7" max="7" width="15.5" style="25" customWidth="1"/>
    <col min="8" max="8" width="13.5" style="27" customWidth="1"/>
    <col min="9" max="9" width="19.5" style="25" customWidth="1"/>
    <col min="10" max="10" width="22" style="27" customWidth="1"/>
    <col min="11" max="11" width="12.83203125" style="27" customWidth="1"/>
    <col min="12" max="25" width="13.83203125" style="27" customWidth="1"/>
  </cols>
  <sheetData>
    <row r="1" spans="1:25">
      <c r="C1" s="12" t="s">
        <v>310</v>
      </c>
      <c r="D1" s="12"/>
      <c r="E1" s="12"/>
      <c r="F1" s="12"/>
      <c r="G1" s="12"/>
      <c r="H1" s="13"/>
      <c r="I1" s="1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>
      <c r="C2" s="12" t="s">
        <v>311</v>
      </c>
      <c r="D2" s="12"/>
      <c r="E2" s="12"/>
      <c r="F2" s="12"/>
      <c r="G2" s="12"/>
      <c r="H2" s="13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>
      <c r="C3" s="204" t="s">
        <v>0</v>
      </c>
      <c r="D3" s="206" t="s">
        <v>1</v>
      </c>
      <c r="E3" s="206" t="s">
        <v>312</v>
      </c>
      <c r="F3" s="1"/>
      <c r="G3" s="1"/>
      <c r="H3" s="207" t="s">
        <v>313</v>
      </c>
      <c r="I3" s="207"/>
      <c r="J3" s="207"/>
      <c r="K3" s="207"/>
      <c r="L3" s="207"/>
      <c r="M3"/>
      <c r="N3"/>
      <c r="O3"/>
      <c r="P3"/>
      <c r="Q3"/>
      <c r="R3"/>
      <c r="S3"/>
      <c r="T3"/>
      <c r="U3"/>
      <c r="V3"/>
      <c r="W3"/>
      <c r="X3"/>
      <c r="Y3"/>
    </row>
    <row r="4" spans="1:25" ht="60">
      <c r="A4" s="41" t="s">
        <v>617</v>
      </c>
      <c r="B4" t="s">
        <v>622</v>
      </c>
      <c r="C4" s="205"/>
      <c r="D4" s="206"/>
      <c r="E4" s="206"/>
      <c r="F4" s="1" t="s">
        <v>314</v>
      </c>
      <c r="G4" s="1" t="s">
        <v>315</v>
      </c>
      <c r="H4" s="1" t="s">
        <v>316</v>
      </c>
      <c r="I4" s="1" t="s">
        <v>317</v>
      </c>
      <c r="J4" s="14" t="s">
        <v>318</v>
      </c>
      <c r="K4" s="14" t="s">
        <v>319</v>
      </c>
      <c r="L4" s="15" t="s">
        <v>320</v>
      </c>
      <c r="M4" s="28">
        <v>42370</v>
      </c>
      <c r="N4" s="28">
        <v>42401</v>
      </c>
      <c r="O4" s="28">
        <v>42430</v>
      </c>
      <c r="P4" s="28">
        <v>42461</v>
      </c>
      <c r="Q4" s="28">
        <v>42491</v>
      </c>
      <c r="R4" s="28">
        <v>42522</v>
      </c>
      <c r="S4" s="28">
        <v>42552</v>
      </c>
      <c r="T4" s="28">
        <v>42583</v>
      </c>
      <c r="U4" s="28">
        <v>42614</v>
      </c>
      <c r="V4" s="28">
        <v>42644</v>
      </c>
      <c r="W4" s="28">
        <v>42675</v>
      </c>
      <c r="X4" s="28">
        <v>42705</v>
      </c>
      <c r="Y4" s="15" t="s">
        <v>616</v>
      </c>
    </row>
    <row r="5" spans="1:25">
      <c r="A5" s="41">
        <f>VLOOKUP(B5,справочник!$B$2:$E$322,4,FALSE)</f>
        <v>79</v>
      </c>
      <c r="B5" t="str">
        <f>CONCATENATE(C5,D5)</f>
        <v>84Абу Махади Мохаммед Ибрагим</v>
      </c>
      <c r="C5" s="1">
        <v>84</v>
      </c>
      <c r="D5" s="2" t="s">
        <v>2</v>
      </c>
      <c r="E5" s="1" t="s">
        <v>321</v>
      </c>
      <c r="F5" s="16">
        <v>40716</v>
      </c>
      <c r="G5" s="16">
        <v>40725</v>
      </c>
      <c r="H5" s="17">
        <f t="shared" ref="H5:H17" si="0">INT(($H$327-G5)/30)</f>
        <v>54</v>
      </c>
      <c r="I5" s="1">
        <f t="shared" ref="I5:I67" si="1">H5*1000</f>
        <v>54000</v>
      </c>
      <c r="J5" s="17">
        <f>49000+1000</f>
        <v>50000</v>
      </c>
      <c r="K5" s="17"/>
      <c r="L5" s="18">
        <f t="shared" ref="L5:L29" si="2">I5-J5-K5</f>
        <v>4000</v>
      </c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18">
        <f t="shared" ref="Y5:Y29" si="3">V5-W5-X5</f>
        <v>0</v>
      </c>
    </row>
    <row r="6" spans="1:25">
      <c r="A6" s="41">
        <f>VLOOKUP(B6,справочник!$B$2:$E$322,4,FALSE)</f>
        <v>35</v>
      </c>
      <c r="B6" t="str">
        <f t="shared" ref="B6:B69" si="4">CONCATENATE(C6,D6)</f>
        <v>35Абушаев Роман Шамильевич</v>
      </c>
      <c r="C6" s="1">
        <v>35</v>
      </c>
      <c r="D6" s="3" t="s">
        <v>3</v>
      </c>
      <c r="E6" s="1" t="s">
        <v>322</v>
      </c>
      <c r="F6" s="16">
        <v>40970</v>
      </c>
      <c r="G6" s="16">
        <v>40969</v>
      </c>
      <c r="H6" s="17">
        <f t="shared" si="0"/>
        <v>46</v>
      </c>
      <c r="I6" s="1">
        <f t="shared" si="1"/>
        <v>46000</v>
      </c>
      <c r="J6" s="17">
        <v>30000</v>
      </c>
      <c r="K6" s="17"/>
      <c r="L6" s="18">
        <f t="shared" si="2"/>
        <v>16000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18">
        <f t="shared" si="3"/>
        <v>0</v>
      </c>
    </row>
    <row r="7" spans="1:25">
      <c r="A7" s="41">
        <f>VLOOKUP(B7,справочник!$B$2:$E$322,4,FALSE)</f>
        <v>260</v>
      </c>
      <c r="B7" t="str">
        <f t="shared" si="4"/>
        <v>273Аксенов Дмитрий Викторович</v>
      </c>
      <c r="C7" s="1">
        <v>273</v>
      </c>
      <c r="D7" s="3" t="s">
        <v>4</v>
      </c>
      <c r="E7" s="1" t="s">
        <v>323</v>
      </c>
      <c r="F7" s="16">
        <v>41540</v>
      </c>
      <c r="G7" s="16">
        <v>41548</v>
      </c>
      <c r="H7" s="17">
        <f t="shared" si="0"/>
        <v>27</v>
      </c>
      <c r="I7" s="1">
        <f t="shared" si="1"/>
        <v>27000</v>
      </c>
      <c r="J7" s="17">
        <v>19000</v>
      </c>
      <c r="K7" s="17"/>
      <c r="L7" s="18">
        <f t="shared" si="2"/>
        <v>8000</v>
      </c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18">
        <f t="shared" si="3"/>
        <v>0</v>
      </c>
    </row>
    <row r="8" spans="1:25">
      <c r="A8" s="41">
        <f>VLOOKUP(B8,справочник!$B$2:$E$322,4,FALSE)</f>
        <v>203</v>
      </c>
      <c r="B8" t="str">
        <f t="shared" si="4"/>
        <v>213Александров Владимир Александрович</v>
      </c>
      <c r="C8" s="1">
        <v>213</v>
      </c>
      <c r="D8" s="2" t="s">
        <v>5</v>
      </c>
      <c r="E8" s="1" t="s">
        <v>324</v>
      </c>
      <c r="F8" s="16">
        <v>41520</v>
      </c>
      <c r="G8" s="16">
        <v>41548</v>
      </c>
      <c r="H8" s="17">
        <f t="shared" si="0"/>
        <v>27</v>
      </c>
      <c r="I8" s="1">
        <f t="shared" si="1"/>
        <v>27000</v>
      </c>
      <c r="J8" s="17">
        <v>26000</v>
      </c>
      <c r="K8" s="17"/>
      <c r="L8" s="18">
        <f t="shared" si="2"/>
        <v>1000</v>
      </c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18">
        <f t="shared" si="3"/>
        <v>0</v>
      </c>
    </row>
    <row r="9" spans="1:25">
      <c r="A9" s="41">
        <f>VLOOKUP(B9,справочник!$B$2:$E$322,4,FALSE)</f>
        <v>316</v>
      </c>
      <c r="B9" t="str">
        <f t="shared" si="4"/>
        <v>306-307Алексеев Андрей Олегович</v>
      </c>
      <c r="C9" s="4" t="s">
        <v>6</v>
      </c>
      <c r="D9" s="3" t="s">
        <v>7</v>
      </c>
      <c r="E9" s="1" t="s">
        <v>325</v>
      </c>
      <c r="F9" s="19">
        <v>40893</v>
      </c>
      <c r="G9" s="19">
        <v>40878</v>
      </c>
      <c r="H9" s="20">
        <f t="shared" si="0"/>
        <v>49</v>
      </c>
      <c r="I9" s="5">
        <f t="shared" si="1"/>
        <v>49000</v>
      </c>
      <c r="J9" s="20">
        <f>30000+1000+1000</f>
        <v>32000</v>
      </c>
      <c r="K9" s="20"/>
      <c r="L9" s="21">
        <f t="shared" si="2"/>
        <v>17000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1">
        <f t="shared" si="3"/>
        <v>0</v>
      </c>
    </row>
    <row r="10" spans="1:25">
      <c r="A10" s="41">
        <f>VLOOKUP(B10,справочник!$B$2:$E$322,4,FALSE)</f>
        <v>232</v>
      </c>
      <c r="B10" t="str">
        <f t="shared" si="4"/>
        <v xml:space="preserve">241Амплеева Мария Александровна </v>
      </c>
      <c r="C10" s="1">
        <v>241</v>
      </c>
      <c r="D10" s="3" t="s">
        <v>8</v>
      </c>
      <c r="E10" s="1" t="s">
        <v>326</v>
      </c>
      <c r="F10" s="16">
        <v>41429</v>
      </c>
      <c r="G10" s="16">
        <v>41456</v>
      </c>
      <c r="H10" s="17">
        <f t="shared" si="0"/>
        <v>30</v>
      </c>
      <c r="I10" s="1">
        <f t="shared" si="1"/>
        <v>30000</v>
      </c>
      <c r="J10" s="17">
        <v>6000</v>
      </c>
      <c r="K10" s="17"/>
      <c r="L10" s="18">
        <f t="shared" si="2"/>
        <v>24000</v>
      </c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18">
        <f t="shared" si="3"/>
        <v>0</v>
      </c>
    </row>
    <row r="11" spans="1:25">
      <c r="A11" s="41">
        <f>VLOOKUP(B11,справочник!$B$2:$E$322,4,FALSE)</f>
        <v>277</v>
      </c>
      <c r="B11" t="str">
        <f t="shared" si="4"/>
        <v>290Андреева Любовь Ивановна(у Севастьянова)</v>
      </c>
      <c r="C11" s="1">
        <v>290</v>
      </c>
      <c r="D11" s="2" t="s">
        <v>9</v>
      </c>
      <c r="E11" s="1"/>
      <c r="F11" s="16">
        <v>41827</v>
      </c>
      <c r="G11" s="16">
        <v>41821</v>
      </c>
      <c r="H11" s="17">
        <f t="shared" si="0"/>
        <v>18</v>
      </c>
      <c r="I11" s="1">
        <f t="shared" si="1"/>
        <v>18000</v>
      </c>
      <c r="J11" s="17">
        <v>20000</v>
      </c>
      <c r="K11" s="17"/>
      <c r="L11" s="18">
        <f t="shared" si="2"/>
        <v>-2000</v>
      </c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18">
        <f t="shared" si="3"/>
        <v>0</v>
      </c>
    </row>
    <row r="12" spans="1:25">
      <c r="A12" s="41">
        <f>VLOOKUP(B12,справочник!$B$2:$E$322,4,FALSE)</f>
        <v>221</v>
      </c>
      <c r="B12" t="str">
        <f t="shared" si="4"/>
        <v>230Анисимова (Корнеева) Татьяна Николаевна</v>
      </c>
      <c r="C12" s="1">
        <v>230</v>
      </c>
      <c r="D12" s="3" t="s">
        <v>10</v>
      </c>
      <c r="E12" s="1"/>
      <c r="F12" s="16">
        <v>41912</v>
      </c>
      <c r="G12" s="16">
        <v>41913</v>
      </c>
      <c r="H12" s="17">
        <f t="shared" si="0"/>
        <v>15</v>
      </c>
      <c r="I12" s="1">
        <f t="shared" si="1"/>
        <v>15000</v>
      </c>
      <c r="J12" s="17">
        <v>1000</v>
      </c>
      <c r="K12" s="17"/>
      <c r="L12" s="18">
        <f t="shared" si="2"/>
        <v>14000</v>
      </c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18">
        <f t="shared" si="3"/>
        <v>0</v>
      </c>
    </row>
    <row r="13" spans="1:25">
      <c r="A13" s="41">
        <f>VLOOKUP(B13,справочник!$B$2:$E$322,4,FALSE)</f>
        <v>259</v>
      </c>
      <c r="B13" t="str">
        <f t="shared" si="4"/>
        <v>272Анисимова Елена Анатольевна</v>
      </c>
      <c r="C13" s="1">
        <v>272</v>
      </c>
      <c r="D13" s="3" t="s">
        <v>11</v>
      </c>
      <c r="E13" s="1" t="s">
        <v>327</v>
      </c>
      <c r="F13" s="16">
        <v>41457</v>
      </c>
      <c r="G13" s="16">
        <v>41487</v>
      </c>
      <c r="H13" s="17">
        <f t="shared" si="0"/>
        <v>29</v>
      </c>
      <c r="I13" s="1">
        <f t="shared" si="1"/>
        <v>29000</v>
      </c>
      <c r="J13" s="17">
        <v>25000</v>
      </c>
      <c r="K13" s="17"/>
      <c r="L13" s="18">
        <f t="shared" si="2"/>
        <v>4000</v>
      </c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18">
        <f t="shared" si="3"/>
        <v>0</v>
      </c>
    </row>
    <row r="14" spans="1:25">
      <c r="A14" s="41">
        <f>VLOOKUP(B14,справочник!$B$2:$E$322,4,FALSE)</f>
        <v>109</v>
      </c>
      <c r="B14" t="str">
        <f t="shared" si="4"/>
        <v>114Антипова Жанна Михайловна</v>
      </c>
      <c r="C14" s="1">
        <v>114</v>
      </c>
      <c r="D14" s="3" t="s">
        <v>12</v>
      </c>
      <c r="E14" s="1" t="s">
        <v>328</v>
      </c>
      <c r="F14" s="16">
        <v>41414</v>
      </c>
      <c r="G14" s="16">
        <v>41426</v>
      </c>
      <c r="H14" s="17">
        <f t="shared" si="0"/>
        <v>31</v>
      </c>
      <c r="I14" s="1">
        <f t="shared" si="1"/>
        <v>31000</v>
      </c>
      <c r="J14" s="17">
        <v>10000</v>
      </c>
      <c r="K14" s="17"/>
      <c r="L14" s="18">
        <f t="shared" si="2"/>
        <v>21000</v>
      </c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18">
        <f t="shared" si="3"/>
        <v>0</v>
      </c>
    </row>
    <row r="15" spans="1:25">
      <c r="A15" s="41">
        <f>VLOOKUP(B15,справочник!$B$2:$E$322,4,FALSE)</f>
        <v>130</v>
      </c>
      <c r="B15" t="str">
        <f t="shared" si="4"/>
        <v>137Анциферов Алексей Сергеевич</v>
      </c>
      <c r="C15" s="1">
        <v>137</v>
      </c>
      <c r="D15" s="2" t="s">
        <v>13</v>
      </c>
      <c r="E15" s="1" t="s">
        <v>329</v>
      </c>
      <c r="F15" s="16">
        <v>40841</v>
      </c>
      <c r="G15" s="16">
        <v>40848</v>
      </c>
      <c r="H15" s="17">
        <f t="shared" si="0"/>
        <v>50</v>
      </c>
      <c r="I15" s="1">
        <f t="shared" si="1"/>
        <v>50000</v>
      </c>
      <c r="J15" s="17">
        <f>44000+1000</f>
        <v>45000</v>
      </c>
      <c r="K15" s="17">
        <v>5000</v>
      </c>
      <c r="L15" s="18">
        <f t="shared" si="2"/>
        <v>0</v>
      </c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18">
        <f t="shared" si="3"/>
        <v>0</v>
      </c>
    </row>
    <row r="16" spans="1:25">
      <c r="A16" s="41">
        <f>VLOOKUP(B16,справочник!$B$2:$E$322,4,FALSE)</f>
        <v>7</v>
      </c>
      <c r="B16" t="str">
        <f t="shared" si="4"/>
        <v>7Артемьев Сергей Иванович</v>
      </c>
      <c r="C16" s="1">
        <v>7</v>
      </c>
      <c r="D16" s="3" t="s">
        <v>14</v>
      </c>
      <c r="E16" s="1" t="s">
        <v>330</v>
      </c>
      <c r="F16" s="16">
        <v>41467</v>
      </c>
      <c r="G16" s="16">
        <v>41518</v>
      </c>
      <c r="H16" s="17">
        <f t="shared" si="0"/>
        <v>28</v>
      </c>
      <c r="I16" s="1">
        <f t="shared" si="1"/>
        <v>28000</v>
      </c>
      <c r="J16" s="17"/>
      <c r="K16" s="17"/>
      <c r="L16" s="18">
        <f t="shared" si="2"/>
        <v>28000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18">
        <f t="shared" si="3"/>
        <v>0</v>
      </c>
    </row>
    <row r="17" spans="1:25">
      <c r="A17" s="41">
        <f>VLOOKUP(B17,справочник!$B$2:$E$322,4,FALSE)</f>
        <v>7</v>
      </c>
      <c r="B17" t="str">
        <f t="shared" si="4"/>
        <v>14Артемьев Сергей Иванович</v>
      </c>
      <c r="C17" s="1">
        <v>14</v>
      </c>
      <c r="D17" s="3" t="s">
        <v>14</v>
      </c>
      <c r="E17" s="1" t="s">
        <v>331</v>
      </c>
      <c r="F17" s="16">
        <v>41204</v>
      </c>
      <c r="G17" s="16">
        <v>41214</v>
      </c>
      <c r="H17" s="17">
        <f t="shared" si="0"/>
        <v>38</v>
      </c>
      <c r="I17" s="1">
        <f t="shared" si="1"/>
        <v>38000</v>
      </c>
      <c r="J17" s="17">
        <v>27000</v>
      </c>
      <c r="K17" s="17"/>
      <c r="L17" s="18">
        <f t="shared" si="2"/>
        <v>11000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18">
        <f t="shared" si="3"/>
        <v>0</v>
      </c>
    </row>
    <row r="18" spans="1:25">
      <c r="A18" s="41">
        <f>VLOOKUP(B18,справочник!$B$2:$E$322,4,FALSE)</f>
        <v>193</v>
      </c>
      <c r="B18" t="str">
        <f t="shared" si="4"/>
        <v>201Асташкин Павел Александрович(продал???)</v>
      </c>
      <c r="C18" s="1">
        <v>201</v>
      </c>
      <c r="D18" s="2" t="s">
        <v>15</v>
      </c>
      <c r="E18" s="1" t="s">
        <v>332</v>
      </c>
      <c r="F18" s="1"/>
      <c r="G18" s="1"/>
      <c r="H18" s="17"/>
      <c r="I18" s="1">
        <f t="shared" si="1"/>
        <v>0</v>
      </c>
      <c r="J18" s="17"/>
      <c r="K18" s="17"/>
      <c r="L18" s="18">
        <f t="shared" si="2"/>
        <v>0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18">
        <f t="shared" si="3"/>
        <v>0</v>
      </c>
    </row>
    <row r="19" spans="1:25">
      <c r="A19" s="41">
        <f>VLOOKUP(B19,справочник!$B$2:$E$322,4,FALSE)</f>
        <v>178</v>
      </c>
      <c r="B19" t="str">
        <f t="shared" si="4"/>
        <v>186Афанасьева Злата Сергеевна</v>
      </c>
      <c r="C19" s="1">
        <v>186</v>
      </c>
      <c r="D19" s="3" t="s">
        <v>16</v>
      </c>
      <c r="E19" s="1" t="s">
        <v>333</v>
      </c>
      <c r="F19" s="16">
        <v>41898</v>
      </c>
      <c r="G19" s="16">
        <v>41944</v>
      </c>
      <c r="H19" s="17">
        <f>INT(($H$327-G19)/30)</f>
        <v>14</v>
      </c>
      <c r="I19" s="1">
        <f t="shared" si="1"/>
        <v>14000</v>
      </c>
      <c r="J19" s="17">
        <v>1000</v>
      </c>
      <c r="K19" s="17"/>
      <c r="L19" s="18">
        <f t="shared" si="2"/>
        <v>13000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18">
        <f t="shared" si="3"/>
        <v>0</v>
      </c>
    </row>
    <row r="20" spans="1:25">
      <c r="A20" s="41">
        <f>VLOOKUP(B20,справочник!$B$2:$E$322,4,FALSE)</f>
        <v>119</v>
      </c>
      <c r="B20" t="str">
        <f t="shared" si="4"/>
        <v>124Афян Сасун Аркадиевич</v>
      </c>
      <c r="C20" s="1">
        <v>124</v>
      </c>
      <c r="D20" s="3" t="s">
        <v>17</v>
      </c>
      <c r="E20" s="1" t="s">
        <v>334</v>
      </c>
      <c r="F20" s="16">
        <v>41401</v>
      </c>
      <c r="G20" s="16">
        <v>41426</v>
      </c>
      <c r="H20" s="17">
        <f>INT(($H$327-G20)/30)</f>
        <v>31</v>
      </c>
      <c r="I20" s="1">
        <f t="shared" si="1"/>
        <v>31000</v>
      </c>
      <c r="J20" s="17">
        <v>11000</v>
      </c>
      <c r="K20" s="17"/>
      <c r="L20" s="18">
        <f t="shared" si="2"/>
        <v>20000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18">
        <f t="shared" si="3"/>
        <v>0</v>
      </c>
    </row>
    <row r="21" spans="1:25">
      <c r="A21" s="41">
        <f>VLOOKUP(B21,справочник!$B$2:$E$322,4,FALSE)</f>
        <v>293</v>
      </c>
      <c r="B21" t="str">
        <f t="shared" si="4"/>
        <v>308Ахромеев Андрей Владимирович</v>
      </c>
      <c r="C21" s="1">
        <v>308</v>
      </c>
      <c r="D21" s="3" t="s">
        <v>18</v>
      </c>
      <c r="E21" s="1" t="s">
        <v>335</v>
      </c>
      <c r="F21" s="16">
        <v>40928</v>
      </c>
      <c r="G21" s="16">
        <v>40909</v>
      </c>
      <c r="H21" s="17">
        <f>INT(($H$327-G21)/30)</f>
        <v>48</v>
      </c>
      <c r="I21" s="1">
        <f t="shared" si="1"/>
        <v>48000</v>
      </c>
      <c r="J21" s="17">
        <f>11500+24500</f>
        <v>36000</v>
      </c>
      <c r="K21" s="17"/>
      <c r="L21" s="18">
        <f t="shared" si="2"/>
        <v>12000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18">
        <f t="shared" si="3"/>
        <v>0</v>
      </c>
    </row>
    <row r="22" spans="1:25">
      <c r="A22" s="41">
        <f>VLOOKUP(B22,справочник!$B$2:$E$322,4,FALSE)</f>
        <v>191</v>
      </c>
      <c r="B22" t="str">
        <f t="shared" si="4"/>
        <v>199Бадирьян Тамара Викторовна</v>
      </c>
      <c r="C22" s="1">
        <v>199</v>
      </c>
      <c r="D22" s="2" t="s">
        <v>19</v>
      </c>
      <c r="E22" s="1" t="s">
        <v>336</v>
      </c>
      <c r="F22" s="1"/>
      <c r="G22" s="1"/>
      <c r="H22" s="17"/>
      <c r="I22" s="1">
        <f t="shared" si="1"/>
        <v>0</v>
      </c>
      <c r="J22" s="17"/>
      <c r="K22" s="17"/>
      <c r="L22" s="18">
        <f t="shared" si="2"/>
        <v>0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8">
        <f t="shared" si="3"/>
        <v>0</v>
      </c>
    </row>
    <row r="23" spans="1:25" ht="24">
      <c r="A23" s="41">
        <f>VLOOKUP(B23,справочник!$B$2:$E$322,4,FALSE)</f>
        <v>249</v>
      </c>
      <c r="B23" t="str">
        <f t="shared" si="4"/>
        <v>260Байбикова Рузалия Равилевна / Байбикова Руфия Равилевна</v>
      </c>
      <c r="C23" s="1">
        <v>260</v>
      </c>
      <c r="D23" s="3" t="s">
        <v>20</v>
      </c>
      <c r="E23" s="1" t="s">
        <v>337</v>
      </c>
      <c r="F23" s="16">
        <v>41604</v>
      </c>
      <c r="G23" s="16">
        <v>41609</v>
      </c>
      <c r="H23" s="17">
        <f t="shared" ref="H23:H74" si="5">INT(($H$327-G23)/30)</f>
        <v>25</v>
      </c>
      <c r="I23" s="1">
        <f t="shared" si="1"/>
        <v>25000</v>
      </c>
      <c r="J23" s="17">
        <f>1000</f>
        <v>1000</v>
      </c>
      <c r="K23" s="17"/>
      <c r="L23" s="18">
        <f t="shared" si="2"/>
        <v>24000</v>
      </c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18">
        <f t="shared" si="3"/>
        <v>0</v>
      </c>
    </row>
    <row r="24" spans="1:25">
      <c r="A24" s="41">
        <f>VLOOKUP(B24,справочник!$B$2:$E$322,4,FALSE)</f>
        <v>72</v>
      </c>
      <c r="B24" t="str">
        <f t="shared" si="4"/>
        <v>78Лещёва Ольга Владимировна</v>
      </c>
      <c r="C24" s="1">
        <v>78</v>
      </c>
      <c r="D24" s="3" t="s">
        <v>21</v>
      </c>
      <c r="E24" s="1" t="s">
        <v>338</v>
      </c>
      <c r="F24" s="16">
        <v>40793</v>
      </c>
      <c r="G24" s="16">
        <v>40787</v>
      </c>
      <c r="H24" s="17">
        <f t="shared" si="5"/>
        <v>52</v>
      </c>
      <c r="I24" s="1">
        <f t="shared" si="1"/>
        <v>52000</v>
      </c>
      <c r="J24" s="17">
        <f>19000+1500+2500+23000</f>
        <v>46000</v>
      </c>
      <c r="K24" s="17"/>
      <c r="L24" s="18">
        <f t="shared" si="2"/>
        <v>6000</v>
      </c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18">
        <f t="shared" si="3"/>
        <v>0</v>
      </c>
    </row>
    <row r="25" spans="1:25">
      <c r="A25" s="41">
        <f>VLOOKUP(B25,справочник!$B$2:$E$322,4,FALSE)</f>
        <v>125</v>
      </c>
      <c r="B25" t="str">
        <f t="shared" si="4"/>
        <v>130Безбородова Людмила Михайловна</v>
      </c>
      <c r="C25" s="1">
        <v>130</v>
      </c>
      <c r="D25" s="3" t="s">
        <v>22</v>
      </c>
      <c r="E25" s="1" t="s">
        <v>339</v>
      </c>
      <c r="F25" s="16">
        <v>41948</v>
      </c>
      <c r="G25" s="16">
        <v>41974</v>
      </c>
      <c r="H25" s="17">
        <f t="shared" si="5"/>
        <v>13</v>
      </c>
      <c r="I25" s="1">
        <f t="shared" si="1"/>
        <v>13000</v>
      </c>
      <c r="J25" s="17">
        <v>8000</v>
      </c>
      <c r="K25" s="17"/>
      <c r="L25" s="18">
        <f t="shared" si="2"/>
        <v>5000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18">
        <f t="shared" si="3"/>
        <v>0</v>
      </c>
    </row>
    <row r="26" spans="1:25">
      <c r="A26" s="41">
        <f>VLOOKUP(B26,справочник!$B$2:$E$322,4,FALSE)</f>
        <v>229</v>
      </c>
      <c r="B26" t="str">
        <f t="shared" si="4"/>
        <v>238Безменова Татьяна Игоревна</v>
      </c>
      <c r="C26" s="1">
        <v>238</v>
      </c>
      <c r="D26" s="3" t="s">
        <v>23</v>
      </c>
      <c r="E26" s="1" t="s">
        <v>340</v>
      </c>
      <c r="F26" s="16">
        <v>41373</v>
      </c>
      <c r="G26" s="16">
        <v>41395</v>
      </c>
      <c r="H26" s="17">
        <f t="shared" si="5"/>
        <v>32</v>
      </c>
      <c r="I26" s="1">
        <f t="shared" si="1"/>
        <v>32000</v>
      </c>
      <c r="J26" s="17">
        <v>9000</v>
      </c>
      <c r="K26" s="17"/>
      <c r="L26" s="18">
        <f t="shared" si="2"/>
        <v>23000</v>
      </c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18">
        <f t="shared" si="3"/>
        <v>0</v>
      </c>
    </row>
    <row r="27" spans="1:25">
      <c r="A27" s="41">
        <f>VLOOKUP(B27,справочник!$B$2:$E$322,4,FALSE)</f>
        <v>296</v>
      </c>
      <c r="B27" t="str">
        <f t="shared" si="4"/>
        <v>311Бекмансурова Динара Василевна</v>
      </c>
      <c r="C27" s="1">
        <v>311</v>
      </c>
      <c r="D27" s="3" t="s">
        <v>24</v>
      </c>
      <c r="E27" s="1" t="s">
        <v>341</v>
      </c>
      <c r="F27" s="16">
        <v>41008</v>
      </c>
      <c r="G27" s="16">
        <v>41000</v>
      </c>
      <c r="H27" s="17">
        <f t="shared" si="5"/>
        <v>45</v>
      </c>
      <c r="I27" s="1">
        <f t="shared" si="1"/>
        <v>45000</v>
      </c>
      <c r="J27" s="17">
        <v>1000</v>
      </c>
      <c r="K27" s="17"/>
      <c r="L27" s="18">
        <f t="shared" si="2"/>
        <v>44000</v>
      </c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18">
        <f t="shared" si="3"/>
        <v>0</v>
      </c>
    </row>
    <row r="28" spans="1:25">
      <c r="A28" s="41">
        <f>VLOOKUP(B28,справочник!$B$2:$E$322,4,FALSE)</f>
        <v>281</v>
      </c>
      <c r="B28" t="str">
        <f t="shared" si="4"/>
        <v xml:space="preserve">293Белов Семён Иванович          </v>
      </c>
      <c r="C28" s="1">
        <v>293</v>
      </c>
      <c r="D28" s="3" t="s">
        <v>25</v>
      </c>
      <c r="E28" s="1" t="s">
        <v>342</v>
      </c>
      <c r="F28" s="16">
        <v>41766</v>
      </c>
      <c r="G28" s="16">
        <v>41791</v>
      </c>
      <c r="H28" s="17">
        <f t="shared" si="5"/>
        <v>19</v>
      </c>
      <c r="I28" s="1">
        <f t="shared" si="1"/>
        <v>19000</v>
      </c>
      <c r="J28" s="17">
        <v>1000</v>
      </c>
      <c r="K28" s="17"/>
      <c r="L28" s="18">
        <f t="shared" si="2"/>
        <v>18000</v>
      </c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18">
        <f t="shared" si="3"/>
        <v>0</v>
      </c>
    </row>
    <row r="29" spans="1:25">
      <c r="A29" s="41">
        <f>VLOOKUP(B29,справочник!$B$2:$E$322,4,FALSE)</f>
        <v>198</v>
      </c>
      <c r="B29" t="str">
        <f t="shared" si="4"/>
        <v>206Белоглазова Людмила Ивановна</v>
      </c>
      <c r="C29" s="1">
        <v>206</v>
      </c>
      <c r="D29" s="2" t="s">
        <v>26</v>
      </c>
      <c r="E29" s="1" t="s">
        <v>343</v>
      </c>
      <c r="F29" s="16">
        <v>40816</v>
      </c>
      <c r="G29" s="16">
        <v>40787</v>
      </c>
      <c r="H29" s="17">
        <f t="shared" si="5"/>
        <v>52</v>
      </c>
      <c r="I29" s="1">
        <f t="shared" si="1"/>
        <v>52000</v>
      </c>
      <c r="J29" s="17">
        <f>50000+1000</f>
        <v>51000</v>
      </c>
      <c r="K29" s="17">
        <v>1000</v>
      </c>
      <c r="L29" s="18">
        <f t="shared" si="2"/>
        <v>0</v>
      </c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18">
        <f t="shared" si="3"/>
        <v>0</v>
      </c>
    </row>
    <row r="30" spans="1:25">
      <c r="A30" s="41">
        <f>VLOOKUP(B30,справочник!$B$2:$E$322,4,FALSE)</f>
        <v>52</v>
      </c>
      <c r="B30" t="str">
        <f t="shared" si="4"/>
        <v>54Бельская Светлана Александровна (Владимир)</v>
      </c>
      <c r="C30" s="1">
        <v>54</v>
      </c>
      <c r="D30" s="2" t="s">
        <v>27</v>
      </c>
      <c r="E30" s="1" t="s">
        <v>344</v>
      </c>
      <c r="F30" s="16">
        <v>41016</v>
      </c>
      <c r="G30" s="16">
        <v>41000</v>
      </c>
      <c r="H30" s="17">
        <f t="shared" si="5"/>
        <v>45</v>
      </c>
      <c r="I30" s="1">
        <f t="shared" si="1"/>
        <v>45000</v>
      </c>
      <c r="J30" s="17">
        <v>40000</v>
      </c>
      <c r="K30" s="17">
        <v>5000</v>
      </c>
      <c r="L30" s="18">
        <v>5000</v>
      </c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18">
        <v>5000</v>
      </c>
    </row>
    <row r="31" spans="1:25">
      <c r="A31" s="41">
        <f>VLOOKUP(B31,справочник!$B$2:$E$322,4,FALSE)</f>
        <v>51</v>
      </c>
      <c r="B31" t="str">
        <f t="shared" si="4"/>
        <v>53Бельский Владимир Владимирович (Светлана)</v>
      </c>
      <c r="C31" s="1">
        <v>53</v>
      </c>
      <c r="D31" s="2" t="s">
        <v>28</v>
      </c>
      <c r="E31" s="1" t="s">
        <v>345</v>
      </c>
      <c r="F31" s="16">
        <v>41016</v>
      </c>
      <c r="G31" s="16">
        <v>41000</v>
      </c>
      <c r="H31" s="17">
        <f t="shared" si="5"/>
        <v>45</v>
      </c>
      <c r="I31" s="1">
        <f t="shared" si="1"/>
        <v>45000</v>
      </c>
      <c r="J31" s="17">
        <v>28000</v>
      </c>
      <c r="K31" s="17">
        <v>7000</v>
      </c>
      <c r="L31" s="18">
        <v>5000</v>
      </c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18">
        <v>5000</v>
      </c>
    </row>
    <row r="32" spans="1:25">
      <c r="A32" s="41">
        <f>VLOOKUP(B32,справочник!$B$2:$E$322,4,FALSE)</f>
        <v>136</v>
      </c>
      <c r="B32" t="str">
        <f t="shared" si="4"/>
        <v>144Беляков Виктор Михайлович</v>
      </c>
      <c r="C32" s="1">
        <v>144</v>
      </c>
      <c r="D32" s="3" t="s">
        <v>29</v>
      </c>
      <c r="E32" s="1" t="s">
        <v>346</v>
      </c>
      <c r="F32" s="16">
        <v>41204</v>
      </c>
      <c r="G32" s="16">
        <v>41214</v>
      </c>
      <c r="H32" s="17">
        <f t="shared" si="5"/>
        <v>38</v>
      </c>
      <c r="I32" s="1">
        <f t="shared" si="1"/>
        <v>38000</v>
      </c>
      <c r="J32" s="17">
        <v>28000</v>
      </c>
      <c r="K32" s="17"/>
      <c r="L32" s="18">
        <f t="shared" ref="L32:L95" si="6">I32-J32-K32</f>
        <v>10000</v>
      </c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18">
        <f t="shared" ref="Y32:Y95" si="7">V32-W32-X32</f>
        <v>0</v>
      </c>
    </row>
    <row r="33" spans="1:25">
      <c r="A33" s="41">
        <f>VLOOKUP(B33,справочник!$B$2:$E$322,4,FALSE)</f>
        <v>11</v>
      </c>
      <c r="B33" t="str">
        <f t="shared" si="4"/>
        <v>11Бенгя Владимир Михайлович (Диана)</v>
      </c>
      <c r="C33" s="1">
        <v>11</v>
      </c>
      <c r="D33" s="3" t="s">
        <v>30</v>
      </c>
      <c r="E33" s="1" t="s">
        <v>347</v>
      </c>
      <c r="F33" s="16">
        <v>41204</v>
      </c>
      <c r="G33" s="16">
        <v>41214</v>
      </c>
      <c r="H33" s="17">
        <f t="shared" si="5"/>
        <v>38</v>
      </c>
      <c r="I33" s="1">
        <f t="shared" si="1"/>
        <v>38000</v>
      </c>
      <c r="J33" s="17">
        <v>26000</v>
      </c>
      <c r="K33" s="17"/>
      <c r="L33" s="18">
        <f t="shared" si="6"/>
        <v>12000</v>
      </c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18">
        <f t="shared" si="7"/>
        <v>0</v>
      </c>
    </row>
    <row r="34" spans="1:25">
      <c r="A34" s="41">
        <f>VLOOKUP(B34,справочник!$B$2:$E$322,4,FALSE)</f>
        <v>114</v>
      </c>
      <c r="B34" t="str">
        <f t="shared" si="4"/>
        <v>119Беспаленко Зинаида Александровна</v>
      </c>
      <c r="C34" s="1">
        <v>119</v>
      </c>
      <c r="D34" s="3" t="s">
        <v>31</v>
      </c>
      <c r="E34" s="1" t="s">
        <v>348</v>
      </c>
      <c r="F34" s="16">
        <v>41262</v>
      </c>
      <c r="G34" s="16">
        <v>41275</v>
      </c>
      <c r="H34" s="17">
        <f t="shared" si="5"/>
        <v>36</v>
      </c>
      <c r="I34" s="1">
        <f t="shared" si="1"/>
        <v>36000</v>
      </c>
      <c r="J34" s="17">
        <v>1000</v>
      </c>
      <c r="K34" s="17"/>
      <c r="L34" s="18">
        <f t="shared" si="6"/>
        <v>35000</v>
      </c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18">
        <f t="shared" si="7"/>
        <v>0</v>
      </c>
    </row>
    <row r="35" spans="1:25">
      <c r="A35" s="41">
        <f>VLOOKUP(B35,справочник!$B$2:$E$322,4,FALSE)</f>
        <v>151</v>
      </c>
      <c r="B35" t="str">
        <f t="shared" si="4"/>
        <v>159Бирюков Александр Сергеевич</v>
      </c>
      <c r="C35" s="1">
        <v>159</v>
      </c>
      <c r="D35" s="3" t="s">
        <v>32</v>
      </c>
      <c r="E35" s="1" t="s">
        <v>349</v>
      </c>
      <c r="F35" s="16">
        <v>41121</v>
      </c>
      <c r="G35" s="16">
        <v>41122</v>
      </c>
      <c r="H35" s="17">
        <f t="shared" si="5"/>
        <v>41</v>
      </c>
      <c r="I35" s="1">
        <f t="shared" si="1"/>
        <v>41000</v>
      </c>
      <c r="J35" s="17">
        <v>17000</v>
      </c>
      <c r="K35" s="17"/>
      <c r="L35" s="18">
        <f t="shared" si="6"/>
        <v>24000</v>
      </c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18">
        <f t="shared" si="7"/>
        <v>0</v>
      </c>
    </row>
    <row r="36" spans="1:25">
      <c r="A36" s="41">
        <f>VLOOKUP(B36,справочник!$B$2:$E$322,4,FALSE)</f>
        <v>142</v>
      </c>
      <c r="B36" t="str">
        <f t="shared" si="4"/>
        <v>150Блинков Анатолий Сергеевич</v>
      </c>
      <c r="C36" s="1">
        <v>150</v>
      </c>
      <c r="D36" s="2" t="s">
        <v>33</v>
      </c>
      <c r="E36" s="1" t="s">
        <v>350</v>
      </c>
      <c r="F36" s="16">
        <v>40771</v>
      </c>
      <c r="G36" s="16">
        <v>40787</v>
      </c>
      <c r="H36" s="17">
        <f t="shared" si="5"/>
        <v>52</v>
      </c>
      <c r="I36" s="1">
        <f t="shared" si="1"/>
        <v>52000</v>
      </c>
      <c r="J36" s="17">
        <f>32000+1000</f>
        <v>33000</v>
      </c>
      <c r="K36" s="17">
        <v>19000</v>
      </c>
      <c r="L36" s="18">
        <f t="shared" si="6"/>
        <v>0</v>
      </c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18">
        <f t="shared" si="7"/>
        <v>0</v>
      </c>
    </row>
    <row r="37" spans="1:25">
      <c r="A37" s="41">
        <f>VLOOKUP(B37,справочник!$B$2:$E$322,4,FALSE)</f>
        <v>245</v>
      </c>
      <c r="B37" t="str">
        <f t="shared" si="4"/>
        <v>256Бондарев Станислав Дмитриевич</v>
      </c>
      <c r="C37" s="1">
        <v>256</v>
      </c>
      <c r="D37" s="3" t="s">
        <v>34</v>
      </c>
      <c r="E37" s="1" t="s">
        <v>351</v>
      </c>
      <c r="F37" s="16">
        <v>41930</v>
      </c>
      <c r="G37" s="16">
        <v>41944</v>
      </c>
      <c r="H37" s="17">
        <f t="shared" si="5"/>
        <v>14</v>
      </c>
      <c r="I37" s="1">
        <f t="shared" si="1"/>
        <v>14000</v>
      </c>
      <c r="J37" s="17">
        <v>9000</v>
      </c>
      <c r="K37" s="17"/>
      <c r="L37" s="18">
        <f t="shared" si="6"/>
        <v>5000</v>
      </c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18">
        <f t="shared" si="7"/>
        <v>0</v>
      </c>
    </row>
    <row r="38" spans="1:25">
      <c r="A38" s="41">
        <f>VLOOKUP(B38,справочник!$B$2:$E$322,4,FALSE)</f>
        <v>188</v>
      </c>
      <c r="B38" t="str">
        <f t="shared" si="4"/>
        <v>196Бондаренко Владимир Иванович</v>
      </c>
      <c r="C38" s="5">
        <v>196</v>
      </c>
      <c r="D38" s="3" t="s">
        <v>35</v>
      </c>
      <c r="E38" s="1" t="s">
        <v>352</v>
      </c>
      <c r="F38" s="19">
        <v>41674</v>
      </c>
      <c r="G38" s="19">
        <v>41699</v>
      </c>
      <c r="H38" s="20">
        <f t="shared" si="5"/>
        <v>22</v>
      </c>
      <c r="I38" s="5">
        <f t="shared" si="1"/>
        <v>22000</v>
      </c>
      <c r="J38" s="20">
        <v>10000</v>
      </c>
      <c r="K38" s="20"/>
      <c r="L38" s="21">
        <f t="shared" si="6"/>
        <v>12000</v>
      </c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1">
        <f t="shared" si="7"/>
        <v>0</v>
      </c>
    </row>
    <row r="39" spans="1:25">
      <c r="A39" s="41">
        <f>VLOOKUP(B39,справочник!$B$2:$E$322,4,FALSE)</f>
        <v>188</v>
      </c>
      <c r="B39" t="str">
        <f t="shared" si="4"/>
        <v>197Бондаренко Владимир Иванович</v>
      </c>
      <c r="C39" s="5">
        <v>197</v>
      </c>
      <c r="D39" s="3" t="s">
        <v>35</v>
      </c>
      <c r="E39" s="1"/>
      <c r="F39" s="19">
        <v>41674</v>
      </c>
      <c r="G39" s="19">
        <v>41699</v>
      </c>
      <c r="H39" s="20">
        <f t="shared" si="5"/>
        <v>22</v>
      </c>
      <c r="I39" s="5">
        <f t="shared" si="1"/>
        <v>22000</v>
      </c>
      <c r="J39" s="20"/>
      <c r="K39" s="20"/>
      <c r="L39" s="21">
        <f t="shared" si="6"/>
        <v>22000</v>
      </c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1">
        <f t="shared" si="7"/>
        <v>0</v>
      </c>
    </row>
    <row r="40" spans="1:25">
      <c r="A40" s="41">
        <f>VLOOKUP(B40,справочник!$B$2:$E$322,4,FALSE)</f>
        <v>219</v>
      </c>
      <c r="B40" t="str">
        <f t="shared" si="4"/>
        <v>228Бондарь Василий Дмитриевич</v>
      </c>
      <c r="C40" s="1">
        <v>228</v>
      </c>
      <c r="D40" s="2" t="s">
        <v>36</v>
      </c>
      <c r="E40" s="1" t="s">
        <v>353</v>
      </c>
      <c r="F40" s="16">
        <v>41848</v>
      </c>
      <c r="G40" s="16">
        <v>41883</v>
      </c>
      <c r="H40" s="17">
        <f t="shared" si="5"/>
        <v>16</v>
      </c>
      <c r="I40" s="1">
        <f t="shared" si="1"/>
        <v>16000</v>
      </c>
      <c r="J40" s="17">
        <v>13000</v>
      </c>
      <c r="K40" s="17">
        <v>3000</v>
      </c>
      <c r="L40" s="18">
        <f t="shared" si="6"/>
        <v>0</v>
      </c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18">
        <f t="shared" si="7"/>
        <v>0</v>
      </c>
    </row>
    <row r="41" spans="1:25">
      <c r="A41" s="41">
        <f>VLOOKUP(B41,справочник!$B$2:$E$322,4,FALSE)</f>
        <v>223</v>
      </c>
      <c r="B41" t="str">
        <f t="shared" si="4"/>
        <v>232Борисов Олег Александрович</v>
      </c>
      <c r="C41" s="4">
        <v>232</v>
      </c>
      <c r="D41" s="6" t="s">
        <v>37</v>
      </c>
      <c r="E41" s="1" t="s">
        <v>354</v>
      </c>
      <c r="F41" s="16">
        <v>40955</v>
      </c>
      <c r="G41" s="16">
        <v>40940</v>
      </c>
      <c r="H41" s="17">
        <f t="shared" si="5"/>
        <v>47</v>
      </c>
      <c r="I41" s="1">
        <f t="shared" si="1"/>
        <v>47000</v>
      </c>
      <c r="J41" s="17">
        <v>1000</v>
      </c>
      <c r="K41" s="17"/>
      <c r="L41" s="18">
        <f t="shared" si="6"/>
        <v>46000</v>
      </c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18">
        <f t="shared" si="7"/>
        <v>0</v>
      </c>
    </row>
    <row r="42" spans="1:25">
      <c r="A42" s="41">
        <f>VLOOKUP(B42,справочник!$B$2:$E$322,4,FALSE)</f>
        <v>137</v>
      </c>
      <c r="B42" t="str">
        <f t="shared" si="4"/>
        <v>145Бранцова Татьяна Валерьевна</v>
      </c>
      <c r="C42" s="1">
        <v>145</v>
      </c>
      <c r="D42" s="2" t="s">
        <v>38</v>
      </c>
      <c r="E42" s="1" t="s">
        <v>355</v>
      </c>
      <c r="F42" s="16">
        <v>41030</v>
      </c>
      <c r="G42" s="16">
        <v>41030</v>
      </c>
      <c r="H42" s="17">
        <f t="shared" si="5"/>
        <v>44</v>
      </c>
      <c r="I42" s="1">
        <f t="shared" si="1"/>
        <v>44000</v>
      </c>
      <c r="J42" s="17">
        <v>44000</v>
      </c>
      <c r="K42" s="17"/>
      <c r="L42" s="18">
        <f t="shared" si="6"/>
        <v>0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18">
        <f t="shared" si="7"/>
        <v>0</v>
      </c>
    </row>
    <row r="43" spans="1:25">
      <c r="A43" s="41">
        <f>VLOOKUP(B43,справочник!$B$2:$E$322,4,FALSE)</f>
        <v>105</v>
      </c>
      <c r="B43" t="str">
        <f t="shared" si="4"/>
        <v>110Брылёв Андрей Вячеславович</v>
      </c>
      <c r="C43" s="1">
        <v>110</v>
      </c>
      <c r="D43" s="3" t="s">
        <v>39</v>
      </c>
      <c r="E43" s="1" t="s">
        <v>356</v>
      </c>
      <c r="F43" s="16">
        <v>40925</v>
      </c>
      <c r="G43" s="16">
        <v>40909</v>
      </c>
      <c r="H43" s="17">
        <f t="shared" si="5"/>
        <v>48</v>
      </c>
      <c r="I43" s="1">
        <f t="shared" si="1"/>
        <v>48000</v>
      </c>
      <c r="J43" s="17">
        <v>28000</v>
      </c>
      <c r="K43" s="17"/>
      <c r="L43" s="18">
        <f t="shared" si="6"/>
        <v>20000</v>
      </c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18">
        <f t="shared" si="7"/>
        <v>0</v>
      </c>
    </row>
    <row r="44" spans="1:25">
      <c r="A44" s="41">
        <f>VLOOKUP(B44,справочник!$B$2:$E$322,4,FALSE)</f>
        <v>98</v>
      </c>
      <c r="B44" t="str">
        <f t="shared" si="4"/>
        <v>103Бугрова Вероника Артуровна</v>
      </c>
      <c r="C44" s="1">
        <v>103</v>
      </c>
      <c r="D44" s="3" t="s">
        <v>40</v>
      </c>
      <c r="E44" s="1" t="s">
        <v>357</v>
      </c>
      <c r="F44" s="16">
        <v>40897</v>
      </c>
      <c r="G44" s="16">
        <v>40878</v>
      </c>
      <c r="H44" s="17">
        <f t="shared" si="5"/>
        <v>49</v>
      </c>
      <c r="I44" s="1">
        <f t="shared" si="1"/>
        <v>49000</v>
      </c>
      <c r="J44" s="17">
        <f>29000+1000</f>
        <v>30000</v>
      </c>
      <c r="K44" s="17"/>
      <c r="L44" s="18">
        <f t="shared" si="6"/>
        <v>19000</v>
      </c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18">
        <f t="shared" si="7"/>
        <v>0</v>
      </c>
    </row>
    <row r="45" spans="1:25">
      <c r="A45" s="41">
        <f>VLOOKUP(B45,справочник!$B$2:$E$322,4,FALSE)</f>
        <v>274</v>
      </c>
      <c r="B45" t="str">
        <f t="shared" si="4"/>
        <v>287Будаев Андрей Анатольевич</v>
      </c>
      <c r="C45" s="5">
        <v>287</v>
      </c>
      <c r="D45" s="7" t="s">
        <v>41</v>
      </c>
      <c r="E45" s="5"/>
      <c r="F45" s="19">
        <v>42023</v>
      </c>
      <c r="G45" s="19">
        <v>42036</v>
      </c>
      <c r="H45" s="20">
        <f t="shared" si="5"/>
        <v>11</v>
      </c>
      <c r="I45" s="5">
        <f t="shared" si="1"/>
        <v>11000</v>
      </c>
      <c r="J45" s="20">
        <v>2000</v>
      </c>
      <c r="K45" s="20"/>
      <c r="L45" s="21">
        <f t="shared" si="6"/>
        <v>9000</v>
      </c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1">
        <f t="shared" si="7"/>
        <v>0</v>
      </c>
    </row>
    <row r="46" spans="1:25">
      <c r="A46" s="41">
        <f>VLOOKUP(B46,справочник!$B$2:$E$322,4,FALSE)</f>
        <v>274</v>
      </c>
      <c r="B46" t="str">
        <f t="shared" si="4"/>
        <v>295Будаев Андрей Анатольевич</v>
      </c>
      <c r="C46" s="5">
        <v>295</v>
      </c>
      <c r="D46" s="7" t="s">
        <v>41</v>
      </c>
      <c r="E46" s="5"/>
      <c r="F46" s="19">
        <v>42023</v>
      </c>
      <c r="G46" s="19">
        <v>42036</v>
      </c>
      <c r="H46" s="20">
        <f t="shared" si="5"/>
        <v>11</v>
      </c>
      <c r="I46" s="5">
        <f t="shared" si="1"/>
        <v>11000</v>
      </c>
      <c r="J46" s="20"/>
      <c r="K46" s="20"/>
      <c r="L46" s="21">
        <f t="shared" si="6"/>
        <v>11000</v>
      </c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1">
        <f t="shared" si="7"/>
        <v>0</v>
      </c>
    </row>
    <row r="47" spans="1:25">
      <c r="A47" s="41">
        <f>VLOOKUP(B47,справочник!$B$2:$E$322,4,FALSE)</f>
        <v>175</v>
      </c>
      <c r="B47" t="str">
        <f t="shared" si="4"/>
        <v>183Буланова Лилия Михайловна</v>
      </c>
      <c r="C47" s="5">
        <v>183</v>
      </c>
      <c r="D47" s="7" t="s">
        <v>42</v>
      </c>
      <c r="E47" s="1" t="s">
        <v>358</v>
      </c>
      <c r="F47" s="19">
        <v>41865</v>
      </c>
      <c r="G47" s="19">
        <v>41883</v>
      </c>
      <c r="H47" s="20">
        <f t="shared" si="5"/>
        <v>16</v>
      </c>
      <c r="I47" s="5">
        <f t="shared" si="1"/>
        <v>16000</v>
      </c>
      <c r="J47" s="20"/>
      <c r="K47" s="20"/>
      <c r="L47" s="21">
        <f t="shared" si="6"/>
        <v>16000</v>
      </c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1">
        <f t="shared" si="7"/>
        <v>0</v>
      </c>
    </row>
    <row r="48" spans="1:25">
      <c r="A48" s="41">
        <f>VLOOKUP(B48,справочник!$B$2:$E$322,4,FALSE)</f>
        <v>175</v>
      </c>
      <c r="B48" t="str">
        <f t="shared" si="4"/>
        <v>187Буланова Лилия Михайловна</v>
      </c>
      <c r="C48" s="5">
        <v>187</v>
      </c>
      <c r="D48" s="3" t="s">
        <v>42</v>
      </c>
      <c r="E48" s="1" t="s">
        <v>359</v>
      </c>
      <c r="F48" s="19">
        <v>41865</v>
      </c>
      <c r="G48" s="19">
        <v>41883</v>
      </c>
      <c r="H48" s="20">
        <f t="shared" si="5"/>
        <v>16</v>
      </c>
      <c r="I48" s="5">
        <f t="shared" si="1"/>
        <v>16000</v>
      </c>
      <c r="J48" s="20"/>
      <c r="K48" s="20"/>
      <c r="L48" s="21">
        <f t="shared" si="6"/>
        <v>16000</v>
      </c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1">
        <f t="shared" si="7"/>
        <v>0</v>
      </c>
    </row>
    <row r="49" spans="1:25">
      <c r="A49" s="41">
        <f>VLOOKUP(B49,справочник!$B$2:$E$322,4,FALSE)</f>
        <v>303</v>
      </c>
      <c r="B49" t="str">
        <f t="shared" si="4"/>
        <v>318Бурдух Юрие</v>
      </c>
      <c r="C49" s="5">
        <v>318</v>
      </c>
      <c r="D49" s="3" t="s">
        <v>43</v>
      </c>
      <c r="E49" s="1" t="s">
        <v>360</v>
      </c>
      <c r="F49" s="19">
        <v>42002</v>
      </c>
      <c r="G49" s="19">
        <v>42005</v>
      </c>
      <c r="H49" s="20">
        <f t="shared" si="5"/>
        <v>12</v>
      </c>
      <c r="I49" s="5">
        <f t="shared" si="1"/>
        <v>12000</v>
      </c>
      <c r="J49" s="20"/>
      <c r="K49" s="20"/>
      <c r="L49" s="21">
        <f t="shared" si="6"/>
        <v>12000</v>
      </c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1">
        <f t="shared" si="7"/>
        <v>0</v>
      </c>
    </row>
    <row r="50" spans="1:25">
      <c r="A50" s="41">
        <f>VLOOKUP(B50,справочник!$B$2:$E$322,4,FALSE)</f>
        <v>303</v>
      </c>
      <c r="B50" t="str">
        <f t="shared" si="4"/>
        <v>319Бурдух Юрие</v>
      </c>
      <c r="C50" s="5">
        <v>319</v>
      </c>
      <c r="D50" s="3" t="s">
        <v>43</v>
      </c>
      <c r="E50" s="1" t="s">
        <v>361</v>
      </c>
      <c r="F50" s="19">
        <v>42002</v>
      </c>
      <c r="G50" s="19">
        <v>42005</v>
      </c>
      <c r="H50" s="20">
        <f t="shared" si="5"/>
        <v>12</v>
      </c>
      <c r="I50" s="5">
        <f t="shared" si="1"/>
        <v>12000</v>
      </c>
      <c r="J50" s="20"/>
      <c r="K50" s="20"/>
      <c r="L50" s="21">
        <f t="shared" si="6"/>
        <v>12000</v>
      </c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1">
        <f t="shared" si="7"/>
        <v>0</v>
      </c>
    </row>
    <row r="51" spans="1:25">
      <c r="A51" s="41">
        <f>VLOOKUP(B51,справочник!$B$2:$E$322,4,FALSE)</f>
        <v>90</v>
      </c>
      <c r="B51" t="str">
        <f t="shared" si="4"/>
        <v>95Быданцева Нина Юрьевна</v>
      </c>
      <c r="C51" s="1">
        <v>95</v>
      </c>
      <c r="D51" s="2" t="s">
        <v>44</v>
      </c>
      <c r="E51" s="1" t="s">
        <v>362</v>
      </c>
      <c r="F51" s="16">
        <v>40795</v>
      </c>
      <c r="G51" s="16">
        <v>40787</v>
      </c>
      <c r="H51" s="17">
        <f t="shared" si="5"/>
        <v>52</v>
      </c>
      <c r="I51" s="1">
        <f t="shared" si="1"/>
        <v>52000</v>
      </c>
      <c r="J51" s="17">
        <f>36000+4000+12000</f>
        <v>52000</v>
      </c>
      <c r="K51" s="17"/>
      <c r="L51" s="18">
        <f t="shared" si="6"/>
        <v>0</v>
      </c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18">
        <f t="shared" si="7"/>
        <v>0</v>
      </c>
    </row>
    <row r="52" spans="1:25">
      <c r="A52" s="41">
        <f>VLOOKUP(B52,справочник!$B$2:$E$322,4,FALSE)</f>
        <v>206</v>
      </c>
      <c r="B52" t="str">
        <f t="shared" si="4"/>
        <v>216Валеев Артур Рашидович</v>
      </c>
      <c r="C52" s="1">
        <v>216</v>
      </c>
      <c r="D52" s="3" t="s">
        <v>45</v>
      </c>
      <c r="E52" s="1" t="s">
        <v>363</v>
      </c>
      <c r="F52" s="16">
        <v>40953</v>
      </c>
      <c r="G52" s="16">
        <v>40940</v>
      </c>
      <c r="H52" s="17">
        <f t="shared" si="5"/>
        <v>47</v>
      </c>
      <c r="I52" s="1">
        <f t="shared" si="1"/>
        <v>47000</v>
      </c>
      <c r="J52" s="17">
        <v>38000</v>
      </c>
      <c r="K52" s="17"/>
      <c r="L52" s="18">
        <f t="shared" si="6"/>
        <v>9000</v>
      </c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18">
        <f t="shared" si="7"/>
        <v>0</v>
      </c>
    </row>
    <row r="53" spans="1:25">
      <c r="A53" s="41">
        <f>VLOOKUP(B53,справочник!$B$2:$E$322,4,FALSE)</f>
        <v>101</v>
      </c>
      <c r="B53" t="str">
        <f t="shared" si="4"/>
        <v>106Васильев Николай Владимирович</v>
      </c>
      <c r="C53" s="1">
        <v>106</v>
      </c>
      <c r="D53" s="3" t="s">
        <v>46</v>
      </c>
      <c r="E53" s="1" t="s">
        <v>364</v>
      </c>
      <c r="F53" s="16">
        <v>40816</v>
      </c>
      <c r="G53" s="16">
        <v>40787</v>
      </c>
      <c r="H53" s="17">
        <f t="shared" si="5"/>
        <v>52</v>
      </c>
      <c r="I53" s="1">
        <f t="shared" si="1"/>
        <v>52000</v>
      </c>
      <c r="J53" s="17">
        <f>42000+1000</f>
        <v>43000</v>
      </c>
      <c r="K53" s="17"/>
      <c r="L53" s="18">
        <f t="shared" si="6"/>
        <v>9000</v>
      </c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18">
        <f t="shared" si="7"/>
        <v>0</v>
      </c>
    </row>
    <row r="54" spans="1:25">
      <c r="A54" s="41">
        <f>VLOOKUP(B54,справочник!$B$2:$E$322,4,FALSE)</f>
        <v>86</v>
      </c>
      <c r="B54" t="str">
        <f t="shared" si="4"/>
        <v>91Васильева Ольга Александровна</v>
      </c>
      <c r="C54" s="1">
        <v>91</v>
      </c>
      <c r="D54" s="2" t="s">
        <v>47</v>
      </c>
      <c r="E54" s="1" t="s">
        <v>365</v>
      </c>
      <c r="F54" s="16">
        <v>40847</v>
      </c>
      <c r="G54" s="16">
        <v>40817</v>
      </c>
      <c r="H54" s="17">
        <f t="shared" si="5"/>
        <v>51</v>
      </c>
      <c r="I54" s="1">
        <f t="shared" si="1"/>
        <v>51000</v>
      </c>
      <c r="J54" s="17">
        <f>34000+13000</f>
        <v>47000</v>
      </c>
      <c r="K54" s="17">
        <v>4000</v>
      </c>
      <c r="L54" s="18">
        <f t="shared" si="6"/>
        <v>0</v>
      </c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18">
        <f t="shared" si="7"/>
        <v>0</v>
      </c>
    </row>
    <row r="55" spans="1:25">
      <c r="A55" s="41">
        <f>VLOOKUP(B55,справочник!$B$2:$E$322,4,FALSE)</f>
        <v>43</v>
      </c>
      <c r="B55" t="str">
        <f t="shared" si="4"/>
        <v>43Васильцова Елена Владимировна</v>
      </c>
      <c r="C55" s="1">
        <v>43</v>
      </c>
      <c r="D55" s="3" t="s">
        <v>48</v>
      </c>
      <c r="E55" s="1" t="s">
        <v>366</v>
      </c>
      <c r="F55" s="16">
        <v>40786</v>
      </c>
      <c r="G55" s="16">
        <v>40787</v>
      </c>
      <c r="H55" s="17">
        <f t="shared" si="5"/>
        <v>52</v>
      </c>
      <c r="I55" s="1">
        <f t="shared" si="1"/>
        <v>52000</v>
      </c>
      <c r="J55" s="17">
        <f>27000+2000</f>
        <v>29000</v>
      </c>
      <c r="K55" s="17"/>
      <c r="L55" s="18">
        <f t="shared" si="6"/>
        <v>23000</v>
      </c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18">
        <f t="shared" si="7"/>
        <v>0</v>
      </c>
    </row>
    <row r="56" spans="1:25">
      <c r="A56" s="41">
        <f>VLOOKUP(B56,справочник!$B$2:$E$322,4,FALSE)</f>
        <v>25</v>
      </c>
      <c r="B56" t="str">
        <f t="shared" si="4"/>
        <v>25Вершинина Елена Анатольевна</v>
      </c>
      <c r="C56" s="1">
        <v>25</v>
      </c>
      <c r="D56" s="2" t="s">
        <v>49</v>
      </c>
      <c r="E56" s="1" t="s">
        <v>367</v>
      </c>
      <c r="F56" s="16">
        <v>40955</v>
      </c>
      <c r="G56" s="16">
        <v>40940</v>
      </c>
      <c r="H56" s="17">
        <f t="shared" si="5"/>
        <v>47</v>
      </c>
      <c r="I56" s="1">
        <f t="shared" si="1"/>
        <v>47000</v>
      </c>
      <c r="J56" s="17">
        <f>33000+11000</f>
        <v>44000</v>
      </c>
      <c r="K56" s="17">
        <v>3000</v>
      </c>
      <c r="L56" s="18">
        <f t="shared" si="6"/>
        <v>0</v>
      </c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18">
        <f t="shared" si="7"/>
        <v>0</v>
      </c>
    </row>
    <row r="57" spans="1:25">
      <c r="A57" s="41">
        <f>VLOOKUP(B57,справочник!$B$2:$E$322,4,FALSE)</f>
        <v>138</v>
      </c>
      <c r="B57" t="str">
        <f t="shared" si="4"/>
        <v>146Виноградова Наталья Дмитриевна (Николай)</v>
      </c>
      <c r="C57" s="1">
        <v>146</v>
      </c>
      <c r="D57" s="2" t="s">
        <v>50</v>
      </c>
      <c r="E57" s="1" t="s">
        <v>368</v>
      </c>
      <c r="F57" s="16">
        <v>40784</v>
      </c>
      <c r="G57" s="16">
        <v>40756</v>
      </c>
      <c r="H57" s="17">
        <f t="shared" si="5"/>
        <v>53</v>
      </c>
      <c r="I57" s="1">
        <f t="shared" si="1"/>
        <v>53000</v>
      </c>
      <c r="J57" s="17">
        <f>53000</f>
        <v>53000</v>
      </c>
      <c r="K57" s="17"/>
      <c r="L57" s="18">
        <f t="shared" si="6"/>
        <v>0</v>
      </c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18">
        <f t="shared" si="7"/>
        <v>0</v>
      </c>
    </row>
    <row r="58" spans="1:25">
      <c r="A58" s="41">
        <f>VLOOKUP(B58,справочник!$B$2:$E$322,4,FALSE)</f>
        <v>228</v>
      </c>
      <c r="B58" t="str">
        <f t="shared" si="4"/>
        <v>237Виртилецкий Денис Вячеславович</v>
      </c>
      <c r="C58" s="1">
        <v>237</v>
      </c>
      <c r="D58" s="3" t="s">
        <v>51</v>
      </c>
      <c r="E58" s="1" t="s">
        <v>369</v>
      </c>
      <c r="F58" s="16">
        <v>41703</v>
      </c>
      <c r="G58" s="16">
        <v>41730</v>
      </c>
      <c r="H58" s="17">
        <f t="shared" si="5"/>
        <v>21</v>
      </c>
      <c r="I58" s="1">
        <f t="shared" si="1"/>
        <v>21000</v>
      </c>
      <c r="J58" s="17"/>
      <c r="K58" s="17"/>
      <c r="L58" s="18">
        <f t="shared" si="6"/>
        <v>21000</v>
      </c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18">
        <f t="shared" si="7"/>
        <v>0</v>
      </c>
    </row>
    <row r="59" spans="1:25">
      <c r="A59" s="41">
        <f>VLOOKUP(B59,справочник!$B$2:$E$322,4,FALSE)</f>
        <v>37</v>
      </c>
      <c r="B59" t="str">
        <f t="shared" si="4"/>
        <v>37Водянова Ольга Александровна</v>
      </c>
      <c r="C59" s="1">
        <v>37</v>
      </c>
      <c r="D59" s="2" t="s">
        <v>52</v>
      </c>
      <c r="E59" s="1" t="s">
        <v>370</v>
      </c>
      <c r="F59" s="16">
        <v>40795</v>
      </c>
      <c r="G59" s="16">
        <v>40787</v>
      </c>
      <c r="H59" s="17">
        <f t="shared" si="5"/>
        <v>52</v>
      </c>
      <c r="I59" s="1">
        <f t="shared" si="1"/>
        <v>52000</v>
      </c>
      <c r="J59" s="17">
        <f>48000+4000</f>
        <v>52000</v>
      </c>
      <c r="K59" s="17"/>
      <c r="L59" s="18">
        <f t="shared" si="6"/>
        <v>0</v>
      </c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18">
        <f t="shared" si="7"/>
        <v>0</v>
      </c>
    </row>
    <row r="60" spans="1:25">
      <c r="A60" s="41">
        <f>VLOOKUP(B60,справочник!$B$2:$E$322,4,FALSE)</f>
        <v>126</v>
      </c>
      <c r="B60" t="str">
        <f t="shared" si="4"/>
        <v>131Волгушев Дмитрий Геннадиевич</v>
      </c>
      <c r="C60" s="1">
        <v>131</v>
      </c>
      <c r="D60" s="2" t="s">
        <v>53</v>
      </c>
      <c r="E60" s="1" t="s">
        <v>371</v>
      </c>
      <c r="F60" s="16">
        <v>41183</v>
      </c>
      <c r="G60" s="16">
        <v>41244</v>
      </c>
      <c r="H60" s="17">
        <f t="shared" si="5"/>
        <v>37</v>
      </c>
      <c r="I60" s="1">
        <f t="shared" si="1"/>
        <v>37000</v>
      </c>
      <c r="J60" s="17">
        <f>24000</f>
        <v>24000</v>
      </c>
      <c r="K60" s="17">
        <v>13000</v>
      </c>
      <c r="L60" s="18">
        <f t="shared" si="6"/>
        <v>0</v>
      </c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18">
        <f t="shared" si="7"/>
        <v>0</v>
      </c>
    </row>
    <row r="61" spans="1:25">
      <c r="A61" s="41">
        <f>VLOOKUP(B61,справочник!$B$2:$E$322,4,FALSE)</f>
        <v>58</v>
      </c>
      <c r="B61" t="str">
        <f t="shared" si="4"/>
        <v>60Володина Инна Александровна</v>
      </c>
      <c r="C61" s="1">
        <v>60</v>
      </c>
      <c r="D61" s="2" t="s">
        <v>54</v>
      </c>
      <c r="E61" s="1" t="s">
        <v>372</v>
      </c>
      <c r="F61" s="16">
        <v>41303</v>
      </c>
      <c r="G61" s="16">
        <v>41306</v>
      </c>
      <c r="H61" s="17">
        <f t="shared" si="5"/>
        <v>35</v>
      </c>
      <c r="I61" s="1">
        <f t="shared" si="1"/>
        <v>35000</v>
      </c>
      <c r="J61" s="17">
        <f>31000</f>
        <v>31000</v>
      </c>
      <c r="K61" s="17"/>
      <c r="L61" s="18">
        <f t="shared" si="6"/>
        <v>4000</v>
      </c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18">
        <f t="shared" si="7"/>
        <v>0</v>
      </c>
    </row>
    <row r="62" spans="1:25">
      <c r="A62" s="41">
        <f>VLOOKUP(B62,справочник!$B$2:$E$322,4,FALSE)</f>
        <v>117</v>
      </c>
      <c r="B62" t="str">
        <f t="shared" si="4"/>
        <v>122Вольский Андрей Юрьевич</v>
      </c>
      <c r="C62" s="1">
        <v>122</v>
      </c>
      <c r="D62" s="3" t="s">
        <v>55</v>
      </c>
      <c r="E62" s="1" t="s">
        <v>373</v>
      </c>
      <c r="F62" s="16">
        <v>41407</v>
      </c>
      <c r="G62" s="16">
        <v>41426</v>
      </c>
      <c r="H62" s="17">
        <f t="shared" si="5"/>
        <v>31</v>
      </c>
      <c r="I62" s="1">
        <f t="shared" si="1"/>
        <v>31000</v>
      </c>
      <c r="J62" s="17">
        <f>12000</f>
        <v>12000</v>
      </c>
      <c r="K62" s="17"/>
      <c r="L62" s="18">
        <f t="shared" si="6"/>
        <v>19000</v>
      </c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18">
        <f t="shared" si="7"/>
        <v>0</v>
      </c>
    </row>
    <row r="63" spans="1:25">
      <c r="A63" s="41">
        <f>VLOOKUP(B63,справочник!$B$2:$E$322,4,FALSE)</f>
        <v>61</v>
      </c>
      <c r="B63" t="str">
        <f t="shared" si="4"/>
        <v>63Высоких Антон Маркович</v>
      </c>
      <c r="C63" s="1">
        <v>63</v>
      </c>
      <c r="D63" s="3" t="s">
        <v>56</v>
      </c>
      <c r="E63" s="1" t="s">
        <v>374</v>
      </c>
      <c r="F63" s="16">
        <v>40921</v>
      </c>
      <c r="G63" s="16">
        <v>40909</v>
      </c>
      <c r="H63" s="17">
        <f t="shared" si="5"/>
        <v>48</v>
      </c>
      <c r="I63" s="1">
        <f t="shared" si="1"/>
        <v>48000</v>
      </c>
      <c r="J63" s="17">
        <f>27000</f>
        <v>27000</v>
      </c>
      <c r="K63" s="17"/>
      <c r="L63" s="18">
        <f t="shared" si="6"/>
        <v>21000</v>
      </c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18">
        <f t="shared" si="7"/>
        <v>0</v>
      </c>
    </row>
    <row r="64" spans="1:25">
      <c r="A64" s="41">
        <f>VLOOKUP(B64,справочник!$B$2:$E$322,4,FALSE)</f>
        <v>294</v>
      </c>
      <c r="B64" t="str">
        <f t="shared" si="4"/>
        <v>309Гайкова (Дьякова) Мария Викторовна</v>
      </c>
      <c r="C64" s="1">
        <v>309</v>
      </c>
      <c r="D64" s="2" t="s">
        <v>57</v>
      </c>
      <c r="E64" s="1" t="s">
        <v>375</v>
      </c>
      <c r="F64" s="16">
        <v>40953</v>
      </c>
      <c r="G64" s="16">
        <v>40940</v>
      </c>
      <c r="H64" s="17">
        <f t="shared" si="5"/>
        <v>47</v>
      </c>
      <c r="I64" s="1">
        <f t="shared" si="1"/>
        <v>47000</v>
      </c>
      <c r="J64" s="17">
        <v>47000</v>
      </c>
      <c r="K64" s="17"/>
      <c r="L64" s="18">
        <f t="shared" si="6"/>
        <v>0</v>
      </c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18">
        <f t="shared" si="7"/>
        <v>0</v>
      </c>
    </row>
    <row r="65" spans="1:25">
      <c r="A65" s="41">
        <f>VLOOKUP(B65,справочник!$B$2:$E$322,4,FALSE)</f>
        <v>286</v>
      </c>
      <c r="B65" t="str">
        <f t="shared" si="4"/>
        <v>298Ганин Александр Борисович</v>
      </c>
      <c r="C65" s="1">
        <v>298</v>
      </c>
      <c r="D65" s="2" t="s">
        <v>58</v>
      </c>
      <c r="E65" s="1" t="s">
        <v>376</v>
      </c>
      <c r="F65" s="16">
        <v>41791</v>
      </c>
      <c r="G65" s="16">
        <v>41791</v>
      </c>
      <c r="H65" s="17">
        <f t="shared" si="5"/>
        <v>19</v>
      </c>
      <c r="I65" s="1">
        <f t="shared" si="1"/>
        <v>19000</v>
      </c>
      <c r="J65" s="17">
        <v>19000</v>
      </c>
      <c r="K65" s="17"/>
      <c r="L65" s="18">
        <f t="shared" si="6"/>
        <v>0</v>
      </c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18">
        <f t="shared" si="7"/>
        <v>0</v>
      </c>
    </row>
    <row r="66" spans="1:25">
      <c r="A66" s="41">
        <f>VLOOKUP(B66,справочник!$B$2:$E$322,4,FALSE)</f>
        <v>64</v>
      </c>
      <c r="B66" t="str">
        <f t="shared" si="4"/>
        <v>66Горбунов Владимир Александрович</v>
      </c>
      <c r="C66" s="1">
        <v>66</v>
      </c>
      <c r="D66" s="3" t="s">
        <v>59</v>
      </c>
      <c r="E66" s="1" t="s">
        <v>377</v>
      </c>
      <c r="F66" s="16">
        <v>40772</v>
      </c>
      <c r="G66" s="16">
        <v>40756</v>
      </c>
      <c r="H66" s="17">
        <f t="shared" si="5"/>
        <v>53</v>
      </c>
      <c r="I66" s="1">
        <f t="shared" si="1"/>
        <v>53000</v>
      </c>
      <c r="J66" s="17">
        <f>1000+45000</f>
        <v>46000</v>
      </c>
      <c r="K66" s="17"/>
      <c r="L66" s="18">
        <f t="shared" si="6"/>
        <v>7000</v>
      </c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18">
        <f t="shared" si="7"/>
        <v>0</v>
      </c>
    </row>
    <row r="67" spans="1:25">
      <c r="A67" s="41">
        <f>VLOOKUP(B67,справочник!$B$2:$E$322,4,FALSE)</f>
        <v>94</v>
      </c>
      <c r="B67" t="str">
        <f t="shared" si="4"/>
        <v>99Горбунов Максим Николаевич</v>
      </c>
      <c r="C67" s="1">
        <v>99</v>
      </c>
      <c r="D67" s="3" t="s">
        <v>60</v>
      </c>
      <c r="E67" s="1" t="s">
        <v>378</v>
      </c>
      <c r="F67" s="16">
        <v>40774</v>
      </c>
      <c r="G67" s="16">
        <v>40756</v>
      </c>
      <c r="H67" s="17">
        <f t="shared" si="5"/>
        <v>53</v>
      </c>
      <c r="I67" s="1">
        <f t="shared" si="1"/>
        <v>53000</v>
      </c>
      <c r="J67" s="17">
        <f>42000+5000</f>
        <v>47000</v>
      </c>
      <c r="K67" s="17"/>
      <c r="L67" s="18">
        <f t="shared" si="6"/>
        <v>6000</v>
      </c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18">
        <f t="shared" si="7"/>
        <v>0</v>
      </c>
    </row>
    <row r="68" spans="1:25">
      <c r="A68" s="41">
        <f>VLOOKUP(B68,справочник!$B$2:$E$322,4,FALSE)</f>
        <v>39</v>
      </c>
      <c r="B68" t="str">
        <f t="shared" si="4"/>
        <v>39Гордейчик Игорь Борисович</v>
      </c>
      <c r="C68" s="1">
        <v>39</v>
      </c>
      <c r="D68" s="3" t="s">
        <v>61</v>
      </c>
      <c r="E68" s="1" t="s">
        <v>379</v>
      </c>
      <c r="F68" s="16">
        <v>40698</v>
      </c>
      <c r="G68" s="16">
        <v>40695</v>
      </c>
      <c r="H68" s="17">
        <f t="shared" si="5"/>
        <v>55</v>
      </c>
      <c r="I68" s="1">
        <f>H68*1000</f>
        <v>55000</v>
      </c>
      <c r="J68" s="17">
        <f>1000+42000</f>
        <v>43000</v>
      </c>
      <c r="K68" s="17"/>
      <c r="L68" s="18">
        <f t="shared" si="6"/>
        <v>12000</v>
      </c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18">
        <f t="shared" si="7"/>
        <v>0</v>
      </c>
    </row>
    <row r="69" spans="1:25">
      <c r="A69" s="41">
        <f>VLOOKUP(B69,справочник!$B$2:$E$322,4,FALSE)</f>
        <v>276</v>
      </c>
      <c r="B69" t="str">
        <f t="shared" si="4"/>
        <v>289Горянов Михаил Андреевич</v>
      </c>
      <c r="C69" s="1">
        <v>289</v>
      </c>
      <c r="D69" s="3" t="s">
        <v>62</v>
      </c>
      <c r="E69" s="1" t="s">
        <v>380</v>
      </c>
      <c r="F69" s="16">
        <v>40890</v>
      </c>
      <c r="G69" s="16">
        <v>40878</v>
      </c>
      <c r="H69" s="17">
        <f t="shared" si="5"/>
        <v>49</v>
      </c>
      <c r="I69" s="1">
        <f>H69*1000</f>
        <v>49000</v>
      </c>
      <c r="J69" s="17">
        <f>1000+36000</f>
        <v>37000</v>
      </c>
      <c r="K69" s="17"/>
      <c r="L69" s="18">
        <f t="shared" si="6"/>
        <v>12000</v>
      </c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18">
        <f t="shared" si="7"/>
        <v>0</v>
      </c>
    </row>
    <row r="70" spans="1:25">
      <c r="A70" s="41">
        <f>VLOOKUP(B70,справочник!$B$2:$E$322,4,FALSE)</f>
        <v>148</v>
      </c>
      <c r="B70" t="str">
        <f t="shared" ref="B70:B133" si="8">CONCATENATE(C70,D70)</f>
        <v>156Горячев Дмитрий Николаевич</v>
      </c>
      <c r="C70" s="1">
        <v>156</v>
      </c>
      <c r="D70" s="3" t="s">
        <v>63</v>
      </c>
      <c r="E70" s="1" t="s">
        <v>381</v>
      </c>
      <c r="F70" s="16">
        <v>41008</v>
      </c>
      <c r="G70" s="16">
        <v>41000</v>
      </c>
      <c r="H70" s="17">
        <f t="shared" si="5"/>
        <v>45</v>
      </c>
      <c r="I70" s="1">
        <f>H70*1000</f>
        <v>45000</v>
      </c>
      <c r="J70" s="17">
        <f>12000</f>
        <v>12000</v>
      </c>
      <c r="K70" s="17"/>
      <c r="L70" s="18">
        <f t="shared" si="6"/>
        <v>33000</v>
      </c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18">
        <f t="shared" si="7"/>
        <v>0</v>
      </c>
    </row>
    <row r="71" spans="1:25">
      <c r="A71" s="41">
        <f>VLOOKUP(B71,справочник!$B$2:$E$322,4,FALSE)</f>
        <v>308</v>
      </c>
      <c r="B71" t="str">
        <f t="shared" si="8"/>
        <v>323Губарева Татьяна Григорьевна</v>
      </c>
      <c r="C71" s="1">
        <v>323</v>
      </c>
      <c r="D71" s="3" t="s">
        <v>64</v>
      </c>
      <c r="E71" s="1" t="s">
        <v>382</v>
      </c>
      <c r="F71" s="16">
        <v>42025</v>
      </c>
      <c r="G71" s="16">
        <v>42036</v>
      </c>
      <c r="H71" s="17">
        <f t="shared" si="5"/>
        <v>11</v>
      </c>
      <c r="I71" s="1">
        <f>H71*1000</f>
        <v>11000</v>
      </c>
      <c r="J71" s="17">
        <v>3000</v>
      </c>
      <c r="K71" s="17"/>
      <c r="L71" s="18">
        <f t="shared" si="6"/>
        <v>8000</v>
      </c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18">
        <f t="shared" si="7"/>
        <v>0</v>
      </c>
    </row>
    <row r="72" spans="1:25">
      <c r="A72" s="41">
        <f>VLOOKUP(B72,справочник!$B$2:$E$322,4,FALSE)</f>
        <v>318</v>
      </c>
      <c r="B72" t="str">
        <f t="shared" si="8"/>
        <v>71-72Гусева Светлана Григорьевна</v>
      </c>
      <c r="C72" s="1" t="s">
        <v>65</v>
      </c>
      <c r="D72" s="2" t="s">
        <v>66</v>
      </c>
      <c r="E72" s="1" t="s">
        <v>383</v>
      </c>
      <c r="F72" s="16">
        <v>40694</v>
      </c>
      <c r="G72" s="16">
        <v>40725</v>
      </c>
      <c r="H72" s="17">
        <f t="shared" si="5"/>
        <v>54</v>
      </c>
      <c r="I72" s="1">
        <f>H72*1000*2</f>
        <v>108000</v>
      </c>
      <c r="J72" s="17">
        <f>2000+102000</f>
        <v>104000</v>
      </c>
      <c r="K72" s="17">
        <v>4000</v>
      </c>
      <c r="L72" s="22">
        <f t="shared" si="6"/>
        <v>0</v>
      </c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>
        <f t="shared" si="7"/>
        <v>0</v>
      </c>
    </row>
    <row r="73" spans="1:25">
      <c r="A73" s="41">
        <f>VLOOKUP(B73,справочник!$B$2:$E$322,4,FALSE)</f>
        <v>236</v>
      </c>
      <c r="B73" t="str">
        <f t="shared" si="8"/>
        <v>245Давыдова Анна Сергеевна</v>
      </c>
      <c r="C73" s="1">
        <v>245</v>
      </c>
      <c r="D73" s="2" t="s">
        <v>67</v>
      </c>
      <c r="E73" s="1" t="s">
        <v>384</v>
      </c>
      <c r="F73" s="16">
        <v>40945</v>
      </c>
      <c r="G73" s="16">
        <v>40940</v>
      </c>
      <c r="H73" s="17">
        <f t="shared" si="5"/>
        <v>47</v>
      </c>
      <c r="I73" s="1">
        <f>H73*1000</f>
        <v>47000</v>
      </c>
      <c r="J73" s="17">
        <f>18000+11000</f>
        <v>29000</v>
      </c>
      <c r="K73" s="17"/>
      <c r="L73" s="18">
        <f t="shared" si="6"/>
        <v>18000</v>
      </c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18">
        <f t="shared" si="7"/>
        <v>0</v>
      </c>
    </row>
    <row r="74" spans="1:25">
      <c r="A74" s="41">
        <f>VLOOKUP(B74,справочник!$B$2:$E$322,4,FALSE)</f>
        <v>226</v>
      </c>
      <c r="B74" t="str">
        <f t="shared" si="8"/>
        <v xml:space="preserve">235Данильянц Юрий Константинович   </v>
      </c>
      <c r="C74" s="1">
        <v>235</v>
      </c>
      <c r="D74" s="3" t="s">
        <v>68</v>
      </c>
      <c r="E74" s="1" t="s">
        <v>385</v>
      </c>
      <c r="F74" s="16">
        <v>41739</v>
      </c>
      <c r="G74" s="16">
        <v>41760</v>
      </c>
      <c r="H74" s="17">
        <f t="shared" si="5"/>
        <v>20</v>
      </c>
      <c r="I74" s="1">
        <f>H74*1000</f>
        <v>20000</v>
      </c>
      <c r="J74" s="17"/>
      <c r="K74" s="17"/>
      <c r="L74" s="18">
        <f t="shared" si="6"/>
        <v>20000</v>
      </c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18">
        <f t="shared" si="7"/>
        <v>0</v>
      </c>
    </row>
    <row r="75" spans="1:25">
      <c r="A75" s="41">
        <f>VLOOKUP(B75,справочник!$B$2:$E$322,4,FALSE)</f>
        <v>285</v>
      </c>
      <c r="B75" t="str">
        <f t="shared" si="8"/>
        <v>297Даточный Алексей Валерьевич</v>
      </c>
      <c r="C75" s="1">
        <v>297</v>
      </c>
      <c r="D75" s="2" t="s">
        <v>69</v>
      </c>
      <c r="E75" s="1" t="s">
        <v>386</v>
      </c>
      <c r="F75" s="1"/>
      <c r="G75" s="1"/>
      <c r="H75" s="17"/>
      <c r="I75" s="1">
        <v>19000</v>
      </c>
      <c r="J75" s="17">
        <v>19000</v>
      </c>
      <c r="K75" s="17"/>
      <c r="L75" s="18">
        <f t="shared" si="6"/>
        <v>0</v>
      </c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18">
        <f t="shared" si="7"/>
        <v>0</v>
      </c>
    </row>
    <row r="76" spans="1:25">
      <c r="A76" s="41">
        <f>VLOOKUP(B76,справочник!$B$2:$E$322,4,FALSE)</f>
        <v>24</v>
      </c>
      <c r="B76" t="str">
        <f t="shared" si="8"/>
        <v>24Двойрина Юлия Владимировна</v>
      </c>
      <c r="C76" s="1">
        <v>24</v>
      </c>
      <c r="D76" s="3" t="s">
        <v>70</v>
      </c>
      <c r="E76" s="1" t="s">
        <v>387</v>
      </c>
      <c r="F76" s="16">
        <v>41141</v>
      </c>
      <c r="G76" s="16">
        <v>41153</v>
      </c>
      <c r="H76" s="17">
        <f t="shared" ref="H76:H89" si="9">INT(($H$327-G76)/30)</f>
        <v>40</v>
      </c>
      <c r="I76" s="1">
        <f t="shared" ref="I76:I139" si="10">H76*1000</f>
        <v>40000</v>
      </c>
      <c r="J76" s="17">
        <v>30000</v>
      </c>
      <c r="K76" s="17"/>
      <c r="L76" s="18">
        <f t="shared" si="6"/>
        <v>10000</v>
      </c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18">
        <f t="shared" si="7"/>
        <v>0</v>
      </c>
    </row>
    <row r="77" spans="1:25">
      <c r="A77" s="41">
        <f>VLOOKUP(B77,справочник!$B$2:$E$322,4,FALSE)</f>
        <v>50</v>
      </c>
      <c r="B77" t="str">
        <f t="shared" si="8"/>
        <v>50Денисов Дмитрий Алексеевич</v>
      </c>
      <c r="C77" s="1">
        <v>50</v>
      </c>
      <c r="D77" s="2" t="s">
        <v>71</v>
      </c>
      <c r="E77" s="1" t="s">
        <v>388</v>
      </c>
      <c r="F77" s="16">
        <v>40793</v>
      </c>
      <c r="G77" s="16">
        <v>40787</v>
      </c>
      <c r="H77" s="17">
        <f t="shared" si="9"/>
        <v>52</v>
      </c>
      <c r="I77" s="1">
        <f t="shared" si="10"/>
        <v>52000</v>
      </c>
      <c r="J77" s="17">
        <f>1000+41000</f>
        <v>42000</v>
      </c>
      <c r="K77" s="17"/>
      <c r="L77" s="18">
        <f t="shared" si="6"/>
        <v>10000</v>
      </c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18">
        <f t="shared" si="7"/>
        <v>0</v>
      </c>
    </row>
    <row r="78" spans="1:25">
      <c r="A78" s="41">
        <f>VLOOKUP(B78,справочник!$B$2:$E$322,4,FALSE)</f>
        <v>122</v>
      </c>
      <c r="B78" t="str">
        <f t="shared" si="8"/>
        <v>127Денисов Сергей Александрович</v>
      </c>
      <c r="C78" s="1">
        <v>127</v>
      </c>
      <c r="D78" s="6" t="s">
        <v>72</v>
      </c>
      <c r="E78" s="1" t="s">
        <v>389</v>
      </c>
      <c r="F78" s="16">
        <v>40938</v>
      </c>
      <c r="G78" s="16">
        <v>40940</v>
      </c>
      <c r="H78" s="17">
        <f t="shared" si="9"/>
        <v>47</v>
      </c>
      <c r="I78" s="1">
        <f t="shared" si="10"/>
        <v>47000</v>
      </c>
      <c r="J78" s="17">
        <v>37000</v>
      </c>
      <c r="K78" s="17">
        <v>5000</v>
      </c>
      <c r="L78" s="18">
        <f t="shared" si="6"/>
        <v>5000</v>
      </c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18">
        <f t="shared" si="7"/>
        <v>0</v>
      </c>
    </row>
    <row r="79" spans="1:25">
      <c r="A79" s="41">
        <f>VLOOKUP(B79,справочник!$B$2:$E$322,4,FALSE)</f>
        <v>301</v>
      </c>
      <c r="B79" t="str">
        <f t="shared" si="8"/>
        <v>316Десюкова Марина Александровна</v>
      </c>
      <c r="C79" s="1">
        <v>316</v>
      </c>
      <c r="D79" s="3" t="s">
        <v>73</v>
      </c>
      <c r="E79" s="1" t="s">
        <v>390</v>
      </c>
      <c r="F79" s="16">
        <v>41969</v>
      </c>
      <c r="G79" s="16">
        <v>41974</v>
      </c>
      <c r="H79" s="17">
        <f t="shared" si="9"/>
        <v>13</v>
      </c>
      <c r="I79" s="1">
        <f t="shared" si="10"/>
        <v>13000</v>
      </c>
      <c r="J79" s="17">
        <v>1000</v>
      </c>
      <c r="K79" s="17"/>
      <c r="L79" s="18">
        <f t="shared" si="6"/>
        <v>12000</v>
      </c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18">
        <f t="shared" si="7"/>
        <v>0</v>
      </c>
    </row>
    <row r="80" spans="1:25">
      <c r="A80" s="41">
        <f>VLOOKUP(B80,справочник!$B$2:$E$322,4,FALSE)</f>
        <v>18</v>
      </c>
      <c r="B80" t="str">
        <f t="shared" si="8"/>
        <v>18Дидушко Денис Васильевич (Василий)</v>
      </c>
      <c r="C80" s="1">
        <v>18</v>
      </c>
      <c r="D80" s="2" t="s">
        <v>74</v>
      </c>
      <c r="E80" s="1" t="s">
        <v>391</v>
      </c>
      <c r="F80" s="16">
        <v>41429</v>
      </c>
      <c r="G80" s="16">
        <v>41487</v>
      </c>
      <c r="H80" s="17">
        <f t="shared" si="9"/>
        <v>29</v>
      </c>
      <c r="I80" s="1">
        <f t="shared" si="10"/>
        <v>29000</v>
      </c>
      <c r="J80" s="17">
        <v>29000</v>
      </c>
      <c r="K80" s="17"/>
      <c r="L80" s="18">
        <f t="shared" si="6"/>
        <v>0</v>
      </c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18">
        <f t="shared" si="7"/>
        <v>0</v>
      </c>
    </row>
    <row r="81" spans="1:25">
      <c r="A81" s="41">
        <f>VLOOKUP(B81,справочник!$B$2:$E$322,4,FALSE)</f>
        <v>155</v>
      </c>
      <c r="B81" t="str">
        <f t="shared" si="8"/>
        <v>163Дорошенко Владимир Алексеевич</v>
      </c>
      <c r="C81" s="1">
        <v>163</v>
      </c>
      <c r="D81" s="2" t="s">
        <v>75</v>
      </c>
      <c r="E81" s="1" t="s">
        <v>392</v>
      </c>
      <c r="F81" s="16">
        <v>41491</v>
      </c>
      <c r="G81" s="16">
        <v>41518</v>
      </c>
      <c r="H81" s="17">
        <f t="shared" si="9"/>
        <v>28</v>
      </c>
      <c r="I81" s="1">
        <f t="shared" si="10"/>
        <v>28000</v>
      </c>
      <c r="J81" s="17">
        <v>28000</v>
      </c>
      <c r="K81" s="17">
        <v>2000</v>
      </c>
      <c r="L81" s="18">
        <f t="shared" si="6"/>
        <v>-2000</v>
      </c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18">
        <f t="shared" si="7"/>
        <v>0</v>
      </c>
    </row>
    <row r="82" spans="1:25">
      <c r="A82" s="41">
        <f>VLOOKUP(B82,справочник!$B$2:$E$322,4,FALSE)</f>
        <v>44</v>
      </c>
      <c r="B82" t="str">
        <f t="shared" si="8"/>
        <v>44Дубов Александр Сергеевич</v>
      </c>
      <c r="C82" s="1">
        <v>44</v>
      </c>
      <c r="D82" s="3" t="s">
        <v>76</v>
      </c>
      <c r="E82" s="23" t="s">
        <v>338</v>
      </c>
      <c r="F82" s="24">
        <v>41100</v>
      </c>
      <c r="G82" s="24">
        <v>41091</v>
      </c>
      <c r="H82" s="17">
        <f t="shared" si="9"/>
        <v>42</v>
      </c>
      <c r="I82" s="1">
        <f t="shared" si="10"/>
        <v>42000</v>
      </c>
      <c r="J82" s="17">
        <f>21000+6000</f>
        <v>27000</v>
      </c>
      <c r="K82" s="17">
        <v>13000</v>
      </c>
      <c r="L82" s="18">
        <f t="shared" si="6"/>
        <v>2000</v>
      </c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18">
        <f t="shared" si="7"/>
        <v>0</v>
      </c>
    </row>
    <row r="83" spans="1:25">
      <c r="A83" s="41">
        <f>VLOOKUP(B83,справочник!$B$2:$E$322,4,FALSE)</f>
        <v>132</v>
      </c>
      <c r="B83" t="str">
        <f t="shared" si="8"/>
        <v>139Евглевская Ольга Борисовна</v>
      </c>
      <c r="C83" s="1">
        <v>139</v>
      </c>
      <c r="D83" s="3" t="s">
        <v>77</v>
      </c>
      <c r="E83" s="1" t="s">
        <v>393</v>
      </c>
      <c r="F83" s="16">
        <v>40690</v>
      </c>
      <c r="G83" s="16">
        <v>40695</v>
      </c>
      <c r="H83" s="17">
        <f t="shared" si="9"/>
        <v>55</v>
      </c>
      <c r="I83" s="1">
        <f t="shared" si="10"/>
        <v>55000</v>
      </c>
      <c r="J83" s="17">
        <f>41000+1000</f>
        <v>42000</v>
      </c>
      <c r="K83" s="17"/>
      <c r="L83" s="18">
        <f t="shared" si="6"/>
        <v>13000</v>
      </c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18">
        <f t="shared" si="7"/>
        <v>0</v>
      </c>
    </row>
    <row r="84" spans="1:25">
      <c r="A84" s="41">
        <f>VLOOKUP(B84,справочник!$B$2:$E$322,4,FALSE)</f>
        <v>159</v>
      </c>
      <c r="B84" t="str">
        <f t="shared" si="8"/>
        <v>167Евсеев Александр Сергеевич</v>
      </c>
      <c r="C84" s="1">
        <v>167</v>
      </c>
      <c r="D84" s="2" t="s">
        <v>78</v>
      </c>
      <c r="E84" s="1" t="s">
        <v>394</v>
      </c>
      <c r="F84" s="16">
        <v>41044</v>
      </c>
      <c r="G84" s="16">
        <v>41030</v>
      </c>
      <c r="H84" s="17">
        <f t="shared" si="9"/>
        <v>44</v>
      </c>
      <c r="I84" s="1">
        <f t="shared" si="10"/>
        <v>44000</v>
      </c>
      <c r="J84" s="17">
        <f>32000</f>
        <v>32000</v>
      </c>
      <c r="K84" s="17"/>
      <c r="L84" s="18">
        <f t="shared" si="6"/>
        <v>12000</v>
      </c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18">
        <f t="shared" si="7"/>
        <v>0</v>
      </c>
    </row>
    <row r="85" spans="1:25">
      <c r="A85" s="41">
        <f>VLOOKUP(B85,справочник!$B$2:$E$322,4,FALSE)</f>
        <v>181</v>
      </c>
      <c r="B85" t="str">
        <f t="shared" si="8"/>
        <v xml:space="preserve">189Елисеев Сергей Вячеславович          </v>
      </c>
      <c r="C85" s="1">
        <v>189</v>
      </c>
      <c r="D85" s="2" t="s">
        <v>79</v>
      </c>
      <c r="E85" s="1" t="s">
        <v>395</v>
      </c>
      <c r="F85" s="16">
        <v>41734</v>
      </c>
      <c r="G85" s="16">
        <v>41760</v>
      </c>
      <c r="H85" s="17">
        <f t="shared" si="9"/>
        <v>20</v>
      </c>
      <c r="I85" s="1">
        <f t="shared" si="10"/>
        <v>20000</v>
      </c>
      <c r="J85" s="17">
        <v>17000</v>
      </c>
      <c r="K85" s="17"/>
      <c r="L85" s="18">
        <f t="shared" si="6"/>
        <v>3000</v>
      </c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18">
        <f t="shared" si="7"/>
        <v>0</v>
      </c>
    </row>
    <row r="86" spans="1:25">
      <c r="A86" s="41">
        <f>VLOOKUP(B86,справочник!$B$2:$E$322,4,FALSE)</f>
        <v>284</v>
      </c>
      <c r="B86" t="str">
        <f t="shared" si="8"/>
        <v>296Епанчинцева Людмила Филипповна</v>
      </c>
      <c r="C86" s="1">
        <v>296</v>
      </c>
      <c r="D86" s="3" t="s">
        <v>80</v>
      </c>
      <c r="E86" s="1" t="s">
        <v>396</v>
      </c>
      <c r="F86" s="16">
        <v>41549</v>
      </c>
      <c r="G86" s="16">
        <v>41579</v>
      </c>
      <c r="H86" s="17">
        <f t="shared" si="9"/>
        <v>26</v>
      </c>
      <c r="I86" s="1">
        <f t="shared" si="10"/>
        <v>26000</v>
      </c>
      <c r="J86" s="17">
        <f>12000</f>
        <v>12000</v>
      </c>
      <c r="K86" s="17">
        <v>5000</v>
      </c>
      <c r="L86" s="18">
        <f t="shared" si="6"/>
        <v>9000</v>
      </c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18">
        <f t="shared" si="7"/>
        <v>0</v>
      </c>
    </row>
    <row r="87" spans="1:25">
      <c r="A87" s="41">
        <f>VLOOKUP(B87,справочник!$B$2:$E$322,4,FALSE)</f>
        <v>264</v>
      </c>
      <c r="B87" t="str">
        <f t="shared" si="8"/>
        <v>277Еременко Виктор Александрович (Валентина)</v>
      </c>
      <c r="C87" s="1">
        <v>277</v>
      </c>
      <c r="D87" s="2" t="s">
        <v>81</v>
      </c>
      <c r="E87" s="1" t="s">
        <v>397</v>
      </c>
      <c r="F87" s="16">
        <v>41093</v>
      </c>
      <c r="G87" s="16">
        <v>41091</v>
      </c>
      <c r="H87" s="17">
        <f t="shared" si="9"/>
        <v>42</v>
      </c>
      <c r="I87" s="1">
        <f t="shared" si="10"/>
        <v>42000</v>
      </c>
      <c r="J87" s="17">
        <f>38000</f>
        <v>38000</v>
      </c>
      <c r="K87" s="17"/>
      <c r="L87" s="18">
        <f t="shared" si="6"/>
        <v>4000</v>
      </c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18">
        <f t="shared" si="7"/>
        <v>0</v>
      </c>
    </row>
    <row r="88" spans="1:25">
      <c r="A88" s="41">
        <f>VLOOKUP(B88,справочник!$B$2:$E$322,4,FALSE)</f>
        <v>32</v>
      </c>
      <c r="B88" t="str">
        <f t="shared" si="8"/>
        <v>32Ермакова Татьяна Викторовна</v>
      </c>
      <c r="C88" s="1">
        <v>32</v>
      </c>
      <c r="D88" s="2" t="s">
        <v>82</v>
      </c>
      <c r="E88" s="1" t="s">
        <v>398</v>
      </c>
      <c r="F88" s="16">
        <v>40695</v>
      </c>
      <c r="G88" s="16">
        <v>40695</v>
      </c>
      <c r="H88" s="17">
        <f t="shared" si="9"/>
        <v>55</v>
      </c>
      <c r="I88" s="1">
        <f t="shared" si="10"/>
        <v>55000</v>
      </c>
      <c r="J88" s="17">
        <f>7000+48000</f>
        <v>55000</v>
      </c>
      <c r="K88" s="17"/>
      <c r="L88" s="18">
        <f t="shared" si="6"/>
        <v>0</v>
      </c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18">
        <f t="shared" si="7"/>
        <v>0</v>
      </c>
    </row>
    <row r="89" spans="1:25">
      <c r="A89" s="41">
        <f>VLOOKUP(B89,справочник!$B$2:$E$322,4,FALSE)</f>
        <v>49</v>
      </c>
      <c r="B89" t="str">
        <f t="shared" si="8"/>
        <v>49Ермолаева Виктория Александровна</v>
      </c>
      <c r="C89" s="1">
        <v>49</v>
      </c>
      <c r="D89" s="2" t="s">
        <v>83</v>
      </c>
      <c r="E89" s="1" t="s">
        <v>399</v>
      </c>
      <c r="F89" s="16">
        <v>40729</v>
      </c>
      <c r="G89" s="16">
        <v>40756</v>
      </c>
      <c r="H89" s="17">
        <f t="shared" si="9"/>
        <v>53</v>
      </c>
      <c r="I89" s="1">
        <f t="shared" si="10"/>
        <v>53000</v>
      </c>
      <c r="J89" s="17">
        <f>42000</f>
        <v>42000</v>
      </c>
      <c r="K89" s="17"/>
      <c r="L89" s="18">
        <f t="shared" si="6"/>
        <v>11000</v>
      </c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18">
        <f t="shared" si="7"/>
        <v>0</v>
      </c>
    </row>
    <row r="90" spans="1:25">
      <c r="A90" s="41">
        <f>VLOOKUP(B90,справочник!$B$2:$E$322,4,FALSE)</f>
        <v>234</v>
      </c>
      <c r="B90" t="str">
        <f t="shared" si="8"/>
        <v>243Ермошина Татьяна Евгеньевна (Владимир)</v>
      </c>
      <c r="C90" s="4">
        <v>243</v>
      </c>
      <c r="D90" s="7" t="s">
        <v>84</v>
      </c>
      <c r="E90" s="5" t="s">
        <v>400</v>
      </c>
      <c r="F90" s="19">
        <v>41248</v>
      </c>
      <c r="G90" s="19">
        <v>41365</v>
      </c>
      <c r="H90" s="20">
        <v>3</v>
      </c>
      <c r="I90" s="5">
        <f t="shared" si="10"/>
        <v>3000</v>
      </c>
      <c r="J90" s="20"/>
      <c r="K90" s="20">
        <v>3000</v>
      </c>
      <c r="L90" s="21">
        <f t="shared" si="6"/>
        <v>0</v>
      </c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1">
        <f t="shared" si="7"/>
        <v>0</v>
      </c>
    </row>
    <row r="91" spans="1:25">
      <c r="A91" s="41">
        <f>VLOOKUP(B91,справочник!$B$2:$E$322,4,FALSE)</f>
        <v>234</v>
      </c>
      <c r="B91" t="str">
        <f t="shared" si="8"/>
        <v>244Ермошина Татьяна Евгеньевна (Владимир)</v>
      </c>
      <c r="C91" s="4">
        <v>244</v>
      </c>
      <c r="D91" s="7" t="s">
        <v>84</v>
      </c>
      <c r="E91" s="5"/>
      <c r="F91" s="19">
        <v>41248</v>
      </c>
      <c r="G91" s="19">
        <v>41365</v>
      </c>
      <c r="H91" s="20">
        <v>3</v>
      </c>
      <c r="I91" s="5">
        <f t="shared" si="10"/>
        <v>3000</v>
      </c>
      <c r="J91" s="20"/>
      <c r="K91" s="20">
        <v>3000</v>
      </c>
      <c r="L91" s="21">
        <f t="shared" si="6"/>
        <v>0</v>
      </c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1">
        <f t="shared" si="7"/>
        <v>0</v>
      </c>
    </row>
    <row r="92" spans="1:25">
      <c r="A92" s="41">
        <f>VLOOKUP(B92,справочник!$B$2:$E$322,4,FALSE)</f>
        <v>234</v>
      </c>
      <c r="B92" t="str">
        <f t="shared" si="8"/>
        <v>243-244Ермошина Татьяна Евгеньевна (Владимир)</v>
      </c>
      <c r="C92" s="4" t="s">
        <v>85</v>
      </c>
      <c r="D92" s="7" t="s">
        <v>84</v>
      </c>
      <c r="E92" s="5"/>
      <c r="F92" s="19">
        <v>41456</v>
      </c>
      <c r="G92" s="19">
        <v>41456</v>
      </c>
      <c r="H92" s="20">
        <f t="shared" ref="H92:H119" si="11">INT(($H$327-G92)/30)</f>
        <v>30</v>
      </c>
      <c r="I92" s="5">
        <f t="shared" si="10"/>
        <v>30000</v>
      </c>
      <c r="J92" s="20"/>
      <c r="K92" s="20">
        <v>30000</v>
      </c>
      <c r="L92" s="21">
        <f t="shared" si="6"/>
        <v>0</v>
      </c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1">
        <f t="shared" si="7"/>
        <v>0</v>
      </c>
    </row>
    <row r="93" spans="1:25">
      <c r="A93" s="41">
        <f>VLOOKUP(B93,справочник!$B$2:$E$322,4,FALSE)</f>
        <v>254</v>
      </c>
      <c r="B93" t="str">
        <f t="shared" si="8"/>
        <v>267Ершова Виктория Львовна</v>
      </c>
      <c r="C93" s="1">
        <v>267</v>
      </c>
      <c r="D93" s="3" t="s">
        <v>86</v>
      </c>
      <c r="E93" s="1" t="s">
        <v>401</v>
      </c>
      <c r="F93" s="16">
        <v>40953</v>
      </c>
      <c r="G93" s="16">
        <v>40940</v>
      </c>
      <c r="H93" s="17">
        <f t="shared" si="11"/>
        <v>47</v>
      </c>
      <c r="I93" s="1">
        <f t="shared" si="10"/>
        <v>47000</v>
      </c>
      <c r="J93" s="17">
        <f>39000+5000</f>
        <v>44000</v>
      </c>
      <c r="K93" s="17"/>
      <c r="L93" s="18">
        <f t="shared" si="6"/>
        <v>3000</v>
      </c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18">
        <f t="shared" si="7"/>
        <v>0</v>
      </c>
    </row>
    <row r="94" spans="1:25">
      <c r="A94" s="41">
        <f>VLOOKUP(B94,справочник!$B$2:$E$322,4,FALSE)</f>
        <v>230</v>
      </c>
      <c r="B94" t="str">
        <f t="shared" si="8"/>
        <v>239Жарикова Светлана Юрьевна</v>
      </c>
      <c r="C94" s="5">
        <v>239</v>
      </c>
      <c r="D94" s="7" t="s">
        <v>87</v>
      </c>
      <c r="E94" s="5" t="s">
        <v>402</v>
      </c>
      <c r="F94" s="19">
        <v>41590</v>
      </c>
      <c r="G94" s="19">
        <v>41579</v>
      </c>
      <c r="H94" s="20">
        <f t="shared" si="11"/>
        <v>26</v>
      </c>
      <c r="I94" s="5">
        <f t="shared" si="10"/>
        <v>26000</v>
      </c>
      <c r="J94" s="20">
        <v>26000</v>
      </c>
      <c r="K94" s="20"/>
      <c r="L94" s="21">
        <f t="shared" si="6"/>
        <v>0</v>
      </c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1">
        <f t="shared" si="7"/>
        <v>0</v>
      </c>
    </row>
    <row r="95" spans="1:25">
      <c r="A95" s="41">
        <f>VLOOKUP(B95,справочник!$B$2:$E$322,4,FALSE)</f>
        <v>230</v>
      </c>
      <c r="B95" t="str">
        <f t="shared" si="8"/>
        <v>257Жарикова Светлана Юрьевна</v>
      </c>
      <c r="C95" s="5">
        <v>257</v>
      </c>
      <c r="D95" s="7" t="s">
        <v>87</v>
      </c>
      <c r="E95" s="5" t="s">
        <v>403</v>
      </c>
      <c r="F95" s="19">
        <v>41882</v>
      </c>
      <c r="G95" s="19">
        <v>41944</v>
      </c>
      <c r="H95" s="20">
        <f t="shared" si="11"/>
        <v>14</v>
      </c>
      <c r="I95" s="5">
        <f t="shared" si="10"/>
        <v>14000</v>
      </c>
      <c r="J95" s="20">
        <v>0</v>
      </c>
      <c r="K95" s="20">
        <v>4000</v>
      </c>
      <c r="L95" s="21">
        <f t="shared" si="6"/>
        <v>10000</v>
      </c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1">
        <f t="shared" si="7"/>
        <v>0</v>
      </c>
    </row>
    <row r="96" spans="1:25">
      <c r="A96" s="41">
        <f>VLOOKUP(B96,справочник!$B$2:$E$322,4,FALSE)</f>
        <v>4</v>
      </c>
      <c r="B96" t="str">
        <f t="shared" si="8"/>
        <v>4Жигунов Юрий Александрович</v>
      </c>
      <c r="C96" s="1">
        <v>4</v>
      </c>
      <c r="D96" s="2" t="s">
        <v>88</v>
      </c>
      <c r="E96" s="1" t="s">
        <v>404</v>
      </c>
      <c r="F96" s="16">
        <v>41436</v>
      </c>
      <c r="G96" s="16">
        <v>41456</v>
      </c>
      <c r="H96" s="17">
        <f t="shared" si="11"/>
        <v>30</v>
      </c>
      <c r="I96" s="1">
        <f t="shared" si="10"/>
        <v>30000</v>
      </c>
      <c r="J96" s="17">
        <v>27000</v>
      </c>
      <c r="K96" s="17"/>
      <c r="L96" s="18">
        <f t="shared" ref="L96:L132" si="12">I96-J96-K96</f>
        <v>3000</v>
      </c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18">
        <f t="shared" ref="Y96:Y132" si="13">V96-W96-X96</f>
        <v>0</v>
      </c>
    </row>
    <row r="97" spans="1:25">
      <c r="A97" s="41">
        <f>VLOOKUP(B97,справочник!$B$2:$E$322,4,FALSE)</f>
        <v>213</v>
      </c>
      <c r="B97" t="str">
        <f t="shared" si="8"/>
        <v>222Жирная Татьяна Сергеевна</v>
      </c>
      <c r="C97" s="1">
        <v>222</v>
      </c>
      <c r="D97" s="3" t="s">
        <v>89</v>
      </c>
      <c r="E97" s="1" t="s">
        <v>405</v>
      </c>
      <c r="F97" s="16">
        <v>41766</v>
      </c>
      <c r="G97" s="16">
        <v>41791</v>
      </c>
      <c r="H97" s="17">
        <f t="shared" si="11"/>
        <v>19</v>
      </c>
      <c r="I97" s="1">
        <f t="shared" si="10"/>
        <v>19000</v>
      </c>
      <c r="J97" s="17">
        <v>500</v>
      </c>
      <c r="K97" s="17"/>
      <c r="L97" s="18">
        <f t="shared" si="12"/>
        <v>18500</v>
      </c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18">
        <f t="shared" si="13"/>
        <v>0</v>
      </c>
    </row>
    <row r="98" spans="1:25">
      <c r="A98" s="41">
        <f>VLOOKUP(B98,справочник!$B$2:$E$322,4,FALSE)</f>
        <v>127</v>
      </c>
      <c r="B98" t="str">
        <f t="shared" si="8"/>
        <v>132Жохова Елена Сергеевна</v>
      </c>
      <c r="C98" s="4">
        <v>132</v>
      </c>
      <c r="D98" s="6" t="s">
        <v>90</v>
      </c>
      <c r="E98" s="1" t="s">
        <v>406</v>
      </c>
      <c r="F98" s="16">
        <v>40701</v>
      </c>
      <c r="G98" s="16">
        <v>40695</v>
      </c>
      <c r="H98" s="17">
        <f t="shared" si="11"/>
        <v>55</v>
      </c>
      <c r="I98" s="1">
        <f t="shared" si="10"/>
        <v>55000</v>
      </c>
      <c r="J98" s="17">
        <f>36000+7000</f>
        <v>43000</v>
      </c>
      <c r="K98" s="17"/>
      <c r="L98" s="18">
        <f t="shared" si="12"/>
        <v>12000</v>
      </c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18">
        <f t="shared" si="13"/>
        <v>0</v>
      </c>
    </row>
    <row r="99" spans="1:25">
      <c r="A99" s="41">
        <f>VLOOKUP(B99,справочник!$B$2:$E$322,4,FALSE)</f>
        <v>66</v>
      </c>
      <c r="B99" t="str">
        <f t="shared" si="8"/>
        <v>68Заборская Светлана Анатольевна (Андрей)</v>
      </c>
      <c r="C99" s="4">
        <v>68</v>
      </c>
      <c r="D99" s="6" t="s">
        <v>91</v>
      </c>
      <c r="E99" s="1" t="s">
        <v>407</v>
      </c>
      <c r="F99" s="16">
        <v>41100</v>
      </c>
      <c r="G99" s="16">
        <v>41091</v>
      </c>
      <c r="H99" s="17">
        <f t="shared" si="11"/>
        <v>42</v>
      </c>
      <c r="I99" s="1">
        <f t="shared" si="10"/>
        <v>42000</v>
      </c>
      <c r="J99" s="17">
        <v>39780</v>
      </c>
      <c r="K99" s="17"/>
      <c r="L99" s="18">
        <f t="shared" si="12"/>
        <v>2220</v>
      </c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18">
        <f t="shared" si="13"/>
        <v>0</v>
      </c>
    </row>
    <row r="100" spans="1:25">
      <c r="A100" s="41">
        <f>VLOOKUP(B100,справочник!$B$2:$E$322,4,FALSE)</f>
        <v>36</v>
      </c>
      <c r="B100" t="str">
        <f t="shared" si="8"/>
        <v>36Закревская Марина Владимировна</v>
      </c>
      <c r="C100" s="1">
        <v>36</v>
      </c>
      <c r="D100" s="3" t="s">
        <v>92</v>
      </c>
      <c r="E100" s="1" t="s">
        <v>408</v>
      </c>
      <c r="F100" s="16">
        <v>40736</v>
      </c>
      <c r="G100" s="16">
        <v>40756</v>
      </c>
      <c r="H100" s="17">
        <f t="shared" si="11"/>
        <v>53</v>
      </c>
      <c r="I100" s="1">
        <f t="shared" si="10"/>
        <v>53000</v>
      </c>
      <c r="J100" s="17">
        <f>42000+1000</f>
        <v>43000</v>
      </c>
      <c r="K100" s="17"/>
      <c r="L100" s="18">
        <f t="shared" si="12"/>
        <v>10000</v>
      </c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18">
        <f t="shared" si="13"/>
        <v>0</v>
      </c>
    </row>
    <row r="101" spans="1:25">
      <c r="A101" s="41">
        <f>VLOOKUP(B101,справочник!$B$2:$E$322,4,FALSE)</f>
        <v>38</v>
      </c>
      <c r="B101" t="str">
        <f t="shared" si="8"/>
        <v>255Заручинский Вячеслав Владимирович</v>
      </c>
      <c r="C101" s="4">
        <v>255</v>
      </c>
      <c r="D101" s="7" t="s">
        <v>93</v>
      </c>
      <c r="E101" s="5" t="s">
        <v>409</v>
      </c>
      <c r="F101" s="19">
        <v>40770</v>
      </c>
      <c r="G101" s="19">
        <v>40787</v>
      </c>
      <c r="H101" s="20">
        <f t="shared" si="11"/>
        <v>52</v>
      </c>
      <c r="I101" s="5">
        <f t="shared" si="10"/>
        <v>52000</v>
      </c>
      <c r="J101" s="20">
        <f>5000+18000+29000</f>
        <v>52000</v>
      </c>
      <c r="K101" s="20"/>
      <c r="L101" s="21">
        <f t="shared" si="12"/>
        <v>0</v>
      </c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1">
        <f t="shared" si="13"/>
        <v>0</v>
      </c>
    </row>
    <row r="102" spans="1:25">
      <c r="A102" s="41">
        <f>VLOOKUP(B102,справочник!$B$2:$E$322,4,FALSE)</f>
        <v>38</v>
      </c>
      <c r="B102" t="str">
        <f t="shared" si="8"/>
        <v>38Заручинский Вячеслав Владимирович</v>
      </c>
      <c r="C102" s="4">
        <v>38</v>
      </c>
      <c r="D102" s="7" t="s">
        <v>93</v>
      </c>
      <c r="E102" s="5" t="s">
        <v>410</v>
      </c>
      <c r="F102" s="19">
        <v>41100</v>
      </c>
      <c r="G102" s="19">
        <v>41091</v>
      </c>
      <c r="H102" s="20">
        <f t="shared" si="11"/>
        <v>42</v>
      </c>
      <c r="I102" s="5">
        <f t="shared" si="10"/>
        <v>42000</v>
      </c>
      <c r="J102" s="20">
        <v>35000</v>
      </c>
      <c r="K102" s="20"/>
      <c r="L102" s="21">
        <f t="shared" si="12"/>
        <v>7000</v>
      </c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1">
        <f t="shared" si="13"/>
        <v>0</v>
      </c>
    </row>
    <row r="103" spans="1:25">
      <c r="A103" s="41">
        <f>VLOOKUP(B103,справочник!$B$2:$E$322,4,FALSE)</f>
        <v>12</v>
      </c>
      <c r="B103" t="str">
        <f t="shared" si="8"/>
        <v>12Захаренкова Светлана Евгеньевна</v>
      </c>
      <c r="C103" s="1">
        <v>12</v>
      </c>
      <c r="D103" s="3" t="s">
        <v>94</v>
      </c>
      <c r="E103" s="1" t="s">
        <v>411</v>
      </c>
      <c r="F103" s="16">
        <v>41414</v>
      </c>
      <c r="G103" s="16">
        <v>41426</v>
      </c>
      <c r="H103" s="17">
        <f t="shared" si="11"/>
        <v>31</v>
      </c>
      <c r="I103" s="1">
        <f t="shared" si="10"/>
        <v>31000</v>
      </c>
      <c r="J103" s="17">
        <v>5000</v>
      </c>
      <c r="K103" s="17"/>
      <c r="L103" s="18">
        <f t="shared" si="12"/>
        <v>26000</v>
      </c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18">
        <f t="shared" si="13"/>
        <v>0</v>
      </c>
    </row>
    <row r="104" spans="1:25">
      <c r="A104" s="41">
        <f>VLOOKUP(B104,справочник!$B$2:$E$322,4,FALSE)</f>
        <v>63</v>
      </c>
      <c r="B104" t="str">
        <f t="shared" si="8"/>
        <v>65Захаров Михаил Сергеевич</v>
      </c>
      <c r="C104" s="4">
        <v>65</v>
      </c>
      <c r="D104" s="6" t="s">
        <v>95</v>
      </c>
      <c r="E104" s="1" t="s">
        <v>412</v>
      </c>
      <c r="F104" s="16">
        <v>41513</v>
      </c>
      <c r="G104" s="16">
        <v>41518</v>
      </c>
      <c r="H104" s="17">
        <f t="shared" si="11"/>
        <v>28</v>
      </c>
      <c r="I104" s="1">
        <f t="shared" si="10"/>
        <v>28000</v>
      </c>
      <c r="J104" s="17">
        <v>0</v>
      </c>
      <c r="K104" s="17"/>
      <c r="L104" s="18">
        <f t="shared" si="12"/>
        <v>28000</v>
      </c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18">
        <f t="shared" si="13"/>
        <v>0</v>
      </c>
    </row>
    <row r="105" spans="1:25">
      <c r="A105" s="41">
        <f>VLOOKUP(B105,справочник!$B$2:$E$322,4,FALSE)</f>
        <v>16</v>
      </c>
      <c r="B105" t="str">
        <f t="shared" si="8"/>
        <v>16Захарова Людмила Захаровна</v>
      </c>
      <c r="C105" s="1">
        <v>16</v>
      </c>
      <c r="D105" s="2" t="s">
        <v>96</v>
      </c>
      <c r="E105" s="1" t="s">
        <v>413</v>
      </c>
      <c r="F105" s="16">
        <v>41254</v>
      </c>
      <c r="G105" s="16">
        <v>41275</v>
      </c>
      <c r="H105" s="17">
        <f t="shared" si="11"/>
        <v>36</v>
      </c>
      <c r="I105" s="1">
        <f t="shared" si="10"/>
        <v>36000</v>
      </c>
      <c r="J105" s="17">
        <v>36000</v>
      </c>
      <c r="K105" s="17"/>
      <c r="L105" s="18">
        <f t="shared" si="12"/>
        <v>0</v>
      </c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18">
        <f t="shared" si="13"/>
        <v>0</v>
      </c>
    </row>
    <row r="106" spans="1:25">
      <c r="A106" s="41">
        <f>VLOOKUP(B106,справочник!$B$2:$E$322,4,FALSE)</f>
        <v>121</v>
      </c>
      <c r="B106" t="str">
        <f t="shared" si="8"/>
        <v>126Зиннатов Рафаэль Шакурович</v>
      </c>
      <c r="C106" s="1">
        <v>126</v>
      </c>
      <c r="D106" s="2" t="s">
        <v>97</v>
      </c>
      <c r="E106" s="1" t="s">
        <v>414</v>
      </c>
      <c r="F106" s="16">
        <v>41190</v>
      </c>
      <c r="G106" s="16">
        <v>41214</v>
      </c>
      <c r="H106" s="17">
        <f t="shared" si="11"/>
        <v>38</v>
      </c>
      <c r="I106" s="1">
        <f t="shared" si="10"/>
        <v>38000</v>
      </c>
      <c r="J106" s="17">
        <v>32000</v>
      </c>
      <c r="K106" s="17"/>
      <c r="L106" s="18">
        <f t="shared" si="12"/>
        <v>6000</v>
      </c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18">
        <f t="shared" si="13"/>
        <v>0</v>
      </c>
    </row>
    <row r="107" spans="1:25">
      <c r="A107" s="41">
        <f>VLOOKUP(B107,справочник!$B$2:$E$322,4,FALSE)</f>
        <v>156</v>
      </c>
      <c r="B107" t="str">
        <f t="shared" si="8"/>
        <v>164Иваненко Петр Олегович</v>
      </c>
      <c r="C107" s="1">
        <v>164</v>
      </c>
      <c r="D107" s="2" t="s">
        <v>98</v>
      </c>
      <c r="E107" s="1" t="s">
        <v>415</v>
      </c>
      <c r="F107" s="16">
        <v>41394</v>
      </c>
      <c r="G107" s="16">
        <v>41426</v>
      </c>
      <c r="H107" s="17">
        <f t="shared" si="11"/>
        <v>31</v>
      </c>
      <c r="I107" s="1">
        <f t="shared" si="10"/>
        <v>31000</v>
      </c>
      <c r="J107" s="17">
        <v>28000</v>
      </c>
      <c r="K107" s="17"/>
      <c r="L107" s="18">
        <f t="shared" si="12"/>
        <v>3000</v>
      </c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18">
        <f t="shared" si="13"/>
        <v>0</v>
      </c>
    </row>
    <row r="108" spans="1:25">
      <c r="A108" s="41">
        <f>VLOOKUP(B108,справочник!$B$2:$E$322,4,FALSE)</f>
        <v>5</v>
      </c>
      <c r="B108" t="str">
        <f t="shared" si="8"/>
        <v>5Иванов Владимир Николаевич</v>
      </c>
      <c r="C108" s="1">
        <v>5</v>
      </c>
      <c r="D108" s="3" t="s">
        <v>99</v>
      </c>
      <c r="E108" s="1" t="s">
        <v>416</v>
      </c>
      <c r="F108" s="16">
        <v>41071</v>
      </c>
      <c r="G108" s="16">
        <v>41061</v>
      </c>
      <c r="H108" s="17">
        <f t="shared" si="11"/>
        <v>43</v>
      </c>
      <c r="I108" s="1">
        <f t="shared" si="10"/>
        <v>43000</v>
      </c>
      <c r="J108" s="17">
        <f>32000</f>
        <v>32000</v>
      </c>
      <c r="K108" s="17"/>
      <c r="L108" s="18">
        <f t="shared" si="12"/>
        <v>11000</v>
      </c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18">
        <f t="shared" si="13"/>
        <v>0</v>
      </c>
    </row>
    <row r="109" spans="1:25">
      <c r="A109" s="41">
        <f>VLOOKUP(B109,справочник!$B$2:$E$322,4,FALSE)</f>
        <v>214</v>
      </c>
      <c r="B109" t="str">
        <f t="shared" si="8"/>
        <v>223Иванов Денис Сильвестрович</v>
      </c>
      <c r="C109" s="1">
        <v>223</v>
      </c>
      <c r="D109" s="2" t="s">
        <v>100</v>
      </c>
      <c r="E109" s="1" t="s">
        <v>417</v>
      </c>
      <c r="F109" s="16">
        <v>41807</v>
      </c>
      <c r="G109" s="16">
        <v>41791</v>
      </c>
      <c r="H109" s="17">
        <f t="shared" si="11"/>
        <v>19</v>
      </c>
      <c r="I109" s="1">
        <f t="shared" si="10"/>
        <v>19000</v>
      </c>
      <c r="J109" s="17">
        <v>19000</v>
      </c>
      <c r="K109" s="17"/>
      <c r="L109" s="18">
        <f t="shared" si="12"/>
        <v>0</v>
      </c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18">
        <f t="shared" si="13"/>
        <v>0</v>
      </c>
    </row>
    <row r="110" spans="1:25">
      <c r="A110" s="41">
        <f>VLOOKUP(B110,справочник!$B$2:$E$322,4,FALSE)</f>
        <v>279</v>
      </c>
      <c r="B110" t="str">
        <f t="shared" si="8"/>
        <v>291Иванова Светлана Сергеевна</v>
      </c>
      <c r="C110" s="1">
        <v>291</v>
      </c>
      <c r="D110" s="3" t="s">
        <v>101</v>
      </c>
      <c r="E110" s="1" t="s">
        <v>418</v>
      </c>
      <c r="F110" s="16">
        <v>40890</v>
      </c>
      <c r="G110" s="16">
        <v>40878</v>
      </c>
      <c r="H110" s="17">
        <f t="shared" si="11"/>
        <v>49</v>
      </c>
      <c r="I110" s="1">
        <f t="shared" si="10"/>
        <v>49000</v>
      </c>
      <c r="J110" s="17">
        <f>42000+1000</f>
        <v>43000</v>
      </c>
      <c r="K110" s="17"/>
      <c r="L110" s="18">
        <f t="shared" si="12"/>
        <v>6000</v>
      </c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18">
        <f t="shared" si="13"/>
        <v>0</v>
      </c>
    </row>
    <row r="111" spans="1:25">
      <c r="A111" s="41">
        <f>VLOOKUP(B111,справочник!$B$2:$E$322,4,FALSE)</f>
        <v>197</v>
      </c>
      <c r="B111" t="str">
        <f t="shared" si="8"/>
        <v>205Иванова Татьяна Викторовна</v>
      </c>
      <c r="C111" s="1">
        <v>205</v>
      </c>
      <c r="D111" s="3" t="s">
        <v>102</v>
      </c>
      <c r="E111" s="1" t="s">
        <v>419</v>
      </c>
      <c r="F111" s="16">
        <v>40862</v>
      </c>
      <c r="G111" s="16">
        <v>40848</v>
      </c>
      <c r="H111" s="17">
        <f t="shared" si="11"/>
        <v>50</v>
      </c>
      <c r="I111" s="1">
        <f t="shared" si="10"/>
        <v>50000</v>
      </c>
      <c r="J111" s="17">
        <v>16000</v>
      </c>
      <c r="K111" s="17"/>
      <c r="L111" s="18">
        <f t="shared" si="12"/>
        <v>34000</v>
      </c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18">
        <f t="shared" si="13"/>
        <v>0</v>
      </c>
    </row>
    <row r="112" spans="1:25">
      <c r="A112" s="41">
        <f>VLOOKUP(B112,справочник!$B$2:$E$322,4,FALSE)</f>
        <v>295</v>
      </c>
      <c r="B112" t="str">
        <f t="shared" si="8"/>
        <v>310Измайлов Михаил Михайлович</v>
      </c>
      <c r="C112" s="4">
        <v>310</v>
      </c>
      <c r="D112" s="3" t="s">
        <v>103</v>
      </c>
      <c r="E112" s="1" t="s">
        <v>420</v>
      </c>
      <c r="F112" s="16">
        <v>41994</v>
      </c>
      <c r="G112" s="16">
        <v>42005</v>
      </c>
      <c r="H112" s="17">
        <f t="shared" si="11"/>
        <v>12</v>
      </c>
      <c r="I112" s="1">
        <f t="shared" si="10"/>
        <v>12000</v>
      </c>
      <c r="J112" s="17"/>
      <c r="K112" s="17"/>
      <c r="L112" s="18">
        <f t="shared" si="12"/>
        <v>12000</v>
      </c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18">
        <f t="shared" si="13"/>
        <v>0</v>
      </c>
    </row>
    <row r="113" spans="1:25">
      <c r="A113" s="41">
        <f>VLOOKUP(B113,справочник!$B$2:$E$322,4,FALSE)</f>
        <v>196</v>
      </c>
      <c r="B113" t="str">
        <f t="shared" si="8"/>
        <v>204Казарин Сергей Викторович</v>
      </c>
      <c r="C113" s="1">
        <v>204</v>
      </c>
      <c r="D113" s="2" t="s">
        <v>104</v>
      </c>
      <c r="E113" s="1" t="s">
        <v>421</v>
      </c>
      <c r="F113" s="16">
        <v>40945</v>
      </c>
      <c r="G113" s="16">
        <v>40969</v>
      </c>
      <c r="H113" s="17">
        <f t="shared" si="11"/>
        <v>46</v>
      </c>
      <c r="I113" s="1">
        <f t="shared" si="10"/>
        <v>46000</v>
      </c>
      <c r="J113" s="17">
        <f>46000</f>
        <v>46000</v>
      </c>
      <c r="K113" s="17"/>
      <c r="L113" s="18">
        <f t="shared" si="12"/>
        <v>0</v>
      </c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18">
        <f t="shared" si="13"/>
        <v>0</v>
      </c>
    </row>
    <row r="114" spans="1:25" ht="24">
      <c r="A114" s="41">
        <f>VLOOKUP(B114,справочник!$B$2:$E$322,4,FALSE)</f>
        <v>124</v>
      </c>
      <c r="B114" t="str">
        <f t="shared" si="8"/>
        <v>129Казымов Горхмаз Гамид/Лавренчук Александр Владиславович</v>
      </c>
      <c r="C114" s="1">
        <v>129</v>
      </c>
      <c r="D114" s="3" t="s">
        <v>105</v>
      </c>
      <c r="E114" s="1" t="s">
        <v>422</v>
      </c>
      <c r="F114" s="16">
        <v>41580</v>
      </c>
      <c r="G114" s="16">
        <v>41609</v>
      </c>
      <c r="H114" s="17">
        <f t="shared" si="11"/>
        <v>25</v>
      </c>
      <c r="I114" s="1">
        <f t="shared" si="10"/>
        <v>25000</v>
      </c>
      <c r="J114" s="17">
        <f>5000+1500+5000</f>
        <v>11500</v>
      </c>
      <c r="K114" s="17"/>
      <c r="L114" s="18">
        <f t="shared" si="12"/>
        <v>13500</v>
      </c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18">
        <f t="shared" si="13"/>
        <v>0</v>
      </c>
    </row>
    <row r="115" spans="1:25">
      <c r="A115" s="41">
        <f>VLOOKUP(B115,справочник!$B$2:$E$322,4,FALSE)</f>
        <v>250</v>
      </c>
      <c r="B115" t="str">
        <f t="shared" si="8"/>
        <v>261Каляникова Наталья Сергеевна</v>
      </c>
      <c r="C115" s="1">
        <v>261</v>
      </c>
      <c r="D115" s="3" t="s">
        <v>106</v>
      </c>
      <c r="E115" s="1" t="s">
        <v>423</v>
      </c>
      <c r="F115" s="16">
        <v>41498</v>
      </c>
      <c r="G115" s="16">
        <v>41518</v>
      </c>
      <c r="H115" s="17">
        <f t="shared" si="11"/>
        <v>28</v>
      </c>
      <c r="I115" s="1">
        <f t="shared" si="10"/>
        <v>28000</v>
      </c>
      <c r="J115" s="17">
        <v>13000</v>
      </c>
      <c r="K115" s="17">
        <v>1000</v>
      </c>
      <c r="L115" s="18">
        <f t="shared" si="12"/>
        <v>14000</v>
      </c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18">
        <f t="shared" si="13"/>
        <v>0</v>
      </c>
    </row>
    <row r="116" spans="1:25">
      <c r="A116" s="41">
        <f>VLOOKUP(B116,справочник!$B$2:$E$322,4,FALSE)</f>
        <v>153</v>
      </c>
      <c r="B116" t="str">
        <f t="shared" si="8"/>
        <v>161Канышкина Юлия Юрьевна</v>
      </c>
      <c r="C116" s="1">
        <v>161</v>
      </c>
      <c r="D116" s="2" t="s">
        <v>107</v>
      </c>
      <c r="E116" s="1" t="s">
        <v>424</v>
      </c>
      <c r="F116" s="16">
        <v>40994</v>
      </c>
      <c r="G116" s="16">
        <v>41000</v>
      </c>
      <c r="H116" s="17">
        <f t="shared" si="11"/>
        <v>45</v>
      </c>
      <c r="I116" s="1">
        <f t="shared" si="10"/>
        <v>45000</v>
      </c>
      <c r="J116" s="17">
        <v>41000</v>
      </c>
      <c r="K116" s="17"/>
      <c r="L116" s="18">
        <f t="shared" si="12"/>
        <v>4000</v>
      </c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18">
        <f t="shared" si="13"/>
        <v>0</v>
      </c>
    </row>
    <row r="117" spans="1:25">
      <c r="A117" s="41">
        <f>VLOOKUP(B117,справочник!$B$2:$E$322,4,FALSE)</f>
        <v>106</v>
      </c>
      <c r="B117" t="str">
        <f t="shared" si="8"/>
        <v>111Карпекина Лилия Рафаэльевна</v>
      </c>
      <c r="C117" s="1">
        <v>111</v>
      </c>
      <c r="D117" s="3" t="s">
        <v>108</v>
      </c>
      <c r="E117" s="1" t="s">
        <v>425</v>
      </c>
      <c r="F117" s="16">
        <v>41463</v>
      </c>
      <c r="G117" s="16">
        <v>41282</v>
      </c>
      <c r="H117" s="17">
        <f t="shared" si="11"/>
        <v>36</v>
      </c>
      <c r="I117" s="1">
        <f t="shared" si="10"/>
        <v>36000</v>
      </c>
      <c r="J117" s="17">
        <v>1000</v>
      </c>
      <c r="K117" s="17"/>
      <c r="L117" s="18">
        <f t="shared" si="12"/>
        <v>35000</v>
      </c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18">
        <f t="shared" si="13"/>
        <v>0</v>
      </c>
    </row>
    <row r="118" spans="1:25">
      <c r="A118" s="41">
        <f>VLOOKUP(B118,справочник!$B$2:$E$322,4,FALSE)</f>
        <v>222</v>
      </c>
      <c r="B118" t="str">
        <f t="shared" si="8"/>
        <v>231Карпова Елена Витальевна</v>
      </c>
      <c r="C118" s="1">
        <v>231</v>
      </c>
      <c r="D118" s="2" t="s">
        <v>109</v>
      </c>
      <c r="E118" s="1" t="s">
        <v>426</v>
      </c>
      <c r="F118" s="16">
        <v>41429</v>
      </c>
      <c r="G118" s="16">
        <v>41456</v>
      </c>
      <c r="H118" s="17">
        <f t="shared" si="11"/>
        <v>30</v>
      </c>
      <c r="I118" s="1">
        <f t="shared" si="10"/>
        <v>30000</v>
      </c>
      <c r="J118" s="17">
        <v>25000</v>
      </c>
      <c r="K118" s="17">
        <v>5000</v>
      </c>
      <c r="L118" s="18">
        <f t="shared" si="12"/>
        <v>0</v>
      </c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18">
        <f t="shared" si="13"/>
        <v>0</v>
      </c>
    </row>
    <row r="119" spans="1:25">
      <c r="A119" s="41">
        <f>VLOOKUP(B119,справочник!$B$2:$E$322,4,FALSE)</f>
        <v>208</v>
      </c>
      <c r="B119" t="str">
        <f t="shared" si="8"/>
        <v>218Катушкин Роман Юрьевич</v>
      </c>
      <c r="C119" s="1">
        <v>218</v>
      </c>
      <c r="D119" s="3" t="s">
        <v>110</v>
      </c>
      <c r="E119" s="1" t="s">
        <v>427</v>
      </c>
      <c r="F119" s="16">
        <v>41052</v>
      </c>
      <c r="G119" s="16">
        <v>41061</v>
      </c>
      <c r="H119" s="17">
        <f t="shared" si="11"/>
        <v>43</v>
      </c>
      <c r="I119" s="1">
        <f t="shared" si="10"/>
        <v>43000</v>
      </c>
      <c r="J119" s="17">
        <f>40500</f>
        <v>40500</v>
      </c>
      <c r="K119" s="17"/>
      <c r="L119" s="18">
        <f t="shared" si="12"/>
        <v>2500</v>
      </c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18">
        <f t="shared" si="13"/>
        <v>0</v>
      </c>
    </row>
    <row r="120" spans="1:25" ht="24">
      <c r="A120" s="41">
        <f>VLOOKUP(B120,справочник!$B$2:$E$322,4,FALSE)</f>
        <v>207</v>
      </c>
      <c r="B120" t="str">
        <f t="shared" si="8"/>
        <v>217Катушкин Роман Юрьевич//Валеев Артур Рашидович</v>
      </c>
      <c r="C120" s="4">
        <v>217</v>
      </c>
      <c r="D120" s="3" t="s">
        <v>111</v>
      </c>
      <c r="E120" s="1"/>
      <c r="F120" s="1"/>
      <c r="G120" s="1"/>
      <c r="H120" s="17"/>
      <c r="I120" s="1">
        <f t="shared" si="10"/>
        <v>0</v>
      </c>
      <c r="J120" s="17"/>
      <c r="K120" s="17"/>
      <c r="L120" s="18">
        <f t="shared" si="12"/>
        <v>0</v>
      </c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18">
        <f t="shared" si="13"/>
        <v>0</v>
      </c>
    </row>
    <row r="121" spans="1:25">
      <c r="A121" s="41">
        <f>VLOOKUP(B121,справочник!$B$2:$E$322,4,FALSE)</f>
        <v>231</v>
      </c>
      <c r="B121" t="str">
        <f t="shared" si="8"/>
        <v>240Кашичкин Александр Борисович</v>
      </c>
      <c r="C121" s="1">
        <v>240</v>
      </c>
      <c r="D121" s="2" t="s">
        <v>112</v>
      </c>
      <c r="E121" s="1" t="s">
        <v>428</v>
      </c>
      <c r="F121" s="16">
        <v>41357</v>
      </c>
      <c r="G121" s="16">
        <v>41365</v>
      </c>
      <c r="H121" s="17">
        <f t="shared" ref="H121:H132" si="14">INT(($H$327-G121)/30)</f>
        <v>33</v>
      </c>
      <c r="I121" s="1">
        <f t="shared" si="10"/>
        <v>33000</v>
      </c>
      <c r="J121" s="17">
        <v>28000</v>
      </c>
      <c r="K121" s="17"/>
      <c r="L121" s="18">
        <f t="shared" si="12"/>
        <v>5000</v>
      </c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18">
        <f t="shared" si="13"/>
        <v>0</v>
      </c>
    </row>
    <row r="122" spans="1:25">
      <c r="A122" s="41">
        <f>VLOOKUP(B122,справочник!$B$2:$E$322,4,FALSE)</f>
        <v>76</v>
      </c>
      <c r="B122" t="str">
        <f t="shared" si="8"/>
        <v>82Киеня Валентина Александровна (Анатолий)</v>
      </c>
      <c r="C122" s="1">
        <v>82</v>
      </c>
      <c r="D122" s="2" t="s">
        <v>113</v>
      </c>
      <c r="E122" s="1" t="s">
        <v>429</v>
      </c>
      <c r="F122" s="16">
        <v>40682</v>
      </c>
      <c r="G122" s="16">
        <v>40695</v>
      </c>
      <c r="H122" s="17">
        <f t="shared" si="14"/>
        <v>55</v>
      </c>
      <c r="I122" s="1">
        <f t="shared" si="10"/>
        <v>55000</v>
      </c>
      <c r="J122" s="17">
        <v>54000</v>
      </c>
      <c r="K122" s="17">
        <v>3000</v>
      </c>
      <c r="L122" s="18">
        <f t="shared" si="12"/>
        <v>-2000</v>
      </c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18">
        <f t="shared" si="13"/>
        <v>0</v>
      </c>
    </row>
    <row r="123" spans="1:25">
      <c r="A123" s="41">
        <f>VLOOKUP(B123,справочник!$B$2:$E$322,4,FALSE)</f>
        <v>82</v>
      </c>
      <c r="B123" t="str">
        <f t="shared" si="8"/>
        <v>87Кикоть Наталья Петровна (Андрей)</v>
      </c>
      <c r="C123" s="1">
        <v>87</v>
      </c>
      <c r="D123" s="2" t="s">
        <v>114</v>
      </c>
      <c r="E123" s="1" t="s">
        <v>430</v>
      </c>
      <c r="F123" s="16">
        <v>41148</v>
      </c>
      <c r="G123" s="16">
        <v>41153</v>
      </c>
      <c r="H123" s="17">
        <f t="shared" si="14"/>
        <v>40</v>
      </c>
      <c r="I123" s="1">
        <f t="shared" si="10"/>
        <v>40000</v>
      </c>
      <c r="J123" s="17">
        <v>35000</v>
      </c>
      <c r="K123" s="17"/>
      <c r="L123" s="18">
        <f t="shared" si="12"/>
        <v>5000</v>
      </c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18">
        <f t="shared" si="13"/>
        <v>0</v>
      </c>
    </row>
    <row r="124" spans="1:25">
      <c r="A124" s="41">
        <f>VLOOKUP(B124,справочник!$B$2:$E$322,4,FALSE)</f>
        <v>8</v>
      </c>
      <c r="B124" t="str">
        <f t="shared" si="8"/>
        <v>8Кириенко Раиса Федоровна</v>
      </c>
      <c r="C124" s="1">
        <v>8</v>
      </c>
      <c r="D124" s="3" t="s">
        <v>115</v>
      </c>
      <c r="E124" s="1" t="s">
        <v>431</v>
      </c>
      <c r="F124" s="16">
        <v>41741</v>
      </c>
      <c r="G124" s="16">
        <v>41760</v>
      </c>
      <c r="H124" s="17">
        <f t="shared" si="14"/>
        <v>20</v>
      </c>
      <c r="I124" s="1">
        <f t="shared" si="10"/>
        <v>20000</v>
      </c>
      <c r="J124" s="17">
        <v>18000</v>
      </c>
      <c r="K124" s="17"/>
      <c r="L124" s="18">
        <f t="shared" si="12"/>
        <v>2000</v>
      </c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18">
        <f t="shared" si="13"/>
        <v>0</v>
      </c>
    </row>
    <row r="125" spans="1:25">
      <c r="A125" s="41">
        <f>VLOOKUP(B125,справочник!$B$2:$E$322,4,FALSE)</f>
        <v>149</v>
      </c>
      <c r="B125" t="str">
        <f t="shared" si="8"/>
        <v>157Кириллов Вадим Александрович</v>
      </c>
      <c r="C125" s="1">
        <v>157</v>
      </c>
      <c r="D125" s="3" t="s">
        <v>116</v>
      </c>
      <c r="E125" s="1" t="s">
        <v>432</v>
      </c>
      <c r="F125" s="16">
        <v>40820</v>
      </c>
      <c r="G125" s="16">
        <v>40817</v>
      </c>
      <c r="H125" s="17">
        <f t="shared" si="14"/>
        <v>51</v>
      </c>
      <c r="I125" s="1">
        <f t="shared" si="10"/>
        <v>51000</v>
      </c>
      <c r="J125" s="17">
        <f>1000</f>
        <v>1000</v>
      </c>
      <c r="K125" s="17">
        <v>1000</v>
      </c>
      <c r="L125" s="18">
        <f t="shared" si="12"/>
        <v>49000</v>
      </c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18">
        <f t="shared" si="13"/>
        <v>0</v>
      </c>
    </row>
    <row r="126" spans="1:25">
      <c r="A126" s="41">
        <f>VLOOKUP(B126,справочник!$B$2:$E$322,4,FALSE)</f>
        <v>30</v>
      </c>
      <c r="B126" t="str">
        <f t="shared" si="8"/>
        <v>30Кириллов Дмитрий Александрович</v>
      </c>
      <c r="C126" s="1">
        <v>30</v>
      </c>
      <c r="D126" s="3" t="s">
        <v>117</v>
      </c>
      <c r="E126" s="1" t="s">
        <v>433</v>
      </c>
      <c r="F126" s="16">
        <v>40906</v>
      </c>
      <c r="G126" s="16">
        <v>40909</v>
      </c>
      <c r="H126" s="17">
        <f t="shared" si="14"/>
        <v>48</v>
      </c>
      <c r="I126" s="1">
        <f t="shared" si="10"/>
        <v>48000</v>
      </c>
      <c r="J126" s="17">
        <f>1000</f>
        <v>1000</v>
      </c>
      <c r="K126" s="17"/>
      <c r="L126" s="18">
        <f t="shared" si="12"/>
        <v>47000</v>
      </c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18">
        <f t="shared" si="13"/>
        <v>0</v>
      </c>
    </row>
    <row r="127" spans="1:25">
      <c r="A127" s="41">
        <f>VLOOKUP(B127,справочник!$B$2:$E$322,4,FALSE)</f>
        <v>269</v>
      </c>
      <c r="B127" t="str">
        <f t="shared" si="8"/>
        <v>282Коваленко Ирина Леонидовна</v>
      </c>
      <c r="C127" s="1">
        <v>282</v>
      </c>
      <c r="D127" s="3" t="s">
        <v>118</v>
      </c>
      <c r="E127" s="1" t="s">
        <v>434</v>
      </c>
      <c r="F127" s="16">
        <v>41254</v>
      </c>
      <c r="G127" s="16">
        <v>41275</v>
      </c>
      <c r="H127" s="17">
        <f t="shared" si="14"/>
        <v>36</v>
      </c>
      <c r="I127" s="1">
        <f t="shared" si="10"/>
        <v>36000</v>
      </c>
      <c r="J127" s="17">
        <v>18000</v>
      </c>
      <c r="K127" s="17"/>
      <c r="L127" s="18">
        <f t="shared" si="12"/>
        <v>18000</v>
      </c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18">
        <f t="shared" si="13"/>
        <v>0</v>
      </c>
    </row>
    <row r="128" spans="1:25">
      <c r="A128" s="41">
        <f>VLOOKUP(B128,справочник!$B$2:$E$322,4,FALSE)</f>
        <v>271</v>
      </c>
      <c r="B128" t="str">
        <f t="shared" si="8"/>
        <v>284Кожемякин Сергей Владимирович</v>
      </c>
      <c r="C128" s="1">
        <v>284</v>
      </c>
      <c r="D128" s="2" t="s">
        <v>119</v>
      </c>
      <c r="E128" s="1" t="s">
        <v>435</v>
      </c>
      <c r="F128" s="16">
        <v>42044</v>
      </c>
      <c r="G128" s="16">
        <v>42095</v>
      </c>
      <c r="H128" s="17">
        <f t="shared" si="14"/>
        <v>9</v>
      </c>
      <c r="I128" s="1">
        <f t="shared" si="10"/>
        <v>9000</v>
      </c>
      <c r="J128" s="17">
        <v>4000</v>
      </c>
      <c r="K128" s="17">
        <v>5000</v>
      </c>
      <c r="L128" s="18">
        <f t="shared" si="12"/>
        <v>0</v>
      </c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18">
        <f t="shared" si="13"/>
        <v>0</v>
      </c>
    </row>
    <row r="129" spans="1:25">
      <c r="A129" s="41">
        <f>VLOOKUP(B129,справочник!$B$2:$E$322,4,FALSE)</f>
        <v>265</v>
      </c>
      <c r="B129" t="str">
        <f t="shared" si="8"/>
        <v>278Козловский Алексей Гаврилович</v>
      </c>
      <c r="C129" s="1">
        <v>278</v>
      </c>
      <c r="D129" s="3" t="s">
        <v>120</v>
      </c>
      <c r="E129" s="1" t="s">
        <v>436</v>
      </c>
      <c r="F129" s="16">
        <v>40812</v>
      </c>
      <c r="G129" s="16">
        <v>40787</v>
      </c>
      <c r="H129" s="17">
        <f t="shared" si="14"/>
        <v>52</v>
      </c>
      <c r="I129" s="1">
        <f t="shared" si="10"/>
        <v>52000</v>
      </c>
      <c r="J129" s="17">
        <f>2000+27000</f>
        <v>29000</v>
      </c>
      <c r="K129" s="17"/>
      <c r="L129" s="18">
        <f t="shared" si="12"/>
        <v>23000</v>
      </c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18">
        <f t="shared" si="13"/>
        <v>0</v>
      </c>
    </row>
    <row r="130" spans="1:25" ht="24">
      <c r="A130" s="41">
        <f>VLOOKUP(B130,справочник!$B$2:$E$322,4,FALSE)</f>
        <v>173</v>
      </c>
      <c r="B130" t="str">
        <f t="shared" si="8"/>
        <v>181Колесников Никита Олегович(у Кряжковой Виктория Сергеевна</v>
      </c>
      <c r="C130" s="1">
        <v>181</v>
      </c>
      <c r="D130" s="3" t="s">
        <v>121</v>
      </c>
      <c r="E130" s="1" t="s">
        <v>437</v>
      </c>
      <c r="F130" s="16">
        <v>40793</v>
      </c>
      <c r="G130" s="16">
        <v>40787</v>
      </c>
      <c r="H130" s="17">
        <f t="shared" si="14"/>
        <v>52</v>
      </c>
      <c r="I130" s="1">
        <f t="shared" si="10"/>
        <v>52000</v>
      </c>
      <c r="J130" s="17">
        <v>1000</v>
      </c>
      <c r="K130" s="17"/>
      <c r="L130" s="18">
        <f t="shared" si="12"/>
        <v>51000</v>
      </c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18">
        <f t="shared" si="13"/>
        <v>0</v>
      </c>
    </row>
    <row r="131" spans="1:25">
      <c r="A131" s="41">
        <f>VLOOKUP(B131,справочник!$B$2:$E$322,4,FALSE)</f>
        <v>305</v>
      </c>
      <c r="B131" t="str">
        <f t="shared" si="8"/>
        <v>320Колесов Вадим Владимирович</v>
      </c>
      <c r="C131" s="1">
        <v>320</v>
      </c>
      <c r="D131" s="3" t="s">
        <v>122</v>
      </c>
      <c r="E131" s="1" t="s">
        <v>438</v>
      </c>
      <c r="F131" s="16">
        <v>41929</v>
      </c>
      <c r="G131" s="16">
        <v>41944</v>
      </c>
      <c r="H131" s="17">
        <f t="shared" si="14"/>
        <v>14</v>
      </c>
      <c r="I131" s="1">
        <f t="shared" si="10"/>
        <v>14000</v>
      </c>
      <c r="J131" s="17">
        <v>1000</v>
      </c>
      <c r="K131" s="17"/>
      <c r="L131" s="18">
        <f t="shared" si="12"/>
        <v>13000</v>
      </c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18">
        <f t="shared" si="13"/>
        <v>0</v>
      </c>
    </row>
    <row r="132" spans="1:25">
      <c r="A132" s="41">
        <f>VLOOKUP(B132,справочник!$B$2:$E$322,4,FALSE)</f>
        <v>69</v>
      </c>
      <c r="B132" t="str">
        <f t="shared" si="8"/>
        <v>75Колташ Анна Владимировна</v>
      </c>
      <c r="C132" s="4">
        <v>75</v>
      </c>
      <c r="D132" s="3" t="s">
        <v>123</v>
      </c>
      <c r="E132" s="1" t="s">
        <v>439</v>
      </c>
      <c r="F132" s="19" t="s">
        <v>440</v>
      </c>
      <c r="G132" s="19">
        <v>40787</v>
      </c>
      <c r="H132" s="20">
        <f t="shared" si="14"/>
        <v>52</v>
      </c>
      <c r="I132" s="5">
        <f t="shared" si="10"/>
        <v>52000</v>
      </c>
      <c r="J132" s="20">
        <f>3000+10000</f>
        <v>13000</v>
      </c>
      <c r="K132" s="20"/>
      <c r="L132" s="21">
        <f t="shared" si="12"/>
        <v>39000</v>
      </c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1">
        <f t="shared" si="13"/>
        <v>0</v>
      </c>
    </row>
    <row r="133" spans="1:25">
      <c r="A133" s="41">
        <f>VLOOKUP(B133,справочник!$B$2:$E$322,4,FALSE)</f>
        <v>69</v>
      </c>
      <c r="B133" t="str">
        <f t="shared" si="8"/>
        <v>76Колташ Анна Владимировна</v>
      </c>
      <c r="C133" s="4">
        <v>76</v>
      </c>
      <c r="D133" s="3" t="s">
        <v>123</v>
      </c>
      <c r="E133" s="1" t="s">
        <v>441</v>
      </c>
      <c r="F133" s="5"/>
      <c r="G133" s="5"/>
      <c r="H133" s="20"/>
      <c r="I133" s="5">
        <f t="shared" si="10"/>
        <v>0</v>
      </c>
      <c r="J133" s="20"/>
      <c r="K133" s="20"/>
      <c r="L133" s="21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1"/>
    </row>
    <row r="134" spans="1:25">
      <c r="A134" s="41">
        <f>VLOOKUP(B134,справочник!$B$2:$E$322,4,FALSE)</f>
        <v>1</v>
      </c>
      <c r="B134" t="str">
        <f t="shared" ref="B134:B197" si="15">CONCATENATE(C134,D134)</f>
        <v>1Колыгина Нина Николаевна</v>
      </c>
      <c r="C134" s="1">
        <v>1</v>
      </c>
      <c r="D134" s="2" t="s">
        <v>124</v>
      </c>
      <c r="E134" s="1" t="s">
        <v>442</v>
      </c>
      <c r="F134" s="16">
        <v>41409</v>
      </c>
      <c r="G134" s="16">
        <v>41548</v>
      </c>
      <c r="H134" s="17">
        <f t="shared" ref="H134:H183" si="16">INT(($H$327-G134)/30)</f>
        <v>27</v>
      </c>
      <c r="I134" s="1">
        <f t="shared" si="10"/>
        <v>27000</v>
      </c>
      <c r="J134" s="17">
        <v>24000</v>
      </c>
      <c r="K134" s="17"/>
      <c r="L134" s="18">
        <f t="shared" ref="L134:L186" si="17">I134-J134-K134</f>
        <v>3000</v>
      </c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18">
        <f t="shared" ref="Y134:Y186" si="18">V134-W134-X134</f>
        <v>0</v>
      </c>
    </row>
    <row r="135" spans="1:25">
      <c r="A135" s="41">
        <f>VLOOKUP(B135,справочник!$B$2:$E$322,4,FALSE)</f>
        <v>302</v>
      </c>
      <c r="B135" t="str">
        <f t="shared" si="15"/>
        <v>317Колышкина Александра Сергеевна</v>
      </c>
      <c r="C135" s="1">
        <v>317</v>
      </c>
      <c r="D135" s="3" t="s">
        <v>125</v>
      </c>
      <c r="E135" s="1" t="s">
        <v>443</v>
      </c>
      <c r="F135" s="16">
        <v>40997</v>
      </c>
      <c r="G135" s="16">
        <v>41000</v>
      </c>
      <c r="H135" s="17">
        <f t="shared" si="16"/>
        <v>45</v>
      </c>
      <c r="I135" s="1">
        <f t="shared" si="10"/>
        <v>45000</v>
      </c>
      <c r="J135" s="17">
        <v>32000</v>
      </c>
      <c r="K135" s="17"/>
      <c r="L135" s="18">
        <f t="shared" si="17"/>
        <v>13000</v>
      </c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18">
        <f t="shared" si="18"/>
        <v>0</v>
      </c>
    </row>
    <row r="136" spans="1:25">
      <c r="A136" s="41">
        <f>VLOOKUP(B136,справочник!$B$2:$E$322,4,FALSE)</f>
        <v>123</v>
      </c>
      <c r="B136" t="str">
        <f t="shared" si="15"/>
        <v>128Кондратьева Юлия Викторовна</v>
      </c>
      <c r="C136" s="1">
        <v>128</v>
      </c>
      <c r="D136" s="3" t="s">
        <v>126</v>
      </c>
      <c r="E136" s="1" t="s">
        <v>444</v>
      </c>
      <c r="F136" s="16">
        <v>40960</v>
      </c>
      <c r="G136" s="16">
        <v>40940</v>
      </c>
      <c r="H136" s="17">
        <f t="shared" si="16"/>
        <v>47</v>
      </c>
      <c r="I136" s="1">
        <f t="shared" si="10"/>
        <v>47000</v>
      </c>
      <c r="J136" s="17">
        <v>34000</v>
      </c>
      <c r="K136" s="17"/>
      <c r="L136" s="18">
        <f t="shared" si="17"/>
        <v>13000</v>
      </c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18">
        <f t="shared" si="18"/>
        <v>0</v>
      </c>
    </row>
    <row r="137" spans="1:25" ht="24">
      <c r="A137" s="41">
        <f>VLOOKUP(B137,справочник!$B$2:$E$322,4,FALSE)</f>
        <v>163</v>
      </c>
      <c r="B137" t="str">
        <f t="shared" si="15"/>
        <v>171Кондратюк Наталья Петровна 1/2,  Соболев Олег Юрьевич 1/2</v>
      </c>
      <c r="C137" s="1">
        <v>171</v>
      </c>
      <c r="D137" s="3" t="s">
        <v>127</v>
      </c>
      <c r="E137" s="1"/>
      <c r="F137" s="16">
        <v>41809</v>
      </c>
      <c r="G137" s="16">
        <v>41821</v>
      </c>
      <c r="H137" s="17">
        <f t="shared" si="16"/>
        <v>18</v>
      </c>
      <c r="I137" s="1">
        <f t="shared" si="10"/>
        <v>18000</v>
      </c>
      <c r="J137" s="17">
        <f>5000+4000</f>
        <v>9000</v>
      </c>
      <c r="K137" s="17"/>
      <c r="L137" s="18">
        <f t="shared" si="17"/>
        <v>9000</v>
      </c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18">
        <f t="shared" si="18"/>
        <v>0</v>
      </c>
    </row>
    <row r="138" spans="1:25">
      <c r="A138" s="41">
        <f>VLOOKUP(B138,справочник!$B$2:$E$322,4,FALSE)</f>
        <v>110</v>
      </c>
      <c r="B138" t="str">
        <f t="shared" si="15"/>
        <v>115Кондрашов Роман Вячеславович</v>
      </c>
      <c r="C138" s="1">
        <v>115</v>
      </c>
      <c r="D138" s="3" t="s">
        <v>128</v>
      </c>
      <c r="E138" s="1" t="s">
        <v>445</v>
      </c>
      <c r="F138" s="16">
        <v>41101</v>
      </c>
      <c r="G138" s="16">
        <v>41091</v>
      </c>
      <c r="H138" s="17">
        <f t="shared" si="16"/>
        <v>42</v>
      </c>
      <c r="I138" s="1">
        <f t="shared" si="10"/>
        <v>42000</v>
      </c>
      <c r="J138" s="17">
        <v>23000</v>
      </c>
      <c r="K138" s="17"/>
      <c r="L138" s="18">
        <f t="shared" si="17"/>
        <v>19000</v>
      </c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18">
        <f t="shared" si="18"/>
        <v>0</v>
      </c>
    </row>
    <row r="139" spans="1:25" ht="24">
      <c r="A139" s="41">
        <f>VLOOKUP(B139,справочник!$B$2:$E$322,4,FALSE)</f>
        <v>112</v>
      </c>
      <c r="B139" t="str">
        <f t="shared" si="15"/>
        <v>117Кондрашов Сергей Вячеславович//Балыкин Александр Иванович</v>
      </c>
      <c r="C139" s="1">
        <v>117</v>
      </c>
      <c r="D139" s="3" t="s">
        <v>129</v>
      </c>
      <c r="E139" s="1"/>
      <c r="F139" s="16">
        <v>41101</v>
      </c>
      <c r="G139" s="16">
        <v>41091</v>
      </c>
      <c r="H139" s="17">
        <f t="shared" si="16"/>
        <v>42</v>
      </c>
      <c r="I139" s="1">
        <f t="shared" si="10"/>
        <v>42000</v>
      </c>
      <c r="J139" s="17">
        <f>25000</f>
        <v>25000</v>
      </c>
      <c r="K139" s="17"/>
      <c r="L139" s="18">
        <f t="shared" si="17"/>
        <v>17000</v>
      </c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18">
        <f t="shared" si="18"/>
        <v>0</v>
      </c>
    </row>
    <row r="140" spans="1:25">
      <c r="A140" s="41">
        <f>VLOOKUP(B140,справочник!$B$2:$E$322,4,FALSE)</f>
        <v>190</v>
      </c>
      <c r="B140" t="str">
        <f t="shared" si="15"/>
        <v>198Коновальцев Олег Серафимович</v>
      </c>
      <c r="C140" s="1">
        <v>198</v>
      </c>
      <c r="D140" s="3" t="s">
        <v>130</v>
      </c>
      <c r="E140" s="1" t="s">
        <v>446</v>
      </c>
      <c r="F140" s="16">
        <v>41407</v>
      </c>
      <c r="G140" s="16">
        <v>41426</v>
      </c>
      <c r="H140" s="17">
        <f t="shared" si="16"/>
        <v>31</v>
      </c>
      <c r="I140" s="1">
        <f t="shared" ref="I140:I186" si="19">H140*1000</f>
        <v>31000</v>
      </c>
      <c r="J140" s="17">
        <v>15000</v>
      </c>
      <c r="K140" s="17"/>
      <c r="L140" s="18">
        <f t="shared" si="17"/>
        <v>16000</v>
      </c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18">
        <f t="shared" si="18"/>
        <v>0</v>
      </c>
    </row>
    <row r="141" spans="1:25">
      <c r="A141" s="41">
        <f>VLOOKUP(B141,справочник!$B$2:$E$322,4,FALSE)</f>
        <v>83</v>
      </c>
      <c r="B141" t="str">
        <f t="shared" si="15"/>
        <v>88Кононенко Алла Николаевна (Александр)</v>
      </c>
      <c r="C141" s="1">
        <v>88</v>
      </c>
      <c r="D141" s="2" t="s">
        <v>131</v>
      </c>
      <c r="E141" s="1" t="s">
        <v>447</v>
      </c>
      <c r="F141" s="16">
        <v>40675</v>
      </c>
      <c r="G141" s="16">
        <v>40695</v>
      </c>
      <c r="H141" s="17">
        <f t="shared" si="16"/>
        <v>55</v>
      </c>
      <c r="I141" s="1">
        <f t="shared" si="19"/>
        <v>55000</v>
      </c>
      <c r="J141" s="17">
        <f>1000+49000</f>
        <v>50000</v>
      </c>
      <c r="K141" s="17"/>
      <c r="L141" s="18">
        <f t="shared" si="17"/>
        <v>5000</v>
      </c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18">
        <f t="shared" si="18"/>
        <v>0</v>
      </c>
    </row>
    <row r="142" spans="1:25">
      <c r="A142" s="41">
        <f>VLOOKUP(B142,справочник!$B$2:$E$322,4,FALSE)</f>
        <v>133</v>
      </c>
      <c r="B142" t="str">
        <f t="shared" si="15"/>
        <v>140Короткевич Наталья Владимировна</v>
      </c>
      <c r="C142" s="1">
        <v>140</v>
      </c>
      <c r="D142" s="2" t="s">
        <v>132</v>
      </c>
      <c r="E142" s="1" t="s">
        <v>448</v>
      </c>
      <c r="F142" s="16">
        <v>41008</v>
      </c>
      <c r="G142" s="16">
        <v>41000</v>
      </c>
      <c r="H142" s="17">
        <f t="shared" si="16"/>
        <v>45</v>
      </c>
      <c r="I142" s="1">
        <f t="shared" si="19"/>
        <v>45000</v>
      </c>
      <c r="J142" s="17">
        <v>41000</v>
      </c>
      <c r="K142" s="17">
        <v>4000</v>
      </c>
      <c r="L142" s="18">
        <f t="shared" si="17"/>
        <v>0</v>
      </c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18">
        <f t="shared" si="18"/>
        <v>0</v>
      </c>
    </row>
    <row r="143" spans="1:25">
      <c r="A143" s="41">
        <f>VLOOKUP(B143,справочник!$B$2:$E$322,4,FALSE)</f>
        <v>202</v>
      </c>
      <c r="B143" t="str">
        <f t="shared" si="15"/>
        <v>212Корчинская Ирина Анатольевна</v>
      </c>
      <c r="C143" s="1">
        <v>212</v>
      </c>
      <c r="D143" s="3" t="s">
        <v>133</v>
      </c>
      <c r="E143" s="1" t="s">
        <v>449</v>
      </c>
      <c r="F143" s="16">
        <v>41100</v>
      </c>
      <c r="G143" s="16">
        <v>41091</v>
      </c>
      <c r="H143" s="17">
        <f t="shared" si="16"/>
        <v>42</v>
      </c>
      <c r="I143" s="1">
        <f t="shared" si="19"/>
        <v>42000</v>
      </c>
      <c r="J143" s="17">
        <v>18000</v>
      </c>
      <c r="K143" s="17"/>
      <c r="L143" s="18">
        <f t="shared" si="17"/>
        <v>24000</v>
      </c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18">
        <f t="shared" si="18"/>
        <v>0</v>
      </c>
    </row>
    <row r="144" spans="1:25">
      <c r="A144" s="41">
        <f>VLOOKUP(B144,справочник!$B$2:$E$322,4,FALSE)</f>
        <v>192</v>
      </c>
      <c r="B144" t="str">
        <f t="shared" si="15"/>
        <v>200Косенков Степан Фед-ч(Галактионова)</v>
      </c>
      <c r="C144" s="1">
        <v>200</v>
      </c>
      <c r="D144" s="3" t="s">
        <v>134</v>
      </c>
      <c r="E144" s="1" t="s">
        <v>450</v>
      </c>
      <c r="F144" s="16">
        <v>41829</v>
      </c>
      <c r="G144" s="16">
        <v>41852</v>
      </c>
      <c r="H144" s="17">
        <f t="shared" si="16"/>
        <v>17</v>
      </c>
      <c r="I144" s="1">
        <f t="shared" si="19"/>
        <v>17000</v>
      </c>
      <c r="J144" s="17"/>
      <c r="K144" s="17"/>
      <c r="L144" s="18">
        <f t="shared" si="17"/>
        <v>17000</v>
      </c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18">
        <f t="shared" si="18"/>
        <v>0</v>
      </c>
    </row>
    <row r="145" spans="1:25">
      <c r="A145" s="41">
        <f>VLOOKUP(B145,справочник!$B$2:$E$322,4,FALSE)</f>
        <v>289</v>
      </c>
      <c r="B145" t="str">
        <f t="shared" si="15"/>
        <v>301Косенкова Елизавета Евгеньевна</v>
      </c>
      <c r="C145" s="1">
        <v>301</v>
      </c>
      <c r="D145" s="3" t="s">
        <v>135</v>
      </c>
      <c r="E145" s="1" t="s">
        <v>451</v>
      </c>
      <c r="F145" s="16">
        <v>41976</v>
      </c>
      <c r="G145" s="16">
        <v>42005</v>
      </c>
      <c r="H145" s="17">
        <f t="shared" si="16"/>
        <v>12</v>
      </c>
      <c r="I145" s="1">
        <f t="shared" si="19"/>
        <v>12000</v>
      </c>
      <c r="J145" s="17">
        <v>3000</v>
      </c>
      <c r="K145" s="17"/>
      <c r="L145" s="18">
        <f t="shared" si="17"/>
        <v>9000</v>
      </c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18">
        <f t="shared" si="18"/>
        <v>0</v>
      </c>
    </row>
    <row r="146" spans="1:25">
      <c r="A146" s="41">
        <f>VLOOKUP(B146,справочник!$B$2:$E$322,4,FALSE)</f>
        <v>143</v>
      </c>
      <c r="B146" t="str">
        <f t="shared" si="15"/>
        <v>151Красникова Раиса Михайловна</v>
      </c>
      <c r="C146" s="1">
        <v>151</v>
      </c>
      <c r="D146" s="3" t="s">
        <v>136</v>
      </c>
      <c r="E146" s="1" t="s">
        <v>452</v>
      </c>
      <c r="F146" s="16">
        <v>40841</v>
      </c>
      <c r="G146" s="16">
        <v>40848</v>
      </c>
      <c r="H146" s="17">
        <f t="shared" si="16"/>
        <v>50</v>
      </c>
      <c r="I146" s="1">
        <f t="shared" si="19"/>
        <v>50000</v>
      </c>
      <c r="J146" s="17">
        <v>37000</v>
      </c>
      <c r="K146" s="17"/>
      <c r="L146" s="18">
        <f t="shared" si="17"/>
        <v>13000</v>
      </c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18">
        <f t="shared" si="18"/>
        <v>0</v>
      </c>
    </row>
    <row r="147" spans="1:25">
      <c r="A147" s="41">
        <f>VLOOKUP(B147,справочник!$B$2:$E$322,4,FALSE)</f>
        <v>62</v>
      </c>
      <c r="B147" t="str">
        <f t="shared" si="15"/>
        <v>64Кривой Владимир Аркадьевич</v>
      </c>
      <c r="C147" s="1">
        <v>64</v>
      </c>
      <c r="D147" s="2" t="s">
        <v>137</v>
      </c>
      <c r="E147" s="1" t="s">
        <v>453</v>
      </c>
      <c r="F147" s="16">
        <v>40816</v>
      </c>
      <c r="G147" s="16">
        <v>40817</v>
      </c>
      <c r="H147" s="17">
        <f t="shared" si="16"/>
        <v>51</v>
      </c>
      <c r="I147" s="1">
        <f t="shared" si="19"/>
        <v>51000</v>
      </c>
      <c r="J147" s="17">
        <f>1000+47000</f>
        <v>48000</v>
      </c>
      <c r="K147" s="17">
        <v>3000</v>
      </c>
      <c r="L147" s="18">
        <f t="shared" si="17"/>
        <v>0</v>
      </c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18">
        <f t="shared" si="18"/>
        <v>0</v>
      </c>
    </row>
    <row r="148" spans="1:25">
      <c r="A148" s="41">
        <f>VLOOKUP(B148,справочник!$B$2:$E$322,4,FALSE)</f>
        <v>225</v>
      </c>
      <c r="B148" t="str">
        <f t="shared" si="15"/>
        <v>234Крупник Андрей Валерьевич</v>
      </c>
      <c r="C148" s="1">
        <v>234</v>
      </c>
      <c r="D148" s="3" t="s">
        <v>138</v>
      </c>
      <c r="E148" s="1" t="s">
        <v>454</v>
      </c>
      <c r="F148" s="16">
        <v>41871</v>
      </c>
      <c r="G148" s="16">
        <v>41883</v>
      </c>
      <c r="H148" s="17">
        <f t="shared" si="16"/>
        <v>16</v>
      </c>
      <c r="I148" s="1">
        <f t="shared" si="19"/>
        <v>16000</v>
      </c>
      <c r="J148" s="17"/>
      <c r="K148" s="17"/>
      <c r="L148" s="18">
        <f t="shared" si="17"/>
        <v>16000</v>
      </c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18">
        <f t="shared" si="18"/>
        <v>0</v>
      </c>
    </row>
    <row r="149" spans="1:25">
      <c r="A149" s="41">
        <f>VLOOKUP(B149,справочник!$B$2:$E$322,4,FALSE)</f>
        <v>266</v>
      </c>
      <c r="B149" t="str">
        <f t="shared" si="15"/>
        <v>279Кудревцев Евгений Александрович</v>
      </c>
      <c r="C149" s="1">
        <v>279</v>
      </c>
      <c r="D149" s="3" t="s">
        <v>139</v>
      </c>
      <c r="E149" s="1" t="s">
        <v>455</v>
      </c>
      <c r="F149" s="16">
        <v>40799</v>
      </c>
      <c r="G149" s="16">
        <v>40787</v>
      </c>
      <c r="H149" s="17">
        <f t="shared" si="16"/>
        <v>52</v>
      </c>
      <c r="I149" s="1">
        <f t="shared" si="19"/>
        <v>52000</v>
      </c>
      <c r="J149" s="17">
        <f>40000+1000</f>
        <v>41000</v>
      </c>
      <c r="K149" s="17"/>
      <c r="L149" s="18">
        <f t="shared" si="17"/>
        <v>11000</v>
      </c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18">
        <f t="shared" si="18"/>
        <v>0</v>
      </c>
    </row>
    <row r="150" spans="1:25">
      <c r="A150" s="41">
        <f>VLOOKUP(B150,справочник!$B$2:$E$322,4,FALSE)</f>
        <v>157</v>
      </c>
      <c r="B150" t="str">
        <f t="shared" si="15"/>
        <v>165Кудрявцева Наталья Викторовна</v>
      </c>
      <c r="C150" s="1">
        <v>165</v>
      </c>
      <c r="D150" s="3" t="s">
        <v>140</v>
      </c>
      <c r="E150" s="1" t="s">
        <v>456</v>
      </c>
      <c r="F150" s="16">
        <v>40885</v>
      </c>
      <c r="G150" s="16">
        <v>40878</v>
      </c>
      <c r="H150" s="17">
        <f t="shared" si="16"/>
        <v>49</v>
      </c>
      <c r="I150" s="1">
        <f t="shared" si="19"/>
        <v>49000</v>
      </c>
      <c r="J150" s="17">
        <f>12000+13000</f>
        <v>25000</v>
      </c>
      <c r="K150" s="17"/>
      <c r="L150" s="18">
        <f t="shared" si="17"/>
        <v>24000</v>
      </c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18">
        <f t="shared" si="18"/>
        <v>0</v>
      </c>
    </row>
    <row r="151" spans="1:25">
      <c r="A151" s="41">
        <f>VLOOKUP(B151,справочник!$B$2:$E$322,4,FALSE)</f>
        <v>194</v>
      </c>
      <c r="B151" t="str">
        <f t="shared" si="15"/>
        <v>202Куликов Александр Владимирович</v>
      </c>
      <c r="C151" s="1">
        <v>202</v>
      </c>
      <c r="D151" s="2" t="s">
        <v>141</v>
      </c>
      <c r="E151" s="1" t="s">
        <v>457</v>
      </c>
      <c r="F151" s="16">
        <v>41898</v>
      </c>
      <c r="G151" s="16">
        <v>41913</v>
      </c>
      <c r="H151" s="17">
        <f t="shared" si="16"/>
        <v>15</v>
      </c>
      <c r="I151" s="1">
        <f t="shared" si="19"/>
        <v>15000</v>
      </c>
      <c r="J151" s="17">
        <v>11000</v>
      </c>
      <c r="K151" s="17"/>
      <c r="L151" s="18">
        <f t="shared" si="17"/>
        <v>4000</v>
      </c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18">
        <f t="shared" si="18"/>
        <v>0</v>
      </c>
    </row>
    <row r="152" spans="1:25">
      <c r="A152" s="41">
        <f>VLOOKUP(B152,справочник!$B$2:$E$322,4,FALSE)</f>
        <v>65</v>
      </c>
      <c r="B152" t="str">
        <f t="shared" si="15"/>
        <v xml:space="preserve">67Куликова Наталья Александровна </v>
      </c>
      <c r="C152" s="1">
        <v>67</v>
      </c>
      <c r="D152" s="3" t="s">
        <v>142</v>
      </c>
      <c r="E152" s="1" t="s">
        <v>458</v>
      </c>
      <c r="F152" s="16">
        <v>40872</v>
      </c>
      <c r="G152" s="16">
        <v>40848</v>
      </c>
      <c r="H152" s="17">
        <f t="shared" si="16"/>
        <v>50</v>
      </c>
      <c r="I152" s="1">
        <f t="shared" si="19"/>
        <v>50000</v>
      </c>
      <c r="J152" s="17">
        <f>30000</f>
        <v>30000</v>
      </c>
      <c r="K152" s="17"/>
      <c r="L152" s="18">
        <f t="shared" si="17"/>
        <v>20000</v>
      </c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18">
        <f t="shared" si="18"/>
        <v>0</v>
      </c>
    </row>
    <row r="153" spans="1:25">
      <c r="A153" s="41">
        <f>VLOOKUP(B153,справочник!$B$2:$E$322,4,FALSE)</f>
        <v>216</v>
      </c>
      <c r="B153" t="str">
        <f t="shared" si="15"/>
        <v xml:space="preserve">225Кулиш Сергей Александрович       </v>
      </c>
      <c r="C153" s="1">
        <v>225</v>
      </c>
      <c r="D153" s="8" t="s">
        <v>143</v>
      </c>
      <c r="E153" s="1" t="s">
        <v>459</v>
      </c>
      <c r="F153" s="16">
        <v>41773</v>
      </c>
      <c r="G153" s="16">
        <v>41760</v>
      </c>
      <c r="H153" s="17">
        <f t="shared" si="16"/>
        <v>20</v>
      </c>
      <c r="I153" s="1">
        <f t="shared" si="19"/>
        <v>20000</v>
      </c>
      <c r="J153" s="17">
        <v>20000</v>
      </c>
      <c r="K153" s="17"/>
      <c r="L153" s="18">
        <f t="shared" si="17"/>
        <v>0</v>
      </c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18">
        <f t="shared" si="18"/>
        <v>0</v>
      </c>
    </row>
    <row r="154" spans="1:25">
      <c r="A154" s="41">
        <f>VLOOKUP(B154,справочник!$B$2:$E$322,4,FALSE)</f>
        <v>216</v>
      </c>
      <c r="B154" t="str">
        <f t="shared" si="15"/>
        <v xml:space="preserve">226Кулиш Сергей Александрович       </v>
      </c>
      <c r="C154" s="1">
        <v>226</v>
      </c>
      <c r="D154" s="8" t="s">
        <v>143</v>
      </c>
      <c r="E154" s="1" t="s">
        <v>460</v>
      </c>
      <c r="F154" s="16">
        <v>41773</v>
      </c>
      <c r="G154" s="16">
        <v>41760</v>
      </c>
      <c r="H154" s="17">
        <f t="shared" si="16"/>
        <v>20</v>
      </c>
      <c r="I154" s="1">
        <f t="shared" si="19"/>
        <v>20000</v>
      </c>
      <c r="J154" s="17">
        <v>20000</v>
      </c>
      <c r="K154" s="17"/>
      <c r="L154" s="18">
        <f t="shared" si="17"/>
        <v>0</v>
      </c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18">
        <f t="shared" si="18"/>
        <v>0</v>
      </c>
    </row>
    <row r="155" spans="1:25">
      <c r="A155" s="41">
        <f>VLOOKUP(B155,справочник!$B$2:$E$322,4,FALSE)</f>
        <v>56</v>
      </c>
      <c r="B155" t="str">
        <f t="shared" si="15"/>
        <v>58Кушваха Виджай Шанкар</v>
      </c>
      <c r="C155" s="1">
        <v>58</v>
      </c>
      <c r="D155" s="3" t="s">
        <v>144</v>
      </c>
      <c r="E155" s="1" t="s">
        <v>461</v>
      </c>
      <c r="F155" s="16">
        <v>40715</v>
      </c>
      <c r="G155" s="16">
        <v>40725</v>
      </c>
      <c r="H155" s="17">
        <f t="shared" si="16"/>
        <v>54</v>
      </c>
      <c r="I155" s="1">
        <f t="shared" si="19"/>
        <v>54000</v>
      </c>
      <c r="J155" s="17">
        <v>1000</v>
      </c>
      <c r="K155" s="17"/>
      <c r="L155" s="18">
        <f t="shared" si="17"/>
        <v>53000</v>
      </c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18">
        <f t="shared" si="18"/>
        <v>0</v>
      </c>
    </row>
    <row r="156" spans="1:25">
      <c r="A156" s="41">
        <f>VLOOKUP(B156,справочник!$B$2:$E$322,4,FALSE)</f>
        <v>150</v>
      </c>
      <c r="B156" t="str">
        <f t="shared" si="15"/>
        <v>158Лайпанов Рустам Сеитбиевич</v>
      </c>
      <c r="C156" s="1">
        <v>158</v>
      </c>
      <c r="D156" s="3" t="s">
        <v>145</v>
      </c>
      <c r="E156" s="1" t="s">
        <v>462</v>
      </c>
      <c r="F156" s="16">
        <v>40770</v>
      </c>
      <c r="G156" s="16">
        <v>40787</v>
      </c>
      <c r="H156" s="17">
        <f t="shared" si="16"/>
        <v>52</v>
      </c>
      <c r="I156" s="1">
        <f t="shared" si="19"/>
        <v>52000</v>
      </c>
      <c r="J156" s="17">
        <f>21000+1000</f>
        <v>22000</v>
      </c>
      <c r="K156" s="17"/>
      <c r="L156" s="18">
        <f t="shared" si="17"/>
        <v>30000</v>
      </c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18">
        <f t="shared" si="18"/>
        <v>0</v>
      </c>
    </row>
    <row r="157" spans="1:25">
      <c r="A157" s="41">
        <f>VLOOKUP(B157,справочник!$B$2:$E$322,4,FALSE)</f>
        <v>243</v>
      </c>
      <c r="B157" t="str">
        <f t="shared" si="15"/>
        <v>254Лапшин Сергей Николаевич</v>
      </c>
      <c r="C157" s="1">
        <v>254</v>
      </c>
      <c r="D157" s="2" t="s">
        <v>146</v>
      </c>
      <c r="E157" s="1" t="s">
        <v>463</v>
      </c>
      <c r="F157" s="16">
        <v>40791</v>
      </c>
      <c r="G157" s="16">
        <v>40787</v>
      </c>
      <c r="H157" s="17">
        <f t="shared" si="16"/>
        <v>52</v>
      </c>
      <c r="I157" s="1">
        <f t="shared" si="19"/>
        <v>52000</v>
      </c>
      <c r="J157" s="17">
        <f>1000</f>
        <v>1000</v>
      </c>
      <c r="K157" s="17">
        <v>45000</v>
      </c>
      <c r="L157" s="18">
        <f t="shared" si="17"/>
        <v>6000</v>
      </c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18">
        <f t="shared" si="18"/>
        <v>0</v>
      </c>
    </row>
    <row r="158" spans="1:25">
      <c r="A158" s="41">
        <f>VLOOKUP(B158,справочник!$B$2:$E$322,4,FALSE)</f>
        <v>220</v>
      </c>
      <c r="B158" t="str">
        <f t="shared" si="15"/>
        <v>229Ларионова Наталья Владимировна</v>
      </c>
      <c r="C158" s="1">
        <v>229</v>
      </c>
      <c r="D158" s="3" t="s">
        <v>147</v>
      </c>
      <c r="E158" s="1" t="s">
        <v>464</v>
      </c>
      <c r="F158" s="16">
        <v>41800</v>
      </c>
      <c r="G158" s="16">
        <v>41821</v>
      </c>
      <c r="H158" s="17">
        <f t="shared" si="16"/>
        <v>18</v>
      </c>
      <c r="I158" s="1">
        <f t="shared" si="19"/>
        <v>18000</v>
      </c>
      <c r="J158" s="17">
        <f>1000</f>
        <v>1000</v>
      </c>
      <c r="K158" s="17"/>
      <c r="L158" s="18">
        <f t="shared" si="17"/>
        <v>17000</v>
      </c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18">
        <f t="shared" si="18"/>
        <v>0</v>
      </c>
    </row>
    <row r="159" spans="1:25">
      <c r="A159" s="41">
        <f>VLOOKUP(B159,справочник!$B$2:$E$322,4,FALSE)</f>
        <v>3</v>
      </c>
      <c r="B159" t="str">
        <f t="shared" si="15"/>
        <v>3Лебедев Андрей Анатольевич</v>
      </c>
      <c r="C159" s="1">
        <v>3</v>
      </c>
      <c r="D159" s="3" t="s">
        <v>148</v>
      </c>
      <c r="E159" s="1" t="s">
        <v>465</v>
      </c>
      <c r="F159" s="16">
        <v>41954</v>
      </c>
      <c r="G159" s="16">
        <v>41609</v>
      </c>
      <c r="H159" s="17">
        <f t="shared" si="16"/>
        <v>25</v>
      </c>
      <c r="I159" s="1">
        <f t="shared" si="19"/>
        <v>25000</v>
      </c>
      <c r="J159" s="17">
        <f>4000</f>
        <v>4000</v>
      </c>
      <c r="K159" s="17"/>
      <c r="L159" s="18">
        <f t="shared" si="17"/>
        <v>21000</v>
      </c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18">
        <f t="shared" si="18"/>
        <v>0</v>
      </c>
    </row>
    <row r="160" spans="1:25">
      <c r="A160" s="41">
        <f>VLOOKUP(B160,справочник!$B$2:$E$322,4,FALSE)</f>
        <v>158</v>
      </c>
      <c r="B160" t="str">
        <f t="shared" si="15"/>
        <v>166Лебедева Елена Александровна</v>
      </c>
      <c r="C160" s="1">
        <v>166</v>
      </c>
      <c r="D160" s="3" t="s">
        <v>149</v>
      </c>
      <c r="E160" s="1" t="s">
        <v>466</v>
      </c>
      <c r="F160" s="16">
        <v>41660</v>
      </c>
      <c r="G160" s="16">
        <v>41671</v>
      </c>
      <c r="H160" s="17">
        <f t="shared" si="16"/>
        <v>23</v>
      </c>
      <c r="I160" s="1">
        <f t="shared" si="19"/>
        <v>23000</v>
      </c>
      <c r="J160" s="17">
        <f>1000</f>
        <v>1000</v>
      </c>
      <c r="K160" s="17"/>
      <c r="L160" s="18">
        <f t="shared" si="17"/>
        <v>22000</v>
      </c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18">
        <f t="shared" si="18"/>
        <v>0</v>
      </c>
    </row>
    <row r="161" spans="1:25">
      <c r="A161" s="41">
        <f>VLOOKUP(B161,справочник!$B$2:$E$322,4,FALSE)</f>
        <v>139</v>
      </c>
      <c r="B161" t="str">
        <f t="shared" si="15"/>
        <v>149Левина Елена Александровна (Дмитрий)</v>
      </c>
      <c r="C161" s="5">
        <v>149</v>
      </c>
      <c r="D161" s="3" t="s">
        <v>150</v>
      </c>
      <c r="E161" s="1" t="s">
        <v>467</v>
      </c>
      <c r="F161" s="19">
        <v>40715</v>
      </c>
      <c r="G161" s="19">
        <v>40725</v>
      </c>
      <c r="H161" s="20">
        <f t="shared" si="16"/>
        <v>54</v>
      </c>
      <c r="I161" s="5">
        <f t="shared" si="19"/>
        <v>54000</v>
      </c>
      <c r="J161" s="20">
        <v>54000</v>
      </c>
      <c r="K161" s="20"/>
      <c r="L161" s="21">
        <f t="shared" si="17"/>
        <v>0</v>
      </c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1">
        <f t="shared" si="18"/>
        <v>0</v>
      </c>
    </row>
    <row r="162" spans="1:25">
      <c r="A162" s="41">
        <f>VLOOKUP(B162,справочник!$B$2:$E$322,4,FALSE)</f>
        <v>139</v>
      </c>
      <c r="B162" t="str">
        <f t="shared" si="15"/>
        <v>147Левина Елена Александровна (Дмитрий)</v>
      </c>
      <c r="C162" s="5">
        <v>147</v>
      </c>
      <c r="D162" s="3" t="s">
        <v>150</v>
      </c>
      <c r="E162" s="1" t="s">
        <v>468</v>
      </c>
      <c r="F162" s="19">
        <v>40715</v>
      </c>
      <c r="G162" s="19">
        <v>40725</v>
      </c>
      <c r="H162" s="20">
        <f t="shared" si="16"/>
        <v>54</v>
      </c>
      <c r="I162" s="5">
        <f t="shared" si="19"/>
        <v>54000</v>
      </c>
      <c r="J162" s="20">
        <v>54000</v>
      </c>
      <c r="K162" s="20"/>
      <c r="L162" s="21">
        <f t="shared" si="17"/>
        <v>0</v>
      </c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1">
        <f t="shared" si="18"/>
        <v>0</v>
      </c>
    </row>
    <row r="163" spans="1:25">
      <c r="A163" s="41">
        <f>VLOOKUP(B163,справочник!$B$2:$E$322,4,FALSE)</f>
        <v>139</v>
      </c>
      <c r="B163" t="str">
        <f t="shared" si="15"/>
        <v>148Левина Елена Александровна (Дмитрий)</v>
      </c>
      <c r="C163" s="5">
        <v>148</v>
      </c>
      <c r="D163" s="3" t="s">
        <v>150</v>
      </c>
      <c r="E163" s="1" t="s">
        <v>469</v>
      </c>
      <c r="F163" s="19">
        <v>40715</v>
      </c>
      <c r="G163" s="19">
        <v>40725</v>
      </c>
      <c r="H163" s="20">
        <f t="shared" si="16"/>
        <v>54</v>
      </c>
      <c r="I163" s="5">
        <f t="shared" si="19"/>
        <v>54000</v>
      </c>
      <c r="J163" s="20">
        <f>11000+4000</f>
        <v>15000</v>
      </c>
      <c r="K163" s="20"/>
      <c r="L163" s="21">
        <f t="shared" si="17"/>
        <v>39000</v>
      </c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1">
        <f t="shared" si="18"/>
        <v>0</v>
      </c>
    </row>
    <row r="164" spans="1:25">
      <c r="A164" s="41">
        <f>VLOOKUP(B164,справочник!$B$2:$E$322,4,FALSE)</f>
        <v>261</v>
      </c>
      <c r="B164" t="str">
        <f t="shared" si="15"/>
        <v>274Леськов Олег Петрович</v>
      </c>
      <c r="C164" s="5">
        <v>274</v>
      </c>
      <c r="D164" s="3" t="s">
        <v>151</v>
      </c>
      <c r="E164" s="1" t="s">
        <v>470</v>
      </c>
      <c r="F164" s="19">
        <v>41373</v>
      </c>
      <c r="G164" s="19">
        <v>41395</v>
      </c>
      <c r="H164" s="20">
        <f t="shared" si="16"/>
        <v>32</v>
      </c>
      <c r="I164" s="5">
        <f t="shared" si="19"/>
        <v>32000</v>
      </c>
      <c r="J164" s="20">
        <v>19000</v>
      </c>
      <c r="K164" s="20"/>
      <c r="L164" s="21">
        <f t="shared" si="17"/>
        <v>13000</v>
      </c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1">
        <f t="shared" si="18"/>
        <v>0</v>
      </c>
    </row>
    <row r="165" spans="1:25">
      <c r="A165" s="41">
        <f>VLOOKUP(B165,справочник!$B$2:$E$322,4,FALSE)</f>
        <v>261</v>
      </c>
      <c r="B165" t="str">
        <f t="shared" si="15"/>
        <v>275Леськов Олег Петрович</v>
      </c>
      <c r="C165" s="5">
        <v>275</v>
      </c>
      <c r="D165" s="3" t="s">
        <v>151</v>
      </c>
      <c r="E165" s="1"/>
      <c r="F165" s="19">
        <v>41016</v>
      </c>
      <c r="G165" s="19">
        <v>41000</v>
      </c>
      <c r="H165" s="20">
        <f t="shared" si="16"/>
        <v>45</v>
      </c>
      <c r="I165" s="5">
        <f t="shared" si="19"/>
        <v>45000</v>
      </c>
      <c r="J165" s="20">
        <f>9000+19000</f>
        <v>28000</v>
      </c>
      <c r="K165" s="20"/>
      <c r="L165" s="21">
        <f t="shared" si="17"/>
        <v>17000</v>
      </c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1">
        <f t="shared" si="18"/>
        <v>0</v>
      </c>
    </row>
    <row r="166" spans="1:25">
      <c r="A166" s="41">
        <f>VLOOKUP(B166,справочник!$B$2:$E$322,4,FALSE)</f>
        <v>288</v>
      </c>
      <c r="B166" t="str">
        <f t="shared" si="15"/>
        <v>300Ли Наталья Сергеевна</v>
      </c>
      <c r="C166" s="1">
        <v>300</v>
      </c>
      <c r="D166" s="3" t="s">
        <v>152</v>
      </c>
      <c r="E166" s="1" t="s">
        <v>471</v>
      </c>
      <c r="F166" s="16">
        <v>41513</v>
      </c>
      <c r="G166" s="16">
        <v>41518</v>
      </c>
      <c r="H166" s="17">
        <f t="shared" si="16"/>
        <v>28</v>
      </c>
      <c r="I166" s="1">
        <f t="shared" si="19"/>
        <v>28000</v>
      </c>
      <c r="J166" s="17"/>
      <c r="K166" s="17"/>
      <c r="L166" s="18">
        <f t="shared" si="17"/>
        <v>28000</v>
      </c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18">
        <f t="shared" si="18"/>
        <v>0</v>
      </c>
    </row>
    <row r="167" spans="1:25">
      <c r="A167" s="41">
        <f>VLOOKUP(B167,справочник!$B$2:$E$322,4,FALSE)</f>
        <v>166</v>
      </c>
      <c r="B167" t="str">
        <f t="shared" si="15"/>
        <v>174Ловыгина Татьяна Александровна</v>
      </c>
      <c r="C167" s="1">
        <v>174</v>
      </c>
      <c r="D167" s="3" t="s">
        <v>153</v>
      </c>
      <c r="E167" s="1" t="s">
        <v>472</v>
      </c>
      <c r="F167" s="16">
        <v>41829</v>
      </c>
      <c r="G167" s="16">
        <v>41852</v>
      </c>
      <c r="H167" s="17">
        <f t="shared" si="16"/>
        <v>17</v>
      </c>
      <c r="I167" s="1">
        <f t="shared" si="19"/>
        <v>17000</v>
      </c>
      <c r="J167" s="17">
        <v>5000</v>
      </c>
      <c r="K167" s="17"/>
      <c r="L167" s="18">
        <f t="shared" si="17"/>
        <v>12000</v>
      </c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18">
        <f t="shared" si="18"/>
        <v>0</v>
      </c>
    </row>
    <row r="168" spans="1:25">
      <c r="A168" s="41">
        <f>VLOOKUP(B168,справочник!$B$2:$E$322,4,FALSE)</f>
        <v>118</v>
      </c>
      <c r="B168" t="str">
        <f t="shared" si="15"/>
        <v>123Лопухинова Надежда Михайловна</v>
      </c>
      <c r="C168" s="1">
        <v>123</v>
      </c>
      <c r="D168" s="3" t="s">
        <v>154</v>
      </c>
      <c r="E168" s="1" t="s">
        <v>473</v>
      </c>
      <c r="F168" s="16">
        <v>41435</v>
      </c>
      <c r="G168" s="16">
        <v>41456</v>
      </c>
      <c r="H168" s="17">
        <f t="shared" si="16"/>
        <v>30</v>
      </c>
      <c r="I168" s="1">
        <f t="shared" si="19"/>
        <v>30000</v>
      </c>
      <c r="J168" s="17">
        <v>23000</v>
      </c>
      <c r="K168" s="17"/>
      <c r="L168" s="18">
        <f t="shared" si="17"/>
        <v>7000</v>
      </c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18">
        <f t="shared" si="18"/>
        <v>0</v>
      </c>
    </row>
    <row r="169" spans="1:25">
      <c r="A169" s="41">
        <f>VLOOKUP(B169,справочник!$B$2:$E$322,4,FALSE)</f>
        <v>199</v>
      </c>
      <c r="B169" t="str">
        <f t="shared" si="15"/>
        <v>207Лошкарев Виктор Ильич</v>
      </c>
      <c r="C169" s="4">
        <v>207</v>
      </c>
      <c r="D169" s="3" t="s">
        <v>155</v>
      </c>
      <c r="E169" s="1" t="s">
        <v>474</v>
      </c>
      <c r="F169" s="19">
        <v>41036</v>
      </c>
      <c r="G169" s="19">
        <v>41030</v>
      </c>
      <c r="H169" s="20">
        <f t="shared" si="16"/>
        <v>44</v>
      </c>
      <c r="I169" s="5">
        <f t="shared" si="19"/>
        <v>44000</v>
      </c>
      <c r="J169" s="20">
        <v>1000</v>
      </c>
      <c r="K169" s="20"/>
      <c r="L169" s="21">
        <f t="shared" si="17"/>
        <v>43000</v>
      </c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1">
        <f t="shared" si="18"/>
        <v>0</v>
      </c>
    </row>
    <row r="170" spans="1:25">
      <c r="A170" s="41">
        <f>VLOOKUP(B170,справочник!$B$2:$E$322,4,FALSE)</f>
        <v>199</v>
      </c>
      <c r="B170" t="str">
        <f t="shared" si="15"/>
        <v>208Лошкарев Виктор Ильич</v>
      </c>
      <c r="C170" s="4">
        <v>208</v>
      </c>
      <c r="D170" s="3" t="s">
        <v>155</v>
      </c>
      <c r="E170" s="1" t="s">
        <v>448</v>
      </c>
      <c r="F170" s="19">
        <v>41036</v>
      </c>
      <c r="G170" s="19">
        <v>41030</v>
      </c>
      <c r="H170" s="20">
        <f t="shared" si="16"/>
        <v>44</v>
      </c>
      <c r="I170" s="5">
        <f t="shared" si="19"/>
        <v>44000</v>
      </c>
      <c r="J170" s="20">
        <v>1000</v>
      </c>
      <c r="K170" s="20"/>
      <c r="L170" s="21">
        <f t="shared" si="17"/>
        <v>43000</v>
      </c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1">
        <f t="shared" si="18"/>
        <v>0</v>
      </c>
    </row>
    <row r="171" spans="1:25">
      <c r="A171" s="41">
        <f>VLOOKUP(B171,справочник!$B$2:$E$322,4,FALSE)</f>
        <v>164</v>
      </c>
      <c r="B171" t="str">
        <f t="shared" si="15"/>
        <v>172Лунёв Денис Александрович</v>
      </c>
      <c r="C171" s="1">
        <v>172</v>
      </c>
      <c r="D171" s="3" t="s">
        <v>156</v>
      </c>
      <c r="E171" s="1" t="s">
        <v>475</v>
      </c>
      <c r="F171" s="16">
        <v>41576</v>
      </c>
      <c r="G171" s="16">
        <v>41579</v>
      </c>
      <c r="H171" s="17">
        <f t="shared" si="16"/>
        <v>26</v>
      </c>
      <c r="I171" s="1">
        <f t="shared" si="19"/>
        <v>26000</v>
      </c>
      <c r="J171" s="17">
        <v>1000</v>
      </c>
      <c r="K171" s="17"/>
      <c r="L171" s="18">
        <f t="shared" si="17"/>
        <v>25000</v>
      </c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18">
        <f t="shared" si="18"/>
        <v>0</v>
      </c>
    </row>
    <row r="172" spans="1:25">
      <c r="A172" s="41">
        <f>VLOOKUP(B172,справочник!$B$2:$E$322,4,FALSE)</f>
        <v>34</v>
      </c>
      <c r="B172" t="str">
        <f t="shared" si="15"/>
        <v>34Лунева Ольга Петровна</v>
      </c>
      <c r="C172" s="1">
        <v>34</v>
      </c>
      <c r="D172" s="2" t="s">
        <v>157</v>
      </c>
      <c r="E172" s="1" t="s">
        <v>476</v>
      </c>
      <c r="F172" s="16">
        <v>40781</v>
      </c>
      <c r="G172" s="16">
        <v>40787</v>
      </c>
      <c r="H172" s="17">
        <f t="shared" si="16"/>
        <v>52</v>
      </c>
      <c r="I172" s="1">
        <f t="shared" si="19"/>
        <v>52000</v>
      </c>
      <c r="J172" s="17">
        <v>55000</v>
      </c>
      <c r="K172" s="17"/>
      <c r="L172" s="18">
        <f t="shared" si="17"/>
        <v>-3000</v>
      </c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18">
        <f t="shared" si="18"/>
        <v>0</v>
      </c>
    </row>
    <row r="173" spans="1:25">
      <c r="A173" s="41">
        <f>VLOOKUP(B173,справочник!$B$2:$E$322,4,FALSE)</f>
        <v>13</v>
      </c>
      <c r="B173" t="str">
        <f t="shared" si="15"/>
        <v>13Малов Алексей Викторович</v>
      </c>
      <c r="C173" s="1">
        <v>13</v>
      </c>
      <c r="D173" s="3" t="s">
        <v>158</v>
      </c>
      <c r="E173" s="1" t="s">
        <v>477</v>
      </c>
      <c r="F173" s="16">
        <v>41464</v>
      </c>
      <c r="G173" s="16">
        <v>41487</v>
      </c>
      <c r="H173" s="17">
        <f t="shared" si="16"/>
        <v>29</v>
      </c>
      <c r="I173" s="1">
        <f t="shared" si="19"/>
        <v>29000</v>
      </c>
      <c r="J173" s="17">
        <v>13000</v>
      </c>
      <c r="K173" s="17"/>
      <c r="L173" s="18">
        <f t="shared" si="17"/>
        <v>16000</v>
      </c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18">
        <f t="shared" si="18"/>
        <v>0</v>
      </c>
    </row>
    <row r="174" spans="1:25">
      <c r="A174" s="41">
        <f>VLOOKUP(B174,справочник!$B$2:$E$322,4,FALSE)</f>
        <v>273</v>
      </c>
      <c r="B174" t="str">
        <f t="shared" si="15"/>
        <v>286Маргиева Марина Евгеньевна</v>
      </c>
      <c r="C174" s="1">
        <v>286</v>
      </c>
      <c r="D174" s="9" t="s">
        <v>159</v>
      </c>
      <c r="E174" s="1" t="s">
        <v>478</v>
      </c>
      <c r="F174" s="16">
        <v>41992</v>
      </c>
      <c r="G174" s="16">
        <v>42005</v>
      </c>
      <c r="H174" s="17">
        <f t="shared" si="16"/>
        <v>12</v>
      </c>
      <c r="I174" s="1">
        <f t="shared" si="19"/>
        <v>12000</v>
      </c>
      <c r="J174" s="17">
        <v>8000</v>
      </c>
      <c r="K174" s="17"/>
      <c r="L174" s="18">
        <f t="shared" si="17"/>
        <v>4000</v>
      </c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18">
        <f t="shared" si="18"/>
        <v>0</v>
      </c>
    </row>
    <row r="175" spans="1:25">
      <c r="A175" s="41">
        <f>VLOOKUP(B175,справочник!$B$2:$E$322,4,FALSE)</f>
        <v>87</v>
      </c>
      <c r="B175" t="str">
        <f t="shared" si="15"/>
        <v>92Маркина Людмила Николаевна, Марина</v>
      </c>
      <c r="C175" s="1">
        <v>92</v>
      </c>
      <c r="D175" s="3" t="s">
        <v>160</v>
      </c>
      <c r="E175" s="1" t="s">
        <v>479</v>
      </c>
      <c r="F175" s="16">
        <v>41144</v>
      </c>
      <c r="G175" s="16">
        <v>41153</v>
      </c>
      <c r="H175" s="17">
        <f t="shared" si="16"/>
        <v>40</v>
      </c>
      <c r="I175" s="1">
        <f t="shared" si="19"/>
        <v>40000</v>
      </c>
      <c r="J175" s="17">
        <v>37000</v>
      </c>
      <c r="K175" s="17"/>
      <c r="L175" s="18">
        <f t="shared" si="17"/>
        <v>3000</v>
      </c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18">
        <f t="shared" si="18"/>
        <v>0</v>
      </c>
    </row>
    <row r="176" spans="1:25">
      <c r="A176" s="41">
        <f>VLOOKUP(B176,справочник!$B$2:$E$322,4,FALSE)</f>
        <v>154</v>
      </c>
      <c r="B176" t="str">
        <f t="shared" si="15"/>
        <v>162Марков Максим Юрьевич</v>
      </c>
      <c r="C176" s="1">
        <v>162</v>
      </c>
      <c r="D176" s="2" t="s">
        <v>161</v>
      </c>
      <c r="E176" s="1" t="s">
        <v>462</v>
      </c>
      <c r="F176" s="16">
        <v>40720</v>
      </c>
      <c r="G176" s="16">
        <v>40725</v>
      </c>
      <c r="H176" s="17">
        <f t="shared" si="16"/>
        <v>54</v>
      </c>
      <c r="I176" s="1">
        <f t="shared" si="19"/>
        <v>54000</v>
      </c>
      <c r="J176" s="17">
        <v>50000</v>
      </c>
      <c r="K176" s="17"/>
      <c r="L176" s="18">
        <f t="shared" si="17"/>
        <v>4000</v>
      </c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18">
        <f t="shared" si="18"/>
        <v>0</v>
      </c>
    </row>
    <row r="177" spans="1:25">
      <c r="A177" s="41">
        <f>VLOOKUP(B177,справочник!$B$2:$E$322,4,FALSE)</f>
        <v>270</v>
      </c>
      <c r="B177" t="str">
        <f t="shared" si="15"/>
        <v>283Маркова Тамара Ивановна</v>
      </c>
      <c r="C177" s="1">
        <v>283</v>
      </c>
      <c r="D177" s="3" t="s">
        <v>162</v>
      </c>
      <c r="E177" s="1" t="s">
        <v>480</v>
      </c>
      <c r="F177" s="16">
        <v>41422</v>
      </c>
      <c r="G177" s="16">
        <v>41456</v>
      </c>
      <c r="H177" s="17">
        <f t="shared" si="16"/>
        <v>30</v>
      </c>
      <c r="I177" s="1">
        <f t="shared" si="19"/>
        <v>30000</v>
      </c>
      <c r="J177" s="17">
        <v>20000</v>
      </c>
      <c r="K177" s="17"/>
      <c r="L177" s="18">
        <f t="shared" si="17"/>
        <v>10000</v>
      </c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18">
        <f t="shared" si="18"/>
        <v>0</v>
      </c>
    </row>
    <row r="178" spans="1:25">
      <c r="A178" s="41">
        <f>VLOOKUP(B178,справочник!$B$2:$E$322,4,FALSE)</f>
        <v>9</v>
      </c>
      <c r="B178" t="str">
        <f t="shared" si="15"/>
        <v>9Марковнина Светлана Викторовна</v>
      </c>
      <c r="C178" s="1">
        <v>9</v>
      </c>
      <c r="D178" s="3" t="s">
        <v>163</v>
      </c>
      <c r="E178" s="1" t="s">
        <v>481</v>
      </c>
      <c r="F178" s="16">
        <v>41114</v>
      </c>
      <c r="G178" s="16">
        <v>41122</v>
      </c>
      <c r="H178" s="17">
        <f t="shared" si="16"/>
        <v>41</v>
      </c>
      <c r="I178" s="1">
        <f t="shared" si="19"/>
        <v>41000</v>
      </c>
      <c r="J178" s="17">
        <v>18000</v>
      </c>
      <c r="K178" s="17"/>
      <c r="L178" s="18">
        <f t="shared" si="17"/>
        <v>23000</v>
      </c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18">
        <f t="shared" si="18"/>
        <v>0</v>
      </c>
    </row>
    <row r="179" spans="1:25">
      <c r="A179" s="41">
        <f>VLOOKUP(B179,справочник!$B$2:$E$322,4,FALSE)</f>
        <v>129</v>
      </c>
      <c r="B179" t="str">
        <f t="shared" si="15"/>
        <v>136Маслов Александр Александрович</v>
      </c>
      <c r="C179" s="1">
        <v>136</v>
      </c>
      <c r="D179" s="2" t="s">
        <v>164</v>
      </c>
      <c r="E179" s="1" t="s">
        <v>482</v>
      </c>
      <c r="F179" s="16">
        <v>41352</v>
      </c>
      <c r="G179" s="16">
        <v>41365</v>
      </c>
      <c r="H179" s="17">
        <f t="shared" si="16"/>
        <v>33</v>
      </c>
      <c r="I179" s="1">
        <f t="shared" si="19"/>
        <v>33000</v>
      </c>
      <c r="J179" s="17">
        <v>31000</v>
      </c>
      <c r="K179" s="17"/>
      <c r="L179" s="18">
        <f t="shared" si="17"/>
        <v>2000</v>
      </c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18">
        <f t="shared" si="18"/>
        <v>0</v>
      </c>
    </row>
    <row r="180" spans="1:25" ht="24">
      <c r="A180" s="41">
        <f>VLOOKUP(B180,справочник!$B$2:$E$322,4,FALSE)</f>
        <v>42</v>
      </c>
      <c r="B180" t="str">
        <f t="shared" si="15"/>
        <v>42Маслов Андрей Геннадьевич (1/2)                 Щербакова Надежда Михайловна (1/2)</v>
      </c>
      <c r="C180" s="1">
        <v>42</v>
      </c>
      <c r="D180" s="2" t="s">
        <v>165</v>
      </c>
      <c r="E180" s="1" t="s">
        <v>483</v>
      </c>
      <c r="F180" s="16">
        <v>40785</v>
      </c>
      <c r="G180" s="16">
        <v>40787</v>
      </c>
      <c r="H180" s="17">
        <f t="shared" si="16"/>
        <v>52</v>
      </c>
      <c r="I180" s="1">
        <f t="shared" si="19"/>
        <v>52000</v>
      </c>
      <c r="J180" s="17">
        <f>19500+500+4500+23500</f>
        <v>48000</v>
      </c>
      <c r="K180" s="17"/>
      <c r="L180" s="18">
        <f t="shared" si="17"/>
        <v>4000</v>
      </c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18">
        <f t="shared" si="18"/>
        <v>0</v>
      </c>
    </row>
    <row r="181" spans="1:25">
      <c r="A181" s="41">
        <f>VLOOKUP(B181,справочник!$B$2:$E$322,4,FALSE)</f>
        <v>96</v>
      </c>
      <c r="B181" t="str">
        <f t="shared" si="15"/>
        <v>101Маслова Валентина Петровна</v>
      </c>
      <c r="C181" s="5">
        <v>101</v>
      </c>
      <c r="D181" s="3" t="s">
        <v>166</v>
      </c>
      <c r="E181" s="1" t="s">
        <v>484</v>
      </c>
      <c r="F181" s="19">
        <v>40708</v>
      </c>
      <c r="G181" s="19">
        <v>40725</v>
      </c>
      <c r="H181" s="20">
        <f t="shared" si="16"/>
        <v>54</v>
      </c>
      <c r="I181" s="5">
        <f t="shared" si="19"/>
        <v>54000</v>
      </c>
      <c r="J181" s="20">
        <v>41012</v>
      </c>
      <c r="K181" s="20"/>
      <c r="L181" s="21">
        <f t="shared" si="17"/>
        <v>12988</v>
      </c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1">
        <f t="shared" si="18"/>
        <v>0</v>
      </c>
    </row>
    <row r="182" spans="1:25">
      <c r="A182" s="41">
        <f>VLOOKUP(B182,справочник!$B$2:$E$322,4,FALSE)</f>
        <v>96</v>
      </c>
      <c r="B182" t="str">
        <f t="shared" si="15"/>
        <v>102Маслова Валентина Петровна</v>
      </c>
      <c r="C182" s="5">
        <v>102</v>
      </c>
      <c r="D182" s="3" t="s">
        <v>166</v>
      </c>
      <c r="E182" s="1"/>
      <c r="F182" s="19">
        <v>40708</v>
      </c>
      <c r="G182" s="19">
        <v>40725</v>
      </c>
      <c r="H182" s="20">
        <f t="shared" si="16"/>
        <v>54</v>
      </c>
      <c r="I182" s="5">
        <f t="shared" si="19"/>
        <v>54000</v>
      </c>
      <c r="J182" s="20">
        <v>41000</v>
      </c>
      <c r="K182" s="20"/>
      <c r="L182" s="21">
        <f t="shared" si="17"/>
        <v>13000</v>
      </c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1">
        <f t="shared" si="18"/>
        <v>0</v>
      </c>
    </row>
    <row r="183" spans="1:25">
      <c r="A183" s="41">
        <f>VLOOKUP(B183,справочник!$B$2:$E$322,4,FALSE)</f>
        <v>292</v>
      </c>
      <c r="B183" t="str">
        <f t="shared" si="15"/>
        <v>305Матвеев Денис Львович</v>
      </c>
      <c r="C183" s="1">
        <v>305</v>
      </c>
      <c r="D183" s="3" t="s">
        <v>167</v>
      </c>
      <c r="E183" s="1" t="s">
        <v>485</v>
      </c>
      <c r="F183" s="16">
        <v>42018</v>
      </c>
      <c r="G183" s="16">
        <v>42036</v>
      </c>
      <c r="H183" s="17">
        <f t="shared" si="16"/>
        <v>11</v>
      </c>
      <c r="I183" s="1">
        <f t="shared" si="19"/>
        <v>11000</v>
      </c>
      <c r="J183" s="17"/>
      <c r="K183" s="17"/>
      <c r="L183" s="18">
        <f t="shared" si="17"/>
        <v>11000</v>
      </c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18">
        <f t="shared" si="18"/>
        <v>0</v>
      </c>
    </row>
    <row r="184" spans="1:25">
      <c r="A184" s="41">
        <f>VLOOKUP(B184,справочник!$B$2:$E$322,4,FALSE)</f>
        <v>209</v>
      </c>
      <c r="B184" t="str">
        <f t="shared" si="15"/>
        <v>219Мельников Михаил Вячеславович / Диденко</v>
      </c>
      <c r="C184" s="1">
        <v>219</v>
      </c>
      <c r="D184" s="3" t="s">
        <v>168</v>
      </c>
      <c r="E184" s="1"/>
      <c r="F184" s="16">
        <v>41248</v>
      </c>
      <c r="G184" s="16">
        <v>41334</v>
      </c>
      <c r="H184" s="17">
        <v>20</v>
      </c>
      <c r="I184" s="1">
        <f t="shared" si="19"/>
        <v>20000</v>
      </c>
      <c r="J184" s="17"/>
      <c r="K184" s="17"/>
      <c r="L184" s="18">
        <f t="shared" si="17"/>
        <v>20000</v>
      </c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18">
        <f t="shared" si="18"/>
        <v>0</v>
      </c>
    </row>
    <row r="185" spans="1:25">
      <c r="A185" s="41">
        <f>VLOOKUP(B185,справочник!$B$2:$E$322,4,FALSE)</f>
        <v>257</v>
      </c>
      <c r="B185" t="str">
        <f t="shared" si="15"/>
        <v>270Месхидзе Оксана Валерьевна</v>
      </c>
      <c r="C185" s="1">
        <v>270</v>
      </c>
      <c r="D185" s="3" t="s">
        <v>169</v>
      </c>
      <c r="E185" s="1" t="s">
        <v>486</v>
      </c>
      <c r="F185" s="16">
        <v>41526</v>
      </c>
      <c r="G185" s="16">
        <v>41548</v>
      </c>
      <c r="H185" s="17">
        <f>INT(($H$327-G185)/30)</f>
        <v>27</v>
      </c>
      <c r="I185" s="1">
        <f t="shared" si="19"/>
        <v>27000</v>
      </c>
      <c r="J185" s="17">
        <v>1000</v>
      </c>
      <c r="K185" s="17"/>
      <c r="L185" s="18">
        <f t="shared" si="17"/>
        <v>26000</v>
      </c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18">
        <f t="shared" si="18"/>
        <v>0</v>
      </c>
    </row>
    <row r="186" spans="1:25">
      <c r="A186" s="41">
        <f>VLOOKUP(B186,справочник!$B$2:$E$322,4,FALSE)</f>
        <v>212</v>
      </c>
      <c r="B186" t="str">
        <f t="shared" si="15"/>
        <v>221Милишенко Надежда Ивановна</v>
      </c>
      <c r="C186" s="1">
        <v>221</v>
      </c>
      <c r="D186" s="2" t="s">
        <v>170</v>
      </c>
      <c r="E186" s="1" t="s">
        <v>487</v>
      </c>
      <c r="F186" s="16">
        <v>41552</v>
      </c>
      <c r="G186" s="16">
        <v>41579</v>
      </c>
      <c r="H186" s="17">
        <f>INT(($H$327-G186)/30)</f>
        <v>26</v>
      </c>
      <c r="I186" s="1">
        <f t="shared" si="19"/>
        <v>26000</v>
      </c>
      <c r="J186" s="17">
        <v>23000</v>
      </c>
      <c r="K186" s="17"/>
      <c r="L186" s="18">
        <f t="shared" si="17"/>
        <v>3000</v>
      </c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18">
        <f t="shared" si="18"/>
        <v>0</v>
      </c>
    </row>
    <row r="187" spans="1:25">
      <c r="A187" s="41">
        <f>VLOOKUP(B187,справочник!$B$2:$E$322,4,FALSE)</f>
        <v>320</v>
      </c>
      <c r="B187" t="str">
        <f t="shared" si="15"/>
        <v>Милоянин Алексей Леонидович</v>
      </c>
      <c r="C187" s="1"/>
      <c r="D187" s="2" t="s">
        <v>171</v>
      </c>
      <c r="E187" s="1"/>
      <c r="F187" s="16"/>
      <c r="G187" s="16"/>
      <c r="H187" s="17"/>
      <c r="I187" s="1"/>
      <c r="J187" s="17"/>
      <c r="K187" s="17"/>
      <c r="L187" s="18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18"/>
    </row>
    <row r="188" spans="1:25" ht="24">
      <c r="A188" s="41">
        <f>VLOOKUP(B188,справочник!$B$2:$E$322,4,FALSE)</f>
        <v>186</v>
      </c>
      <c r="B188" t="str">
        <f t="shared" si="15"/>
        <v>194Мирошниченко Андрей Иванович Захарова Елена Александровна</v>
      </c>
      <c r="C188" s="1">
        <v>194</v>
      </c>
      <c r="D188" s="2" t="s">
        <v>172</v>
      </c>
      <c r="E188" s="1" t="s">
        <v>488</v>
      </c>
      <c r="F188" s="16">
        <v>41872</v>
      </c>
      <c r="G188" s="16">
        <v>41883</v>
      </c>
      <c r="H188" s="17">
        <f t="shared" ref="H188:H204" si="20">INT(($H$327-G188)/30)</f>
        <v>16</v>
      </c>
      <c r="I188" s="1">
        <f t="shared" ref="I188:I227" si="21">H188*1000</f>
        <v>16000</v>
      </c>
      <c r="J188" s="17">
        <v>12000</v>
      </c>
      <c r="K188" s="17"/>
      <c r="L188" s="18">
        <f t="shared" ref="L188:L251" si="22">I188-J188-K188</f>
        <v>4000</v>
      </c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18">
        <f t="shared" ref="Y188:Y251" si="23">V188-W188-X188</f>
        <v>0</v>
      </c>
    </row>
    <row r="189" spans="1:25">
      <c r="A189" s="41">
        <f>VLOOKUP(B189,справочник!$B$2:$E$322,4,FALSE)</f>
        <v>187</v>
      </c>
      <c r="B189" t="str">
        <f t="shared" si="15"/>
        <v>195Мирошниченко Екатерина Олеговна</v>
      </c>
      <c r="C189" s="1">
        <v>195</v>
      </c>
      <c r="D189" s="3" t="s">
        <v>173</v>
      </c>
      <c r="E189" s="1" t="s">
        <v>489</v>
      </c>
      <c r="F189" s="16">
        <v>41542</v>
      </c>
      <c r="G189" s="16">
        <v>41548</v>
      </c>
      <c r="H189" s="17">
        <f t="shared" si="20"/>
        <v>27</v>
      </c>
      <c r="I189" s="1">
        <f t="shared" si="21"/>
        <v>27000</v>
      </c>
      <c r="J189" s="17"/>
      <c r="K189" s="17"/>
      <c r="L189" s="18">
        <f t="shared" si="22"/>
        <v>27000</v>
      </c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18">
        <f t="shared" si="23"/>
        <v>0</v>
      </c>
    </row>
    <row r="190" spans="1:25">
      <c r="A190" s="41">
        <f>VLOOKUP(B190,справочник!$B$2:$E$322,4,FALSE)</f>
        <v>211</v>
      </c>
      <c r="B190" t="str">
        <f t="shared" si="15"/>
        <v>220Модин Игорь Николаевич</v>
      </c>
      <c r="C190" s="1">
        <v>220</v>
      </c>
      <c r="D190" s="2" t="s">
        <v>174</v>
      </c>
      <c r="E190" s="1" t="s">
        <v>490</v>
      </c>
      <c r="F190" s="16">
        <v>41417</v>
      </c>
      <c r="G190" s="16">
        <v>41426</v>
      </c>
      <c r="H190" s="17">
        <f t="shared" si="20"/>
        <v>31</v>
      </c>
      <c r="I190" s="1">
        <f t="shared" si="21"/>
        <v>31000</v>
      </c>
      <c r="J190" s="17">
        <v>26000</v>
      </c>
      <c r="K190" s="17">
        <v>7000</v>
      </c>
      <c r="L190" s="18">
        <f t="shared" si="22"/>
        <v>-2000</v>
      </c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18">
        <f t="shared" si="23"/>
        <v>0</v>
      </c>
    </row>
    <row r="191" spans="1:25" ht="25.5" customHeight="1">
      <c r="A191" s="41">
        <f>VLOOKUP(B191,справочник!$B$2:$E$322,4,FALSE)</f>
        <v>242</v>
      </c>
      <c r="B191" t="str">
        <f t="shared" si="15"/>
        <v>253Моисеев Андрей Валентинович</v>
      </c>
      <c r="C191" s="1">
        <v>253</v>
      </c>
      <c r="D191" s="3" t="s">
        <v>175</v>
      </c>
      <c r="E191" s="1" t="s">
        <v>491</v>
      </c>
      <c r="F191" s="16">
        <v>41352</v>
      </c>
      <c r="G191" s="16">
        <v>41365</v>
      </c>
      <c r="H191" s="17">
        <f t="shared" si="20"/>
        <v>33</v>
      </c>
      <c r="I191" s="1">
        <f t="shared" si="21"/>
        <v>33000</v>
      </c>
      <c r="J191" s="17">
        <v>4000</v>
      </c>
      <c r="K191" s="17"/>
      <c r="L191" s="18">
        <f t="shared" si="22"/>
        <v>29000</v>
      </c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18">
        <f t="shared" si="23"/>
        <v>0</v>
      </c>
    </row>
    <row r="192" spans="1:25">
      <c r="A192" s="41">
        <f>VLOOKUP(B192,справочник!$B$2:$E$322,4,FALSE)</f>
        <v>218</v>
      </c>
      <c r="B192" t="str">
        <f t="shared" si="15"/>
        <v>227Молчанова Ирина Владимировна</v>
      </c>
      <c r="C192" s="10">
        <v>227</v>
      </c>
      <c r="D192" s="3" t="s">
        <v>176</v>
      </c>
      <c r="E192" s="1" t="s">
        <v>492</v>
      </c>
      <c r="F192" s="16">
        <v>40793</v>
      </c>
      <c r="G192" s="16">
        <v>40787</v>
      </c>
      <c r="H192" s="17">
        <f t="shared" si="20"/>
        <v>52</v>
      </c>
      <c r="I192" s="1">
        <f t="shared" si="21"/>
        <v>52000</v>
      </c>
      <c r="J192" s="17">
        <v>33000</v>
      </c>
      <c r="K192" s="17">
        <v>5000</v>
      </c>
      <c r="L192" s="18">
        <f t="shared" si="22"/>
        <v>14000</v>
      </c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18">
        <f t="shared" si="23"/>
        <v>0</v>
      </c>
    </row>
    <row r="193" spans="1:25">
      <c r="A193" s="41">
        <f>VLOOKUP(B193,справочник!$B$2:$E$322,4,FALSE)</f>
        <v>120</v>
      </c>
      <c r="B193" t="str">
        <f t="shared" si="15"/>
        <v>125Мудрак Владимир Григорьевич (Марина)</v>
      </c>
      <c r="C193" s="1">
        <v>125</v>
      </c>
      <c r="D193" s="2" t="s">
        <v>177</v>
      </c>
      <c r="E193" s="1" t="s">
        <v>493</v>
      </c>
      <c r="F193" s="16">
        <v>41417</v>
      </c>
      <c r="G193" s="16">
        <v>41426</v>
      </c>
      <c r="H193" s="17">
        <f t="shared" si="20"/>
        <v>31</v>
      </c>
      <c r="I193" s="1">
        <f t="shared" si="21"/>
        <v>31000</v>
      </c>
      <c r="J193" s="17">
        <v>21000</v>
      </c>
      <c r="K193" s="17"/>
      <c r="L193" s="18">
        <f t="shared" si="22"/>
        <v>10000</v>
      </c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18">
        <f t="shared" si="23"/>
        <v>0</v>
      </c>
    </row>
    <row r="194" spans="1:25">
      <c r="A194" s="41">
        <f>VLOOKUP(B194,справочник!$B$2:$E$322,4,FALSE)</f>
        <v>287</v>
      </c>
      <c r="B194" t="str">
        <f t="shared" si="15"/>
        <v>299Мурадова Альбина Сергеевна</v>
      </c>
      <c r="C194" s="1">
        <v>299</v>
      </c>
      <c r="D194" s="3" t="s">
        <v>178</v>
      </c>
      <c r="E194" s="1" t="s">
        <v>494</v>
      </c>
      <c r="F194" s="16">
        <v>41897</v>
      </c>
      <c r="G194" s="16">
        <v>41913</v>
      </c>
      <c r="H194" s="17">
        <f t="shared" si="20"/>
        <v>15</v>
      </c>
      <c r="I194" s="1">
        <f t="shared" si="21"/>
        <v>15000</v>
      </c>
      <c r="J194" s="17">
        <v>13000</v>
      </c>
      <c r="K194" s="17"/>
      <c r="L194" s="18">
        <f t="shared" si="22"/>
        <v>2000</v>
      </c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18">
        <f t="shared" si="23"/>
        <v>0</v>
      </c>
    </row>
    <row r="195" spans="1:25">
      <c r="A195" s="41">
        <f>VLOOKUP(B195,справочник!$B$2:$E$322,4,FALSE)</f>
        <v>170</v>
      </c>
      <c r="B195" t="str">
        <f t="shared" si="15"/>
        <v>178Науменко Дмитрий Александрович</v>
      </c>
      <c r="C195" s="5">
        <v>178</v>
      </c>
      <c r="D195" s="7" t="s">
        <v>179</v>
      </c>
      <c r="E195" s="5" t="s">
        <v>495</v>
      </c>
      <c r="F195" s="19">
        <v>41414</v>
      </c>
      <c r="G195" s="19">
        <v>41456</v>
      </c>
      <c r="H195" s="20">
        <f t="shared" si="20"/>
        <v>30</v>
      </c>
      <c r="I195" s="5">
        <f t="shared" si="21"/>
        <v>30000</v>
      </c>
      <c r="J195" s="20">
        <v>29000</v>
      </c>
      <c r="K195" s="20">
        <v>1000</v>
      </c>
      <c r="L195" s="21">
        <f t="shared" si="22"/>
        <v>0</v>
      </c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1">
        <f t="shared" si="23"/>
        <v>0</v>
      </c>
    </row>
    <row r="196" spans="1:25">
      <c r="A196" s="41">
        <f>VLOOKUP(B196,справочник!$B$2:$E$322,4,FALSE)</f>
        <v>170</v>
      </c>
      <c r="B196" t="str">
        <f t="shared" si="15"/>
        <v>179Науменко Дмитрий Александрович</v>
      </c>
      <c r="C196" s="5">
        <v>179</v>
      </c>
      <c r="D196" s="7" t="s">
        <v>179</v>
      </c>
      <c r="E196" s="5" t="s">
        <v>496</v>
      </c>
      <c r="F196" s="19">
        <v>41414</v>
      </c>
      <c r="G196" s="19">
        <v>41456</v>
      </c>
      <c r="H196" s="20">
        <f t="shared" si="20"/>
        <v>30</v>
      </c>
      <c r="I196" s="5">
        <f t="shared" si="21"/>
        <v>30000</v>
      </c>
      <c r="J196" s="20">
        <v>29000</v>
      </c>
      <c r="K196" s="20">
        <v>1000</v>
      </c>
      <c r="L196" s="21">
        <f t="shared" si="22"/>
        <v>0</v>
      </c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1">
        <f t="shared" si="23"/>
        <v>0</v>
      </c>
    </row>
    <row r="197" spans="1:25">
      <c r="A197" s="41">
        <f>VLOOKUP(B197,справочник!$B$2:$E$322,4,FALSE)</f>
        <v>290</v>
      </c>
      <c r="B197" t="str">
        <f t="shared" si="15"/>
        <v>303Недосенко Татьяна Сергеевна (Олег)</v>
      </c>
      <c r="C197" s="1">
        <v>303</v>
      </c>
      <c r="D197" s="2" t="s">
        <v>180</v>
      </c>
      <c r="E197" s="1" t="s">
        <v>497</v>
      </c>
      <c r="F197" s="16">
        <v>40959</v>
      </c>
      <c r="G197" s="16">
        <v>40940</v>
      </c>
      <c r="H197" s="17">
        <f t="shared" si="20"/>
        <v>47</v>
      </c>
      <c r="I197" s="1">
        <f t="shared" si="21"/>
        <v>47000</v>
      </c>
      <c r="J197" s="17">
        <v>42000</v>
      </c>
      <c r="K197" s="17">
        <v>5000</v>
      </c>
      <c r="L197" s="18">
        <f t="shared" si="22"/>
        <v>0</v>
      </c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18">
        <f t="shared" si="23"/>
        <v>0</v>
      </c>
    </row>
    <row r="198" spans="1:25">
      <c r="A198" s="41">
        <f>VLOOKUP(B198,справочник!$B$2:$E$322,4,FALSE)</f>
        <v>81</v>
      </c>
      <c r="B198" t="str">
        <f t="shared" ref="B198:B261" si="24">CONCATENATE(C198,D198)</f>
        <v>86Нелюбов Сергей Владимирович</v>
      </c>
      <c r="C198" s="1">
        <v>86</v>
      </c>
      <c r="D198" s="2" t="s">
        <v>181</v>
      </c>
      <c r="E198" s="1" t="s">
        <v>498</v>
      </c>
      <c r="F198" s="16">
        <v>40949</v>
      </c>
      <c r="G198" s="16">
        <v>40940</v>
      </c>
      <c r="H198" s="17">
        <f t="shared" si="20"/>
        <v>47</v>
      </c>
      <c r="I198" s="1">
        <f t="shared" si="21"/>
        <v>47000</v>
      </c>
      <c r="J198" s="17">
        <v>44000</v>
      </c>
      <c r="K198" s="17">
        <v>3000</v>
      </c>
      <c r="L198" s="18">
        <f t="shared" si="22"/>
        <v>0</v>
      </c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18">
        <f t="shared" si="23"/>
        <v>0</v>
      </c>
    </row>
    <row r="199" spans="1:25">
      <c r="A199" s="41">
        <f>VLOOKUP(B199,справочник!$B$2:$E$322,4,FALSE)</f>
        <v>31</v>
      </c>
      <c r="B199" t="str">
        <f t="shared" si="24"/>
        <v>31Нефедов Михаил Владимирович</v>
      </c>
      <c r="C199" s="1">
        <v>31</v>
      </c>
      <c r="D199" s="2" t="s">
        <v>182</v>
      </c>
      <c r="E199" s="1" t="s">
        <v>499</v>
      </c>
      <c r="F199" s="16">
        <v>40786</v>
      </c>
      <c r="G199" s="16">
        <v>40787</v>
      </c>
      <c r="H199" s="17">
        <f t="shared" si="20"/>
        <v>52</v>
      </c>
      <c r="I199" s="1">
        <f t="shared" si="21"/>
        <v>52000</v>
      </c>
      <c r="J199" s="17">
        <f>10000+42000</f>
        <v>52000</v>
      </c>
      <c r="K199" s="17"/>
      <c r="L199" s="18">
        <f t="shared" si="22"/>
        <v>0</v>
      </c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18">
        <f t="shared" si="23"/>
        <v>0</v>
      </c>
    </row>
    <row r="200" spans="1:25">
      <c r="A200" s="41">
        <f>VLOOKUP(B200,справочник!$B$2:$E$322,4,FALSE)</f>
        <v>104</v>
      </c>
      <c r="B200" t="str">
        <f t="shared" si="24"/>
        <v>109Никифоров Андрей Леонидович</v>
      </c>
      <c r="C200" s="1">
        <v>109</v>
      </c>
      <c r="D200" s="3" t="s">
        <v>183</v>
      </c>
      <c r="E200" s="1" t="s">
        <v>500</v>
      </c>
      <c r="F200" s="16">
        <v>40893</v>
      </c>
      <c r="G200" s="16">
        <v>40878</v>
      </c>
      <c r="H200" s="17">
        <f t="shared" si="20"/>
        <v>49</v>
      </c>
      <c r="I200" s="1">
        <f t="shared" si="21"/>
        <v>49000</v>
      </c>
      <c r="J200" s="17">
        <f>1000+45000</f>
        <v>46000</v>
      </c>
      <c r="K200" s="17"/>
      <c r="L200" s="18">
        <f t="shared" si="22"/>
        <v>3000</v>
      </c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18">
        <f t="shared" si="23"/>
        <v>0</v>
      </c>
    </row>
    <row r="201" spans="1:25" ht="25.5" customHeight="1">
      <c r="A201" s="41">
        <f>VLOOKUP(B201,справочник!$B$2:$E$322,4,FALSE)</f>
        <v>85</v>
      </c>
      <c r="B201" t="str">
        <f t="shared" si="24"/>
        <v>90Новиков Виктор Викторович</v>
      </c>
      <c r="C201" s="1">
        <v>90</v>
      </c>
      <c r="D201" s="2" t="s">
        <v>184</v>
      </c>
      <c r="E201" s="1" t="s">
        <v>501</v>
      </c>
      <c r="F201" s="16">
        <v>40695</v>
      </c>
      <c r="G201" s="16">
        <v>40725</v>
      </c>
      <c r="H201" s="17">
        <f t="shared" si="20"/>
        <v>54</v>
      </c>
      <c r="I201" s="1">
        <f t="shared" si="21"/>
        <v>54000</v>
      </c>
      <c r="J201" s="17">
        <f>1000+53000</f>
        <v>54000</v>
      </c>
      <c r="K201" s="17"/>
      <c r="L201" s="18">
        <f t="shared" si="22"/>
        <v>0</v>
      </c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18">
        <f t="shared" si="23"/>
        <v>0</v>
      </c>
    </row>
    <row r="202" spans="1:25" ht="25.5" customHeight="1">
      <c r="A202" s="41">
        <f>VLOOKUP(B202,справочник!$B$2:$E$322,4,FALSE)</f>
        <v>300</v>
      </c>
      <c r="B202" t="str">
        <f t="shared" si="24"/>
        <v>315Новикова Наталья Петровна</v>
      </c>
      <c r="C202" s="1">
        <v>315</v>
      </c>
      <c r="D202" s="3" t="s">
        <v>185</v>
      </c>
      <c r="E202" s="1" t="s">
        <v>502</v>
      </c>
      <c r="F202" s="16">
        <v>41999</v>
      </c>
      <c r="G202" s="16">
        <v>42005</v>
      </c>
      <c r="H202" s="17">
        <f t="shared" si="20"/>
        <v>12</v>
      </c>
      <c r="I202" s="1">
        <f t="shared" si="21"/>
        <v>12000</v>
      </c>
      <c r="J202" s="17">
        <v>1000</v>
      </c>
      <c r="K202" s="17"/>
      <c r="L202" s="18">
        <f t="shared" si="22"/>
        <v>11000</v>
      </c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18">
        <f t="shared" si="23"/>
        <v>0</v>
      </c>
    </row>
    <row r="203" spans="1:25">
      <c r="A203" s="41">
        <f>VLOOKUP(B203,справочник!$B$2:$E$322,4,FALSE)</f>
        <v>47</v>
      </c>
      <c r="B203" t="str">
        <f t="shared" si="24"/>
        <v>47Новикова Светлана Владимировна (Анатолий)</v>
      </c>
      <c r="C203" s="1">
        <v>47</v>
      </c>
      <c r="D203" s="3" t="s">
        <v>186</v>
      </c>
      <c r="E203" s="1" t="s">
        <v>503</v>
      </c>
      <c r="F203" s="16">
        <v>41375</v>
      </c>
      <c r="G203" s="16">
        <v>41395</v>
      </c>
      <c r="H203" s="17">
        <f t="shared" si="20"/>
        <v>32</v>
      </c>
      <c r="I203" s="1">
        <f t="shared" si="21"/>
        <v>32000</v>
      </c>
      <c r="J203" s="17">
        <v>9000</v>
      </c>
      <c r="K203" s="17"/>
      <c r="L203" s="18">
        <f t="shared" si="22"/>
        <v>23000</v>
      </c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18">
        <f t="shared" si="23"/>
        <v>0</v>
      </c>
    </row>
    <row r="204" spans="1:25">
      <c r="A204" s="41">
        <f>VLOOKUP(B204,справочник!$B$2:$E$322,4,FALSE)</f>
        <v>282</v>
      </c>
      <c r="B204" t="str">
        <f t="shared" si="24"/>
        <v xml:space="preserve">294Нормуротов Анваржон Абдирайимович    </v>
      </c>
      <c r="C204" s="1">
        <v>294</v>
      </c>
      <c r="D204" s="3" t="s">
        <v>187</v>
      </c>
      <c r="E204" s="23" t="s">
        <v>474</v>
      </c>
      <c r="F204" s="24">
        <v>41716</v>
      </c>
      <c r="G204" s="24">
        <v>41730</v>
      </c>
      <c r="H204" s="17">
        <f t="shared" si="20"/>
        <v>21</v>
      </c>
      <c r="I204" s="1">
        <f t="shared" si="21"/>
        <v>21000</v>
      </c>
      <c r="J204" s="17">
        <v>18000</v>
      </c>
      <c r="K204" s="17"/>
      <c r="L204" s="18">
        <f t="shared" si="22"/>
        <v>3000</v>
      </c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18">
        <f t="shared" si="23"/>
        <v>0</v>
      </c>
    </row>
    <row r="205" spans="1:25" ht="25.5" customHeight="1">
      <c r="A205" s="41">
        <f>VLOOKUP(B205,справочник!$B$2:$E$322,4,FALSE)</f>
        <v>204</v>
      </c>
      <c r="B205" t="str">
        <f t="shared" si="24"/>
        <v xml:space="preserve">214Носикова Александра Васильевна </v>
      </c>
      <c r="C205" s="1">
        <v>214</v>
      </c>
      <c r="D205" s="2" t="s">
        <v>188</v>
      </c>
      <c r="E205" s="1" t="s">
        <v>504</v>
      </c>
      <c r="F205" s="1"/>
      <c r="G205" s="1"/>
      <c r="H205" s="17"/>
      <c r="I205" s="1">
        <f t="shared" si="21"/>
        <v>0</v>
      </c>
      <c r="J205" s="17"/>
      <c r="K205" s="17"/>
      <c r="L205" s="18">
        <f t="shared" si="22"/>
        <v>0</v>
      </c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18">
        <f t="shared" si="23"/>
        <v>0</v>
      </c>
    </row>
    <row r="206" spans="1:25">
      <c r="A206" s="41">
        <f>VLOOKUP(B206,справочник!$B$2:$E$322,4,FALSE)</f>
        <v>291</v>
      </c>
      <c r="B206" t="str">
        <f t="shared" si="24"/>
        <v>304Носикова Мария Леонидовна</v>
      </c>
      <c r="C206" s="1">
        <v>304</v>
      </c>
      <c r="D206" s="2" t="s">
        <v>189</v>
      </c>
      <c r="E206" s="1" t="s">
        <v>505</v>
      </c>
      <c r="F206" s="1"/>
      <c r="G206" s="1"/>
      <c r="H206" s="17"/>
      <c r="I206" s="1">
        <f t="shared" si="21"/>
        <v>0</v>
      </c>
      <c r="J206" s="17"/>
      <c r="K206" s="17"/>
      <c r="L206" s="18">
        <f t="shared" si="22"/>
        <v>0</v>
      </c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18">
        <f t="shared" si="23"/>
        <v>0</v>
      </c>
    </row>
    <row r="207" spans="1:25">
      <c r="A207" s="41">
        <f>VLOOKUP(B207,справочник!$B$2:$E$322,4,FALSE)</f>
        <v>89</v>
      </c>
      <c r="B207" t="str">
        <f t="shared" si="24"/>
        <v xml:space="preserve">94Олег (Гусев Николай Михайлович — был) </v>
      </c>
      <c r="C207" s="1">
        <v>94</v>
      </c>
      <c r="D207" s="3" t="s">
        <v>190</v>
      </c>
      <c r="E207" s="1" t="s">
        <v>506</v>
      </c>
      <c r="F207" s="16">
        <v>41106</v>
      </c>
      <c r="G207" s="16">
        <v>41091</v>
      </c>
      <c r="H207" s="17">
        <f t="shared" ref="H207:H213" si="25">INT(($H$327-G207)/30)</f>
        <v>42</v>
      </c>
      <c r="I207" s="1">
        <f t="shared" si="21"/>
        <v>42000</v>
      </c>
      <c r="J207" s="17">
        <f>21000</f>
        <v>21000</v>
      </c>
      <c r="K207" s="17"/>
      <c r="L207" s="18">
        <f t="shared" si="22"/>
        <v>21000</v>
      </c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18">
        <f t="shared" si="23"/>
        <v>0</v>
      </c>
    </row>
    <row r="208" spans="1:25">
      <c r="A208" s="41">
        <f>VLOOKUP(B208,справочник!$B$2:$E$322,4,FALSE)</f>
        <v>26</v>
      </c>
      <c r="B208" t="str">
        <f t="shared" si="24"/>
        <v xml:space="preserve">26Олейников Дмитрий Александрович </v>
      </c>
      <c r="C208" s="1">
        <v>26</v>
      </c>
      <c r="D208" s="3" t="s">
        <v>191</v>
      </c>
      <c r="E208" s="1" t="s">
        <v>507</v>
      </c>
      <c r="F208" s="16">
        <v>40788</v>
      </c>
      <c r="G208" s="16">
        <v>40787</v>
      </c>
      <c r="H208" s="17">
        <f t="shared" si="25"/>
        <v>52</v>
      </c>
      <c r="I208" s="1">
        <f t="shared" si="21"/>
        <v>52000</v>
      </c>
      <c r="J208" s="17"/>
      <c r="K208" s="17"/>
      <c r="L208" s="18">
        <f t="shared" si="22"/>
        <v>52000</v>
      </c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18">
        <f t="shared" si="23"/>
        <v>0</v>
      </c>
    </row>
    <row r="209" spans="1:25">
      <c r="A209" s="41">
        <f>VLOOKUP(B209,справочник!$B$2:$E$322,4,FALSE)</f>
        <v>71</v>
      </c>
      <c r="B209" t="str">
        <f t="shared" si="24"/>
        <v>77Олейникова Евгения Александровна</v>
      </c>
      <c r="C209" s="4">
        <v>77</v>
      </c>
      <c r="D209" s="3" t="s">
        <v>192</v>
      </c>
      <c r="E209" s="1" t="s">
        <v>508</v>
      </c>
      <c r="F209" s="16">
        <v>40788</v>
      </c>
      <c r="G209" s="16">
        <v>40787</v>
      </c>
      <c r="H209" s="17">
        <f t="shared" si="25"/>
        <v>52</v>
      </c>
      <c r="I209" s="1">
        <f t="shared" si="21"/>
        <v>52000</v>
      </c>
      <c r="J209" s="17">
        <f>36000+4000</f>
        <v>40000</v>
      </c>
      <c r="K209" s="17"/>
      <c r="L209" s="18">
        <f t="shared" si="22"/>
        <v>12000</v>
      </c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18">
        <f t="shared" si="23"/>
        <v>0</v>
      </c>
    </row>
    <row r="210" spans="1:25" ht="25.5" customHeight="1">
      <c r="A210" s="41">
        <f>VLOOKUP(B210,справочник!$B$2:$E$322,4,FALSE)</f>
        <v>6</v>
      </c>
      <c r="B210" t="str">
        <f t="shared" si="24"/>
        <v>6Осадчев Константин Владимирович</v>
      </c>
      <c r="C210" s="1">
        <v>6</v>
      </c>
      <c r="D210" s="3" t="s">
        <v>193</v>
      </c>
      <c r="E210" s="1" t="s">
        <v>509</v>
      </c>
      <c r="F210" s="16">
        <v>41939</v>
      </c>
      <c r="G210" s="16">
        <v>41944</v>
      </c>
      <c r="H210" s="17">
        <f t="shared" si="25"/>
        <v>14</v>
      </c>
      <c r="I210" s="1">
        <f t="shared" si="21"/>
        <v>14000</v>
      </c>
      <c r="J210" s="17"/>
      <c r="K210" s="17"/>
      <c r="L210" s="18">
        <f t="shared" si="22"/>
        <v>14000</v>
      </c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18">
        <f t="shared" si="23"/>
        <v>0</v>
      </c>
    </row>
    <row r="211" spans="1:25" ht="25.5" customHeight="1">
      <c r="A211" s="41">
        <f>VLOOKUP(B211,справочник!$B$2:$E$322,4,FALSE)</f>
        <v>80</v>
      </c>
      <c r="B211" t="str">
        <f t="shared" si="24"/>
        <v>85Острикова Наталья Львовна</v>
      </c>
      <c r="C211" s="1">
        <v>85</v>
      </c>
      <c r="D211" s="2" t="s">
        <v>194</v>
      </c>
      <c r="E211" s="1" t="s">
        <v>510</v>
      </c>
      <c r="F211" s="16">
        <v>40995</v>
      </c>
      <c r="G211" s="16">
        <v>41000</v>
      </c>
      <c r="H211" s="17">
        <f t="shared" si="25"/>
        <v>45</v>
      </c>
      <c r="I211" s="1">
        <f t="shared" si="21"/>
        <v>45000</v>
      </c>
      <c r="J211" s="17">
        <v>45000</v>
      </c>
      <c r="K211" s="17"/>
      <c r="L211" s="18">
        <f t="shared" si="22"/>
        <v>0</v>
      </c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18">
        <f t="shared" si="23"/>
        <v>0</v>
      </c>
    </row>
    <row r="212" spans="1:25" ht="38.25" customHeight="1">
      <c r="A212" s="41">
        <f>VLOOKUP(B212,справочник!$B$2:$E$322,4,FALSE)</f>
        <v>201</v>
      </c>
      <c r="B212" t="str">
        <f t="shared" si="24"/>
        <v>209Пархачева Эльвира Валентиновна (Алксандр)</v>
      </c>
      <c r="C212" s="1">
        <v>209</v>
      </c>
      <c r="D212" s="2" t="s">
        <v>195</v>
      </c>
      <c r="E212" s="1" t="s">
        <v>511</v>
      </c>
      <c r="F212" s="16">
        <v>40974</v>
      </c>
      <c r="G212" s="16">
        <v>40969</v>
      </c>
      <c r="H212" s="17">
        <f t="shared" si="25"/>
        <v>46</v>
      </c>
      <c r="I212" s="1">
        <f t="shared" si="21"/>
        <v>46000</v>
      </c>
      <c r="J212" s="17">
        <v>38000</v>
      </c>
      <c r="K212" s="17"/>
      <c r="L212" s="18">
        <f t="shared" si="22"/>
        <v>8000</v>
      </c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18">
        <f t="shared" si="23"/>
        <v>0</v>
      </c>
    </row>
    <row r="213" spans="1:25">
      <c r="A213" s="41">
        <f>VLOOKUP(B213,справочник!$B$2:$E$322,4,FALSE)</f>
        <v>147</v>
      </c>
      <c r="B213" t="str">
        <f t="shared" si="24"/>
        <v>155Пахарева Ольга Александровна (Дмитрий)</v>
      </c>
      <c r="C213" s="1">
        <v>155</v>
      </c>
      <c r="D213" s="3" t="s">
        <v>196</v>
      </c>
      <c r="E213" s="1" t="s">
        <v>512</v>
      </c>
      <c r="F213" s="16">
        <v>40952</v>
      </c>
      <c r="G213" s="16">
        <v>40940</v>
      </c>
      <c r="H213" s="17">
        <f t="shared" si="25"/>
        <v>47</v>
      </c>
      <c r="I213" s="1">
        <f t="shared" si="21"/>
        <v>47000</v>
      </c>
      <c r="J213" s="17">
        <v>32000</v>
      </c>
      <c r="K213" s="17"/>
      <c r="L213" s="18">
        <f t="shared" si="22"/>
        <v>15000</v>
      </c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18">
        <f t="shared" si="23"/>
        <v>0</v>
      </c>
    </row>
    <row r="214" spans="1:25" ht="24">
      <c r="A214" s="41" t="e">
        <f>VLOOKUP(B214,справочник!$B$2:$E$322,4,FALSE)</f>
        <v>#N/A</v>
      </c>
      <c r="B214" t="str">
        <f t="shared" si="24"/>
        <v>29Петрик Наталья Вячеславовна(ПродалаУстинова Ирина)</v>
      </c>
      <c r="C214" s="1">
        <v>29</v>
      </c>
      <c r="D214" s="2" t="s">
        <v>197</v>
      </c>
      <c r="E214" s="1" t="s">
        <v>513</v>
      </c>
      <c r="F214" s="16">
        <v>40923</v>
      </c>
      <c r="G214" s="16">
        <v>40909</v>
      </c>
      <c r="H214" s="17">
        <v>7</v>
      </c>
      <c r="I214" s="1">
        <f t="shared" si="21"/>
        <v>7000</v>
      </c>
      <c r="J214" s="17">
        <v>7000</v>
      </c>
      <c r="K214" s="17"/>
      <c r="L214" s="18">
        <f t="shared" si="22"/>
        <v>0</v>
      </c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18">
        <f t="shared" si="23"/>
        <v>0</v>
      </c>
    </row>
    <row r="215" spans="1:25">
      <c r="A215" s="41">
        <f>VLOOKUP(B215,справочник!$B$2:$E$322,4,FALSE)</f>
        <v>33</v>
      </c>
      <c r="B215" t="str">
        <f t="shared" si="24"/>
        <v>33Петров Борис Викторович</v>
      </c>
      <c r="C215" s="1">
        <v>33</v>
      </c>
      <c r="D215" s="2" t="s">
        <v>198</v>
      </c>
      <c r="E215" s="1" t="s">
        <v>514</v>
      </c>
      <c r="F215" s="16">
        <v>40791</v>
      </c>
      <c r="G215" s="16">
        <v>40787</v>
      </c>
      <c r="H215" s="17">
        <f t="shared" ref="H215:H224" si="26">INT(($H$327-G215)/30)</f>
        <v>52</v>
      </c>
      <c r="I215" s="1">
        <f t="shared" si="21"/>
        <v>52000</v>
      </c>
      <c r="J215" s="17">
        <f>1000+44000</f>
        <v>45000</v>
      </c>
      <c r="K215" s="17"/>
      <c r="L215" s="18">
        <f t="shared" si="22"/>
        <v>7000</v>
      </c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18">
        <f t="shared" si="23"/>
        <v>0</v>
      </c>
    </row>
    <row r="216" spans="1:25">
      <c r="A216" s="41">
        <f>VLOOKUP(B216,справочник!$B$2:$E$322,4,FALSE)</f>
        <v>169</v>
      </c>
      <c r="B216" t="str">
        <f t="shared" si="24"/>
        <v>177Петрова Елена Николаевна</v>
      </c>
      <c r="C216" s="1">
        <v>177</v>
      </c>
      <c r="D216" s="2" t="s">
        <v>199</v>
      </c>
      <c r="E216" s="1" t="s">
        <v>515</v>
      </c>
      <c r="F216" s="16">
        <v>41598</v>
      </c>
      <c r="G216" s="16">
        <v>41609</v>
      </c>
      <c r="H216" s="17">
        <f t="shared" si="26"/>
        <v>25</v>
      </c>
      <c r="I216" s="1">
        <f t="shared" si="21"/>
        <v>25000</v>
      </c>
      <c r="J216" s="17">
        <v>21000</v>
      </c>
      <c r="K216" s="17"/>
      <c r="L216" s="18">
        <f t="shared" si="22"/>
        <v>4000</v>
      </c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18">
        <f t="shared" si="23"/>
        <v>0</v>
      </c>
    </row>
    <row r="217" spans="1:25">
      <c r="A217" s="41">
        <f>VLOOKUP(B217,справочник!$B$2:$E$322,4,FALSE)</f>
        <v>185</v>
      </c>
      <c r="B217" t="str">
        <f t="shared" si="24"/>
        <v>193Петункин Игорь Минович</v>
      </c>
      <c r="C217" s="1">
        <v>193</v>
      </c>
      <c r="D217" s="3" t="s">
        <v>200</v>
      </c>
      <c r="E217" s="1" t="s">
        <v>516</v>
      </c>
      <c r="F217" s="16">
        <v>41506</v>
      </c>
      <c r="G217" s="16">
        <v>41518</v>
      </c>
      <c r="H217" s="17">
        <f t="shared" si="26"/>
        <v>28</v>
      </c>
      <c r="I217" s="1">
        <f t="shared" si="21"/>
        <v>28000</v>
      </c>
      <c r="J217" s="17">
        <v>14000</v>
      </c>
      <c r="K217" s="17"/>
      <c r="L217" s="18">
        <f t="shared" si="22"/>
        <v>14000</v>
      </c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18">
        <f t="shared" si="23"/>
        <v>0</v>
      </c>
    </row>
    <row r="218" spans="1:25">
      <c r="A218" s="41">
        <f>VLOOKUP(B218,справочник!$B$2:$E$322,4,FALSE)</f>
        <v>176</v>
      </c>
      <c r="B218" t="str">
        <f t="shared" si="24"/>
        <v>184Пикалёва Алла Григорьевна (Юрий)</v>
      </c>
      <c r="C218" s="1">
        <v>184</v>
      </c>
      <c r="D218" s="3" t="s">
        <v>201</v>
      </c>
      <c r="E218" s="1" t="s">
        <v>517</v>
      </c>
      <c r="F218" s="16">
        <v>41734</v>
      </c>
      <c r="G218" s="16">
        <v>41760</v>
      </c>
      <c r="H218" s="17">
        <f t="shared" si="26"/>
        <v>20</v>
      </c>
      <c r="I218" s="1">
        <f t="shared" si="21"/>
        <v>20000</v>
      </c>
      <c r="J218" s="17">
        <v>3000</v>
      </c>
      <c r="K218" s="17"/>
      <c r="L218" s="18">
        <f t="shared" si="22"/>
        <v>17000</v>
      </c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18">
        <f t="shared" si="23"/>
        <v>0</v>
      </c>
    </row>
    <row r="219" spans="1:25">
      <c r="A219" s="41">
        <f>VLOOKUP(B219,справочник!$B$2:$E$322,4,FALSE)</f>
        <v>307</v>
      </c>
      <c r="B219" t="str">
        <f t="shared" si="24"/>
        <v>322Поликарпова Наталья Дмитриевна</v>
      </c>
      <c r="C219" s="1">
        <v>322</v>
      </c>
      <c r="D219" s="3" t="s">
        <v>202</v>
      </c>
      <c r="E219" s="1" t="s">
        <v>518</v>
      </c>
      <c r="F219" s="16">
        <v>41114</v>
      </c>
      <c r="G219" s="16">
        <v>41122</v>
      </c>
      <c r="H219" s="17">
        <f t="shared" si="26"/>
        <v>41</v>
      </c>
      <c r="I219" s="1">
        <f t="shared" si="21"/>
        <v>41000</v>
      </c>
      <c r="J219" s="17">
        <v>27000</v>
      </c>
      <c r="K219" s="17"/>
      <c r="L219" s="18">
        <f t="shared" si="22"/>
        <v>14000</v>
      </c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18">
        <f t="shared" si="23"/>
        <v>0</v>
      </c>
    </row>
    <row r="220" spans="1:25">
      <c r="A220" s="41">
        <f>VLOOKUP(B220,справочник!$B$2:$E$322,4,FALSE)</f>
        <v>177</v>
      </c>
      <c r="B220" t="str">
        <f t="shared" si="24"/>
        <v>185Полякова Марина Александровна</v>
      </c>
      <c r="C220" s="1">
        <v>185</v>
      </c>
      <c r="D220" s="3" t="s">
        <v>203</v>
      </c>
      <c r="E220" s="1" t="s">
        <v>519</v>
      </c>
      <c r="F220" s="16">
        <v>41898</v>
      </c>
      <c r="G220" s="16">
        <v>41913</v>
      </c>
      <c r="H220" s="17">
        <f t="shared" si="26"/>
        <v>15</v>
      </c>
      <c r="I220" s="1">
        <f t="shared" si="21"/>
        <v>15000</v>
      </c>
      <c r="J220" s="17">
        <v>12000</v>
      </c>
      <c r="K220" s="17"/>
      <c r="L220" s="18">
        <f t="shared" si="22"/>
        <v>3000</v>
      </c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18">
        <f t="shared" si="23"/>
        <v>0</v>
      </c>
    </row>
    <row r="221" spans="1:25">
      <c r="A221" s="41">
        <f>VLOOKUP(B221,справочник!$B$2:$E$322,4,FALSE)</f>
        <v>160</v>
      </c>
      <c r="B221" t="str">
        <f t="shared" si="24"/>
        <v>168Пономарева Олеся Сергеевна</v>
      </c>
      <c r="C221" s="1">
        <v>168</v>
      </c>
      <c r="D221" s="3" t="s">
        <v>204</v>
      </c>
      <c r="E221" s="1" t="s">
        <v>520</v>
      </c>
      <c r="F221" s="16">
        <v>41079</v>
      </c>
      <c r="G221" s="16">
        <v>41091</v>
      </c>
      <c r="H221" s="17">
        <f t="shared" si="26"/>
        <v>42</v>
      </c>
      <c r="I221" s="1">
        <f t="shared" si="21"/>
        <v>42000</v>
      </c>
      <c r="J221" s="17">
        <v>21000</v>
      </c>
      <c r="K221" s="17"/>
      <c r="L221" s="18">
        <f t="shared" si="22"/>
        <v>21000</v>
      </c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18">
        <f t="shared" si="23"/>
        <v>0</v>
      </c>
    </row>
    <row r="222" spans="1:25" ht="25.5" customHeight="1">
      <c r="A222" s="41">
        <f>VLOOKUP(B222,справочник!$B$2:$E$322,4,FALSE)</f>
        <v>53</v>
      </c>
      <c r="B222" t="str">
        <f t="shared" si="24"/>
        <v>55Попова Нина Ивановна</v>
      </c>
      <c r="C222" s="1">
        <v>55</v>
      </c>
      <c r="D222" s="2" t="s">
        <v>205</v>
      </c>
      <c r="E222" s="1" t="s">
        <v>521</v>
      </c>
      <c r="F222" s="16">
        <v>41995</v>
      </c>
      <c r="G222" s="16">
        <v>42005</v>
      </c>
      <c r="H222" s="17">
        <f t="shared" si="26"/>
        <v>12</v>
      </c>
      <c r="I222" s="1">
        <f t="shared" si="21"/>
        <v>12000</v>
      </c>
      <c r="J222" s="17">
        <v>12000</v>
      </c>
      <c r="K222" s="17"/>
      <c r="L222" s="18">
        <f t="shared" si="22"/>
        <v>0</v>
      </c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18">
        <f t="shared" si="23"/>
        <v>0</v>
      </c>
    </row>
    <row r="223" spans="1:25">
      <c r="A223" s="41">
        <f>VLOOKUP(B223,справочник!$B$2:$E$322,4,FALSE)</f>
        <v>102</v>
      </c>
      <c r="B223" t="str">
        <f t="shared" si="24"/>
        <v>107Постернак Татьяна Николаевна</v>
      </c>
      <c r="C223" s="1">
        <v>107</v>
      </c>
      <c r="D223" s="2" t="s">
        <v>206</v>
      </c>
      <c r="E223" s="1" t="s">
        <v>522</v>
      </c>
      <c r="F223" s="16">
        <v>40757</v>
      </c>
      <c r="G223" s="16">
        <v>40756</v>
      </c>
      <c r="H223" s="17">
        <f t="shared" si="26"/>
        <v>53</v>
      </c>
      <c r="I223" s="1">
        <f t="shared" si="21"/>
        <v>53000</v>
      </c>
      <c r="J223" s="17">
        <f>52000+1000</f>
        <v>53000</v>
      </c>
      <c r="K223" s="17"/>
      <c r="L223" s="18">
        <f t="shared" si="22"/>
        <v>0</v>
      </c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18">
        <f t="shared" si="23"/>
        <v>0</v>
      </c>
    </row>
    <row r="224" spans="1:25">
      <c r="A224" s="41">
        <f>VLOOKUP(B224,справочник!$B$2:$E$322,4,FALSE)</f>
        <v>174</v>
      </c>
      <c r="B224" t="str">
        <f t="shared" si="24"/>
        <v>182Просянов Александр Александрович</v>
      </c>
      <c r="C224" s="1">
        <v>182</v>
      </c>
      <c r="D224" s="2" t="s">
        <v>207</v>
      </c>
      <c r="E224" s="1" t="s">
        <v>523</v>
      </c>
      <c r="F224" s="16">
        <v>41352</v>
      </c>
      <c r="G224" s="16">
        <v>41365</v>
      </c>
      <c r="H224" s="17">
        <f t="shared" si="26"/>
        <v>33</v>
      </c>
      <c r="I224" s="1">
        <f t="shared" si="21"/>
        <v>33000</v>
      </c>
      <c r="J224" s="17">
        <v>33000</v>
      </c>
      <c r="K224" s="17"/>
      <c r="L224" s="18">
        <f t="shared" si="22"/>
        <v>0</v>
      </c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18">
        <f t="shared" si="23"/>
        <v>0</v>
      </c>
    </row>
    <row r="225" spans="1:25">
      <c r="A225" s="41">
        <f>VLOOKUP(B225,справочник!$B$2:$E$322,4,FALSE)</f>
        <v>165</v>
      </c>
      <c r="B225" t="str">
        <f t="shared" si="24"/>
        <v xml:space="preserve">173Прохоров Владимир Михайлович        </v>
      </c>
      <c r="C225" s="1">
        <v>173</v>
      </c>
      <c r="D225" s="2" t="s">
        <v>208</v>
      </c>
      <c r="E225" s="1" t="s">
        <v>524</v>
      </c>
      <c r="F225" s="1"/>
      <c r="G225" s="1"/>
      <c r="H225" s="17">
        <v>17</v>
      </c>
      <c r="I225" s="1">
        <f t="shared" si="21"/>
        <v>17000</v>
      </c>
      <c r="J225" s="17">
        <v>17000</v>
      </c>
      <c r="K225" s="17"/>
      <c r="L225" s="18">
        <f t="shared" si="22"/>
        <v>0</v>
      </c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18">
        <f t="shared" si="23"/>
        <v>0</v>
      </c>
    </row>
    <row r="226" spans="1:25">
      <c r="A226" s="41">
        <f>VLOOKUP(B226,справочник!$B$2:$E$322,4,FALSE)</f>
        <v>251</v>
      </c>
      <c r="B226" t="str">
        <f t="shared" si="24"/>
        <v xml:space="preserve">262Пузанова Екатерина Вячеславовна        </v>
      </c>
      <c r="C226" s="1">
        <v>262</v>
      </c>
      <c r="D226" s="3" t="s">
        <v>209</v>
      </c>
      <c r="E226" s="1" t="s">
        <v>525</v>
      </c>
      <c r="F226" s="16">
        <v>41751</v>
      </c>
      <c r="G226" s="16">
        <v>41760</v>
      </c>
      <c r="H226" s="17">
        <f t="shared" ref="H226:H267" si="27">INT(($H$327-G226)/30)</f>
        <v>20</v>
      </c>
      <c r="I226" s="1">
        <f t="shared" si="21"/>
        <v>20000</v>
      </c>
      <c r="J226" s="17"/>
      <c r="K226" s="17"/>
      <c r="L226" s="18">
        <f t="shared" si="22"/>
        <v>20000</v>
      </c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18">
        <f t="shared" si="23"/>
        <v>0</v>
      </c>
    </row>
    <row r="227" spans="1:25">
      <c r="A227" s="41">
        <f>VLOOKUP(B227,справочник!$B$2:$E$322,4,FALSE)</f>
        <v>315</v>
      </c>
      <c r="B227" t="str">
        <f t="shared" si="24"/>
        <v>265-266Ратников Алексей Сергеевич</v>
      </c>
      <c r="C227" s="4" t="s">
        <v>210</v>
      </c>
      <c r="D227" s="3" t="s">
        <v>211</v>
      </c>
      <c r="E227" s="1" t="s">
        <v>526</v>
      </c>
      <c r="F227" s="19">
        <v>40890</v>
      </c>
      <c r="G227" s="19">
        <v>40878</v>
      </c>
      <c r="H227" s="20">
        <f t="shared" si="27"/>
        <v>49</v>
      </c>
      <c r="I227" s="5">
        <f t="shared" si="21"/>
        <v>49000</v>
      </c>
      <c r="J227" s="20">
        <f>28000+2000</f>
        <v>30000</v>
      </c>
      <c r="K227" s="20"/>
      <c r="L227" s="21">
        <f t="shared" si="22"/>
        <v>19000</v>
      </c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1">
        <f t="shared" si="23"/>
        <v>0</v>
      </c>
    </row>
    <row r="228" spans="1:25" ht="25.5" customHeight="1">
      <c r="A228" s="41" t="e">
        <f>VLOOKUP(B228,справочник!$B$2:$E$322,4,FALSE)</f>
        <v>#N/A</v>
      </c>
      <c r="B228" t="str">
        <f t="shared" si="24"/>
        <v>210-211Решетов Владимир Генадьевич</v>
      </c>
      <c r="C228" s="4" t="s">
        <v>212</v>
      </c>
      <c r="D228" s="7" t="s">
        <v>213</v>
      </c>
      <c r="E228" s="5" t="s">
        <v>527</v>
      </c>
      <c r="F228" s="19">
        <v>40816</v>
      </c>
      <c r="G228" s="19">
        <v>40817</v>
      </c>
      <c r="H228" s="20">
        <f t="shared" si="27"/>
        <v>51</v>
      </c>
      <c r="I228" s="5">
        <v>61000</v>
      </c>
      <c r="J228" s="20">
        <f>2000+55000</f>
        <v>57000</v>
      </c>
      <c r="K228" s="20">
        <v>4000</v>
      </c>
      <c r="L228" s="21">
        <f t="shared" si="22"/>
        <v>0</v>
      </c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1">
        <f t="shared" si="23"/>
        <v>0</v>
      </c>
    </row>
    <row r="229" spans="1:25">
      <c r="A229" s="41" t="e">
        <f>VLOOKUP(B229,справочник!$B$2:$E$322,4,FALSE)</f>
        <v>#N/A</v>
      </c>
      <c r="B229" t="str">
        <f t="shared" si="24"/>
        <v>246-247Решетов Владимир Геннадьевич</v>
      </c>
      <c r="C229" s="4" t="s">
        <v>214</v>
      </c>
      <c r="D229" s="7" t="s">
        <v>215</v>
      </c>
      <c r="E229" s="5" t="s">
        <v>527</v>
      </c>
      <c r="F229" s="19">
        <v>40816</v>
      </c>
      <c r="G229" s="19">
        <v>40817</v>
      </c>
      <c r="H229" s="20">
        <f t="shared" si="27"/>
        <v>51</v>
      </c>
      <c r="I229" s="5">
        <v>61000</v>
      </c>
      <c r="J229" s="20">
        <v>58000</v>
      </c>
      <c r="K229" s="20">
        <v>3000</v>
      </c>
      <c r="L229" s="21">
        <f t="shared" si="22"/>
        <v>0</v>
      </c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1">
        <f t="shared" si="23"/>
        <v>0</v>
      </c>
    </row>
    <row r="230" spans="1:25" ht="24">
      <c r="A230" s="41">
        <f>VLOOKUP(B230,справочник!$B$2:$E$322,4,FALSE)</f>
        <v>195</v>
      </c>
      <c r="B230" t="str">
        <f t="shared" si="24"/>
        <v>203Родичева Наталья Николаевна - Завилевская Е.И. ???</v>
      </c>
      <c r="C230" s="4">
        <v>203</v>
      </c>
      <c r="D230" s="3" t="s">
        <v>216</v>
      </c>
      <c r="E230" s="1" t="s">
        <v>528</v>
      </c>
      <c r="F230" s="16">
        <v>41599</v>
      </c>
      <c r="G230" s="16">
        <v>41609</v>
      </c>
      <c r="H230" s="17">
        <f t="shared" si="27"/>
        <v>25</v>
      </c>
      <c r="I230" s="1">
        <f t="shared" ref="I230:I267" si="28">H230*1000</f>
        <v>25000</v>
      </c>
      <c r="J230" s="17">
        <v>1000</v>
      </c>
      <c r="K230" s="17"/>
      <c r="L230" s="18">
        <f t="shared" si="22"/>
        <v>24000</v>
      </c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18">
        <f t="shared" si="23"/>
        <v>0</v>
      </c>
    </row>
    <row r="231" spans="1:25">
      <c r="A231" s="41">
        <f>VLOOKUP(B231,справочник!$B$2:$E$322,4,FALSE)</f>
        <v>144</v>
      </c>
      <c r="B231" t="str">
        <f t="shared" si="24"/>
        <v>152Рожкова Глафира Андреевна</v>
      </c>
      <c r="C231" s="4">
        <v>152</v>
      </c>
      <c r="D231" s="3" t="s">
        <v>217</v>
      </c>
      <c r="E231" s="1" t="s">
        <v>529</v>
      </c>
      <c r="F231" s="19">
        <v>40788</v>
      </c>
      <c r="G231" s="19">
        <v>40787</v>
      </c>
      <c r="H231" s="20">
        <f t="shared" si="27"/>
        <v>52</v>
      </c>
      <c r="I231" s="5">
        <f t="shared" si="28"/>
        <v>52000</v>
      </c>
      <c r="J231" s="20">
        <v>1000</v>
      </c>
      <c r="K231" s="20"/>
      <c r="L231" s="21">
        <f t="shared" si="22"/>
        <v>51000</v>
      </c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1">
        <f t="shared" si="23"/>
        <v>0</v>
      </c>
    </row>
    <row r="232" spans="1:25">
      <c r="A232" s="41">
        <f>VLOOKUP(B232,справочник!$B$2:$E$322,4,FALSE)</f>
        <v>144</v>
      </c>
      <c r="B232" t="str">
        <f t="shared" si="24"/>
        <v>153Рожкова Глафира Андреевна</v>
      </c>
      <c r="C232" s="4">
        <v>153</v>
      </c>
      <c r="D232" s="3" t="s">
        <v>217</v>
      </c>
      <c r="E232" s="1"/>
      <c r="F232" s="19">
        <v>40788</v>
      </c>
      <c r="G232" s="19">
        <v>40787</v>
      </c>
      <c r="H232" s="20">
        <f t="shared" si="27"/>
        <v>52</v>
      </c>
      <c r="I232" s="5">
        <f t="shared" si="28"/>
        <v>52000</v>
      </c>
      <c r="J232" s="20">
        <v>1000</v>
      </c>
      <c r="K232" s="20"/>
      <c r="L232" s="21">
        <f t="shared" si="22"/>
        <v>51000</v>
      </c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1">
        <f t="shared" si="23"/>
        <v>0</v>
      </c>
    </row>
    <row r="233" spans="1:25">
      <c r="A233" s="41">
        <f>VLOOKUP(B233,справочник!$B$2:$E$322,4,FALSE)</f>
        <v>74</v>
      </c>
      <c r="B233" t="str">
        <f t="shared" si="24"/>
        <v>80Розова Татьяна Викторовна</v>
      </c>
      <c r="C233" s="5">
        <v>80</v>
      </c>
      <c r="D233" s="7" t="s">
        <v>218</v>
      </c>
      <c r="E233" s="5" t="s">
        <v>530</v>
      </c>
      <c r="F233" s="19">
        <v>41310</v>
      </c>
      <c r="G233" s="19">
        <v>41334</v>
      </c>
      <c r="H233" s="20">
        <f t="shared" si="27"/>
        <v>34</v>
      </c>
      <c r="I233" s="5">
        <f t="shared" si="28"/>
        <v>34000</v>
      </c>
      <c r="J233" s="20">
        <v>31000</v>
      </c>
      <c r="K233" s="20"/>
      <c r="L233" s="21">
        <f t="shared" si="22"/>
        <v>3000</v>
      </c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1">
        <f t="shared" si="23"/>
        <v>0</v>
      </c>
    </row>
    <row r="234" spans="1:25">
      <c r="A234" s="41">
        <f>VLOOKUP(B234,справочник!$B$2:$E$322,4,FALSE)</f>
        <v>74</v>
      </c>
      <c r="B234" t="str">
        <f t="shared" si="24"/>
        <v>81Розова Татьяна Викторовна</v>
      </c>
      <c r="C234" s="5">
        <v>81</v>
      </c>
      <c r="D234" s="7" t="s">
        <v>218</v>
      </c>
      <c r="E234" s="5" t="s">
        <v>531</v>
      </c>
      <c r="F234" s="19">
        <v>40682</v>
      </c>
      <c r="G234" s="19">
        <v>40695</v>
      </c>
      <c r="H234" s="20">
        <f t="shared" si="27"/>
        <v>55</v>
      </c>
      <c r="I234" s="5">
        <f t="shared" si="28"/>
        <v>55000</v>
      </c>
      <c r="J234" s="20">
        <f>7000+48000-3000</f>
        <v>52000</v>
      </c>
      <c r="K234" s="20"/>
      <c r="L234" s="21">
        <f t="shared" si="22"/>
        <v>3000</v>
      </c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1">
        <f t="shared" si="23"/>
        <v>0</v>
      </c>
    </row>
    <row r="235" spans="1:25">
      <c r="A235" s="41">
        <f>VLOOKUP(B235,справочник!$B$2:$E$322,4,FALSE)</f>
        <v>68</v>
      </c>
      <c r="B235" t="str">
        <f t="shared" si="24"/>
        <v>70Рощина Ирина Михайловна</v>
      </c>
      <c r="C235" s="1">
        <v>70</v>
      </c>
      <c r="D235" s="2" t="s">
        <v>219</v>
      </c>
      <c r="E235" s="1" t="s">
        <v>532</v>
      </c>
      <c r="F235" s="16">
        <v>40687</v>
      </c>
      <c r="G235" s="16">
        <v>40664</v>
      </c>
      <c r="H235" s="17">
        <f t="shared" si="27"/>
        <v>56</v>
      </c>
      <c r="I235" s="1">
        <f t="shared" si="28"/>
        <v>56000</v>
      </c>
      <c r="J235" s="17">
        <f>12000+44000</f>
        <v>56000</v>
      </c>
      <c r="K235" s="17"/>
      <c r="L235" s="18">
        <f t="shared" si="22"/>
        <v>0</v>
      </c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18">
        <f t="shared" si="23"/>
        <v>0</v>
      </c>
    </row>
    <row r="236" spans="1:25">
      <c r="A236" s="41">
        <f>VLOOKUP(B236,справочник!$B$2:$E$322,4,FALSE)</f>
        <v>224</v>
      </c>
      <c r="B236" t="str">
        <f t="shared" si="24"/>
        <v xml:space="preserve">233Рудая Наталья Викторовна           </v>
      </c>
      <c r="C236" s="1">
        <v>233</v>
      </c>
      <c r="D236" s="3" t="s">
        <v>220</v>
      </c>
      <c r="E236" s="1" t="s">
        <v>533</v>
      </c>
      <c r="F236" s="16">
        <v>41751</v>
      </c>
      <c r="G236" s="16">
        <v>41760</v>
      </c>
      <c r="H236" s="17">
        <f t="shared" si="27"/>
        <v>20</v>
      </c>
      <c r="I236" s="1">
        <f t="shared" si="28"/>
        <v>20000</v>
      </c>
      <c r="J236" s="17"/>
      <c r="K236" s="17"/>
      <c r="L236" s="18">
        <f t="shared" si="22"/>
        <v>20000</v>
      </c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18">
        <f t="shared" si="23"/>
        <v>0</v>
      </c>
    </row>
    <row r="237" spans="1:25">
      <c r="A237" s="41">
        <f>VLOOKUP(B237,справочник!$B$2:$E$322,4,FALSE)</f>
        <v>134</v>
      </c>
      <c r="B237" t="str">
        <f t="shared" si="24"/>
        <v>141Рыбалкин Андрей Сергеевич</v>
      </c>
      <c r="C237" s="1">
        <v>141</v>
      </c>
      <c r="D237" s="2" t="s">
        <v>221</v>
      </c>
      <c r="E237" s="1" t="s">
        <v>534</v>
      </c>
      <c r="F237" s="16">
        <v>40893</v>
      </c>
      <c r="G237" s="16">
        <v>40878</v>
      </c>
      <c r="H237" s="17">
        <f t="shared" si="27"/>
        <v>49</v>
      </c>
      <c r="I237" s="1">
        <f t="shared" si="28"/>
        <v>49000</v>
      </c>
      <c r="J237" s="17">
        <f>37000</f>
        <v>37000</v>
      </c>
      <c r="K237" s="17"/>
      <c r="L237" s="18">
        <f t="shared" si="22"/>
        <v>12000</v>
      </c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18">
        <f t="shared" si="23"/>
        <v>0</v>
      </c>
    </row>
    <row r="238" spans="1:25" ht="38.25" customHeight="1">
      <c r="A238" s="41">
        <f>VLOOKUP(B238,справочник!$B$2:$E$322,4,FALSE)</f>
        <v>267</v>
      </c>
      <c r="B238" t="str">
        <f t="shared" si="24"/>
        <v>280Рыжов Андрей Николаевич</v>
      </c>
      <c r="C238" s="1">
        <v>280</v>
      </c>
      <c r="D238" s="2" t="s">
        <v>222</v>
      </c>
      <c r="E238" s="1" t="s">
        <v>535</v>
      </c>
      <c r="F238" s="16">
        <v>41023</v>
      </c>
      <c r="G238" s="16">
        <v>41000</v>
      </c>
      <c r="H238" s="17">
        <f t="shared" si="27"/>
        <v>45</v>
      </c>
      <c r="I238" s="1">
        <f t="shared" si="28"/>
        <v>45000</v>
      </c>
      <c r="J238" s="17">
        <f>41000</f>
        <v>41000</v>
      </c>
      <c r="K238" s="17"/>
      <c r="L238" s="18">
        <f t="shared" si="22"/>
        <v>4000</v>
      </c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18">
        <f t="shared" si="23"/>
        <v>0</v>
      </c>
    </row>
    <row r="239" spans="1:25">
      <c r="A239" s="41">
        <f>VLOOKUP(B239,справочник!$B$2:$E$322,4,FALSE)</f>
        <v>258</v>
      </c>
      <c r="B239" t="str">
        <f t="shared" si="24"/>
        <v>271Савина Нина Ивановна</v>
      </c>
      <c r="C239" s="1">
        <v>271</v>
      </c>
      <c r="D239" s="2" t="s">
        <v>223</v>
      </c>
      <c r="E239" s="1" t="s">
        <v>536</v>
      </c>
      <c r="F239" s="16">
        <v>41039</v>
      </c>
      <c r="G239" s="16">
        <v>41030</v>
      </c>
      <c r="H239" s="17">
        <f t="shared" si="27"/>
        <v>44</v>
      </c>
      <c r="I239" s="1">
        <f t="shared" si="28"/>
        <v>44000</v>
      </c>
      <c r="J239" s="17">
        <v>44000</v>
      </c>
      <c r="K239" s="17"/>
      <c r="L239" s="18">
        <f t="shared" si="22"/>
        <v>0</v>
      </c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18">
        <f t="shared" si="23"/>
        <v>0</v>
      </c>
    </row>
    <row r="240" spans="1:25" ht="24">
      <c r="A240" s="41">
        <f>VLOOKUP(B240,справочник!$B$2:$E$322,4,FALSE)</f>
        <v>299</v>
      </c>
      <c r="B240" t="str">
        <f t="shared" si="24"/>
        <v>314Садовников Алексей Владимирович(Рошка Александр Николаевич)</v>
      </c>
      <c r="C240" s="1">
        <v>314</v>
      </c>
      <c r="D240" s="3" t="s">
        <v>224</v>
      </c>
      <c r="E240" s="1"/>
      <c r="F240" s="16">
        <v>42017</v>
      </c>
      <c r="G240" s="16">
        <v>41275</v>
      </c>
      <c r="H240" s="17">
        <f t="shared" si="27"/>
        <v>36</v>
      </c>
      <c r="I240" s="1">
        <f t="shared" si="28"/>
        <v>36000</v>
      </c>
      <c r="J240" s="17">
        <f>1000</f>
        <v>1000</v>
      </c>
      <c r="K240" s="17">
        <v>3000</v>
      </c>
      <c r="L240" s="18">
        <f t="shared" si="22"/>
        <v>32000</v>
      </c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18">
        <f t="shared" si="23"/>
        <v>0</v>
      </c>
    </row>
    <row r="241" spans="1:25" ht="24">
      <c r="A241" s="41">
        <f>VLOOKUP(B241,справочник!$B$2:$E$322,4,FALSE)</f>
        <v>210</v>
      </c>
      <c r="B241" t="str">
        <f t="shared" si="24"/>
        <v>219Сазонов Сергей Александрович - Диденко Оксана Владимировна</v>
      </c>
      <c r="C241" s="1">
        <v>219</v>
      </c>
      <c r="D241" s="3" t="s">
        <v>225</v>
      </c>
      <c r="E241" s="1"/>
      <c r="F241" s="16">
        <v>41913</v>
      </c>
      <c r="G241" s="16">
        <v>41944</v>
      </c>
      <c r="H241" s="17">
        <f t="shared" si="27"/>
        <v>14</v>
      </c>
      <c r="I241" s="1">
        <f t="shared" si="28"/>
        <v>14000</v>
      </c>
      <c r="J241" s="17">
        <f>6000</f>
        <v>6000</v>
      </c>
      <c r="K241" s="17"/>
      <c r="L241" s="18">
        <f t="shared" si="22"/>
        <v>8000</v>
      </c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18">
        <f t="shared" si="23"/>
        <v>0</v>
      </c>
    </row>
    <row r="242" spans="1:25">
      <c r="A242" s="41">
        <f>VLOOKUP(B242,справочник!$B$2:$E$322,4,FALSE)</f>
        <v>239</v>
      </c>
      <c r="B242" t="str">
        <f t="shared" si="24"/>
        <v>250Салопаева Татьяна Сергеевна</v>
      </c>
      <c r="C242" s="1">
        <v>250</v>
      </c>
      <c r="D242" s="3" t="s">
        <v>226</v>
      </c>
      <c r="E242" s="1" t="s">
        <v>537</v>
      </c>
      <c r="F242" s="16">
        <v>40973</v>
      </c>
      <c r="G242" s="16">
        <v>40969</v>
      </c>
      <c r="H242" s="17">
        <f t="shared" si="27"/>
        <v>46</v>
      </c>
      <c r="I242" s="1">
        <f t="shared" si="28"/>
        <v>46000</v>
      </c>
      <c r="J242" s="17">
        <v>26000</v>
      </c>
      <c r="K242" s="17"/>
      <c r="L242" s="18">
        <f t="shared" si="22"/>
        <v>20000</v>
      </c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18">
        <f t="shared" si="23"/>
        <v>0</v>
      </c>
    </row>
    <row r="243" spans="1:25">
      <c r="A243" s="41">
        <f>VLOOKUP(B243,справочник!$B$2:$E$322,4,FALSE)</f>
        <v>238</v>
      </c>
      <c r="B243" t="str">
        <f t="shared" si="24"/>
        <v>249Самоволькина Ирина Владимировна</v>
      </c>
      <c r="C243" s="4">
        <v>249</v>
      </c>
      <c r="D243" s="3" t="s">
        <v>227</v>
      </c>
      <c r="E243" s="1" t="s">
        <v>538</v>
      </c>
      <c r="F243" s="16">
        <v>41079</v>
      </c>
      <c r="G243" s="16">
        <v>41061</v>
      </c>
      <c r="H243" s="17">
        <f t="shared" si="27"/>
        <v>43</v>
      </c>
      <c r="I243" s="1">
        <f t="shared" si="28"/>
        <v>43000</v>
      </c>
      <c r="J243" s="17"/>
      <c r="K243" s="17"/>
      <c r="L243" s="18">
        <f t="shared" si="22"/>
        <v>43000</v>
      </c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18">
        <f t="shared" si="23"/>
        <v>0</v>
      </c>
    </row>
    <row r="244" spans="1:25">
      <c r="A244" s="41">
        <f>VLOOKUP(B244,справочник!$B$2:$E$322,4,FALSE)</f>
        <v>297</v>
      </c>
      <c r="B244" t="str">
        <f t="shared" si="24"/>
        <v>312Саргсян Оганнес Ншанович</v>
      </c>
      <c r="C244" s="1">
        <v>312</v>
      </c>
      <c r="D244" s="3" t="s">
        <v>228</v>
      </c>
      <c r="E244" s="1" t="s">
        <v>539</v>
      </c>
      <c r="F244" s="16">
        <v>42004</v>
      </c>
      <c r="G244" s="16">
        <v>42005</v>
      </c>
      <c r="H244" s="17">
        <f t="shared" si="27"/>
        <v>12</v>
      </c>
      <c r="I244" s="1">
        <f t="shared" si="28"/>
        <v>12000</v>
      </c>
      <c r="J244" s="17"/>
      <c r="K244" s="17"/>
      <c r="L244" s="18">
        <f t="shared" si="22"/>
        <v>12000</v>
      </c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18">
        <f t="shared" si="23"/>
        <v>0</v>
      </c>
    </row>
    <row r="245" spans="1:25" ht="24">
      <c r="A245" s="41">
        <f>VLOOKUP(B245,справочник!$B$2:$E$322,4,FALSE)</f>
        <v>128</v>
      </c>
      <c r="B245" t="str">
        <f t="shared" si="24"/>
        <v>135Сафронова Наталья Михайловна (у Дедков Илья Егорьевич купила)</v>
      </c>
      <c r="C245" s="1">
        <v>135</v>
      </c>
      <c r="D245" s="2" t="s">
        <v>229</v>
      </c>
      <c r="E245" s="1" t="s">
        <v>540</v>
      </c>
      <c r="F245" s="16">
        <v>41358</v>
      </c>
      <c r="G245" s="16">
        <v>41365</v>
      </c>
      <c r="H245" s="17">
        <f t="shared" si="27"/>
        <v>33</v>
      </c>
      <c r="I245" s="1">
        <f t="shared" si="28"/>
        <v>33000</v>
      </c>
      <c r="J245" s="17">
        <v>26000</v>
      </c>
      <c r="K245" s="17"/>
      <c r="L245" s="18">
        <f t="shared" si="22"/>
        <v>7000</v>
      </c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18">
        <f t="shared" si="23"/>
        <v>0</v>
      </c>
    </row>
    <row r="246" spans="1:25">
      <c r="A246" s="41">
        <f>VLOOKUP(B246,справочник!$B$2:$E$322,4,FALSE)</f>
        <v>67</v>
      </c>
      <c r="B246" t="str">
        <f t="shared" si="24"/>
        <v>69Сбитнева Юлия Сергеевна</v>
      </c>
      <c r="C246" s="1">
        <v>69</v>
      </c>
      <c r="D246" s="3" t="s">
        <v>230</v>
      </c>
      <c r="E246" s="1" t="s">
        <v>541</v>
      </c>
      <c r="F246" s="16">
        <v>41012</v>
      </c>
      <c r="G246" s="16">
        <v>41000</v>
      </c>
      <c r="H246" s="17">
        <f t="shared" si="27"/>
        <v>45</v>
      </c>
      <c r="I246" s="1">
        <f t="shared" si="28"/>
        <v>45000</v>
      </c>
      <c r="J246" s="17">
        <v>1000</v>
      </c>
      <c r="K246" s="17"/>
      <c r="L246" s="18">
        <f t="shared" si="22"/>
        <v>44000</v>
      </c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18">
        <f t="shared" si="23"/>
        <v>0</v>
      </c>
    </row>
    <row r="247" spans="1:25">
      <c r="A247" s="41">
        <f>VLOOKUP(B247,справочник!$B$2:$E$322,4,FALSE)</f>
        <v>278</v>
      </c>
      <c r="B247" t="str">
        <f t="shared" si="24"/>
        <v>290Севастьянов Михаил Григорьевич</v>
      </c>
      <c r="C247" s="1">
        <v>290</v>
      </c>
      <c r="D247" s="3" t="s">
        <v>231</v>
      </c>
      <c r="E247" s="1" t="s">
        <v>542</v>
      </c>
      <c r="F247" s="16">
        <v>40897</v>
      </c>
      <c r="G247" s="16">
        <v>40878</v>
      </c>
      <c r="H247" s="17">
        <f t="shared" si="27"/>
        <v>49</v>
      </c>
      <c r="I247" s="1">
        <f t="shared" si="28"/>
        <v>49000</v>
      </c>
      <c r="J247" s="17">
        <v>1000</v>
      </c>
      <c r="K247" s="17"/>
      <c r="L247" s="18">
        <f t="shared" si="22"/>
        <v>48000</v>
      </c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18">
        <f t="shared" si="23"/>
        <v>0</v>
      </c>
    </row>
    <row r="248" spans="1:25">
      <c r="A248" s="41">
        <f>VLOOKUP(B248,справочник!$B$2:$E$322,4,FALSE)</f>
        <v>280</v>
      </c>
      <c r="B248" t="str">
        <f t="shared" si="24"/>
        <v>292Севрюгина Ольга Викторовна</v>
      </c>
      <c r="C248" s="1">
        <v>292</v>
      </c>
      <c r="D248" s="3" t="s">
        <v>232</v>
      </c>
      <c r="E248" s="1" t="s">
        <v>543</v>
      </c>
      <c r="F248" s="16">
        <v>40897</v>
      </c>
      <c r="G248" s="16">
        <v>40878</v>
      </c>
      <c r="H248" s="17">
        <f t="shared" si="27"/>
        <v>49</v>
      </c>
      <c r="I248" s="1">
        <f t="shared" si="28"/>
        <v>49000</v>
      </c>
      <c r="J248" s="17">
        <f>43000+1000</f>
        <v>44000</v>
      </c>
      <c r="K248" s="17"/>
      <c r="L248" s="18">
        <f t="shared" si="22"/>
        <v>5000</v>
      </c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18">
        <f t="shared" si="23"/>
        <v>0</v>
      </c>
    </row>
    <row r="249" spans="1:25">
      <c r="A249" s="41">
        <f>VLOOKUP(B249,справочник!$B$2:$E$322,4,FALSE)</f>
        <v>215</v>
      </c>
      <c r="B249" t="str">
        <f t="shared" si="24"/>
        <v xml:space="preserve">224Семенова Рима Прановна    </v>
      </c>
      <c r="C249" s="1">
        <v>224</v>
      </c>
      <c r="D249" s="2" t="s">
        <v>233</v>
      </c>
      <c r="E249" s="1" t="s">
        <v>544</v>
      </c>
      <c r="F249" s="16">
        <v>41772</v>
      </c>
      <c r="G249" s="16">
        <v>41791</v>
      </c>
      <c r="H249" s="17">
        <f t="shared" si="27"/>
        <v>19</v>
      </c>
      <c r="I249" s="1">
        <f t="shared" si="28"/>
        <v>19000</v>
      </c>
      <c r="J249" s="17">
        <v>16000</v>
      </c>
      <c r="K249" s="17"/>
      <c r="L249" s="18">
        <f t="shared" si="22"/>
        <v>3000</v>
      </c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18">
        <f t="shared" si="23"/>
        <v>0</v>
      </c>
    </row>
    <row r="250" spans="1:25">
      <c r="A250" s="41">
        <f>VLOOKUP(B250,справочник!$B$2:$E$322,4,FALSE)</f>
        <v>241</v>
      </c>
      <c r="B250" t="str">
        <f t="shared" si="24"/>
        <v>252Сёмин Александр Иванович</v>
      </c>
      <c r="C250" s="1">
        <v>252</v>
      </c>
      <c r="D250" s="3" t="s">
        <v>234</v>
      </c>
      <c r="E250" s="1" t="s">
        <v>545</v>
      </c>
      <c r="F250" s="16">
        <v>40677</v>
      </c>
      <c r="G250" s="16">
        <v>40695</v>
      </c>
      <c r="H250" s="17">
        <f t="shared" si="27"/>
        <v>55</v>
      </c>
      <c r="I250" s="1">
        <f t="shared" si="28"/>
        <v>55000</v>
      </c>
      <c r="J250" s="17">
        <f>7000+41000</f>
        <v>48000</v>
      </c>
      <c r="K250" s="17"/>
      <c r="L250" s="18">
        <f t="shared" si="22"/>
        <v>7000</v>
      </c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18">
        <f t="shared" si="23"/>
        <v>0</v>
      </c>
    </row>
    <row r="251" spans="1:25">
      <c r="A251" s="41">
        <f>VLOOKUP(B251,справочник!$B$2:$E$322,4,FALSE)</f>
        <v>161</v>
      </c>
      <c r="B251" t="str">
        <f t="shared" si="24"/>
        <v>169Сергиенко Николай Михайлович</v>
      </c>
      <c r="C251" s="1">
        <v>169</v>
      </c>
      <c r="D251" s="3" t="s">
        <v>235</v>
      </c>
      <c r="E251" s="1" t="s">
        <v>546</v>
      </c>
      <c r="F251" s="16">
        <v>41039</v>
      </c>
      <c r="G251" s="16">
        <v>41030</v>
      </c>
      <c r="H251" s="17">
        <f t="shared" si="27"/>
        <v>44</v>
      </c>
      <c r="I251" s="1">
        <f t="shared" si="28"/>
        <v>44000</v>
      </c>
      <c r="J251" s="17">
        <v>38000</v>
      </c>
      <c r="K251" s="17"/>
      <c r="L251" s="18">
        <f t="shared" si="22"/>
        <v>6000</v>
      </c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18">
        <f t="shared" si="23"/>
        <v>0</v>
      </c>
    </row>
    <row r="252" spans="1:25">
      <c r="A252" s="41">
        <f>VLOOKUP(B252,справочник!$B$2:$E$322,4,FALSE)</f>
        <v>272</v>
      </c>
      <c r="B252" t="str">
        <f t="shared" si="24"/>
        <v>285Серебряков Игорь Васильевич</v>
      </c>
      <c r="C252" s="1">
        <v>285</v>
      </c>
      <c r="D252" s="3" t="s">
        <v>236</v>
      </c>
      <c r="E252" s="1" t="s">
        <v>547</v>
      </c>
      <c r="F252" s="16">
        <v>42044</v>
      </c>
      <c r="G252" s="16">
        <v>42064</v>
      </c>
      <c r="H252" s="17">
        <f t="shared" si="27"/>
        <v>10</v>
      </c>
      <c r="I252" s="1">
        <f t="shared" si="28"/>
        <v>10000</v>
      </c>
      <c r="J252" s="17">
        <v>5000</v>
      </c>
      <c r="K252" s="17"/>
      <c r="L252" s="18">
        <f t="shared" ref="L252:L310" si="29">I252-J252-K252</f>
        <v>5000</v>
      </c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18">
        <f t="shared" ref="Y252:Y310" si="30">V252-W252-X252</f>
        <v>0</v>
      </c>
    </row>
    <row r="253" spans="1:25">
      <c r="A253" s="41">
        <f>VLOOKUP(B253,справочник!$B$2:$E$322,4,FALSE)</f>
        <v>19</v>
      </c>
      <c r="B253" t="str">
        <f t="shared" si="24"/>
        <v>19Серкин Сергей Львовович</v>
      </c>
      <c r="C253" s="1">
        <v>19</v>
      </c>
      <c r="D253" s="2" t="s">
        <v>237</v>
      </c>
      <c r="E253" s="1" t="s">
        <v>548</v>
      </c>
      <c r="F253" s="16">
        <v>41421</v>
      </c>
      <c r="G253" s="16">
        <v>41456</v>
      </c>
      <c r="H253" s="17">
        <f t="shared" si="27"/>
        <v>30</v>
      </c>
      <c r="I253" s="1">
        <f t="shared" si="28"/>
        <v>30000</v>
      </c>
      <c r="J253" s="17">
        <v>30000</v>
      </c>
      <c r="K253" s="17"/>
      <c r="L253" s="18">
        <f t="shared" si="29"/>
        <v>0</v>
      </c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18">
        <f t="shared" si="30"/>
        <v>0</v>
      </c>
    </row>
    <row r="254" spans="1:25" ht="25.5" customHeight="1">
      <c r="A254" s="41">
        <f>VLOOKUP(B254,справочник!$B$2:$E$322,4,FALSE)</f>
        <v>310</v>
      </c>
      <c r="B254" t="str">
        <f t="shared" si="24"/>
        <v>133-134Сидельникова Ольга Петровна</v>
      </c>
      <c r="C254" s="5" t="s">
        <v>238</v>
      </c>
      <c r="D254" s="3" t="s">
        <v>239</v>
      </c>
      <c r="E254" s="1" t="s">
        <v>549</v>
      </c>
      <c r="F254" s="19">
        <v>40778</v>
      </c>
      <c r="G254" s="19">
        <v>40787</v>
      </c>
      <c r="H254" s="20">
        <f t="shared" si="27"/>
        <v>52</v>
      </c>
      <c r="I254" s="5">
        <f t="shared" si="28"/>
        <v>52000</v>
      </c>
      <c r="J254" s="20">
        <v>12000</v>
      </c>
      <c r="K254" s="20"/>
      <c r="L254" s="21">
        <f t="shared" si="29"/>
        <v>40000</v>
      </c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1">
        <f t="shared" si="30"/>
        <v>0</v>
      </c>
    </row>
    <row r="255" spans="1:25">
      <c r="A255" s="41">
        <f>VLOOKUP(B255,справочник!$B$2:$E$322,4,FALSE)</f>
        <v>205</v>
      </c>
      <c r="B255" t="str">
        <f t="shared" si="24"/>
        <v>215Сидоров Александр Юрьевич</v>
      </c>
      <c r="C255" s="1">
        <v>215</v>
      </c>
      <c r="D255" s="3" t="s">
        <v>240</v>
      </c>
      <c r="E255" s="1" t="s">
        <v>550</v>
      </c>
      <c r="F255" s="16">
        <v>41023</v>
      </c>
      <c r="G255" s="16">
        <v>41000</v>
      </c>
      <c r="H255" s="17">
        <f t="shared" si="27"/>
        <v>45</v>
      </c>
      <c r="I255" s="1">
        <f t="shared" si="28"/>
        <v>45000</v>
      </c>
      <c r="J255" s="17">
        <v>33000</v>
      </c>
      <c r="K255" s="17"/>
      <c r="L255" s="18">
        <f t="shared" si="29"/>
        <v>12000</v>
      </c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18">
        <f t="shared" si="30"/>
        <v>0</v>
      </c>
    </row>
    <row r="256" spans="1:25" ht="25.5" customHeight="1">
      <c r="A256" s="41">
        <f>VLOOKUP(B256,справочник!$B$2:$E$322,4,FALSE)</f>
        <v>107</v>
      </c>
      <c r="B256" t="str">
        <f t="shared" si="24"/>
        <v>112Сиротин Дмитрий Борисович (Приставалова)</v>
      </c>
      <c r="C256" s="1">
        <v>112</v>
      </c>
      <c r="D256" s="2" t="s">
        <v>241</v>
      </c>
      <c r="E256" s="1" t="s">
        <v>551</v>
      </c>
      <c r="F256" s="16">
        <v>40932</v>
      </c>
      <c r="G256" s="16">
        <v>40909</v>
      </c>
      <c r="H256" s="17">
        <f t="shared" si="27"/>
        <v>48</v>
      </c>
      <c r="I256" s="1">
        <f t="shared" si="28"/>
        <v>48000</v>
      </c>
      <c r="J256" s="17">
        <v>40000</v>
      </c>
      <c r="K256" s="17">
        <v>4000</v>
      </c>
      <c r="L256" s="18">
        <f t="shared" si="29"/>
        <v>4000</v>
      </c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18">
        <f t="shared" si="30"/>
        <v>0</v>
      </c>
    </row>
    <row r="257" spans="1:25">
      <c r="A257" s="41">
        <f>VLOOKUP(B257,справочник!$B$2:$E$322,4,FALSE)</f>
        <v>48</v>
      </c>
      <c r="B257" t="str">
        <f t="shared" si="24"/>
        <v>48Сломов Константин Витальевич</v>
      </c>
      <c r="C257" s="1">
        <v>48</v>
      </c>
      <c r="D257" s="3" t="s">
        <v>242</v>
      </c>
      <c r="E257" s="1" t="s">
        <v>552</v>
      </c>
      <c r="F257" s="16">
        <v>40786</v>
      </c>
      <c r="G257" s="16">
        <v>40787</v>
      </c>
      <c r="H257" s="17">
        <f t="shared" si="27"/>
        <v>52</v>
      </c>
      <c r="I257" s="1">
        <f t="shared" si="28"/>
        <v>52000</v>
      </c>
      <c r="J257" s="17">
        <f>1000+22000</f>
        <v>23000</v>
      </c>
      <c r="K257" s="17"/>
      <c r="L257" s="18">
        <f t="shared" si="29"/>
        <v>29000</v>
      </c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18">
        <f t="shared" si="30"/>
        <v>0</v>
      </c>
    </row>
    <row r="258" spans="1:25">
      <c r="A258" s="41">
        <f>VLOOKUP(B258,справочник!$B$2:$E$322,4,FALSE)</f>
        <v>237</v>
      </c>
      <c r="B258" t="str">
        <f t="shared" si="24"/>
        <v>248Смирнов Максим Анатольевич, Светлана</v>
      </c>
      <c r="C258" s="1">
        <v>248</v>
      </c>
      <c r="D258" s="2" t="s">
        <v>243</v>
      </c>
      <c r="E258" s="1" t="s">
        <v>553</v>
      </c>
      <c r="F258" s="16">
        <v>41036</v>
      </c>
      <c r="G258" s="16">
        <v>41030</v>
      </c>
      <c r="H258" s="17">
        <f t="shared" si="27"/>
        <v>44</v>
      </c>
      <c r="I258" s="1">
        <f t="shared" si="28"/>
        <v>44000</v>
      </c>
      <c r="J258" s="17">
        <v>13000</v>
      </c>
      <c r="K258" s="17"/>
      <c r="L258" s="18">
        <f t="shared" si="29"/>
        <v>31000</v>
      </c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18">
        <f t="shared" si="30"/>
        <v>0</v>
      </c>
    </row>
    <row r="259" spans="1:25">
      <c r="A259" s="41">
        <f>VLOOKUP(B259,справочник!$B$2:$E$322,4,FALSE)</f>
        <v>263</v>
      </c>
      <c r="B259" t="str">
        <f t="shared" si="24"/>
        <v>276Соколова Ирина Анатольевна</v>
      </c>
      <c r="C259" s="1">
        <v>276</v>
      </c>
      <c r="D259" s="2" t="s">
        <v>244</v>
      </c>
      <c r="E259" s="1" t="s">
        <v>554</v>
      </c>
      <c r="F259" s="16">
        <v>41289</v>
      </c>
      <c r="G259" s="16">
        <v>41306</v>
      </c>
      <c r="H259" s="17">
        <f t="shared" si="27"/>
        <v>35</v>
      </c>
      <c r="I259" s="1">
        <f t="shared" si="28"/>
        <v>35000</v>
      </c>
      <c r="J259" s="17">
        <v>32000</v>
      </c>
      <c r="K259" s="17"/>
      <c r="L259" s="18">
        <f t="shared" si="29"/>
        <v>3000</v>
      </c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18">
        <f t="shared" si="30"/>
        <v>0</v>
      </c>
    </row>
    <row r="260" spans="1:25">
      <c r="A260" s="41">
        <f>VLOOKUP(B260,справочник!$B$2:$E$322,4,FALSE)</f>
        <v>100</v>
      </c>
      <c r="B260" t="str">
        <f t="shared" si="24"/>
        <v>105Солодкий Дмитрий Павлович</v>
      </c>
      <c r="C260" s="1">
        <v>105</v>
      </c>
      <c r="D260" s="3" t="s">
        <v>245</v>
      </c>
      <c r="E260" s="1" t="s">
        <v>555</v>
      </c>
      <c r="F260" s="16">
        <v>41065</v>
      </c>
      <c r="G260" s="16">
        <v>41061</v>
      </c>
      <c r="H260" s="17">
        <f t="shared" si="27"/>
        <v>43</v>
      </c>
      <c r="I260" s="1">
        <f t="shared" si="28"/>
        <v>43000</v>
      </c>
      <c r="J260" s="17">
        <v>28000</v>
      </c>
      <c r="K260" s="17"/>
      <c r="L260" s="18">
        <f t="shared" si="29"/>
        <v>15000</v>
      </c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18">
        <f t="shared" si="30"/>
        <v>0</v>
      </c>
    </row>
    <row r="261" spans="1:25">
      <c r="A261" s="41">
        <f>VLOOKUP(B261,справочник!$B$2:$E$322,4,FALSE)</f>
        <v>131</v>
      </c>
      <c r="B261" t="str">
        <f t="shared" si="24"/>
        <v>138Спивак Сергей Николаевич</v>
      </c>
      <c r="C261" s="1">
        <v>138</v>
      </c>
      <c r="D261" s="2" t="s">
        <v>246</v>
      </c>
      <c r="E261" s="1" t="s">
        <v>556</v>
      </c>
      <c r="F261" s="16">
        <v>41114</v>
      </c>
      <c r="G261" s="16">
        <v>41122</v>
      </c>
      <c r="H261" s="17">
        <f t="shared" si="27"/>
        <v>41</v>
      </c>
      <c r="I261" s="1">
        <f t="shared" si="28"/>
        <v>41000</v>
      </c>
      <c r="J261" s="17">
        <v>23000</v>
      </c>
      <c r="K261" s="17">
        <v>6000</v>
      </c>
      <c r="L261" s="18">
        <f t="shared" si="29"/>
        <v>12000</v>
      </c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18">
        <f t="shared" si="30"/>
        <v>0</v>
      </c>
    </row>
    <row r="262" spans="1:25">
      <c r="A262" s="41">
        <f>VLOOKUP(B262,справочник!$B$2:$E$322,4,FALSE)</f>
        <v>183</v>
      </c>
      <c r="B262" t="str">
        <f t="shared" ref="B262:B325" si="31">CONCATENATE(C262,D262)</f>
        <v>191Спиридонов Андрей Владимирович</v>
      </c>
      <c r="C262" s="5">
        <v>191</v>
      </c>
      <c r="D262" s="3" t="s">
        <v>247</v>
      </c>
      <c r="E262" s="1" t="s">
        <v>557</v>
      </c>
      <c r="F262" s="19">
        <v>41505</v>
      </c>
      <c r="G262" s="19">
        <v>41518</v>
      </c>
      <c r="H262" s="20">
        <f t="shared" si="27"/>
        <v>28</v>
      </c>
      <c r="I262" s="5">
        <f t="shared" si="28"/>
        <v>28000</v>
      </c>
      <c r="J262" s="20">
        <v>1000</v>
      </c>
      <c r="K262" s="20"/>
      <c r="L262" s="21">
        <f t="shared" si="29"/>
        <v>27000</v>
      </c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1">
        <f t="shared" si="30"/>
        <v>0</v>
      </c>
    </row>
    <row r="263" spans="1:25">
      <c r="A263" s="41">
        <f>VLOOKUP(B263,справочник!$B$2:$E$322,4,FALSE)</f>
        <v>183</v>
      </c>
      <c r="B263" t="str">
        <f t="shared" si="31"/>
        <v>192Спиридонов Андрей Владимирович</v>
      </c>
      <c r="C263" s="5">
        <v>192</v>
      </c>
      <c r="D263" s="3" t="s">
        <v>247</v>
      </c>
      <c r="E263" s="1" t="s">
        <v>558</v>
      </c>
      <c r="F263" s="19">
        <v>41505</v>
      </c>
      <c r="G263" s="19">
        <v>41518</v>
      </c>
      <c r="H263" s="20">
        <f t="shared" si="27"/>
        <v>28</v>
      </c>
      <c r="I263" s="5">
        <f t="shared" si="28"/>
        <v>28000</v>
      </c>
      <c r="J263" s="20">
        <v>1000</v>
      </c>
      <c r="K263" s="20"/>
      <c r="L263" s="21">
        <f t="shared" si="29"/>
        <v>27000</v>
      </c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1">
        <f t="shared" si="30"/>
        <v>0</v>
      </c>
    </row>
    <row r="264" spans="1:25" ht="25.5" customHeight="1">
      <c r="A264" s="41">
        <f>VLOOKUP(B264,справочник!$B$2:$E$322,4,FALSE)</f>
        <v>21</v>
      </c>
      <c r="B264" t="str">
        <f t="shared" si="31"/>
        <v>21Старостин Виктор Вячеславович</v>
      </c>
      <c r="C264" s="1">
        <v>21</v>
      </c>
      <c r="D264" s="3" t="s">
        <v>248</v>
      </c>
      <c r="E264" s="1" t="s">
        <v>559</v>
      </c>
      <c r="F264" s="16">
        <v>41107</v>
      </c>
      <c r="G264" s="16">
        <v>41091</v>
      </c>
      <c r="H264" s="17">
        <f t="shared" si="27"/>
        <v>42</v>
      </c>
      <c r="I264" s="1">
        <f t="shared" si="28"/>
        <v>42000</v>
      </c>
      <c r="J264" s="17">
        <v>40000</v>
      </c>
      <c r="K264" s="17"/>
      <c r="L264" s="18">
        <f t="shared" si="29"/>
        <v>2000</v>
      </c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18">
        <f t="shared" si="30"/>
        <v>0</v>
      </c>
    </row>
    <row r="265" spans="1:25">
      <c r="A265" s="41">
        <f>VLOOKUP(B265,справочник!$B$2:$E$322,4,FALSE)</f>
        <v>298</v>
      </c>
      <c r="B265" t="str">
        <f t="shared" si="31"/>
        <v>313Степанов Валерий Владимирович</v>
      </c>
      <c r="C265" s="1">
        <v>313</v>
      </c>
      <c r="D265" s="2" t="s">
        <v>249</v>
      </c>
      <c r="E265" s="1" t="s">
        <v>560</v>
      </c>
      <c r="F265" s="16">
        <v>41994</v>
      </c>
      <c r="G265" s="16">
        <v>42005</v>
      </c>
      <c r="H265" s="17">
        <f t="shared" si="27"/>
        <v>12</v>
      </c>
      <c r="I265" s="1">
        <f t="shared" si="28"/>
        <v>12000</v>
      </c>
      <c r="J265" s="17">
        <v>12000</v>
      </c>
      <c r="K265" s="17"/>
      <c r="L265" s="18">
        <f t="shared" si="29"/>
        <v>0</v>
      </c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18">
        <f t="shared" si="30"/>
        <v>0</v>
      </c>
    </row>
    <row r="266" spans="1:25">
      <c r="A266" s="41">
        <f>VLOOKUP(B266,справочник!$B$2:$E$322,4,FALSE)</f>
        <v>91</v>
      </c>
      <c r="B266" t="str">
        <f t="shared" si="31"/>
        <v>96Степанова Марина Николаевна (Артем)</v>
      </c>
      <c r="C266" s="1">
        <v>96</v>
      </c>
      <c r="D266" s="3" t="s">
        <v>250</v>
      </c>
      <c r="E266" s="1" t="s">
        <v>561</v>
      </c>
      <c r="F266" s="16">
        <v>41070</v>
      </c>
      <c r="G266" s="16">
        <v>41061</v>
      </c>
      <c r="H266" s="17">
        <f t="shared" si="27"/>
        <v>43</v>
      </c>
      <c r="I266" s="1">
        <f t="shared" si="28"/>
        <v>43000</v>
      </c>
      <c r="J266" s="17">
        <v>12000</v>
      </c>
      <c r="K266" s="17"/>
      <c r="L266" s="18">
        <f t="shared" si="29"/>
        <v>31000</v>
      </c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18">
        <f t="shared" si="30"/>
        <v>0</v>
      </c>
    </row>
    <row r="267" spans="1:25">
      <c r="A267" s="41">
        <f>VLOOKUP(B267,справочник!$B$2:$E$322,4,FALSE)</f>
        <v>54</v>
      </c>
      <c r="B267" t="str">
        <f t="shared" si="31"/>
        <v>56Стрелков Андрей Вячеславович</v>
      </c>
      <c r="C267" s="1">
        <v>56</v>
      </c>
      <c r="D267" s="2" t="s">
        <v>251</v>
      </c>
      <c r="E267" s="1" t="s">
        <v>562</v>
      </c>
      <c r="F267" s="16">
        <v>41184</v>
      </c>
      <c r="G267" s="16">
        <v>41214</v>
      </c>
      <c r="H267" s="17">
        <f t="shared" si="27"/>
        <v>38</v>
      </c>
      <c r="I267" s="1">
        <f t="shared" si="28"/>
        <v>38000</v>
      </c>
      <c r="J267" s="17">
        <v>38000</v>
      </c>
      <c r="K267" s="17"/>
      <c r="L267" s="18">
        <f t="shared" si="29"/>
        <v>0</v>
      </c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18">
        <f t="shared" si="30"/>
        <v>0</v>
      </c>
    </row>
    <row r="268" spans="1:25">
      <c r="A268" s="41">
        <f>VLOOKUP(B268,справочник!$B$2:$E$322,4,FALSE)</f>
        <v>317</v>
      </c>
      <c r="B268" t="str">
        <f t="shared" si="31"/>
        <v xml:space="preserve">51-52Стрелков Андрей Вячеславович  </v>
      </c>
      <c r="C268" s="1" t="s">
        <v>252</v>
      </c>
      <c r="D268" s="2" t="s">
        <v>253</v>
      </c>
      <c r="E268" s="1" t="s">
        <v>563</v>
      </c>
      <c r="F268" s="16">
        <v>41184</v>
      </c>
      <c r="G268" s="16">
        <v>41214</v>
      </c>
      <c r="H268" s="17">
        <f>INT(($H$327-G268)/30)*2</f>
        <v>76</v>
      </c>
      <c r="I268" s="1">
        <v>89000</v>
      </c>
      <c r="J268" s="17">
        <v>89000</v>
      </c>
      <c r="K268" s="17"/>
      <c r="L268" s="18">
        <f t="shared" si="29"/>
        <v>0</v>
      </c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18">
        <f t="shared" si="30"/>
        <v>0</v>
      </c>
    </row>
    <row r="269" spans="1:25">
      <c r="A269" s="41">
        <f>VLOOKUP(B269,справочник!$B$2:$E$322,4,FALSE)</f>
        <v>268</v>
      </c>
      <c r="B269" t="str">
        <f t="shared" si="31"/>
        <v>281Стрелков Николай Валентинович</v>
      </c>
      <c r="C269" s="1">
        <v>281</v>
      </c>
      <c r="D269" s="3" t="s">
        <v>254</v>
      </c>
      <c r="E269" s="1" t="s">
        <v>564</v>
      </c>
      <c r="F269" s="16">
        <v>41184</v>
      </c>
      <c r="G269" s="16">
        <v>41214</v>
      </c>
      <c r="H269" s="17">
        <f t="shared" ref="H269:H287" si="32">INT(($H$327-G269)/30)</f>
        <v>38</v>
      </c>
      <c r="I269" s="1">
        <f t="shared" ref="I269:I278" si="33">H269*1000</f>
        <v>38000</v>
      </c>
      <c r="J269" s="17">
        <v>28000</v>
      </c>
      <c r="K269" s="17"/>
      <c r="L269" s="18">
        <f t="shared" si="29"/>
        <v>10000</v>
      </c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18">
        <f t="shared" si="30"/>
        <v>0</v>
      </c>
    </row>
    <row r="270" spans="1:25">
      <c r="A270" s="41">
        <f>VLOOKUP(B270,справочник!$B$2:$E$322,4,FALSE)</f>
        <v>172</v>
      </c>
      <c r="B270" t="str">
        <f t="shared" si="31"/>
        <v>180Ступнев Евгений  Романович</v>
      </c>
      <c r="C270" s="1">
        <v>180</v>
      </c>
      <c r="D270" s="3" t="s">
        <v>255</v>
      </c>
      <c r="E270" s="1" t="s">
        <v>565</v>
      </c>
      <c r="F270" s="16">
        <v>40809</v>
      </c>
      <c r="G270" s="16">
        <v>40787</v>
      </c>
      <c r="H270" s="17">
        <f t="shared" si="32"/>
        <v>52</v>
      </c>
      <c r="I270" s="1">
        <f t="shared" si="33"/>
        <v>52000</v>
      </c>
      <c r="J270" s="17">
        <f>13000+1000</f>
        <v>14000</v>
      </c>
      <c r="K270" s="17"/>
      <c r="L270" s="18">
        <f t="shared" si="29"/>
        <v>38000</v>
      </c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18">
        <f t="shared" si="30"/>
        <v>0</v>
      </c>
    </row>
    <row r="271" spans="1:25">
      <c r="A271" s="41">
        <f>VLOOKUP(B271,справочник!$B$2:$E$322,4,FALSE)</f>
        <v>116</v>
      </c>
      <c r="B271" t="str">
        <f t="shared" si="31"/>
        <v>121Суворов Сергей Анатольевич</v>
      </c>
      <c r="C271" s="1">
        <v>121</v>
      </c>
      <c r="D271" s="2" t="s">
        <v>256</v>
      </c>
      <c r="E271" s="1" t="s">
        <v>566</v>
      </c>
      <c r="F271" s="16">
        <v>41531</v>
      </c>
      <c r="G271" s="16">
        <v>41518</v>
      </c>
      <c r="H271" s="17">
        <f t="shared" si="32"/>
        <v>28</v>
      </c>
      <c r="I271" s="1">
        <f t="shared" si="33"/>
        <v>28000</v>
      </c>
      <c r="J271" s="17">
        <v>20000</v>
      </c>
      <c r="K271" s="17"/>
      <c r="L271" s="18">
        <f t="shared" si="29"/>
        <v>8000</v>
      </c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18">
        <f t="shared" si="30"/>
        <v>0</v>
      </c>
    </row>
    <row r="272" spans="1:25">
      <c r="A272" s="41">
        <f>VLOOKUP(B272,справочник!$B$2:$E$322,4,FALSE)</f>
        <v>57</v>
      </c>
      <c r="B272" t="str">
        <f t="shared" si="31"/>
        <v>59Суркова Татьяна Александровна</v>
      </c>
      <c r="C272" s="1">
        <v>59</v>
      </c>
      <c r="D272" s="3" t="s">
        <v>257</v>
      </c>
      <c r="E272" s="1" t="s">
        <v>567</v>
      </c>
      <c r="F272" s="16">
        <v>41044</v>
      </c>
      <c r="G272" s="16">
        <v>41030</v>
      </c>
      <c r="H272" s="17">
        <f t="shared" si="32"/>
        <v>44</v>
      </c>
      <c r="I272" s="1">
        <f t="shared" si="33"/>
        <v>44000</v>
      </c>
      <c r="J272" s="17">
        <v>34000</v>
      </c>
      <c r="K272" s="17"/>
      <c r="L272" s="18">
        <f t="shared" si="29"/>
        <v>10000</v>
      </c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18">
        <f t="shared" si="30"/>
        <v>0</v>
      </c>
    </row>
    <row r="273" spans="1:25">
      <c r="A273" s="41">
        <f>VLOOKUP(B273,справочник!$B$2:$E$322,4,FALSE)</f>
        <v>46</v>
      </c>
      <c r="B273" t="str">
        <f t="shared" si="31"/>
        <v>46Сысоев Евгений Анатольевич</v>
      </c>
      <c r="C273" s="1">
        <v>46</v>
      </c>
      <c r="D273" s="3" t="s">
        <v>258</v>
      </c>
      <c r="E273" s="1" t="s">
        <v>568</v>
      </c>
      <c r="F273" s="16">
        <v>41382</v>
      </c>
      <c r="G273" s="16">
        <v>41395</v>
      </c>
      <c r="H273" s="17">
        <f t="shared" si="32"/>
        <v>32</v>
      </c>
      <c r="I273" s="1">
        <f t="shared" si="33"/>
        <v>32000</v>
      </c>
      <c r="J273" s="17">
        <v>17000</v>
      </c>
      <c r="K273" s="17"/>
      <c r="L273" s="18">
        <f t="shared" si="29"/>
        <v>15000</v>
      </c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18">
        <f t="shared" si="30"/>
        <v>0</v>
      </c>
    </row>
    <row r="274" spans="1:25">
      <c r="A274" s="41">
        <f>VLOOKUP(B274,справочник!$B$2:$E$322,4,FALSE)</f>
        <v>73</v>
      </c>
      <c r="B274" t="str">
        <f t="shared" si="31"/>
        <v>79Сысоев Семен Евгеньевич</v>
      </c>
      <c r="C274" s="1">
        <v>79</v>
      </c>
      <c r="D274" s="3" t="s">
        <v>259</v>
      </c>
      <c r="E274" s="1" t="s">
        <v>569</v>
      </c>
      <c r="F274" s="16">
        <v>41382</v>
      </c>
      <c r="G274" s="16">
        <v>41395</v>
      </c>
      <c r="H274" s="17">
        <f t="shared" si="32"/>
        <v>32</v>
      </c>
      <c r="I274" s="1">
        <f t="shared" si="33"/>
        <v>32000</v>
      </c>
      <c r="J274" s="17">
        <v>21000</v>
      </c>
      <c r="K274" s="17"/>
      <c r="L274" s="18">
        <f t="shared" si="29"/>
        <v>11000</v>
      </c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18">
        <f t="shared" si="30"/>
        <v>0</v>
      </c>
    </row>
    <row r="275" spans="1:25">
      <c r="A275" s="41">
        <f>VLOOKUP(B275,справочник!$B$2:$E$322,4,FALSE)</f>
        <v>162</v>
      </c>
      <c r="B275" t="str">
        <f t="shared" si="31"/>
        <v>170Тадлов Виталий Петрович</v>
      </c>
      <c r="C275" s="1">
        <v>170</v>
      </c>
      <c r="D275" s="2" t="s">
        <v>260</v>
      </c>
      <c r="E275" s="1" t="s">
        <v>570</v>
      </c>
      <c r="F275" s="16">
        <v>41800</v>
      </c>
      <c r="G275" s="16">
        <v>41821</v>
      </c>
      <c r="H275" s="17">
        <f t="shared" si="32"/>
        <v>18</v>
      </c>
      <c r="I275" s="1">
        <f t="shared" si="33"/>
        <v>18000</v>
      </c>
      <c r="J275" s="17">
        <v>12000</v>
      </c>
      <c r="K275" s="17"/>
      <c r="L275" s="18">
        <f t="shared" si="29"/>
        <v>6000</v>
      </c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18">
        <f t="shared" si="30"/>
        <v>0</v>
      </c>
    </row>
    <row r="276" spans="1:25">
      <c r="A276" s="41">
        <f>VLOOKUP(B276,справочник!$B$2:$E$322,4,FALSE)</f>
        <v>252</v>
      </c>
      <c r="B276" t="str">
        <f t="shared" si="31"/>
        <v>263Тарасенко Анатолий Семенович</v>
      </c>
      <c r="C276" s="5">
        <v>263</v>
      </c>
      <c r="D276" s="3" t="s">
        <v>261</v>
      </c>
      <c r="E276" s="1" t="s">
        <v>571</v>
      </c>
      <c r="F276" s="19">
        <v>41967</v>
      </c>
      <c r="G276" s="19">
        <v>41974</v>
      </c>
      <c r="H276" s="20">
        <f t="shared" si="32"/>
        <v>13</v>
      </c>
      <c r="I276" s="5">
        <f t="shared" si="33"/>
        <v>13000</v>
      </c>
      <c r="J276" s="20">
        <v>8000</v>
      </c>
      <c r="K276" s="20"/>
      <c r="L276" s="21">
        <f t="shared" si="29"/>
        <v>5000</v>
      </c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1">
        <f t="shared" si="30"/>
        <v>0</v>
      </c>
    </row>
    <row r="277" spans="1:25">
      <c r="A277" s="41">
        <f>VLOOKUP(B277,справочник!$B$2:$E$322,4,FALSE)</f>
        <v>252</v>
      </c>
      <c r="B277" t="str">
        <f t="shared" si="31"/>
        <v>264Тарасенко Анатолий Семенович</v>
      </c>
      <c r="C277" s="5">
        <v>264</v>
      </c>
      <c r="D277" s="3" t="s">
        <v>261</v>
      </c>
      <c r="E277" s="1" t="s">
        <v>572</v>
      </c>
      <c r="F277" s="19">
        <v>41967</v>
      </c>
      <c r="G277" s="19">
        <v>41974</v>
      </c>
      <c r="H277" s="20">
        <f t="shared" si="32"/>
        <v>13</v>
      </c>
      <c r="I277" s="5">
        <f t="shared" si="33"/>
        <v>13000</v>
      </c>
      <c r="J277" s="20">
        <v>8000</v>
      </c>
      <c r="K277" s="20"/>
      <c r="L277" s="21">
        <f t="shared" si="29"/>
        <v>5000</v>
      </c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1">
        <f t="shared" si="30"/>
        <v>0</v>
      </c>
    </row>
    <row r="278" spans="1:25" ht="25.5" customHeight="1">
      <c r="A278" s="41">
        <f>VLOOKUP(B278,справочник!$B$2:$E$322,4,FALSE)</f>
        <v>45</v>
      </c>
      <c r="B278" t="str">
        <f t="shared" si="31"/>
        <v>45Темникова Елена Станиславовна</v>
      </c>
      <c r="C278" s="1">
        <v>45</v>
      </c>
      <c r="D278" s="2" t="s">
        <v>262</v>
      </c>
      <c r="E278" s="1" t="s">
        <v>573</v>
      </c>
      <c r="F278" s="16">
        <v>41044</v>
      </c>
      <c r="G278" s="16">
        <v>41030</v>
      </c>
      <c r="H278" s="17">
        <f t="shared" si="32"/>
        <v>44</v>
      </c>
      <c r="I278" s="1">
        <f t="shared" si="33"/>
        <v>44000</v>
      </c>
      <c r="J278" s="17">
        <f>27000+8000</f>
        <v>35000</v>
      </c>
      <c r="K278" s="17">
        <v>9000</v>
      </c>
      <c r="L278" s="18">
        <f t="shared" si="29"/>
        <v>0</v>
      </c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18">
        <f t="shared" si="30"/>
        <v>0</v>
      </c>
    </row>
    <row r="279" spans="1:25">
      <c r="A279" s="41">
        <f>VLOOKUP(B279,справочник!$B$2:$E$322,4,FALSE)</f>
        <v>319</v>
      </c>
      <c r="B279" t="str">
        <f t="shared" si="31"/>
        <v>73-74Тимофеева Лариса Викторовна</v>
      </c>
      <c r="C279" s="1" t="s">
        <v>263</v>
      </c>
      <c r="D279" s="2" t="s">
        <v>264</v>
      </c>
      <c r="E279" s="1" t="s">
        <v>574</v>
      </c>
      <c r="F279" s="16">
        <v>40774</v>
      </c>
      <c r="G279" s="16">
        <v>40787</v>
      </c>
      <c r="H279" s="17">
        <f t="shared" si="32"/>
        <v>52</v>
      </c>
      <c r="I279" s="1">
        <v>76000</v>
      </c>
      <c r="J279" s="17">
        <f>8000+68000</f>
        <v>76000</v>
      </c>
      <c r="K279" s="17"/>
      <c r="L279" s="18">
        <f t="shared" si="29"/>
        <v>0</v>
      </c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18">
        <f t="shared" si="30"/>
        <v>0</v>
      </c>
    </row>
    <row r="280" spans="1:25">
      <c r="A280" s="41">
        <f>VLOOKUP(B280,справочник!$B$2:$E$322,4,FALSE)</f>
        <v>93</v>
      </c>
      <c r="B280" t="str">
        <f t="shared" si="31"/>
        <v>98Тимофеева Татьяна Александровна (Денис)</v>
      </c>
      <c r="C280" s="1">
        <v>98</v>
      </c>
      <c r="D280" s="3" t="s">
        <v>265</v>
      </c>
      <c r="E280" s="1" t="s">
        <v>575</v>
      </c>
      <c r="F280" s="16">
        <v>40774</v>
      </c>
      <c r="G280" s="16">
        <v>40787</v>
      </c>
      <c r="H280" s="17">
        <f t="shared" si="32"/>
        <v>52</v>
      </c>
      <c r="I280" s="1">
        <f t="shared" ref="I280:I310" si="34">H280*1000</f>
        <v>52000</v>
      </c>
      <c r="J280" s="17">
        <f>4000+30000</f>
        <v>34000</v>
      </c>
      <c r="K280" s="17"/>
      <c r="L280" s="18">
        <f t="shared" si="29"/>
        <v>18000</v>
      </c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18">
        <f t="shared" si="30"/>
        <v>0</v>
      </c>
    </row>
    <row r="281" spans="1:25">
      <c r="A281" s="41">
        <f>VLOOKUP(B281,справочник!$B$2:$E$322,4,FALSE)</f>
        <v>255</v>
      </c>
      <c r="B281" t="str">
        <f t="shared" si="31"/>
        <v>268Толкова Елена Анатольевна (Олег)</v>
      </c>
      <c r="C281" s="1">
        <v>268</v>
      </c>
      <c r="D281" s="2" t="s">
        <v>266</v>
      </c>
      <c r="E281" s="1" t="s">
        <v>576</v>
      </c>
      <c r="F281" s="16">
        <v>40959</v>
      </c>
      <c r="G281" s="16">
        <v>40969</v>
      </c>
      <c r="H281" s="17">
        <f t="shared" si="32"/>
        <v>46</v>
      </c>
      <c r="I281" s="1">
        <f t="shared" si="34"/>
        <v>46000</v>
      </c>
      <c r="J281" s="17">
        <f>37000+9000</f>
        <v>46000</v>
      </c>
      <c r="K281" s="17"/>
      <c r="L281" s="18">
        <f t="shared" si="29"/>
        <v>0</v>
      </c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18">
        <f t="shared" si="30"/>
        <v>0</v>
      </c>
    </row>
    <row r="282" spans="1:25">
      <c r="A282" s="41">
        <f>VLOOKUP(B282,справочник!$B$2:$E$322,4,FALSE)</f>
        <v>167</v>
      </c>
      <c r="B282" t="str">
        <f t="shared" si="31"/>
        <v>175Трубченко Петр Александрович</v>
      </c>
      <c r="C282" s="1">
        <v>175</v>
      </c>
      <c r="D282" s="3" t="s">
        <v>267</v>
      </c>
      <c r="E282" s="1" t="s">
        <v>577</v>
      </c>
      <c r="F282" s="16">
        <v>41613</v>
      </c>
      <c r="G282" s="16">
        <v>41640</v>
      </c>
      <c r="H282" s="17">
        <f t="shared" si="32"/>
        <v>24</v>
      </c>
      <c r="I282" s="1">
        <f t="shared" si="34"/>
        <v>24000</v>
      </c>
      <c r="J282" s="17">
        <v>12000</v>
      </c>
      <c r="K282" s="17"/>
      <c r="L282" s="18">
        <f t="shared" si="29"/>
        <v>12000</v>
      </c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18">
        <f t="shared" si="30"/>
        <v>0</v>
      </c>
    </row>
    <row r="283" spans="1:25" ht="25.5" customHeight="1">
      <c r="A283" s="41">
        <f>VLOOKUP(B283,справочник!$B$2:$E$322,4,FALSE)</f>
        <v>99</v>
      </c>
      <c r="B283" t="str">
        <f t="shared" si="31"/>
        <v>104Трыкин Евгений Викторович</v>
      </c>
      <c r="C283" s="1">
        <v>104</v>
      </c>
      <c r="D283" s="3" t="s">
        <v>268</v>
      </c>
      <c r="E283" s="1" t="s">
        <v>578</v>
      </c>
      <c r="F283" s="16">
        <v>41104</v>
      </c>
      <c r="G283" s="16">
        <v>41091</v>
      </c>
      <c r="H283" s="17">
        <f t="shared" si="32"/>
        <v>42</v>
      </c>
      <c r="I283" s="1">
        <f t="shared" si="34"/>
        <v>42000</v>
      </c>
      <c r="J283" s="17">
        <v>13000</v>
      </c>
      <c r="K283" s="17"/>
      <c r="L283" s="18">
        <f t="shared" si="29"/>
        <v>29000</v>
      </c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18">
        <f t="shared" si="30"/>
        <v>0</v>
      </c>
    </row>
    <row r="284" spans="1:25">
      <c r="A284" s="41">
        <f>VLOOKUP(B284,справочник!$B$2:$E$322,4,FALSE)</f>
        <v>146</v>
      </c>
      <c r="B284" t="str">
        <f t="shared" si="31"/>
        <v>154Тюленев Вячеслав Рудольфович</v>
      </c>
      <c r="C284" s="1">
        <v>154</v>
      </c>
      <c r="D284" s="3" t="s">
        <v>269</v>
      </c>
      <c r="E284" s="1" t="s">
        <v>579</v>
      </c>
      <c r="F284" s="16">
        <v>40757</v>
      </c>
      <c r="G284" s="16">
        <v>40756</v>
      </c>
      <c r="H284" s="17">
        <f t="shared" si="32"/>
        <v>53</v>
      </c>
      <c r="I284" s="1">
        <f t="shared" si="34"/>
        <v>53000</v>
      </c>
      <c r="J284" s="17">
        <f>31000</f>
        <v>31000</v>
      </c>
      <c r="K284" s="17"/>
      <c r="L284" s="18">
        <f t="shared" si="29"/>
        <v>22000</v>
      </c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18">
        <f t="shared" si="30"/>
        <v>0</v>
      </c>
    </row>
    <row r="285" spans="1:25">
      <c r="A285" s="41" t="e">
        <f>VLOOKUP(B285,справочник!$B$2:$E$322,4,FALSE)</f>
        <v>#N/A</v>
      </c>
      <c r="B285" t="str">
        <f t="shared" si="31"/>
        <v>29Устинов Федор Валентинович(Петрик)</v>
      </c>
      <c r="C285" s="1">
        <v>29</v>
      </c>
      <c r="D285" s="2" t="s">
        <v>270</v>
      </c>
      <c r="E285" s="1"/>
      <c r="F285" s="16">
        <v>41130</v>
      </c>
      <c r="G285" s="16">
        <v>41122</v>
      </c>
      <c r="H285" s="17">
        <f t="shared" si="32"/>
        <v>41</v>
      </c>
      <c r="I285" s="1">
        <f t="shared" si="34"/>
        <v>41000</v>
      </c>
      <c r="J285" s="17">
        <v>32000</v>
      </c>
      <c r="K285" s="17"/>
      <c r="L285" s="18">
        <f t="shared" si="29"/>
        <v>9000</v>
      </c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18">
        <f t="shared" si="30"/>
        <v>0</v>
      </c>
    </row>
    <row r="286" spans="1:25">
      <c r="A286" s="41">
        <f>VLOOKUP(B286,справочник!$B$2:$E$322,4,FALSE)</f>
        <v>28</v>
      </c>
      <c r="B286" t="str">
        <f t="shared" si="31"/>
        <v>28Федорова Наталья Владимировна</v>
      </c>
      <c r="C286" s="1">
        <v>28</v>
      </c>
      <c r="D286" s="2" t="s">
        <v>271</v>
      </c>
      <c r="E286" s="1" t="s">
        <v>580</v>
      </c>
      <c r="F286" s="16">
        <v>41039</v>
      </c>
      <c r="G286" s="16">
        <v>41030</v>
      </c>
      <c r="H286" s="17">
        <f t="shared" si="32"/>
        <v>44</v>
      </c>
      <c r="I286" s="1">
        <f t="shared" si="34"/>
        <v>44000</v>
      </c>
      <c r="J286" s="17">
        <f>33000+8000</f>
        <v>41000</v>
      </c>
      <c r="K286" s="17"/>
      <c r="L286" s="18">
        <f t="shared" si="29"/>
        <v>3000</v>
      </c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18">
        <f t="shared" si="30"/>
        <v>0</v>
      </c>
    </row>
    <row r="287" spans="1:25">
      <c r="A287" s="41">
        <f>VLOOKUP(B287,справочник!$B$2:$E$322,4,FALSE)</f>
        <v>27</v>
      </c>
      <c r="B287" t="str">
        <f t="shared" si="31"/>
        <v>27Федорова Юлия Владимировна</v>
      </c>
      <c r="C287" s="1">
        <v>27</v>
      </c>
      <c r="D287" s="3" t="s">
        <v>272</v>
      </c>
      <c r="E287" s="1" t="s">
        <v>581</v>
      </c>
      <c r="F287" s="16">
        <v>41260</v>
      </c>
      <c r="G287" s="16">
        <v>41275</v>
      </c>
      <c r="H287" s="17">
        <f t="shared" si="32"/>
        <v>36</v>
      </c>
      <c r="I287" s="1">
        <f t="shared" si="34"/>
        <v>36000</v>
      </c>
      <c r="J287" s="17">
        <v>24000</v>
      </c>
      <c r="K287" s="17"/>
      <c r="L287" s="18">
        <f t="shared" si="29"/>
        <v>12000</v>
      </c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18">
        <f t="shared" si="30"/>
        <v>0</v>
      </c>
    </row>
    <row r="288" spans="1:25">
      <c r="A288" s="41">
        <f>VLOOKUP(B288,справочник!$B$2:$E$322,4,FALSE)</f>
        <v>135</v>
      </c>
      <c r="B288" t="str">
        <f t="shared" si="31"/>
        <v>142Финогин Сергей Александрович</v>
      </c>
      <c r="C288" s="4">
        <v>142</v>
      </c>
      <c r="D288" s="3" t="s">
        <v>273</v>
      </c>
      <c r="E288" s="1" t="s">
        <v>582</v>
      </c>
      <c r="F288" s="19">
        <v>40834</v>
      </c>
      <c r="G288" s="19">
        <v>40817</v>
      </c>
      <c r="H288" s="20">
        <v>11</v>
      </c>
      <c r="I288" s="5">
        <f t="shared" si="34"/>
        <v>11000</v>
      </c>
      <c r="J288" s="20">
        <v>1000</v>
      </c>
      <c r="K288" s="20"/>
      <c r="L288" s="21">
        <f t="shared" si="29"/>
        <v>10000</v>
      </c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1">
        <f t="shared" si="30"/>
        <v>0</v>
      </c>
    </row>
    <row r="289" spans="1:25">
      <c r="A289" s="41">
        <f>VLOOKUP(B289,справочник!$B$2:$E$322,4,FALSE)</f>
        <v>135</v>
      </c>
      <c r="B289" t="str">
        <f t="shared" si="31"/>
        <v>143Финогин Сергей Александрович</v>
      </c>
      <c r="C289" s="4">
        <v>143</v>
      </c>
      <c r="D289" s="3" t="s">
        <v>273</v>
      </c>
      <c r="E289" s="1"/>
      <c r="F289" s="19">
        <v>40834</v>
      </c>
      <c r="G289" s="19">
        <v>40817</v>
      </c>
      <c r="H289" s="20">
        <v>11</v>
      </c>
      <c r="I289" s="5">
        <f t="shared" si="34"/>
        <v>11000</v>
      </c>
      <c r="J289" s="20">
        <v>1000</v>
      </c>
      <c r="K289" s="20"/>
      <c r="L289" s="21">
        <f t="shared" si="29"/>
        <v>10000</v>
      </c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1">
        <f t="shared" si="30"/>
        <v>0</v>
      </c>
    </row>
    <row r="290" spans="1:25">
      <c r="A290" s="41">
        <f>VLOOKUP(B290,справочник!$B$2:$E$322,4,FALSE)</f>
        <v>135</v>
      </c>
      <c r="B290" t="str">
        <f t="shared" si="31"/>
        <v>142-143Финогин Сергей Александрович</v>
      </c>
      <c r="C290" s="4" t="s">
        <v>274</v>
      </c>
      <c r="D290" s="3" t="s">
        <v>273</v>
      </c>
      <c r="E290" s="1"/>
      <c r="F290" s="19">
        <v>41183</v>
      </c>
      <c r="G290" s="19">
        <v>41183</v>
      </c>
      <c r="H290" s="20">
        <f t="shared" ref="H290:H321" si="35">INT(($H$327-G290)/30)</f>
        <v>39</v>
      </c>
      <c r="I290" s="5">
        <f t="shared" si="34"/>
        <v>39000</v>
      </c>
      <c r="J290" s="20"/>
      <c r="K290" s="20"/>
      <c r="L290" s="21">
        <f t="shared" si="29"/>
        <v>39000</v>
      </c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1">
        <f t="shared" si="30"/>
        <v>0</v>
      </c>
    </row>
    <row r="291" spans="1:25">
      <c r="A291" s="41">
        <f>VLOOKUP(B291,справочник!$B$2:$E$322,4,FALSE)</f>
        <v>59</v>
      </c>
      <c r="B291" t="str">
        <f t="shared" si="31"/>
        <v>61Фисенко Вадим Петрович</v>
      </c>
      <c r="C291" s="1">
        <v>61</v>
      </c>
      <c r="D291" s="2" t="s">
        <v>275</v>
      </c>
      <c r="E291" s="1" t="s">
        <v>583</v>
      </c>
      <c r="F291" s="16">
        <v>40868</v>
      </c>
      <c r="G291" s="16">
        <v>40848</v>
      </c>
      <c r="H291" s="17">
        <f t="shared" si="35"/>
        <v>50</v>
      </c>
      <c r="I291" s="1">
        <f t="shared" si="34"/>
        <v>50000</v>
      </c>
      <c r="J291" s="17">
        <f>1000+49000</f>
        <v>50000</v>
      </c>
      <c r="K291" s="17"/>
      <c r="L291" s="18">
        <f t="shared" si="29"/>
        <v>0</v>
      </c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18">
        <f t="shared" si="30"/>
        <v>0</v>
      </c>
    </row>
    <row r="292" spans="1:25">
      <c r="A292" s="41">
        <f>VLOOKUP(B292,справочник!$B$2:$E$322,4,FALSE)</f>
        <v>60</v>
      </c>
      <c r="B292" t="str">
        <f t="shared" si="31"/>
        <v>62Фисенко Дмитрий Петрович</v>
      </c>
      <c r="C292" s="1">
        <v>62</v>
      </c>
      <c r="D292" s="6" t="s">
        <v>276</v>
      </c>
      <c r="E292" s="1" t="s">
        <v>584</v>
      </c>
      <c r="F292" s="16">
        <v>40885</v>
      </c>
      <c r="G292" s="16">
        <v>40878</v>
      </c>
      <c r="H292" s="17">
        <f t="shared" si="35"/>
        <v>49</v>
      </c>
      <c r="I292" s="1">
        <f t="shared" si="34"/>
        <v>49000</v>
      </c>
      <c r="J292" s="17">
        <f>8000+54000</f>
        <v>62000</v>
      </c>
      <c r="K292" s="17"/>
      <c r="L292" s="18">
        <f t="shared" si="29"/>
        <v>-13000</v>
      </c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18">
        <f t="shared" si="30"/>
        <v>0</v>
      </c>
    </row>
    <row r="293" spans="1:25">
      <c r="A293" s="41">
        <f>VLOOKUP(B293,справочник!$B$2:$E$322,4,FALSE)</f>
        <v>248</v>
      </c>
      <c r="B293" t="str">
        <f t="shared" si="31"/>
        <v>259Фомин Андрей Анатольевич</v>
      </c>
      <c r="C293" s="1">
        <v>259</v>
      </c>
      <c r="D293" s="3" t="s">
        <v>277</v>
      </c>
      <c r="E293" s="1" t="s">
        <v>585</v>
      </c>
      <c r="F293" s="16">
        <v>41628</v>
      </c>
      <c r="G293" s="16">
        <v>41640</v>
      </c>
      <c r="H293" s="17">
        <f t="shared" si="35"/>
        <v>24</v>
      </c>
      <c r="I293" s="1">
        <f t="shared" si="34"/>
        <v>24000</v>
      </c>
      <c r="J293" s="17">
        <v>21300</v>
      </c>
      <c r="K293" s="17"/>
      <c r="L293" s="18">
        <f t="shared" si="29"/>
        <v>2700</v>
      </c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18">
        <f t="shared" si="30"/>
        <v>0</v>
      </c>
    </row>
    <row r="294" spans="1:25">
      <c r="A294" s="41">
        <f>VLOOKUP(B294,справочник!$B$2:$E$322,4,FALSE)</f>
        <v>247</v>
      </c>
      <c r="B294" t="str">
        <f t="shared" si="31"/>
        <v>258Фомин Игорь Анатольевич</v>
      </c>
      <c r="C294" s="1">
        <v>258</v>
      </c>
      <c r="D294" s="3" t="s">
        <v>278</v>
      </c>
      <c r="E294" s="1" t="s">
        <v>586</v>
      </c>
      <c r="F294" s="16">
        <v>41628</v>
      </c>
      <c r="G294" s="16">
        <v>41640</v>
      </c>
      <c r="H294" s="17">
        <f t="shared" si="35"/>
        <v>24</v>
      </c>
      <c r="I294" s="1">
        <f t="shared" si="34"/>
        <v>24000</v>
      </c>
      <c r="J294" s="17">
        <v>13000</v>
      </c>
      <c r="K294" s="17"/>
      <c r="L294" s="18">
        <f t="shared" si="29"/>
        <v>11000</v>
      </c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18">
        <f t="shared" si="30"/>
        <v>0</v>
      </c>
    </row>
    <row r="295" spans="1:25">
      <c r="A295" s="41">
        <f>VLOOKUP(B295,справочник!$B$2:$E$322,4,FALSE)</f>
        <v>103</v>
      </c>
      <c r="B295" t="str">
        <f t="shared" si="31"/>
        <v>108Фомичев Александр Петрович</v>
      </c>
      <c r="C295" s="1">
        <v>108</v>
      </c>
      <c r="D295" s="2" t="s">
        <v>279</v>
      </c>
      <c r="E295" s="1" t="s">
        <v>587</v>
      </c>
      <c r="F295" s="16">
        <v>40715</v>
      </c>
      <c r="G295" s="16">
        <v>40725</v>
      </c>
      <c r="H295" s="17">
        <f t="shared" si="35"/>
        <v>54</v>
      </c>
      <c r="I295" s="1">
        <f t="shared" si="34"/>
        <v>54000</v>
      </c>
      <c r="J295" s="17">
        <f>2000+45000</f>
        <v>47000</v>
      </c>
      <c r="K295" s="17"/>
      <c r="L295" s="18">
        <f t="shared" si="29"/>
        <v>7000</v>
      </c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18">
        <f t="shared" si="30"/>
        <v>0</v>
      </c>
    </row>
    <row r="296" spans="1:25" ht="25.5" customHeight="1">
      <c r="A296" s="41">
        <f>VLOOKUP(B296,справочник!$B$2:$E$322,4,FALSE)</f>
        <v>275</v>
      </c>
      <c r="B296" t="str">
        <f t="shared" si="31"/>
        <v>288Хайлов Алексей Анатольевич</v>
      </c>
      <c r="C296" s="1">
        <v>288</v>
      </c>
      <c r="D296" s="2" t="s">
        <v>280</v>
      </c>
      <c r="E296" s="1" t="s">
        <v>588</v>
      </c>
      <c r="F296" s="16">
        <v>41999</v>
      </c>
      <c r="G296" s="16">
        <v>42005</v>
      </c>
      <c r="H296" s="17">
        <f t="shared" si="35"/>
        <v>12</v>
      </c>
      <c r="I296" s="1">
        <f t="shared" si="34"/>
        <v>12000</v>
      </c>
      <c r="J296" s="17"/>
      <c r="K296" s="17"/>
      <c r="L296" s="18">
        <f t="shared" si="29"/>
        <v>12000</v>
      </c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18">
        <f t="shared" si="30"/>
        <v>0</v>
      </c>
    </row>
    <row r="297" spans="1:25">
      <c r="A297" s="41">
        <f>VLOOKUP(B297,справочник!$B$2:$E$322,4,FALSE)</f>
        <v>22</v>
      </c>
      <c r="B297" t="str">
        <f t="shared" si="31"/>
        <v>22Хан Виталий Борисович</v>
      </c>
      <c r="C297" s="1">
        <v>22</v>
      </c>
      <c r="D297" s="3" t="s">
        <v>281</v>
      </c>
      <c r="E297" s="1" t="s">
        <v>589</v>
      </c>
      <c r="F297" s="16">
        <v>41107</v>
      </c>
      <c r="G297" s="16">
        <v>41091</v>
      </c>
      <c r="H297" s="17">
        <f t="shared" si="35"/>
        <v>42</v>
      </c>
      <c r="I297" s="1">
        <f t="shared" si="34"/>
        <v>42000</v>
      </c>
      <c r="J297" s="17">
        <f>34000+6000</f>
        <v>40000</v>
      </c>
      <c r="K297" s="17"/>
      <c r="L297" s="18">
        <f t="shared" si="29"/>
        <v>2000</v>
      </c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18">
        <f t="shared" si="30"/>
        <v>0</v>
      </c>
    </row>
    <row r="298" spans="1:25">
      <c r="A298" s="41">
        <f>VLOOKUP(B298,справочник!$B$2:$E$322,4,FALSE)</f>
        <v>20</v>
      </c>
      <c r="B298" t="str">
        <f t="shared" si="31"/>
        <v>20Харинкина Танзиля Гарафутдиновна</v>
      </c>
      <c r="C298" s="1">
        <v>20</v>
      </c>
      <c r="D298" s="3" t="s">
        <v>282</v>
      </c>
      <c r="E298" s="1" t="s">
        <v>590</v>
      </c>
      <c r="F298" s="16">
        <v>41443</v>
      </c>
      <c r="G298" s="16">
        <v>41487</v>
      </c>
      <c r="H298" s="17">
        <f t="shared" si="35"/>
        <v>29</v>
      </c>
      <c r="I298" s="1">
        <f t="shared" si="34"/>
        <v>29000</v>
      </c>
      <c r="J298" s="17">
        <v>12000</v>
      </c>
      <c r="K298" s="17"/>
      <c r="L298" s="18">
        <f t="shared" si="29"/>
        <v>17000</v>
      </c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18">
        <f t="shared" si="30"/>
        <v>0</v>
      </c>
    </row>
    <row r="299" spans="1:25">
      <c r="A299" s="41">
        <f>VLOOKUP(B299,справочник!$B$2:$E$322,4,FALSE)</f>
        <v>233</v>
      </c>
      <c r="B299" t="str">
        <f t="shared" si="31"/>
        <v>242Хаустова Люция Егоровна</v>
      </c>
      <c r="C299" s="1">
        <v>242</v>
      </c>
      <c r="D299" s="2" t="s">
        <v>283</v>
      </c>
      <c r="E299" s="1" t="s">
        <v>591</v>
      </c>
      <c r="F299" s="16">
        <v>41382</v>
      </c>
      <c r="G299" s="16">
        <v>41395</v>
      </c>
      <c r="H299" s="17">
        <f t="shared" si="35"/>
        <v>32</v>
      </c>
      <c r="I299" s="1">
        <f t="shared" si="34"/>
        <v>32000</v>
      </c>
      <c r="J299" s="17">
        <v>29000</v>
      </c>
      <c r="K299" s="17"/>
      <c r="L299" s="18">
        <f t="shared" si="29"/>
        <v>3000</v>
      </c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18">
        <f t="shared" si="30"/>
        <v>0</v>
      </c>
    </row>
    <row r="300" spans="1:25">
      <c r="A300" s="41">
        <f>VLOOKUP(B300,справочник!$B$2:$E$322,4,FALSE)</f>
        <v>256</v>
      </c>
      <c r="B300" t="str">
        <f t="shared" si="31"/>
        <v>269Хачатрян Алла Самвеловна</v>
      </c>
      <c r="C300" s="1">
        <v>269</v>
      </c>
      <c r="D300" s="2" t="s">
        <v>284</v>
      </c>
      <c r="E300" s="1" t="s">
        <v>592</v>
      </c>
      <c r="F300" s="16">
        <v>41012</v>
      </c>
      <c r="G300" s="16">
        <v>41000</v>
      </c>
      <c r="H300" s="17">
        <f t="shared" si="35"/>
        <v>45</v>
      </c>
      <c r="I300" s="1">
        <f t="shared" si="34"/>
        <v>45000</v>
      </c>
      <c r="J300" s="17">
        <f>32000+7000</f>
        <v>39000</v>
      </c>
      <c r="K300" s="17">
        <v>8000</v>
      </c>
      <c r="L300" s="18">
        <f t="shared" si="29"/>
        <v>-2000</v>
      </c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18">
        <f t="shared" si="30"/>
        <v>0</v>
      </c>
    </row>
    <row r="301" spans="1:25" ht="25.5" customHeight="1">
      <c r="A301" s="41" t="e">
        <f>VLOOKUP(B301,справочник!$B$2:$E$322,4,FALSE)</f>
        <v>#N/A</v>
      </c>
      <c r="B301" t="str">
        <f t="shared" si="31"/>
        <v>118Хрупало Николай Алексеевич</v>
      </c>
      <c r="C301" s="1">
        <v>118</v>
      </c>
      <c r="D301" s="2" t="s">
        <v>285</v>
      </c>
      <c r="E301" s="1" t="s">
        <v>593</v>
      </c>
      <c r="F301" s="16">
        <v>41107</v>
      </c>
      <c r="G301" s="16">
        <v>41122</v>
      </c>
      <c r="H301" s="17">
        <f t="shared" si="35"/>
        <v>41</v>
      </c>
      <c r="I301" s="1">
        <f t="shared" si="34"/>
        <v>41000</v>
      </c>
      <c r="J301" s="17">
        <v>41000</v>
      </c>
      <c r="K301" s="17"/>
      <c r="L301" s="18">
        <f t="shared" si="29"/>
        <v>0</v>
      </c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18">
        <f t="shared" si="30"/>
        <v>0</v>
      </c>
    </row>
    <row r="302" spans="1:25">
      <c r="A302" s="41" t="e">
        <f>VLOOKUP(B302,справочник!$B$2:$E$322,4,FALSE)</f>
        <v>#N/A</v>
      </c>
      <c r="B302" t="str">
        <f t="shared" si="31"/>
        <v>120Хрупало Николай Алексеевич</v>
      </c>
      <c r="C302" s="4">
        <v>120</v>
      </c>
      <c r="D302" s="3" t="s">
        <v>285</v>
      </c>
      <c r="E302" s="1" t="s">
        <v>593</v>
      </c>
      <c r="F302" s="19">
        <v>41107</v>
      </c>
      <c r="G302" s="19">
        <v>41122</v>
      </c>
      <c r="H302" s="20">
        <f t="shared" si="35"/>
        <v>41</v>
      </c>
      <c r="I302" s="5">
        <f t="shared" si="34"/>
        <v>41000</v>
      </c>
      <c r="J302" s="20">
        <v>20000</v>
      </c>
      <c r="K302" s="20"/>
      <c r="L302" s="21">
        <f t="shared" si="29"/>
        <v>21000</v>
      </c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1">
        <f t="shared" si="30"/>
        <v>0</v>
      </c>
    </row>
    <row r="303" spans="1:25">
      <c r="A303" s="41" t="e">
        <f>VLOOKUP(B303,справочник!$B$2:$E$322,4,FALSE)</f>
        <v>#N/A</v>
      </c>
      <c r="B303" t="str">
        <f t="shared" si="31"/>
        <v>116Хрупало Николай Алексеевич (118+120)</v>
      </c>
      <c r="C303" s="4">
        <v>116</v>
      </c>
      <c r="D303" s="3" t="s">
        <v>286</v>
      </c>
      <c r="E303" s="1" t="s">
        <v>593</v>
      </c>
      <c r="F303" s="19">
        <v>41107</v>
      </c>
      <c r="G303" s="19">
        <v>41122</v>
      </c>
      <c r="H303" s="20">
        <f t="shared" si="35"/>
        <v>41</v>
      </c>
      <c r="I303" s="5">
        <f t="shared" si="34"/>
        <v>41000</v>
      </c>
      <c r="J303" s="20"/>
      <c r="K303" s="20"/>
      <c r="L303" s="21">
        <f t="shared" si="29"/>
        <v>41000</v>
      </c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1">
        <f t="shared" si="30"/>
        <v>0</v>
      </c>
    </row>
    <row r="304" spans="1:25" ht="25.5" customHeight="1">
      <c r="A304" s="41">
        <f>VLOOKUP(B304,справочник!$B$2:$E$322,4,FALSE)</f>
        <v>180</v>
      </c>
      <c r="B304" t="str">
        <f t="shared" si="31"/>
        <v>188Черешнева Виктория Викторовна</v>
      </c>
      <c r="C304" s="1">
        <v>188</v>
      </c>
      <c r="D304" s="2" t="s">
        <v>287</v>
      </c>
      <c r="E304" s="1" t="s">
        <v>594</v>
      </c>
      <c r="F304" s="16">
        <v>41786</v>
      </c>
      <c r="G304" s="16">
        <v>41791</v>
      </c>
      <c r="H304" s="17">
        <f t="shared" si="35"/>
        <v>19</v>
      </c>
      <c r="I304" s="1">
        <f t="shared" si="34"/>
        <v>19000</v>
      </c>
      <c r="J304" s="17">
        <v>19000</v>
      </c>
      <c r="K304" s="17"/>
      <c r="L304" s="18">
        <f t="shared" si="29"/>
        <v>0</v>
      </c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18">
        <f t="shared" si="30"/>
        <v>0</v>
      </c>
    </row>
    <row r="305" spans="1:25">
      <c r="A305" s="41">
        <f>VLOOKUP(B305,справочник!$B$2:$E$322,4,FALSE)</f>
        <v>2</v>
      </c>
      <c r="B305" t="str">
        <f t="shared" si="31"/>
        <v xml:space="preserve">2Чернявская Оксана Юрьевна        </v>
      </c>
      <c r="C305" s="1">
        <v>2</v>
      </c>
      <c r="D305" s="3" t="s">
        <v>288</v>
      </c>
      <c r="E305" s="1" t="s">
        <v>595</v>
      </c>
      <c r="F305" s="16">
        <v>41737</v>
      </c>
      <c r="G305" s="16">
        <v>41760</v>
      </c>
      <c r="H305" s="17">
        <f t="shared" si="35"/>
        <v>20</v>
      </c>
      <c r="I305" s="1">
        <f t="shared" si="34"/>
        <v>20000</v>
      </c>
      <c r="J305" s="17">
        <v>11000</v>
      </c>
      <c r="K305" s="17"/>
      <c r="L305" s="18">
        <f t="shared" si="29"/>
        <v>9000</v>
      </c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18">
        <f t="shared" si="30"/>
        <v>0</v>
      </c>
    </row>
    <row r="306" spans="1:25">
      <c r="A306" s="41">
        <f>VLOOKUP(B306,справочник!$B$2:$E$322,4,FALSE)</f>
        <v>23</v>
      </c>
      <c r="B306" t="str">
        <f t="shared" si="31"/>
        <v>23Чигрины Анна Анатольевна и Геннадий Иванович</v>
      </c>
      <c r="C306" s="1">
        <v>23</v>
      </c>
      <c r="D306" s="6" t="s">
        <v>289</v>
      </c>
      <c r="E306" s="1" t="s">
        <v>596</v>
      </c>
      <c r="F306" s="16">
        <v>41422</v>
      </c>
      <c r="G306" s="16">
        <v>41456</v>
      </c>
      <c r="H306" s="17">
        <f t="shared" si="35"/>
        <v>30</v>
      </c>
      <c r="I306" s="1">
        <f t="shared" si="34"/>
        <v>30000</v>
      </c>
      <c r="J306" s="17">
        <v>30000</v>
      </c>
      <c r="K306" s="17"/>
      <c r="L306" s="18">
        <f t="shared" si="29"/>
        <v>0</v>
      </c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18">
        <f t="shared" si="30"/>
        <v>0</v>
      </c>
    </row>
    <row r="307" spans="1:25">
      <c r="A307" s="41">
        <f>VLOOKUP(B307,справочник!$B$2:$E$322,4,FALSE)</f>
        <v>168</v>
      </c>
      <c r="B307" t="str">
        <f t="shared" si="31"/>
        <v>176Чикачёв Сергей Иванович</v>
      </c>
      <c r="C307" s="1">
        <v>176</v>
      </c>
      <c r="D307" s="2" t="s">
        <v>290</v>
      </c>
      <c r="E307" s="1" t="s">
        <v>597</v>
      </c>
      <c r="F307" s="16">
        <v>41939</v>
      </c>
      <c r="G307" s="16">
        <v>41974</v>
      </c>
      <c r="H307" s="17">
        <f t="shared" si="35"/>
        <v>13</v>
      </c>
      <c r="I307" s="1">
        <f t="shared" si="34"/>
        <v>13000</v>
      </c>
      <c r="J307" s="17">
        <v>11000</v>
      </c>
      <c r="K307" s="17">
        <v>2000</v>
      </c>
      <c r="L307" s="18">
        <f t="shared" si="29"/>
        <v>0</v>
      </c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18">
        <f t="shared" si="30"/>
        <v>0</v>
      </c>
    </row>
    <row r="308" spans="1:25" ht="25.5" customHeight="1">
      <c r="A308" s="41">
        <f>VLOOKUP(B308,справочник!$B$2:$E$322,4,FALSE)</f>
        <v>84</v>
      </c>
      <c r="B308" t="str">
        <f t="shared" si="31"/>
        <v>89Шабунина Светлана Николаевна</v>
      </c>
      <c r="C308" s="1">
        <v>89</v>
      </c>
      <c r="D308" s="2" t="s">
        <v>291</v>
      </c>
      <c r="E308" s="1" t="s">
        <v>598</v>
      </c>
      <c r="F308" s="16">
        <v>40785</v>
      </c>
      <c r="G308" s="16">
        <v>40787</v>
      </c>
      <c r="H308" s="17">
        <f t="shared" si="35"/>
        <v>52</v>
      </c>
      <c r="I308" s="1">
        <f t="shared" si="34"/>
        <v>52000</v>
      </c>
      <c r="J308" s="17">
        <f>1000+51000</f>
        <v>52000</v>
      </c>
      <c r="K308" s="17"/>
      <c r="L308" s="18">
        <f t="shared" si="29"/>
        <v>0</v>
      </c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18">
        <f t="shared" si="30"/>
        <v>0</v>
      </c>
    </row>
    <row r="309" spans="1:25">
      <c r="A309" s="41" t="e">
        <f>VLOOKUP(B309,справочник!$B$2:$E$322,4,FALSE)</f>
        <v>#N/A</v>
      </c>
      <c r="B309" t="str">
        <f t="shared" si="31"/>
        <v>97Шалинов Андрей Вадимович</v>
      </c>
      <c r="C309" s="1">
        <v>97</v>
      </c>
      <c r="D309" s="2" t="s">
        <v>292</v>
      </c>
      <c r="E309" s="1" t="s">
        <v>599</v>
      </c>
      <c r="F309" s="16">
        <v>40925</v>
      </c>
      <c r="G309" s="16">
        <v>40909</v>
      </c>
      <c r="H309" s="17">
        <f t="shared" si="35"/>
        <v>48</v>
      </c>
      <c r="I309" s="1">
        <f t="shared" si="34"/>
        <v>48000</v>
      </c>
      <c r="J309" s="17">
        <v>44000</v>
      </c>
      <c r="K309" s="17"/>
      <c r="L309" s="18">
        <f t="shared" si="29"/>
        <v>4000</v>
      </c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18">
        <f t="shared" si="30"/>
        <v>0</v>
      </c>
    </row>
    <row r="310" spans="1:25">
      <c r="A310" s="41" t="e">
        <f>VLOOKUP(B310,справочник!$B$2:$E$322,4,FALSE)</f>
        <v>#N/A</v>
      </c>
      <c r="B310" t="str">
        <f t="shared" si="31"/>
        <v>93Шалинов Андрей Вадимович + уч. 97</v>
      </c>
      <c r="C310" s="4">
        <v>93</v>
      </c>
      <c r="D310" s="2" t="s">
        <v>293</v>
      </c>
      <c r="E310" s="1" t="s">
        <v>600</v>
      </c>
      <c r="F310" s="16">
        <v>40925</v>
      </c>
      <c r="G310" s="16">
        <v>40909</v>
      </c>
      <c r="H310" s="17">
        <f t="shared" si="35"/>
        <v>48</v>
      </c>
      <c r="I310" s="1">
        <f t="shared" si="34"/>
        <v>48000</v>
      </c>
      <c r="J310" s="17">
        <v>44000</v>
      </c>
      <c r="K310" s="17"/>
      <c r="L310" s="18">
        <f t="shared" si="29"/>
        <v>4000</v>
      </c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18">
        <f t="shared" si="30"/>
        <v>0</v>
      </c>
    </row>
    <row r="311" spans="1:25">
      <c r="A311" s="41">
        <f>VLOOKUP(B311,справочник!$B$2:$E$322,4,FALSE)</f>
        <v>78</v>
      </c>
      <c r="B311" t="str">
        <f t="shared" si="31"/>
        <v>83Шелухина Мария Сергеевна</v>
      </c>
      <c r="C311" s="4">
        <v>83</v>
      </c>
      <c r="D311" s="3" t="s">
        <v>294</v>
      </c>
      <c r="E311" s="1"/>
      <c r="F311" s="16">
        <v>41456</v>
      </c>
      <c r="G311" s="16">
        <v>41457</v>
      </c>
      <c r="H311" s="17">
        <f t="shared" si="35"/>
        <v>30</v>
      </c>
      <c r="I311" s="1">
        <v>30000</v>
      </c>
      <c r="J311" s="17">
        <v>0</v>
      </c>
      <c r="K311" s="17"/>
      <c r="L311" s="18">
        <v>30000</v>
      </c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18">
        <v>30000</v>
      </c>
    </row>
    <row r="312" spans="1:25">
      <c r="A312" s="41">
        <f>VLOOKUP(B312,справочник!$B$2:$E$322,4,FALSE)</f>
        <v>77</v>
      </c>
      <c r="B312" t="str">
        <f t="shared" si="31"/>
        <v>83Самородов</v>
      </c>
      <c r="C312" s="4">
        <v>83</v>
      </c>
      <c r="D312" s="3" t="s">
        <v>295</v>
      </c>
      <c r="E312" s="1" t="s">
        <v>601</v>
      </c>
      <c r="F312" s="16">
        <v>40932</v>
      </c>
      <c r="G312" s="16">
        <v>40909</v>
      </c>
      <c r="H312" s="17">
        <f t="shared" si="35"/>
        <v>48</v>
      </c>
      <c r="I312" s="1">
        <f t="shared" ref="I312:I326" si="36">H312*1000</f>
        <v>48000</v>
      </c>
      <c r="J312" s="17">
        <v>15000</v>
      </c>
      <c r="K312" s="17"/>
      <c r="L312" s="18">
        <f t="shared" ref="L312:L326" si="37">I312-J312-K312</f>
        <v>33000</v>
      </c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18">
        <f t="shared" ref="Y312:Y326" si="38">V312-W312-X312</f>
        <v>0</v>
      </c>
    </row>
    <row r="313" spans="1:25" ht="25.5" customHeight="1">
      <c r="A313" s="41">
        <f>VLOOKUP(B313,справочник!$B$2:$E$322,4,FALSE)</f>
        <v>306</v>
      </c>
      <c r="B313" t="str">
        <f t="shared" si="31"/>
        <v>321Шептухина Александра Борисовна</v>
      </c>
      <c r="C313" s="1">
        <v>321</v>
      </c>
      <c r="D313" s="3" t="s">
        <v>296</v>
      </c>
      <c r="E313" s="1" t="s">
        <v>602</v>
      </c>
      <c r="F313" s="16">
        <v>41093</v>
      </c>
      <c r="G313" s="16">
        <v>41091</v>
      </c>
      <c r="H313" s="17">
        <f t="shared" si="35"/>
        <v>42</v>
      </c>
      <c r="I313" s="1">
        <f t="shared" si="36"/>
        <v>42000</v>
      </c>
      <c r="J313" s="17">
        <v>11000</v>
      </c>
      <c r="K313" s="17"/>
      <c r="L313" s="18">
        <f t="shared" si="37"/>
        <v>31000</v>
      </c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18">
        <f t="shared" si="38"/>
        <v>0</v>
      </c>
    </row>
    <row r="314" spans="1:25" ht="25.5" customHeight="1">
      <c r="A314" s="41">
        <f>VLOOKUP(B314,справочник!$B$2:$E$322,4,FALSE)</f>
        <v>182</v>
      </c>
      <c r="B314" t="str">
        <f t="shared" si="31"/>
        <v>190Широков Евгений Александрович</v>
      </c>
      <c r="C314" s="1">
        <v>190</v>
      </c>
      <c r="D314" s="2" t="s">
        <v>297</v>
      </c>
      <c r="E314" s="1" t="s">
        <v>603</v>
      </c>
      <c r="F314" s="16">
        <v>41734</v>
      </c>
      <c r="G314" s="16">
        <v>41760</v>
      </c>
      <c r="H314" s="17">
        <f t="shared" si="35"/>
        <v>20</v>
      </c>
      <c r="I314" s="1">
        <f t="shared" si="36"/>
        <v>20000</v>
      </c>
      <c r="J314" s="17">
        <v>14000</v>
      </c>
      <c r="K314" s="17"/>
      <c r="L314" s="18">
        <f t="shared" si="37"/>
        <v>6000</v>
      </c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18">
        <f t="shared" si="38"/>
        <v>0</v>
      </c>
    </row>
    <row r="315" spans="1:25">
      <c r="A315" s="41">
        <f>VLOOKUP(B315,справочник!$B$2:$E$322,4,FALSE)</f>
        <v>95</v>
      </c>
      <c r="B315" t="str">
        <f t="shared" si="31"/>
        <v>100Шорахматов Мухаммадхуджа Замшоевич</v>
      </c>
      <c r="C315" s="1">
        <v>100</v>
      </c>
      <c r="D315" s="3" t="s">
        <v>298</v>
      </c>
      <c r="E315" s="1" t="s">
        <v>604</v>
      </c>
      <c r="F315" s="16">
        <v>41401</v>
      </c>
      <c r="G315" s="16">
        <v>41609</v>
      </c>
      <c r="H315" s="17">
        <f t="shared" si="35"/>
        <v>25</v>
      </c>
      <c r="I315" s="1">
        <f t="shared" si="36"/>
        <v>25000</v>
      </c>
      <c r="J315" s="17">
        <v>20000</v>
      </c>
      <c r="K315" s="17"/>
      <c r="L315" s="18">
        <f t="shared" si="37"/>
        <v>5000</v>
      </c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18">
        <f t="shared" si="38"/>
        <v>0</v>
      </c>
    </row>
    <row r="316" spans="1:25">
      <c r="A316" s="41">
        <f>VLOOKUP(B316,справочник!$B$2:$E$322,4,FALSE)</f>
        <v>108</v>
      </c>
      <c r="B316" t="str">
        <f t="shared" si="31"/>
        <v>113Шурдук Лариса Анатольевна (Игорь)</v>
      </c>
      <c r="C316" s="1">
        <v>113</v>
      </c>
      <c r="D316" s="2" t="s">
        <v>299</v>
      </c>
      <c r="E316" s="1" t="s">
        <v>605</v>
      </c>
      <c r="F316" s="16">
        <v>40938</v>
      </c>
      <c r="G316" s="16">
        <v>40940</v>
      </c>
      <c r="H316" s="17">
        <f t="shared" si="35"/>
        <v>47</v>
      </c>
      <c r="I316" s="1">
        <f t="shared" si="36"/>
        <v>47000</v>
      </c>
      <c r="J316" s="17">
        <f>24000+11000</f>
        <v>35000</v>
      </c>
      <c r="K316" s="17">
        <v>8000</v>
      </c>
      <c r="L316" s="18">
        <f t="shared" si="37"/>
        <v>4000</v>
      </c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18">
        <f t="shared" si="38"/>
        <v>0</v>
      </c>
    </row>
    <row r="317" spans="1:25">
      <c r="A317" s="41">
        <f>VLOOKUP(B317,справочник!$B$2:$E$322,4,FALSE)</f>
        <v>41</v>
      </c>
      <c r="B317" t="str">
        <f t="shared" si="31"/>
        <v>41Шустов Василий Александрович</v>
      </c>
      <c r="C317" s="1">
        <v>41</v>
      </c>
      <c r="D317" s="3" t="s">
        <v>300</v>
      </c>
      <c r="E317" s="1" t="s">
        <v>606</v>
      </c>
      <c r="F317" s="16">
        <v>40772</v>
      </c>
      <c r="G317" s="16">
        <v>40756</v>
      </c>
      <c r="H317" s="17">
        <f t="shared" si="35"/>
        <v>53</v>
      </c>
      <c r="I317" s="1">
        <f t="shared" si="36"/>
        <v>53000</v>
      </c>
      <c r="J317" s="17">
        <f>1000+37000</f>
        <v>38000</v>
      </c>
      <c r="K317" s="17"/>
      <c r="L317" s="18">
        <f t="shared" si="37"/>
        <v>15000</v>
      </c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18">
        <f t="shared" si="38"/>
        <v>0</v>
      </c>
    </row>
    <row r="318" spans="1:25" ht="25.5" customHeight="1">
      <c r="A318" s="41">
        <f>VLOOKUP(B318,справочник!$B$2:$E$322,4,FALSE)</f>
        <v>152</v>
      </c>
      <c r="B318" t="str">
        <f t="shared" si="31"/>
        <v>160Щербаков Павел Евгеньевич</v>
      </c>
      <c r="C318" s="1">
        <v>160</v>
      </c>
      <c r="D318" s="3" t="s">
        <v>301</v>
      </c>
      <c r="E318" s="1" t="s">
        <v>607</v>
      </c>
      <c r="F318" s="16">
        <v>40850</v>
      </c>
      <c r="G318" s="16">
        <v>40848</v>
      </c>
      <c r="H318" s="17">
        <f t="shared" si="35"/>
        <v>50</v>
      </c>
      <c r="I318" s="1">
        <f t="shared" si="36"/>
        <v>50000</v>
      </c>
      <c r="J318" s="17">
        <f>46000+1000</f>
        <v>47000</v>
      </c>
      <c r="K318" s="17"/>
      <c r="L318" s="18">
        <f t="shared" si="37"/>
        <v>3000</v>
      </c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18">
        <f t="shared" si="38"/>
        <v>0</v>
      </c>
    </row>
    <row r="319" spans="1:25">
      <c r="A319" s="41">
        <f>VLOOKUP(B319,справочник!$B$2:$E$322,4,FALSE)</f>
        <v>227</v>
      </c>
      <c r="B319" t="str">
        <f t="shared" si="31"/>
        <v xml:space="preserve">236Щербакова Татьяна Дмитриевна      </v>
      </c>
      <c r="C319" s="1">
        <v>236</v>
      </c>
      <c r="D319" s="3" t="s">
        <v>302</v>
      </c>
      <c r="E319" s="1" t="s">
        <v>608</v>
      </c>
      <c r="F319" s="16">
        <v>41738</v>
      </c>
      <c r="G319" s="16">
        <v>41760</v>
      </c>
      <c r="H319" s="17">
        <f t="shared" si="35"/>
        <v>20</v>
      </c>
      <c r="I319" s="1">
        <f t="shared" si="36"/>
        <v>20000</v>
      </c>
      <c r="J319" s="17">
        <v>9000</v>
      </c>
      <c r="K319" s="17"/>
      <c r="L319" s="18">
        <f t="shared" si="37"/>
        <v>11000</v>
      </c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18">
        <f t="shared" si="38"/>
        <v>0</v>
      </c>
    </row>
    <row r="320" spans="1:25">
      <c r="A320" s="41">
        <f>VLOOKUP(B320,справочник!$B$2:$E$322,4,FALSE)</f>
        <v>15</v>
      </c>
      <c r="B320" t="str">
        <f t="shared" si="31"/>
        <v>15Элефтерова Евгения Викторовна (Михаил)</v>
      </c>
      <c r="C320" s="1">
        <v>15</v>
      </c>
      <c r="D320" s="2" t="s">
        <v>303</v>
      </c>
      <c r="E320" s="1" t="s">
        <v>609</v>
      </c>
      <c r="F320" s="16">
        <v>41261</v>
      </c>
      <c r="G320" s="16">
        <v>41275</v>
      </c>
      <c r="H320" s="17">
        <f t="shared" si="35"/>
        <v>36</v>
      </c>
      <c r="I320" s="1">
        <f t="shared" si="36"/>
        <v>36000</v>
      </c>
      <c r="J320" s="17">
        <v>32000</v>
      </c>
      <c r="K320" s="17"/>
      <c r="L320" s="18">
        <f t="shared" si="37"/>
        <v>4000</v>
      </c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18">
        <f t="shared" si="38"/>
        <v>0</v>
      </c>
    </row>
    <row r="321" spans="1:25">
      <c r="A321" s="41">
        <f>VLOOKUP(B321,справочник!$B$2:$E$322,4,FALSE)</f>
        <v>240</v>
      </c>
      <c r="B321" t="str">
        <f t="shared" si="31"/>
        <v>251Якиманский Александр Александрович</v>
      </c>
      <c r="C321" s="1">
        <v>251</v>
      </c>
      <c r="D321" s="11" t="s">
        <v>304</v>
      </c>
      <c r="E321" s="1" t="s">
        <v>610</v>
      </c>
      <c r="F321" s="16">
        <v>40799</v>
      </c>
      <c r="G321" s="16">
        <v>40787</v>
      </c>
      <c r="H321" s="17">
        <f t="shared" si="35"/>
        <v>52</v>
      </c>
      <c r="I321" s="1">
        <f t="shared" si="36"/>
        <v>52000</v>
      </c>
      <c r="J321" s="17">
        <f>1000+49000</f>
        <v>50000</v>
      </c>
      <c r="K321" s="17">
        <v>3000</v>
      </c>
      <c r="L321" s="18">
        <f t="shared" si="37"/>
        <v>-1000</v>
      </c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18">
        <f t="shared" si="38"/>
        <v>0</v>
      </c>
    </row>
    <row r="322" spans="1:25">
      <c r="A322" s="41">
        <f>VLOOKUP(B322,справочник!$B$2:$E$322,4,FALSE)</f>
        <v>10</v>
      </c>
      <c r="B322" t="str">
        <f t="shared" si="31"/>
        <v>10Якушина Любовь Викторовна</v>
      </c>
      <c r="C322" s="1">
        <v>10</v>
      </c>
      <c r="D322" s="2" t="s">
        <v>305</v>
      </c>
      <c r="E322" s="1" t="s">
        <v>611</v>
      </c>
      <c r="F322" s="16">
        <v>42023</v>
      </c>
      <c r="G322" s="1"/>
      <c r="H322" s="17">
        <v>0</v>
      </c>
      <c r="I322" s="1">
        <f t="shared" si="36"/>
        <v>0</v>
      </c>
      <c r="J322" s="17"/>
      <c r="K322" s="17"/>
      <c r="L322" s="18">
        <f t="shared" si="37"/>
        <v>0</v>
      </c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18">
        <f t="shared" si="38"/>
        <v>0</v>
      </c>
    </row>
    <row r="323" spans="1:25">
      <c r="A323" s="41">
        <f>VLOOKUP(B323,справочник!$B$2:$E$322,4,FALSE)</f>
        <v>55</v>
      </c>
      <c r="B323" t="str">
        <f t="shared" si="31"/>
        <v>57Янковская Елена Александровна</v>
      </c>
      <c r="C323" s="1">
        <v>57</v>
      </c>
      <c r="D323" s="2" t="s">
        <v>306</v>
      </c>
      <c r="E323" s="1" t="s">
        <v>612</v>
      </c>
      <c r="F323" s="16">
        <v>40772</v>
      </c>
      <c r="G323" s="16">
        <v>40756</v>
      </c>
      <c r="H323" s="17">
        <f>INT(($H$327-G323)/30)</f>
        <v>53</v>
      </c>
      <c r="I323" s="1">
        <f t="shared" si="36"/>
        <v>53000</v>
      </c>
      <c r="J323" s="17">
        <f>1000+53000</f>
        <v>54000</v>
      </c>
      <c r="K323" s="17">
        <v>3000</v>
      </c>
      <c r="L323" s="18">
        <f t="shared" si="37"/>
        <v>-4000</v>
      </c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18">
        <f t="shared" si="38"/>
        <v>0</v>
      </c>
    </row>
    <row r="324" spans="1:25">
      <c r="A324" s="41">
        <f>VLOOKUP(B324,справочник!$B$2:$E$322,4,FALSE)</f>
        <v>309</v>
      </c>
      <c r="B324" t="str">
        <f t="shared" si="31"/>
        <v>324Янковская Яна Валерьевна</v>
      </c>
      <c r="C324" s="1">
        <v>324</v>
      </c>
      <c r="D324" s="3" t="s">
        <v>307</v>
      </c>
      <c r="E324" s="1" t="s">
        <v>613</v>
      </c>
      <c r="F324" s="16">
        <v>41002</v>
      </c>
      <c r="G324" s="16">
        <v>41000</v>
      </c>
      <c r="H324" s="17">
        <f>INT(($H$327-G324)/30)</f>
        <v>45</v>
      </c>
      <c r="I324" s="1">
        <f t="shared" si="36"/>
        <v>45000</v>
      </c>
      <c r="J324" s="17">
        <f>17000+1000</f>
        <v>18000</v>
      </c>
      <c r="K324" s="17">
        <v>5000</v>
      </c>
      <c r="L324" s="18">
        <f t="shared" si="37"/>
        <v>22000</v>
      </c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18">
        <f t="shared" si="38"/>
        <v>0</v>
      </c>
    </row>
    <row r="325" spans="1:25">
      <c r="A325" s="41">
        <f>VLOOKUP(B325,справочник!$B$2:$E$322,4,FALSE)</f>
        <v>17</v>
      </c>
      <c r="B325" t="str">
        <f t="shared" si="31"/>
        <v>17Яструб Валерий Викторович</v>
      </c>
      <c r="C325" s="1">
        <v>17</v>
      </c>
      <c r="D325" s="2" t="s">
        <v>308</v>
      </c>
      <c r="E325" s="1" t="s">
        <v>614</v>
      </c>
      <c r="F325" s="16">
        <v>41254</v>
      </c>
      <c r="G325" s="16">
        <v>41275</v>
      </c>
      <c r="H325" s="17">
        <f>INT(($H$327-G325)/30)</f>
        <v>36</v>
      </c>
      <c r="I325" s="1">
        <f t="shared" si="36"/>
        <v>36000</v>
      </c>
      <c r="J325" s="17">
        <v>31000</v>
      </c>
      <c r="K325" s="17"/>
      <c r="L325" s="18">
        <f t="shared" si="37"/>
        <v>5000</v>
      </c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18">
        <f t="shared" si="38"/>
        <v>0</v>
      </c>
    </row>
    <row r="326" spans="1:25">
      <c r="A326" s="41">
        <f>VLOOKUP(B326,справочник!$B$2:$E$322,4,FALSE)</f>
        <v>40</v>
      </c>
      <c r="B326" t="str">
        <f t="shared" ref="B326:B327" si="39">CONCATENATE(C326,D326)</f>
        <v>40Яшин Евгений Иванович</v>
      </c>
      <c r="C326" s="1">
        <v>40</v>
      </c>
      <c r="D326" s="3" t="s">
        <v>309</v>
      </c>
      <c r="E326" s="1" t="s">
        <v>615</v>
      </c>
      <c r="F326" s="16">
        <v>40772</v>
      </c>
      <c r="G326" s="16">
        <v>40756</v>
      </c>
      <c r="H326" s="17">
        <f>INT(($H$327-G326)/30)</f>
        <v>53</v>
      </c>
      <c r="I326" s="1">
        <f t="shared" si="36"/>
        <v>53000</v>
      </c>
      <c r="J326" s="17">
        <f>1000+37000</f>
        <v>38000</v>
      </c>
      <c r="K326" s="17"/>
      <c r="L326" s="18">
        <f t="shared" si="37"/>
        <v>15000</v>
      </c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18">
        <f t="shared" si="38"/>
        <v>0</v>
      </c>
    </row>
    <row r="327" spans="1:25">
      <c r="A327" s="41" t="e">
        <f>VLOOKUP(B327,справочник!$B$2:$E$322,4,FALSE)</f>
        <v>#N/A</v>
      </c>
      <c r="B327" t="str">
        <f t="shared" si="39"/>
        <v/>
      </c>
      <c r="H327" s="26">
        <v>42369</v>
      </c>
    </row>
  </sheetData>
  <autoFilter ref="A4:Y4"/>
  <mergeCells count="4">
    <mergeCell ref="C3:C4"/>
    <mergeCell ref="D3:D4"/>
    <mergeCell ref="E3:E4"/>
    <mergeCell ref="H3:L3"/>
  </mergeCells>
  <pageMargins left="0.7" right="0.7" top="0.75" bottom="0.75" header="0.3" footer="0.3"/>
  <pageSetup paperSize="9"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00B0F0"/>
  </sheetPr>
  <dimension ref="A1:AI336"/>
  <sheetViews>
    <sheetView topLeftCell="W1" workbookViewId="0">
      <selection activeCell="AG8" sqref="AG8"/>
    </sheetView>
  </sheetViews>
  <sheetFormatPr baseColWidth="10" defaultColWidth="8.83203125" defaultRowHeight="14" x14ac:dyDescent="0"/>
  <cols>
    <col min="1" max="1" width="20" style="41" customWidth="1"/>
    <col min="2" max="2" width="37.5" customWidth="1"/>
    <col min="3" max="3" width="20" customWidth="1"/>
    <col min="4" max="4" width="28.1640625" customWidth="1"/>
    <col min="5" max="5" width="20" style="41" customWidth="1"/>
    <col min="22" max="22" width="77.33203125" customWidth="1"/>
    <col min="23" max="23" width="36.6640625" bestFit="1" customWidth="1"/>
    <col min="29" max="29" width="34.5" bestFit="1" customWidth="1"/>
    <col min="32" max="32" width="35.5" customWidth="1"/>
    <col min="33" max="33" width="52.1640625" customWidth="1"/>
    <col min="34" max="34" width="24.33203125" bestFit="1" customWidth="1"/>
    <col min="35" max="35" width="13.83203125" customWidth="1"/>
  </cols>
  <sheetData>
    <row r="1" spans="1:35">
      <c r="A1" s="42" t="s">
        <v>617</v>
      </c>
      <c r="B1" s="42" t="s">
        <v>621</v>
      </c>
      <c r="C1" s="42" t="s">
        <v>0</v>
      </c>
      <c r="D1" s="43" t="s">
        <v>1</v>
      </c>
      <c r="E1" s="42" t="s">
        <v>617</v>
      </c>
      <c r="F1" s="52" t="s">
        <v>623</v>
      </c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V1" s="44" t="s">
        <v>618</v>
      </c>
      <c r="W1" t="s">
        <v>620</v>
      </c>
    </row>
    <row r="2" spans="1:35" s="45" customFormat="1">
      <c r="A2" s="1">
        <v>79</v>
      </c>
      <c r="B2" s="46" t="str">
        <f t="shared" ref="B2:B65" si="0">CONCATENATE(C2,D2)</f>
        <v>84Абу Махади Мохаммед Ибрагим</v>
      </c>
      <c r="C2" s="46">
        <v>84</v>
      </c>
      <c r="D2" s="46" t="s">
        <v>2</v>
      </c>
      <c r="E2" s="1">
        <v>79</v>
      </c>
      <c r="F2" s="45">
        <f>IF(VLOOKUP(D2,$V$2:$W$299,2,FALSE)&lt;&gt;1,1,0)</f>
        <v>0</v>
      </c>
      <c r="V2" s="45" t="s">
        <v>84</v>
      </c>
      <c r="W2" s="47">
        <v>3</v>
      </c>
      <c r="AA2" s="70">
        <v>1</v>
      </c>
      <c r="AB2" s="70">
        <v>6</v>
      </c>
      <c r="AC2" s="71" t="s">
        <v>90</v>
      </c>
      <c r="AE2" s="45">
        <v>1</v>
      </c>
      <c r="AF2" s="71" t="s">
        <v>90</v>
      </c>
      <c r="AG2" s="71" t="s">
        <v>90</v>
      </c>
      <c r="AH2" s="45" t="str">
        <f>VLOOKUP(AF2,$AI$2:$AI$11,1,FALSE)</f>
        <v>Жохова Елена Сергеевна</v>
      </c>
      <c r="AI2" t="s">
        <v>148</v>
      </c>
    </row>
    <row r="3" spans="1:35" s="45" customFormat="1">
      <c r="A3" s="1">
        <v>35</v>
      </c>
      <c r="B3" s="46" t="str">
        <f t="shared" si="0"/>
        <v>35Абушаев Роман Шамильевич</v>
      </c>
      <c r="C3" s="46">
        <v>35</v>
      </c>
      <c r="D3" s="46" t="s">
        <v>3</v>
      </c>
      <c r="E3" s="1">
        <v>35</v>
      </c>
      <c r="F3" s="45">
        <f t="shared" ref="F3:F66" si="1">IF(VLOOKUP(D3,$V$2:$W$299,2,FALSE)&lt;&gt;1,1,0)</f>
        <v>0</v>
      </c>
      <c r="V3" s="45" t="s">
        <v>273</v>
      </c>
      <c r="W3" s="47">
        <v>3</v>
      </c>
      <c r="AA3" s="70">
        <v>2</v>
      </c>
      <c r="AB3" s="70">
        <v>6</v>
      </c>
      <c r="AC3" s="71" t="s">
        <v>90</v>
      </c>
      <c r="AE3" s="45">
        <v>2</v>
      </c>
      <c r="AF3" s="71" t="s">
        <v>642</v>
      </c>
      <c r="AG3" s="81" t="s">
        <v>262</v>
      </c>
      <c r="AH3" s="45" t="e">
        <f t="shared" ref="AH3:AH16" si="2">VLOOKUP(AF3,$AI$2:$AI$11,1,FALSE)</f>
        <v>#N/A</v>
      </c>
      <c r="AI3" t="s">
        <v>2</v>
      </c>
    </row>
    <row r="4" spans="1:35" s="45" customFormat="1">
      <c r="A4" s="1">
        <v>260</v>
      </c>
      <c r="B4" s="46" t="str">
        <f t="shared" si="0"/>
        <v>273Аксенов Дмитрий Викторович</v>
      </c>
      <c r="C4" s="46">
        <v>273</v>
      </c>
      <c r="D4" s="46" t="s">
        <v>4</v>
      </c>
      <c r="E4" s="1">
        <v>260</v>
      </c>
      <c r="F4" s="45">
        <f t="shared" si="1"/>
        <v>0</v>
      </c>
      <c r="V4" s="45" t="s">
        <v>285</v>
      </c>
      <c r="W4" s="47">
        <v>3</v>
      </c>
      <c r="AA4" s="70">
        <v>3</v>
      </c>
      <c r="AB4" s="70">
        <v>6</v>
      </c>
      <c r="AC4" s="71" t="s">
        <v>90</v>
      </c>
      <c r="AE4" s="45">
        <v>3</v>
      </c>
      <c r="AF4" s="71" t="s">
        <v>181</v>
      </c>
      <c r="AG4" s="71" t="s">
        <v>181</v>
      </c>
      <c r="AH4" s="45" t="str">
        <f t="shared" si="2"/>
        <v>Нелюбов Сергей Владимирович</v>
      </c>
      <c r="AI4" t="s">
        <v>181</v>
      </c>
    </row>
    <row r="5" spans="1:35" s="45" customFormat="1" ht="24">
      <c r="A5" s="1">
        <v>203</v>
      </c>
      <c r="B5" s="46" t="str">
        <f t="shared" si="0"/>
        <v>213Александров Владимир Александрович</v>
      </c>
      <c r="C5" s="46">
        <v>213</v>
      </c>
      <c r="D5" s="46" t="s">
        <v>5</v>
      </c>
      <c r="E5" s="1">
        <v>203</v>
      </c>
      <c r="F5" s="45">
        <f t="shared" si="1"/>
        <v>0</v>
      </c>
      <c r="V5" s="45" t="s">
        <v>150</v>
      </c>
      <c r="W5" s="47">
        <v>3</v>
      </c>
      <c r="AA5" s="70">
        <v>4</v>
      </c>
      <c r="AB5" s="70">
        <v>6</v>
      </c>
      <c r="AC5" s="71" t="s">
        <v>90</v>
      </c>
      <c r="AE5" s="45">
        <v>4</v>
      </c>
      <c r="AF5" s="71" t="s">
        <v>2</v>
      </c>
      <c r="AG5" s="71" t="s">
        <v>2</v>
      </c>
      <c r="AH5" s="45" t="str">
        <f t="shared" si="2"/>
        <v>Абу Махади Мохаммед Ибрагим</v>
      </c>
      <c r="AI5" t="s">
        <v>90</v>
      </c>
    </row>
    <row r="6" spans="1:35" s="45" customFormat="1">
      <c r="A6" s="1">
        <v>316</v>
      </c>
      <c r="B6" s="46" t="str">
        <f t="shared" si="0"/>
        <v>306-307Алексеев Андрей Олегович</v>
      </c>
      <c r="C6" s="46" t="s">
        <v>6</v>
      </c>
      <c r="D6" s="46" t="s">
        <v>7</v>
      </c>
      <c r="E6" s="1">
        <v>316</v>
      </c>
      <c r="F6" s="45">
        <f t="shared" si="1"/>
        <v>0</v>
      </c>
      <c r="V6" s="45" t="s">
        <v>261</v>
      </c>
      <c r="W6" s="47">
        <v>2</v>
      </c>
      <c r="AA6" s="70">
        <v>5</v>
      </c>
      <c r="AB6" s="70">
        <v>6</v>
      </c>
      <c r="AC6" s="71" t="s">
        <v>90</v>
      </c>
      <c r="AE6" s="45">
        <v>5</v>
      </c>
      <c r="AF6" s="71" t="s">
        <v>645</v>
      </c>
      <c r="AG6" s="81" t="s">
        <v>91</v>
      </c>
      <c r="AH6" s="45" t="e">
        <f t="shared" si="2"/>
        <v>#N/A</v>
      </c>
      <c r="AI6" t="s">
        <v>13</v>
      </c>
    </row>
    <row r="7" spans="1:35" s="45" customFormat="1">
      <c r="A7" s="1">
        <v>232</v>
      </c>
      <c r="B7" s="46" t="str">
        <f t="shared" si="0"/>
        <v xml:space="preserve">241Амплеева Мария Александровна </v>
      </c>
      <c r="C7" s="46">
        <v>241</v>
      </c>
      <c r="D7" s="46" t="s">
        <v>8</v>
      </c>
      <c r="E7" s="1">
        <v>232</v>
      </c>
      <c r="F7" s="45">
        <f t="shared" si="1"/>
        <v>0</v>
      </c>
      <c r="V7" s="45" t="s">
        <v>155</v>
      </c>
      <c r="W7" s="47">
        <v>2</v>
      </c>
      <c r="AA7" s="70">
        <v>6</v>
      </c>
      <c r="AB7" s="70">
        <v>6</v>
      </c>
      <c r="AC7" s="71" t="s">
        <v>90</v>
      </c>
      <c r="AE7" s="45">
        <v>6</v>
      </c>
      <c r="AF7" s="71" t="s">
        <v>641</v>
      </c>
      <c r="AG7" s="81" t="s">
        <v>239</v>
      </c>
      <c r="AH7" s="45" t="e">
        <f t="shared" si="2"/>
        <v>#N/A</v>
      </c>
      <c r="AI7" t="s">
        <v>247</v>
      </c>
    </row>
    <row r="8" spans="1:35" s="45" customFormat="1" ht="24">
      <c r="A8" s="1">
        <v>277</v>
      </c>
      <c r="B8" s="46" t="str">
        <f t="shared" si="0"/>
        <v>290Андреева Любовь Ивановна(у Севастьянова)</v>
      </c>
      <c r="C8" s="46">
        <v>290</v>
      </c>
      <c r="D8" s="46" t="s">
        <v>9</v>
      </c>
      <c r="E8" s="1">
        <v>277</v>
      </c>
      <c r="F8" s="45">
        <f t="shared" si="1"/>
        <v>0</v>
      </c>
      <c r="V8" s="45" t="s">
        <v>247</v>
      </c>
      <c r="W8" s="47">
        <v>2</v>
      </c>
      <c r="AA8" s="70">
        <v>7</v>
      </c>
      <c r="AB8" s="70">
        <v>6</v>
      </c>
      <c r="AC8" s="71" t="s">
        <v>90</v>
      </c>
      <c r="AE8" s="45">
        <v>7</v>
      </c>
      <c r="AF8" s="71" t="s">
        <v>13</v>
      </c>
      <c r="AG8" s="71" t="s">
        <v>13</v>
      </c>
      <c r="AH8" s="45" t="str">
        <f t="shared" si="2"/>
        <v>Анциферов Алексей Сергеевич</v>
      </c>
      <c r="AI8" t="s">
        <v>109</v>
      </c>
    </row>
    <row r="9" spans="1:35" s="45" customFormat="1" ht="24">
      <c r="A9" s="1">
        <v>221</v>
      </c>
      <c r="B9" s="46" t="str">
        <f t="shared" si="0"/>
        <v>230Анисимова (Корнеева) Татьяна Николаевна</v>
      </c>
      <c r="C9" s="46">
        <v>230</v>
      </c>
      <c r="D9" s="46" t="s">
        <v>10</v>
      </c>
      <c r="E9" s="1">
        <v>221</v>
      </c>
      <c r="F9" s="45">
        <f t="shared" si="1"/>
        <v>0</v>
      </c>
      <c r="V9" s="45" t="s">
        <v>292</v>
      </c>
      <c r="W9" s="47">
        <v>2</v>
      </c>
      <c r="AA9" s="70">
        <v>8</v>
      </c>
      <c r="AB9" s="70">
        <v>6</v>
      </c>
      <c r="AC9" s="71" t="s">
        <v>90</v>
      </c>
      <c r="AE9" s="45">
        <v>8</v>
      </c>
      <c r="AF9" s="71" t="s">
        <v>247</v>
      </c>
      <c r="AG9" s="71" t="s">
        <v>247</v>
      </c>
      <c r="AH9" s="45" t="str">
        <f t="shared" si="2"/>
        <v>Спиридонов Андрей Владимирович</v>
      </c>
      <c r="AI9" t="s">
        <v>37</v>
      </c>
    </row>
    <row r="10" spans="1:35" s="45" customFormat="1">
      <c r="A10" s="1">
        <v>259</v>
      </c>
      <c r="B10" s="46" t="str">
        <f t="shared" si="0"/>
        <v>272Анисимова Елена Анатольевна</v>
      </c>
      <c r="C10" s="46">
        <v>272</v>
      </c>
      <c r="D10" s="46" t="s">
        <v>11</v>
      </c>
      <c r="E10" s="1">
        <v>259</v>
      </c>
      <c r="F10" s="45">
        <f t="shared" si="1"/>
        <v>0</v>
      </c>
      <c r="V10" s="45" t="s">
        <v>87</v>
      </c>
      <c r="W10" s="47">
        <v>2</v>
      </c>
      <c r="AA10" s="70">
        <v>9</v>
      </c>
      <c r="AB10" s="70">
        <v>6</v>
      </c>
      <c r="AC10" s="71" t="s">
        <v>90</v>
      </c>
      <c r="AE10" s="45">
        <v>9</v>
      </c>
      <c r="AF10" s="71" t="s">
        <v>37</v>
      </c>
      <c r="AG10" s="71" t="s">
        <v>37</v>
      </c>
      <c r="AH10" s="45" t="str">
        <f t="shared" si="2"/>
        <v>Борисов Олег Александрович</v>
      </c>
      <c r="AI10" t="s">
        <v>146</v>
      </c>
    </row>
    <row r="11" spans="1:35" s="45" customFormat="1">
      <c r="A11" s="1">
        <v>109</v>
      </c>
      <c r="B11" s="46" t="str">
        <f t="shared" si="0"/>
        <v>114Антипова Жанна Михайловна</v>
      </c>
      <c r="C11" s="46">
        <v>114</v>
      </c>
      <c r="D11" s="46" t="s">
        <v>12</v>
      </c>
      <c r="E11" s="1">
        <v>109</v>
      </c>
      <c r="F11" s="45">
        <f t="shared" si="1"/>
        <v>0</v>
      </c>
      <c r="V11" s="45" t="s">
        <v>166</v>
      </c>
      <c r="W11" s="47">
        <v>2</v>
      </c>
      <c r="AA11" s="70">
        <v>10</v>
      </c>
      <c r="AB11" s="70">
        <v>6</v>
      </c>
      <c r="AC11" s="71" t="s">
        <v>90</v>
      </c>
      <c r="AE11" s="45">
        <v>10</v>
      </c>
      <c r="AF11" s="71" t="s">
        <v>109</v>
      </c>
      <c r="AG11" s="71" t="s">
        <v>109</v>
      </c>
      <c r="AH11" s="45" t="str">
        <f t="shared" si="2"/>
        <v>Карпова Елена Витальевна</v>
      </c>
      <c r="AI11" t="s">
        <v>103</v>
      </c>
    </row>
    <row r="12" spans="1:35" s="45" customFormat="1">
      <c r="A12" s="1">
        <v>130</v>
      </c>
      <c r="B12" s="46" t="str">
        <f t="shared" si="0"/>
        <v>137Анциферов Алексей Сергеевич</v>
      </c>
      <c r="C12" s="46">
        <v>137</v>
      </c>
      <c r="D12" s="46" t="s">
        <v>13</v>
      </c>
      <c r="E12" s="1">
        <v>130</v>
      </c>
      <c r="F12" s="45">
        <f t="shared" si="1"/>
        <v>0</v>
      </c>
      <c r="V12" s="45" t="s">
        <v>42</v>
      </c>
      <c r="W12" s="47">
        <v>2</v>
      </c>
      <c r="AA12" s="70">
        <v>11</v>
      </c>
      <c r="AB12" s="70">
        <v>6</v>
      </c>
      <c r="AC12" s="71" t="s">
        <v>90</v>
      </c>
      <c r="AE12" s="45">
        <v>11</v>
      </c>
      <c r="AF12" s="71" t="s">
        <v>644</v>
      </c>
      <c r="AG12" s="81" t="s">
        <v>84</v>
      </c>
      <c r="AH12" s="45" t="e">
        <f t="shared" si="2"/>
        <v>#N/A</v>
      </c>
    </row>
    <row r="13" spans="1:35" s="45" customFormat="1">
      <c r="A13" s="1">
        <v>7</v>
      </c>
      <c r="B13" s="46" t="str">
        <f t="shared" si="0"/>
        <v>14Артемьев Сергей Иванович</v>
      </c>
      <c r="C13" s="46">
        <v>14</v>
      </c>
      <c r="D13" s="46" t="s">
        <v>14</v>
      </c>
      <c r="E13" s="1">
        <v>7</v>
      </c>
      <c r="F13" s="45">
        <f t="shared" si="1"/>
        <v>1</v>
      </c>
      <c r="V13" s="45" t="s">
        <v>14</v>
      </c>
      <c r="W13" s="47">
        <v>2</v>
      </c>
      <c r="AA13" s="70">
        <v>12</v>
      </c>
      <c r="AB13" s="70">
        <v>6</v>
      </c>
      <c r="AC13" s="71" t="s">
        <v>90</v>
      </c>
      <c r="AE13" s="45">
        <v>12</v>
      </c>
      <c r="AF13" s="71" t="s">
        <v>146</v>
      </c>
      <c r="AG13" s="71" t="s">
        <v>146</v>
      </c>
      <c r="AH13" s="45" t="str">
        <f t="shared" si="2"/>
        <v>Лапшин Сергей Николаевич</v>
      </c>
    </row>
    <row r="14" spans="1:35" s="45" customFormat="1">
      <c r="A14" s="1">
        <v>7</v>
      </c>
      <c r="B14" s="46" t="str">
        <f t="shared" si="0"/>
        <v>7Артемьев Сергей Иванович</v>
      </c>
      <c r="C14" s="46">
        <v>7</v>
      </c>
      <c r="D14" s="46" t="s">
        <v>14</v>
      </c>
      <c r="E14" s="1">
        <v>7</v>
      </c>
      <c r="F14" s="45">
        <f t="shared" si="1"/>
        <v>1</v>
      </c>
      <c r="V14" s="45" t="s">
        <v>35</v>
      </c>
      <c r="W14" s="47">
        <v>2</v>
      </c>
      <c r="AA14" s="70">
        <v>13</v>
      </c>
      <c r="AB14" s="70">
        <v>6</v>
      </c>
      <c r="AC14" s="71" t="s">
        <v>90</v>
      </c>
      <c r="AE14" s="45">
        <v>13</v>
      </c>
      <c r="AF14" s="71" t="s">
        <v>643</v>
      </c>
      <c r="AG14" s="81" t="s">
        <v>180</v>
      </c>
      <c r="AH14" s="45" t="e">
        <f t="shared" si="2"/>
        <v>#N/A</v>
      </c>
    </row>
    <row r="15" spans="1:35" s="45" customFormat="1" ht="24">
      <c r="A15" s="1">
        <v>193</v>
      </c>
      <c r="B15" s="46" t="str">
        <f t="shared" si="0"/>
        <v>201Асташкин Павел Александрович(продал???)</v>
      </c>
      <c r="C15" s="46">
        <v>201</v>
      </c>
      <c r="D15" s="46" t="s">
        <v>15</v>
      </c>
      <c r="E15" s="1">
        <v>193</v>
      </c>
      <c r="F15" s="45">
        <f t="shared" si="1"/>
        <v>0</v>
      </c>
      <c r="V15" s="45" t="s">
        <v>93</v>
      </c>
      <c r="W15" s="47">
        <v>2</v>
      </c>
      <c r="AA15" s="70">
        <v>14</v>
      </c>
      <c r="AB15" s="70">
        <v>6</v>
      </c>
      <c r="AC15" s="71" t="s">
        <v>90</v>
      </c>
      <c r="AE15" s="45">
        <v>14</v>
      </c>
      <c r="AF15" s="71" t="s">
        <v>103</v>
      </c>
      <c r="AG15" s="71" t="s">
        <v>103</v>
      </c>
      <c r="AH15" s="45" t="str">
        <f t="shared" si="2"/>
        <v>Измайлов Михаил Михайлович</v>
      </c>
    </row>
    <row r="16" spans="1:35" s="45" customFormat="1">
      <c r="A16" s="1">
        <v>178</v>
      </c>
      <c r="B16" s="46" t="str">
        <f t="shared" si="0"/>
        <v>186Афанасьева Злата Сергеевна</v>
      </c>
      <c r="C16" s="46">
        <v>186</v>
      </c>
      <c r="D16" s="46" t="s">
        <v>16</v>
      </c>
      <c r="E16" s="1">
        <v>178</v>
      </c>
      <c r="F16" s="45">
        <f t="shared" si="1"/>
        <v>0</v>
      </c>
      <c r="V16" s="45" t="s">
        <v>143</v>
      </c>
      <c r="W16" s="47">
        <v>2</v>
      </c>
      <c r="AA16" s="70">
        <v>15</v>
      </c>
      <c r="AB16" s="70">
        <v>6</v>
      </c>
      <c r="AC16" s="71" t="s">
        <v>90</v>
      </c>
      <c r="AE16" s="45">
        <v>15</v>
      </c>
      <c r="AF16" s="71" t="s">
        <v>148</v>
      </c>
      <c r="AG16" s="71" t="s">
        <v>148</v>
      </c>
      <c r="AH16" s="45" t="str">
        <f t="shared" si="2"/>
        <v>Лебедев Андрей Анатольевич</v>
      </c>
    </row>
    <row r="17" spans="1:33" s="45" customFormat="1">
      <c r="A17" s="1">
        <v>119</v>
      </c>
      <c r="B17" s="46" t="str">
        <f t="shared" si="0"/>
        <v>124Афян Сасун Аркадиевич</v>
      </c>
      <c r="C17" s="46">
        <v>124</v>
      </c>
      <c r="D17" s="46" t="s">
        <v>17</v>
      </c>
      <c r="E17" s="1">
        <v>119</v>
      </c>
      <c r="F17" s="45">
        <f t="shared" si="1"/>
        <v>0</v>
      </c>
      <c r="V17" s="45" t="s">
        <v>151</v>
      </c>
      <c r="W17" s="47">
        <v>2</v>
      </c>
      <c r="AA17" s="70">
        <v>16</v>
      </c>
      <c r="AB17" s="70">
        <v>6</v>
      </c>
      <c r="AC17" s="71" t="s">
        <v>90</v>
      </c>
      <c r="AF17"/>
      <c r="AG17"/>
    </row>
    <row r="18" spans="1:33" s="45" customFormat="1">
      <c r="A18" s="1">
        <v>293</v>
      </c>
      <c r="B18" s="46" t="str">
        <f t="shared" si="0"/>
        <v>308Ахромеев Андрей Владимирович</v>
      </c>
      <c r="C18" s="46">
        <v>308</v>
      </c>
      <c r="D18" s="46" t="s">
        <v>18</v>
      </c>
      <c r="E18" s="1">
        <v>293</v>
      </c>
      <c r="F18" s="45">
        <f t="shared" si="1"/>
        <v>0</v>
      </c>
      <c r="V18" s="45" t="s">
        <v>123</v>
      </c>
      <c r="W18" s="47">
        <v>2</v>
      </c>
      <c r="AA18" s="70">
        <v>17</v>
      </c>
      <c r="AB18" s="70">
        <v>6</v>
      </c>
      <c r="AC18" s="71" t="s">
        <v>90</v>
      </c>
      <c r="AF18"/>
      <c r="AG18"/>
    </row>
    <row r="19" spans="1:33" s="45" customFormat="1">
      <c r="A19" s="1">
        <v>191</v>
      </c>
      <c r="B19" s="46" t="str">
        <f t="shared" si="0"/>
        <v>199Бадирьян Тамара Викторовна</v>
      </c>
      <c r="C19" s="46">
        <v>199</v>
      </c>
      <c r="D19" s="46" t="s">
        <v>19</v>
      </c>
      <c r="E19" s="1">
        <v>191</v>
      </c>
      <c r="F19" s="45">
        <f t="shared" si="1"/>
        <v>0</v>
      </c>
      <c r="V19" s="45" t="s">
        <v>41</v>
      </c>
      <c r="W19" s="47">
        <v>2</v>
      </c>
      <c r="AA19" s="70">
        <v>18</v>
      </c>
      <c r="AB19" s="70">
        <v>6</v>
      </c>
      <c r="AC19" s="71" t="s">
        <v>90</v>
      </c>
      <c r="AF19"/>
      <c r="AG19"/>
    </row>
    <row r="20" spans="1:33" s="45" customFormat="1" ht="24">
      <c r="A20" s="1">
        <v>249</v>
      </c>
      <c r="B20" s="46" t="str">
        <f t="shared" si="0"/>
        <v>260Байбикова Рузалия Равилевна / Байбикова Руфия Равилевна</v>
      </c>
      <c r="C20" s="46">
        <v>260</v>
      </c>
      <c r="D20" s="46" t="s">
        <v>20</v>
      </c>
      <c r="E20" s="1">
        <v>249</v>
      </c>
      <c r="F20" s="45">
        <f t="shared" si="1"/>
        <v>0</v>
      </c>
      <c r="V20" s="45" t="s">
        <v>218</v>
      </c>
      <c r="W20" s="47">
        <v>2</v>
      </c>
      <c r="AA20" s="70">
        <v>19</v>
      </c>
      <c r="AB20" s="70">
        <v>6</v>
      </c>
      <c r="AC20" s="71" t="s">
        <v>90</v>
      </c>
      <c r="AF20"/>
      <c r="AG20"/>
    </row>
    <row r="21" spans="1:33" s="45" customFormat="1">
      <c r="A21" s="1">
        <v>125</v>
      </c>
      <c r="B21" s="46" t="str">
        <f t="shared" si="0"/>
        <v>130Безбородова Людмила Михайловна</v>
      </c>
      <c r="C21" s="46">
        <v>130</v>
      </c>
      <c r="D21" s="46" t="s">
        <v>22</v>
      </c>
      <c r="E21" s="1">
        <v>125</v>
      </c>
      <c r="F21" s="45">
        <f t="shared" si="1"/>
        <v>0</v>
      </c>
      <c r="V21" s="45" t="s">
        <v>179</v>
      </c>
      <c r="W21" s="47">
        <v>2</v>
      </c>
      <c r="AA21" s="70">
        <v>20</v>
      </c>
      <c r="AB21" s="70">
        <v>6</v>
      </c>
      <c r="AC21" s="71" t="s">
        <v>90</v>
      </c>
      <c r="AF21"/>
      <c r="AG21"/>
    </row>
    <row r="22" spans="1:33" s="45" customFormat="1">
      <c r="A22" s="1">
        <v>229</v>
      </c>
      <c r="B22" s="46" t="str">
        <f t="shared" si="0"/>
        <v>238Безменова Татьяна Игоревна</v>
      </c>
      <c r="C22" s="46">
        <v>238</v>
      </c>
      <c r="D22" s="46" t="s">
        <v>23</v>
      </c>
      <c r="E22" s="1">
        <v>229</v>
      </c>
      <c r="F22" s="45">
        <f t="shared" si="1"/>
        <v>0</v>
      </c>
      <c r="V22" s="45" t="s">
        <v>43</v>
      </c>
      <c r="W22" s="47">
        <v>2</v>
      </c>
      <c r="AA22" s="70">
        <v>21</v>
      </c>
      <c r="AB22" s="70">
        <v>6</v>
      </c>
      <c r="AC22" s="71" t="s">
        <v>90</v>
      </c>
      <c r="AF22"/>
      <c r="AG22"/>
    </row>
    <row r="23" spans="1:33" s="45" customFormat="1">
      <c r="A23" s="1">
        <v>296</v>
      </c>
      <c r="B23" s="46" t="str">
        <f t="shared" si="0"/>
        <v>311Бекмансурова Динара Василевна</v>
      </c>
      <c r="C23" s="46">
        <v>311</v>
      </c>
      <c r="D23" s="46" t="s">
        <v>24</v>
      </c>
      <c r="E23" s="1">
        <v>296</v>
      </c>
      <c r="F23" s="45">
        <f t="shared" si="1"/>
        <v>0</v>
      </c>
      <c r="V23" s="45" t="s">
        <v>217</v>
      </c>
      <c r="W23" s="47">
        <v>2</v>
      </c>
      <c r="AA23" s="70">
        <v>22</v>
      </c>
      <c r="AB23" s="70">
        <v>6</v>
      </c>
      <c r="AC23" s="71" t="s">
        <v>90</v>
      </c>
      <c r="AF23"/>
      <c r="AG23"/>
    </row>
    <row r="24" spans="1:33" s="45" customFormat="1">
      <c r="A24" s="1">
        <v>281</v>
      </c>
      <c r="B24" s="46" t="str">
        <f t="shared" si="0"/>
        <v xml:space="preserve">293Белов Семён Иванович          </v>
      </c>
      <c r="C24" s="46">
        <v>293</v>
      </c>
      <c r="D24" s="46" t="s">
        <v>25</v>
      </c>
      <c r="E24" s="1">
        <v>281</v>
      </c>
      <c r="F24" s="45">
        <f t="shared" si="1"/>
        <v>0</v>
      </c>
      <c r="V24" s="45" t="s">
        <v>235</v>
      </c>
      <c r="W24" s="47">
        <v>1</v>
      </c>
      <c r="AA24" s="70">
        <v>23</v>
      </c>
      <c r="AB24" s="70">
        <v>6</v>
      </c>
      <c r="AC24" s="71" t="s">
        <v>90</v>
      </c>
      <c r="AF24"/>
      <c r="AG24"/>
    </row>
    <row r="25" spans="1:33" s="45" customFormat="1">
      <c r="A25" s="1">
        <v>198</v>
      </c>
      <c r="B25" s="46" t="str">
        <f t="shared" si="0"/>
        <v>206Белоглазова Людмила Ивановна</v>
      </c>
      <c r="C25" s="46">
        <v>206</v>
      </c>
      <c r="D25" s="46" t="s">
        <v>26</v>
      </c>
      <c r="E25" s="1">
        <v>198</v>
      </c>
      <c r="F25" s="45">
        <f t="shared" si="1"/>
        <v>0</v>
      </c>
      <c r="V25" s="45" t="s">
        <v>112</v>
      </c>
      <c r="W25" s="47">
        <v>1</v>
      </c>
      <c r="AA25" s="70">
        <v>24</v>
      </c>
      <c r="AB25" s="70">
        <v>6</v>
      </c>
      <c r="AC25" s="71" t="s">
        <v>90</v>
      </c>
      <c r="AF25"/>
      <c r="AG25"/>
    </row>
    <row r="26" spans="1:33" s="45" customFormat="1" ht="24">
      <c r="A26" s="1">
        <v>52</v>
      </c>
      <c r="B26" s="46" t="str">
        <f t="shared" si="0"/>
        <v>54Бельская Светлана Александровна (Владимир)</v>
      </c>
      <c r="C26" s="46">
        <v>54</v>
      </c>
      <c r="D26" s="46" t="s">
        <v>27</v>
      </c>
      <c r="E26" s="1">
        <v>52</v>
      </c>
      <c r="F26" s="45">
        <f t="shared" si="1"/>
        <v>0</v>
      </c>
      <c r="V26" s="45" t="s">
        <v>102</v>
      </c>
      <c r="W26" s="47">
        <v>1</v>
      </c>
      <c r="AA26" s="70">
        <v>25</v>
      </c>
      <c r="AB26" s="70">
        <v>6</v>
      </c>
      <c r="AC26" s="71" t="s">
        <v>90</v>
      </c>
      <c r="AF26"/>
      <c r="AG26"/>
    </row>
    <row r="27" spans="1:33" s="45" customFormat="1" ht="24">
      <c r="A27" s="1">
        <v>51</v>
      </c>
      <c r="B27" s="46" t="str">
        <f t="shared" si="0"/>
        <v>53Бельский Владимир Владимирович (Светлана)</v>
      </c>
      <c r="C27" s="46">
        <v>53</v>
      </c>
      <c r="D27" s="46" t="s">
        <v>28</v>
      </c>
      <c r="E27" s="1">
        <v>51</v>
      </c>
      <c r="F27" s="45">
        <f t="shared" si="1"/>
        <v>0</v>
      </c>
      <c r="V27" s="45" t="s">
        <v>95</v>
      </c>
      <c r="W27" s="47">
        <v>1</v>
      </c>
      <c r="AA27" s="70">
        <v>26</v>
      </c>
      <c r="AB27" s="70">
        <v>6</v>
      </c>
      <c r="AC27" s="71" t="s">
        <v>90</v>
      </c>
      <c r="AF27"/>
      <c r="AG27"/>
    </row>
    <row r="28" spans="1:33" s="45" customFormat="1">
      <c r="A28" s="1">
        <v>136</v>
      </c>
      <c r="B28" s="46" t="str">
        <f t="shared" si="0"/>
        <v>144Беляков Виктор Михайлович</v>
      </c>
      <c r="C28" s="46">
        <v>144</v>
      </c>
      <c r="D28" s="46" t="s">
        <v>29</v>
      </c>
      <c r="E28" s="1">
        <v>136</v>
      </c>
      <c r="F28" s="45">
        <f t="shared" si="1"/>
        <v>0</v>
      </c>
      <c r="V28" s="45" t="s">
        <v>254</v>
      </c>
      <c r="W28" s="47">
        <v>1</v>
      </c>
      <c r="AA28" s="70">
        <v>27</v>
      </c>
      <c r="AB28" s="70">
        <v>6</v>
      </c>
      <c r="AC28" s="71" t="s">
        <v>90</v>
      </c>
      <c r="AF28"/>
      <c r="AG28"/>
    </row>
    <row r="29" spans="1:33" s="45" customFormat="1" ht="24">
      <c r="A29" s="1">
        <v>11</v>
      </c>
      <c r="B29" s="46" t="str">
        <f t="shared" si="0"/>
        <v>11Бенгя Владимир Михайлович (Диана)</v>
      </c>
      <c r="C29" s="46">
        <v>11</v>
      </c>
      <c r="D29" s="46" t="s">
        <v>30</v>
      </c>
      <c r="E29" s="1">
        <v>11</v>
      </c>
      <c r="F29" s="45">
        <f t="shared" si="1"/>
        <v>0</v>
      </c>
      <c r="V29" s="45" t="s">
        <v>96</v>
      </c>
      <c r="W29" s="47">
        <v>1</v>
      </c>
      <c r="AA29" s="70">
        <v>28</v>
      </c>
      <c r="AB29" s="70">
        <v>6</v>
      </c>
      <c r="AC29" s="71" t="s">
        <v>90</v>
      </c>
      <c r="AF29"/>
      <c r="AG29"/>
    </row>
    <row r="30" spans="1:33" s="45" customFormat="1">
      <c r="A30" s="1">
        <v>114</v>
      </c>
      <c r="B30" s="46" t="str">
        <f t="shared" si="0"/>
        <v>119Беспаленко Зинаида Александровна</v>
      </c>
      <c r="C30" s="46">
        <v>119</v>
      </c>
      <c r="D30" s="46" t="s">
        <v>31</v>
      </c>
      <c r="E30" s="1">
        <v>114</v>
      </c>
      <c r="F30" s="45">
        <f t="shared" si="1"/>
        <v>0</v>
      </c>
      <c r="V30" s="45" t="s">
        <v>16</v>
      </c>
      <c r="W30" s="47">
        <v>1</v>
      </c>
      <c r="AA30" s="70">
        <v>29</v>
      </c>
      <c r="AB30" s="70">
        <v>6</v>
      </c>
      <c r="AC30" s="71" t="s">
        <v>90</v>
      </c>
      <c r="AF30"/>
      <c r="AG30"/>
    </row>
    <row r="31" spans="1:33" s="45" customFormat="1">
      <c r="A31" s="1">
        <v>151</v>
      </c>
      <c r="B31" s="46" t="str">
        <f t="shared" si="0"/>
        <v>159Бирюков Александр Сергеевич</v>
      </c>
      <c r="C31" s="46">
        <v>159</v>
      </c>
      <c r="D31" s="46" t="s">
        <v>32</v>
      </c>
      <c r="E31" s="1">
        <v>151</v>
      </c>
      <c r="F31" s="45">
        <f t="shared" si="1"/>
        <v>0</v>
      </c>
      <c r="V31" s="45" t="s">
        <v>99</v>
      </c>
      <c r="W31" s="47">
        <v>1</v>
      </c>
      <c r="AA31" s="70">
        <v>30</v>
      </c>
      <c r="AB31" s="70">
        <v>6</v>
      </c>
      <c r="AC31" s="71" t="s">
        <v>90</v>
      </c>
      <c r="AF31"/>
      <c r="AG31"/>
    </row>
    <row r="32" spans="1:33" s="45" customFormat="1">
      <c r="A32" s="1">
        <v>142</v>
      </c>
      <c r="B32" s="46" t="str">
        <f t="shared" si="0"/>
        <v>150Блинков Анатолий Сергеевич</v>
      </c>
      <c r="C32" s="46">
        <v>150</v>
      </c>
      <c r="D32" s="46" t="s">
        <v>33</v>
      </c>
      <c r="E32" s="1">
        <v>142</v>
      </c>
      <c r="F32" s="45">
        <f t="shared" si="1"/>
        <v>0</v>
      </c>
      <c r="V32" s="45" t="s">
        <v>100</v>
      </c>
      <c r="W32" s="47">
        <v>1</v>
      </c>
      <c r="AA32" s="70">
        <v>31</v>
      </c>
      <c r="AB32" s="70">
        <v>15</v>
      </c>
      <c r="AC32" s="71" t="s">
        <v>642</v>
      </c>
      <c r="AF32"/>
      <c r="AG32"/>
    </row>
    <row r="33" spans="1:33" s="45" customFormat="1">
      <c r="A33" s="1">
        <v>245</v>
      </c>
      <c r="B33" s="46" t="str">
        <f t="shared" si="0"/>
        <v>256Бондарев Станислав Дмитриевич</v>
      </c>
      <c r="C33" s="46">
        <v>256</v>
      </c>
      <c r="D33" s="46" t="s">
        <v>34</v>
      </c>
      <c r="E33" s="1">
        <v>245</v>
      </c>
      <c r="F33" s="45">
        <f t="shared" si="1"/>
        <v>0</v>
      </c>
      <c r="V33" s="45" t="s">
        <v>113</v>
      </c>
      <c r="W33" s="47">
        <v>1</v>
      </c>
      <c r="AA33" s="70">
        <v>32</v>
      </c>
      <c r="AB33" s="70">
        <v>15</v>
      </c>
      <c r="AC33" s="71" t="s">
        <v>642</v>
      </c>
      <c r="AF33"/>
      <c r="AG33"/>
    </row>
    <row r="34" spans="1:33" s="45" customFormat="1">
      <c r="A34" s="1">
        <v>188</v>
      </c>
      <c r="B34" s="46" t="str">
        <f t="shared" si="0"/>
        <v>197Бондаренко Владимир Иванович</v>
      </c>
      <c r="C34" s="46">
        <v>197</v>
      </c>
      <c r="D34" s="46" t="s">
        <v>35</v>
      </c>
      <c r="E34" s="1">
        <v>188</v>
      </c>
      <c r="F34" s="45">
        <f t="shared" si="1"/>
        <v>1</v>
      </c>
      <c r="V34" s="45" t="s">
        <v>106</v>
      </c>
      <c r="W34" s="47">
        <v>1</v>
      </c>
      <c r="AA34" s="70">
        <v>33</v>
      </c>
      <c r="AB34" s="70">
        <v>15</v>
      </c>
      <c r="AC34" s="71" t="s">
        <v>642</v>
      </c>
      <c r="AF34"/>
      <c r="AG34"/>
    </row>
    <row r="35" spans="1:33" s="45" customFormat="1">
      <c r="A35" s="1">
        <v>188</v>
      </c>
      <c r="B35" s="46" t="str">
        <f t="shared" si="0"/>
        <v>196Бондаренко Владимир Иванович</v>
      </c>
      <c r="C35" s="46">
        <v>196</v>
      </c>
      <c r="D35" s="46" t="s">
        <v>35</v>
      </c>
      <c r="E35" s="1">
        <v>188</v>
      </c>
      <c r="F35" s="45">
        <f t="shared" si="1"/>
        <v>1</v>
      </c>
      <c r="V35" s="45" t="s">
        <v>115</v>
      </c>
      <c r="W35" s="47">
        <v>1</v>
      </c>
      <c r="AA35" s="70">
        <v>34</v>
      </c>
      <c r="AB35" s="70">
        <v>15</v>
      </c>
      <c r="AC35" s="71" t="s">
        <v>642</v>
      </c>
      <c r="AF35"/>
      <c r="AG35"/>
    </row>
    <row r="36" spans="1:33" s="45" customFormat="1">
      <c r="A36" s="1">
        <v>219</v>
      </c>
      <c r="B36" s="46" t="str">
        <f t="shared" si="0"/>
        <v>228Бондарь Василий Дмитриевич</v>
      </c>
      <c r="C36" s="46">
        <v>228</v>
      </c>
      <c r="D36" s="46" t="s">
        <v>36</v>
      </c>
      <c r="E36" s="1">
        <v>219</v>
      </c>
      <c r="F36" s="45">
        <f t="shared" si="1"/>
        <v>0</v>
      </c>
      <c r="V36" s="45" t="s">
        <v>69</v>
      </c>
      <c r="W36" s="47">
        <v>1</v>
      </c>
      <c r="AA36" s="70">
        <v>35</v>
      </c>
      <c r="AB36" s="70">
        <v>15</v>
      </c>
      <c r="AC36" s="71" t="s">
        <v>642</v>
      </c>
      <c r="AF36"/>
      <c r="AG36"/>
    </row>
    <row r="37" spans="1:33" s="45" customFormat="1">
      <c r="A37" s="1">
        <v>223</v>
      </c>
      <c r="B37" s="46" t="str">
        <f t="shared" si="0"/>
        <v>232Борисов Олег Александрович</v>
      </c>
      <c r="C37" s="46">
        <v>232</v>
      </c>
      <c r="D37" s="46" t="s">
        <v>37</v>
      </c>
      <c r="E37" s="1">
        <v>223</v>
      </c>
      <c r="F37" s="45">
        <f t="shared" si="1"/>
        <v>0</v>
      </c>
      <c r="V37" s="45" t="s">
        <v>117</v>
      </c>
      <c r="W37" s="47">
        <v>1</v>
      </c>
      <c r="AA37" s="70">
        <v>36</v>
      </c>
      <c r="AB37" s="70">
        <v>15</v>
      </c>
      <c r="AC37" s="71" t="s">
        <v>642</v>
      </c>
      <c r="AF37"/>
      <c r="AG37"/>
    </row>
    <row r="38" spans="1:33" s="45" customFormat="1">
      <c r="A38" s="1">
        <v>137</v>
      </c>
      <c r="B38" s="46" t="str">
        <f t="shared" si="0"/>
        <v>145Бранцова Татьяна Валерьевна</v>
      </c>
      <c r="C38" s="46">
        <v>145</v>
      </c>
      <c r="D38" s="46" t="s">
        <v>38</v>
      </c>
      <c r="E38" s="1">
        <v>137</v>
      </c>
      <c r="F38" s="45">
        <f t="shared" si="1"/>
        <v>0</v>
      </c>
      <c r="V38" s="45" t="s">
        <v>199</v>
      </c>
      <c r="W38" s="47">
        <v>1</v>
      </c>
      <c r="AA38" s="70">
        <v>37</v>
      </c>
      <c r="AB38" s="70">
        <v>15</v>
      </c>
      <c r="AC38" s="71" t="s">
        <v>642</v>
      </c>
      <c r="AF38"/>
      <c r="AG38"/>
    </row>
    <row r="39" spans="1:33" s="45" customFormat="1">
      <c r="A39" s="1">
        <v>105</v>
      </c>
      <c r="B39" s="46" t="str">
        <f t="shared" si="0"/>
        <v>110Брылёв Андрей Вячеславович</v>
      </c>
      <c r="C39" s="46">
        <v>110</v>
      </c>
      <c r="D39" s="46" t="s">
        <v>39</v>
      </c>
      <c r="E39" s="1">
        <v>105</v>
      </c>
      <c r="F39" s="45">
        <f t="shared" si="1"/>
        <v>0</v>
      </c>
      <c r="V39" s="45" t="s">
        <v>28</v>
      </c>
      <c r="W39" s="47">
        <v>1</v>
      </c>
      <c r="AA39" s="70">
        <v>38</v>
      </c>
      <c r="AB39" s="70">
        <v>15</v>
      </c>
      <c r="AC39" s="71" t="s">
        <v>642</v>
      </c>
      <c r="AF39"/>
      <c r="AG39"/>
    </row>
    <row r="40" spans="1:33" s="45" customFormat="1">
      <c r="A40" s="1">
        <v>98</v>
      </c>
      <c r="B40" s="46" t="str">
        <f t="shared" si="0"/>
        <v>103Бугрова Вероника Артуровна</v>
      </c>
      <c r="C40" s="46">
        <v>103</v>
      </c>
      <c r="D40" s="46" t="s">
        <v>40</v>
      </c>
      <c r="E40" s="1">
        <v>98</v>
      </c>
      <c r="F40" s="45">
        <f t="shared" si="1"/>
        <v>0</v>
      </c>
      <c r="V40" s="45" t="s">
        <v>74</v>
      </c>
      <c r="W40" s="47">
        <v>1</v>
      </c>
      <c r="AA40" s="70">
        <v>39</v>
      </c>
      <c r="AB40" s="70">
        <v>15</v>
      </c>
      <c r="AC40" s="71" t="s">
        <v>642</v>
      </c>
      <c r="AF40"/>
      <c r="AG40"/>
    </row>
    <row r="41" spans="1:33" s="45" customFormat="1">
      <c r="A41" s="1">
        <v>274</v>
      </c>
      <c r="B41" s="46" t="str">
        <f t="shared" si="0"/>
        <v>295Будаев Андрей Анатольевич</v>
      </c>
      <c r="C41" s="46">
        <v>295</v>
      </c>
      <c r="D41" s="46" t="s">
        <v>41</v>
      </c>
      <c r="E41" s="1">
        <v>274</v>
      </c>
      <c r="F41" s="45">
        <f t="shared" si="1"/>
        <v>1</v>
      </c>
      <c r="V41" s="45" t="s">
        <v>124</v>
      </c>
      <c r="W41" s="47">
        <v>1</v>
      </c>
      <c r="AA41" s="70">
        <v>40</v>
      </c>
      <c r="AB41" s="70">
        <v>15</v>
      </c>
      <c r="AC41" s="71" t="s">
        <v>642</v>
      </c>
      <c r="AF41"/>
      <c r="AG41"/>
    </row>
    <row r="42" spans="1:33" s="45" customFormat="1">
      <c r="A42" s="1">
        <v>274</v>
      </c>
      <c r="B42" s="46" t="str">
        <f t="shared" si="0"/>
        <v>287Будаев Андрей Анатольевич</v>
      </c>
      <c r="C42" s="46">
        <v>287</v>
      </c>
      <c r="D42" s="46" t="s">
        <v>41</v>
      </c>
      <c r="E42" s="1">
        <v>274</v>
      </c>
      <c r="F42" s="45">
        <f t="shared" si="1"/>
        <v>1</v>
      </c>
      <c r="V42" s="45" t="s">
        <v>45</v>
      </c>
      <c r="W42" s="47">
        <v>1</v>
      </c>
      <c r="AA42" s="70">
        <v>41</v>
      </c>
      <c r="AB42" s="70">
        <v>15</v>
      </c>
      <c r="AC42" s="71" t="s">
        <v>642</v>
      </c>
      <c r="AF42"/>
      <c r="AG42"/>
    </row>
    <row r="43" spans="1:33" s="45" customFormat="1">
      <c r="A43" s="1">
        <v>175</v>
      </c>
      <c r="B43" s="46" t="str">
        <f t="shared" si="0"/>
        <v>187Буланова Лилия Михайловна</v>
      </c>
      <c r="C43" s="46">
        <v>187</v>
      </c>
      <c r="D43" s="46" t="s">
        <v>42</v>
      </c>
      <c r="E43" s="1">
        <v>175</v>
      </c>
      <c r="F43" s="45">
        <f t="shared" si="1"/>
        <v>1</v>
      </c>
      <c r="V43" s="45" t="s">
        <v>137</v>
      </c>
      <c r="W43" s="47">
        <v>1</v>
      </c>
      <c r="AA43" s="70">
        <v>42</v>
      </c>
      <c r="AB43" s="70">
        <v>15</v>
      </c>
      <c r="AC43" s="71" t="s">
        <v>642</v>
      </c>
      <c r="AF43"/>
      <c r="AG43"/>
    </row>
    <row r="44" spans="1:33" s="45" customFormat="1">
      <c r="A44" s="1">
        <v>175</v>
      </c>
      <c r="B44" s="46" t="str">
        <f t="shared" si="0"/>
        <v>183Буланова Лилия Михайловна</v>
      </c>
      <c r="C44" s="46">
        <v>183</v>
      </c>
      <c r="D44" s="46" t="s">
        <v>42</v>
      </c>
      <c r="E44" s="1">
        <v>175</v>
      </c>
      <c r="F44" s="45">
        <f t="shared" si="1"/>
        <v>1</v>
      </c>
      <c r="V44" s="45" t="s">
        <v>37</v>
      </c>
      <c r="W44" s="47">
        <v>1</v>
      </c>
      <c r="AA44" s="70">
        <v>43</v>
      </c>
      <c r="AB44" s="70">
        <v>15</v>
      </c>
      <c r="AC44" s="71" t="s">
        <v>642</v>
      </c>
      <c r="AF44"/>
      <c r="AG44"/>
    </row>
    <row r="45" spans="1:33" s="45" customFormat="1">
      <c r="A45" s="1">
        <v>303</v>
      </c>
      <c r="B45" s="46" t="str">
        <f t="shared" si="0"/>
        <v>319Бурдух Юрие</v>
      </c>
      <c r="C45" s="46">
        <v>319</v>
      </c>
      <c r="D45" s="46" t="s">
        <v>43</v>
      </c>
      <c r="E45" s="1">
        <v>303</v>
      </c>
      <c r="F45" s="45">
        <f t="shared" si="1"/>
        <v>1</v>
      </c>
      <c r="V45" s="45" t="s">
        <v>142</v>
      </c>
      <c r="W45" s="47">
        <v>1</v>
      </c>
      <c r="AA45" s="70">
        <v>44</v>
      </c>
      <c r="AB45" s="70">
        <v>15</v>
      </c>
      <c r="AC45" s="71" t="s">
        <v>642</v>
      </c>
      <c r="AF45"/>
      <c r="AG45"/>
    </row>
    <row r="46" spans="1:33" s="45" customFormat="1">
      <c r="A46" s="1">
        <v>303</v>
      </c>
      <c r="B46" s="46" t="str">
        <f t="shared" si="0"/>
        <v>318Бурдух Юрие</v>
      </c>
      <c r="C46" s="46">
        <v>318</v>
      </c>
      <c r="D46" s="46" t="s">
        <v>43</v>
      </c>
      <c r="E46" s="1">
        <v>303</v>
      </c>
      <c r="F46" s="45">
        <f t="shared" si="1"/>
        <v>1</v>
      </c>
      <c r="V46" s="45" t="s">
        <v>304</v>
      </c>
      <c r="W46" s="47">
        <v>1</v>
      </c>
      <c r="AA46" s="70">
        <v>45</v>
      </c>
      <c r="AB46" s="70">
        <v>15</v>
      </c>
      <c r="AC46" s="71" t="s">
        <v>642</v>
      </c>
      <c r="AF46"/>
      <c r="AG46"/>
    </row>
    <row r="47" spans="1:33" s="45" customFormat="1">
      <c r="A47" s="1">
        <v>90</v>
      </c>
      <c r="B47" s="46" t="str">
        <f t="shared" si="0"/>
        <v>95Быданцева Нина Юрьевна</v>
      </c>
      <c r="C47" s="46">
        <v>95</v>
      </c>
      <c r="D47" s="46" t="s">
        <v>44</v>
      </c>
      <c r="E47" s="1">
        <v>90</v>
      </c>
      <c r="F47" s="45">
        <f t="shared" si="1"/>
        <v>0</v>
      </c>
      <c r="V47" s="45" t="s">
        <v>144</v>
      </c>
      <c r="W47" s="47">
        <v>1</v>
      </c>
      <c r="AA47" s="70">
        <v>46</v>
      </c>
      <c r="AB47" s="70">
        <v>15</v>
      </c>
      <c r="AC47" s="71" t="s">
        <v>642</v>
      </c>
      <c r="AF47"/>
      <c r="AG47"/>
    </row>
    <row r="48" spans="1:33" s="45" customFormat="1">
      <c r="A48" s="1">
        <v>206</v>
      </c>
      <c r="B48" s="46" t="str">
        <f t="shared" si="0"/>
        <v>216Валеев Артур Рашидович</v>
      </c>
      <c r="C48" s="46">
        <v>216</v>
      </c>
      <c r="D48" s="46" t="s">
        <v>45</v>
      </c>
      <c r="E48" s="1">
        <v>206</v>
      </c>
      <c r="F48" s="45">
        <f t="shared" si="1"/>
        <v>0</v>
      </c>
      <c r="V48" s="45" t="s">
        <v>11</v>
      </c>
      <c r="W48" s="47">
        <v>1</v>
      </c>
      <c r="AA48" s="70">
        <v>47</v>
      </c>
      <c r="AB48" s="70">
        <v>15</v>
      </c>
      <c r="AC48" s="71" t="s">
        <v>642</v>
      </c>
      <c r="AF48"/>
      <c r="AG48"/>
    </row>
    <row r="49" spans="1:33" s="45" customFormat="1">
      <c r="A49" s="1">
        <v>101</v>
      </c>
      <c r="B49" s="46" t="str">
        <f t="shared" si="0"/>
        <v>106Васильев Николай Владимирович</v>
      </c>
      <c r="C49" s="46">
        <v>106</v>
      </c>
      <c r="D49" s="46" t="s">
        <v>46</v>
      </c>
      <c r="E49" s="1">
        <v>101</v>
      </c>
      <c r="F49" s="45">
        <f t="shared" si="1"/>
        <v>0</v>
      </c>
      <c r="V49" s="45" t="s">
        <v>148</v>
      </c>
      <c r="W49" s="47">
        <v>1</v>
      </c>
      <c r="AA49" s="70">
        <v>48</v>
      </c>
      <c r="AB49" s="70">
        <v>15</v>
      </c>
      <c r="AC49" s="71" t="s">
        <v>642</v>
      </c>
      <c r="AF49"/>
      <c r="AG49"/>
    </row>
    <row r="50" spans="1:33" s="45" customFormat="1">
      <c r="A50" s="1">
        <v>86</v>
      </c>
      <c r="B50" s="46" t="str">
        <f t="shared" si="0"/>
        <v>91Васильева Ольга Александровна</v>
      </c>
      <c r="C50" s="46">
        <v>91</v>
      </c>
      <c r="D50" s="46" t="s">
        <v>47</v>
      </c>
      <c r="E50" s="1">
        <v>86</v>
      </c>
      <c r="F50" s="45">
        <f t="shared" si="1"/>
        <v>0</v>
      </c>
      <c r="V50" s="45" t="s">
        <v>62</v>
      </c>
      <c r="W50" s="47">
        <v>1</v>
      </c>
      <c r="AA50" s="70">
        <v>49</v>
      </c>
      <c r="AB50" s="70">
        <v>15</v>
      </c>
      <c r="AC50" s="71" t="s">
        <v>642</v>
      </c>
      <c r="AF50"/>
      <c r="AG50"/>
    </row>
    <row r="51" spans="1:33" s="45" customFormat="1">
      <c r="A51" s="1">
        <v>43</v>
      </c>
      <c r="B51" s="46" t="str">
        <f t="shared" si="0"/>
        <v>43Васильцова Елена Владимировна</v>
      </c>
      <c r="C51" s="46">
        <v>43</v>
      </c>
      <c r="D51" s="46" t="s">
        <v>48</v>
      </c>
      <c r="E51" s="1">
        <v>43</v>
      </c>
      <c r="F51" s="45">
        <f t="shared" si="1"/>
        <v>0</v>
      </c>
      <c r="V51" s="45" t="s">
        <v>21</v>
      </c>
      <c r="W51" s="47">
        <v>1</v>
      </c>
      <c r="AA51" s="70">
        <v>50</v>
      </c>
      <c r="AB51" s="70">
        <v>15</v>
      </c>
      <c r="AC51" s="71" t="s">
        <v>642</v>
      </c>
      <c r="AF51"/>
      <c r="AG51"/>
    </row>
    <row r="52" spans="1:33" s="45" customFormat="1">
      <c r="A52" s="1">
        <v>25</v>
      </c>
      <c r="B52" s="46" t="str">
        <f t="shared" si="0"/>
        <v>25Вершинина Елена Анатольевна</v>
      </c>
      <c r="C52" s="46">
        <v>25</v>
      </c>
      <c r="D52" s="46" t="s">
        <v>49</v>
      </c>
      <c r="E52" s="1">
        <v>25</v>
      </c>
      <c r="F52" s="45">
        <f t="shared" si="1"/>
        <v>0</v>
      </c>
      <c r="V52" s="45" t="s">
        <v>264</v>
      </c>
      <c r="W52" s="47">
        <v>1</v>
      </c>
      <c r="AA52" s="70">
        <v>51</v>
      </c>
      <c r="AB52" s="70">
        <v>15</v>
      </c>
      <c r="AC52" s="71" t="s">
        <v>642</v>
      </c>
      <c r="AF52"/>
      <c r="AG52"/>
    </row>
    <row r="53" spans="1:33" s="45" customFormat="1" ht="24">
      <c r="A53" s="1">
        <v>138</v>
      </c>
      <c r="B53" s="46" t="str">
        <f t="shared" si="0"/>
        <v>146Виноградова Наталья Дмитриевна (Николай)</v>
      </c>
      <c r="C53" s="46">
        <v>146</v>
      </c>
      <c r="D53" s="46" t="s">
        <v>50</v>
      </c>
      <c r="E53" s="1">
        <v>138</v>
      </c>
      <c r="F53" s="45">
        <f t="shared" si="1"/>
        <v>0</v>
      </c>
      <c r="V53" s="45" t="s">
        <v>157</v>
      </c>
      <c r="W53" s="47">
        <v>1</v>
      </c>
      <c r="AA53" s="70">
        <v>52</v>
      </c>
      <c r="AB53" s="70">
        <v>15</v>
      </c>
      <c r="AC53" s="71" t="s">
        <v>642</v>
      </c>
      <c r="AF53"/>
      <c r="AG53"/>
    </row>
    <row r="54" spans="1:33" s="45" customFormat="1">
      <c r="A54" s="1">
        <v>228</v>
      </c>
      <c r="B54" s="46" t="str">
        <f t="shared" si="0"/>
        <v>237Виртилецкий Денис Вячеславович</v>
      </c>
      <c r="C54" s="46">
        <v>237</v>
      </c>
      <c r="D54" s="46" t="s">
        <v>51</v>
      </c>
      <c r="E54" s="1">
        <v>228</v>
      </c>
      <c r="F54" s="45">
        <f t="shared" si="1"/>
        <v>0</v>
      </c>
      <c r="V54" s="45" t="s">
        <v>208</v>
      </c>
      <c r="W54" s="47">
        <v>1</v>
      </c>
      <c r="AA54" s="70">
        <v>53</v>
      </c>
      <c r="AB54" s="70">
        <v>15</v>
      </c>
      <c r="AC54" s="71" t="s">
        <v>642</v>
      </c>
      <c r="AF54"/>
      <c r="AG54"/>
    </row>
    <row r="55" spans="1:33" s="45" customFormat="1">
      <c r="A55" s="1">
        <v>37</v>
      </c>
      <c r="B55" s="46" t="str">
        <f t="shared" si="0"/>
        <v>37Водянова Ольга Александровна</v>
      </c>
      <c r="C55" s="46">
        <v>37</v>
      </c>
      <c r="D55" s="46" t="s">
        <v>52</v>
      </c>
      <c r="E55" s="1">
        <v>37</v>
      </c>
      <c r="F55" s="45">
        <f t="shared" si="1"/>
        <v>0</v>
      </c>
      <c r="V55" s="45" t="s">
        <v>158</v>
      </c>
      <c r="W55" s="47">
        <v>1</v>
      </c>
      <c r="AA55" s="70">
        <v>54</v>
      </c>
      <c r="AB55" s="70">
        <v>15</v>
      </c>
      <c r="AC55" s="71" t="s">
        <v>642</v>
      </c>
      <c r="AF55"/>
      <c r="AG55"/>
    </row>
    <row r="56" spans="1:33" s="45" customFormat="1">
      <c r="A56" s="1">
        <v>126</v>
      </c>
      <c r="B56" s="46" t="str">
        <f t="shared" si="0"/>
        <v>131Волгушев Дмитрий Геннадиевич</v>
      </c>
      <c r="C56" s="46">
        <v>131</v>
      </c>
      <c r="D56" s="46" t="s">
        <v>53</v>
      </c>
      <c r="E56" s="1">
        <v>126</v>
      </c>
      <c r="F56" s="45">
        <f t="shared" si="1"/>
        <v>0</v>
      </c>
      <c r="V56" s="45" t="s">
        <v>207</v>
      </c>
      <c r="W56" s="47">
        <v>1</v>
      </c>
      <c r="AA56" s="70">
        <v>55</v>
      </c>
      <c r="AB56" s="70">
        <v>15</v>
      </c>
      <c r="AC56" s="71" t="s">
        <v>642</v>
      </c>
      <c r="AF56"/>
      <c r="AG56"/>
    </row>
    <row r="57" spans="1:33" s="45" customFormat="1">
      <c r="A57" s="1">
        <v>58</v>
      </c>
      <c r="B57" s="46" t="str">
        <f t="shared" si="0"/>
        <v>60Володина Инна Александровна</v>
      </c>
      <c r="C57" s="46">
        <v>60</v>
      </c>
      <c r="D57" s="46" t="s">
        <v>54</v>
      </c>
      <c r="E57" s="1">
        <v>58</v>
      </c>
      <c r="F57" s="45">
        <f t="shared" si="1"/>
        <v>0</v>
      </c>
      <c r="V57" s="45" t="s">
        <v>163</v>
      </c>
      <c r="W57" s="47">
        <v>1</v>
      </c>
      <c r="AA57" s="70">
        <v>56</v>
      </c>
      <c r="AB57" s="70">
        <v>15</v>
      </c>
      <c r="AC57" s="71" t="s">
        <v>642</v>
      </c>
      <c r="AF57"/>
      <c r="AG57"/>
    </row>
    <row r="58" spans="1:33" s="45" customFormat="1">
      <c r="A58" s="1">
        <v>117</v>
      </c>
      <c r="B58" s="46" t="str">
        <f t="shared" si="0"/>
        <v>122Вольский Андрей Юрьевич</v>
      </c>
      <c r="C58" s="46">
        <v>122</v>
      </c>
      <c r="D58" s="46" t="s">
        <v>55</v>
      </c>
      <c r="E58" s="1">
        <v>117</v>
      </c>
      <c r="F58" s="45">
        <f t="shared" si="1"/>
        <v>0</v>
      </c>
      <c r="V58" s="45" t="s">
        <v>71</v>
      </c>
      <c r="W58" s="47">
        <v>1</v>
      </c>
      <c r="AA58" s="70">
        <v>57</v>
      </c>
      <c r="AB58" s="70">
        <v>15</v>
      </c>
      <c r="AC58" s="71" t="s">
        <v>642</v>
      </c>
      <c r="AF58"/>
      <c r="AG58"/>
    </row>
    <row r="59" spans="1:33" s="45" customFormat="1">
      <c r="A59" s="1">
        <v>61</v>
      </c>
      <c r="B59" s="46" t="str">
        <f t="shared" si="0"/>
        <v>63Высоких Антон Маркович</v>
      </c>
      <c r="C59" s="46">
        <v>63</v>
      </c>
      <c r="D59" s="46" t="s">
        <v>56</v>
      </c>
      <c r="E59" s="1">
        <v>61</v>
      </c>
      <c r="F59" s="45">
        <f t="shared" si="1"/>
        <v>0</v>
      </c>
      <c r="V59" s="45" t="s">
        <v>165</v>
      </c>
      <c r="W59" s="47">
        <v>1</v>
      </c>
      <c r="AA59" s="70">
        <v>58</v>
      </c>
      <c r="AB59" s="70">
        <v>15</v>
      </c>
      <c r="AC59" s="71" t="s">
        <v>642</v>
      </c>
      <c r="AF59"/>
      <c r="AG59"/>
    </row>
    <row r="60" spans="1:33" s="45" customFormat="1" ht="24">
      <c r="A60" s="1">
        <v>294</v>
      </c>
      <c r="B60" s="46" t="str">
        <f t="shared" si="0"/>
        <v>309Гайкова (Дьякова) Мария Викторовна</v>
      </c>
      <c r="C60" s="46">
        <v>309</v>
      </c>
      <c r="D60" s="46" t="s">
        <v>57</v>
      </c>
      <c r="E60" s="1">
        <v>294</v>
      </c>
      <c r="F60" s="45">
        <f t="shared" si="1"/>
        <v>0</v>
      </c>
      <c r="V60" s="45" t="s">
        <v>15</v>
      </c>
      <c r="W60" s="47">
        <v>1</v>
      </c>
      <c r="AA60" s="70">
        <v>59</v>
      </c>
      <c r="AB60" s="70">
        <v>15</v>
      </c>
      <c r="AC60" s="71" t="s">
        <v>642</v>
      </c>
      <c r="AF60"/>
      <c r="AG60"/>
    </row>
    <row r="61" spans="1:33" s="45" customFormat="1">
      <c r="A61" s="1">
        <v>286</v>
      </c>
      <c r="B61" s="46" t="str">
        <f t="shared" si="0"/>
        <v>298Ганин Александр Борисович</v>
      </c>
      <c r="C61" s="46">
        <v>298</v>
      </c>
      <c r="D61" s="46" t="s">
        <v>58</v>
      </c>
      <c r="E61" s="1">
        <v>286</v>
      </c>
      <c r="F61" s="45">
        <f t="shared" si="1"/>
        <v>0</v>
      </c>
      <c r="V61" s="45" t="s">
        <v>182</v>
      </c>
      <c r="W61" s="47">
        <v>1</v>
      </c>
      <c r="AA61" s="70">
        <v>60</v>
      </c>
      <c r="AB61" s="70">
        <v>15</v>
      </c>
      <c r="AC61" s="71" t="s">
        <v>642</v>
      </c>
      <c r="AF61"/>
      <c r="AG61"/>
    </row>
    <row r="62" spans="1:33" s="45" customFormat="1">
      <c r="A62" s="1">
        <v>64</v>
      </c>
      <c r="B62" s="46" t="str">
        <f t="shared" si="0"/>
        <v>66Горбунов Владимир Александрович</v>
      </c>
      <c r="C62" s="46">
        <v>66</v>
      </c>
      <c r="D62" s="46" t="s">
        <v>59</v>
      </c>
      <c r="E62" s="1">
        <v>64</v>
      </c>
      <c r="F62" s="45">
        <f t="shared" si="1"/>
        <v>0</v>
      </c>
      <c r="V62" s="45" t="s">
        <v>133</v>
      </c>
      <c r="W62" s="47">
        <v>1</v>
      </c>
      <c r="AA62" s="70">
        <v>61</v>
      </c>
      <c r="AB62" s="70">
        <v>12</v>
      </c>
      <c r="AC62" s="71" t="s">
        <v>181</v>
      </c>
      <c r="AF62"/>
      <c r="AG62"/>
    </row>
    <row r="63" spans="1:33" s="45" customFormat="1">
      <c r="A63" s="1">
        <v>94</v>
      </c>
      <c r="B63" s="46" t="str">
        <f t="shared" si="0"/>
        <v>99Горбунов Максим Николаевич</v>
      </c>
      <c r="C63" s="46">
        <v>99</v>
      </c>
      <c r="D63" s="46" t="s">
        <v>60</v>
      </c>
      <c r="E63" s="1">
        <v>94</v>
      </c>
      <c r="F63" s="45">
        <f t="shared" si="1"/>
        <v>0</v>
      </c>
      <c r="V63" s="45" t="s">
        <v>186</v>
      </c>
      <c r="W63" s="47">
        <v>1</v>
      </c>
      <c r="AA63" s="70">
        <v>62</v>
      </c>
      <c r="AB63" s="70">
        <v>12</v>
      </c>
      <c r="AC63" s="71" t="s">
        <v>181</v>
      </c>
      <c r="AF63"/>
      <c r="AG63"/>
    </row>
    <row r="64" spans="1:33" s="45" customFormat="1">
      <c r="A64" s="1">
        <v>39</v>
      </c>
      <c r="B64" s="46" t="str">
        <f t="shared" si="0"/>
        <v>39Гордейчик Игорь Борисович</v>
      </c>
      <c r="C64" s="46">
        <v>39</v>
      </c>
      <c r="D64" s="46" t="s">
        <v>61</v>
      </c>
      <c r="E64" s="1">
        <v>39</v>
      </c>
      <c r="F64" s="45">
        <f t="shared" si="1"/>
        <v>0</v>
      </c>
      <c r="V64" s="45" t="s">
        <v>225</v>
      </c>
      <c r="W64" s="47">
        <v>1</v>
      </c>
      <c r="AA64" s="70">
        <v>63</v>
      </c>
      <c r="AB64" s="70">
        <v>12</v>
      </c>
      <c r="AC64" s="71" t="s">
        <v>181</v>
      </c>
      <c r="AF64"/>
      <c r="AG64"/>
    </row>
    <row r="65" spans="1:33" s="45" customFormat="1">
      <c r="A65" s="1">
        <v>276</v>
      </c>
      <c r="B65" s="46" t="str">
        <f t="shared" si="0"/>
        <v>289Горянов Михаил Андреевич</v>
      </c>
      <c r="C65" s="46">
        <v>289</v>
      </c>
      <c r="D65" s="46" t="s">
        <v>62</v>
      </c>
      <c r="E65" s="1">
        <v>276</v>
      </c>
      <c r="F65" s="45">
        <f t="shared" si="1"/>
        <v>0</v>
      </c>
      <c r="V65" s="45" t="s">
        <v>191</v>
      </c>
      <c r="W65" s="47">
        <v>1</v>
      </c>
      <c r="AA65" s="70">
        <v>64</v>
      </c>
      <c r="AB65" s="70">
        <v>12</v>
      </c>
      <c r="AC65" s="71" t="s">
        <v>181</v>
      </c>
      <c r="AF65"/>
      <c r="AG65"/>
    </row>
    <row r="66" spans="1:33" s="45" customFormat="1">
      <c r="A66" s="1">
        <v>148</v>
      </c>
      <c r="B66" s="46" t="str">
        <f t="shared" ref="B66:B129" si="3">CONCATENATE(C66,D66)</f>
        <v>156Горячев Дмитрий Николаевич</v>
      </c>
      <c r="C66" s="46">
        <v>156</v>
      </c>
      <c r="D66" s="46" t="s">
        <v>63</v>
      </c>
      <c r="E66" s="1">
        <v>148</v>
      </c>
      <c r="F66" s="45">
        <f t="shared" si="1"/>
        <v>0</v>
      </c>
      <c r="V66" s="45" t="s">
        <v>36</v>
      </c>
      <c r="W66" s="47">
        <v>1</v>
      </c>
      <c r="AA66" s="70">
        <v>65</v>
      </c>
      <c r="AB66" s="70">
        <v>12</v>
      </c>
      <c r="AC66" s="71" t="s">
        <v>181</v>
      </c>
      <c r="AF66"/>
      <c r="AG66"/>
    </row>
    <row r="67" spans="1:33" s="45" customFormat="1">
      <c r="A67" s="1">
        <v>308</v>
      </c>
      <c r="B67" s="46" t="str">
        <f t="shared" si="3"/>
        <v>323Губарева Татьяна Григорьевна</v>
      </c>
      <c r="C67" s="46">
        <v>323</v>
      </c>
      <c r="D67" s="46" t="s">
        <v>64</v>
      </c>
      <c r="E67" s="1">
        <v>308</v>
      </c>
      <c r="F67" s="45">
        <f t="shared" ref="F67:F130" si="4">IF(VLOOKUP(D67,$V$2:$W$299,2,FALSE)&lt;&gt;1,1,0)</f>
        <v>0</v>
      </c>
      <c r="V67" s="45" t="s">
        <v>192</v>
      </c>
      <c r="W67" s="47">
        <v>1</v>
      </c>
      <c r="AA67" s="70">
        <v>66</v>
      </c>
      <c r="AB67" s="70">
        <v>12</v>
      </c>
      <c r="AC67" s="71" t="s">
        <v>181</v>
      </c>
      <c r="AF67"/>
      <c r="AG67"/>
    </row>
    <row r="68" spans="1:33" s="45" customFormat="1">
      <c r="A68" s="1">
        <v>318</v>
      </c>
      <c r="B68" s="46" t="str">
        <f t="shared" si="3"/>
        <v>71-72Гусева Светлана Григорьевна</v>
      </c>
      <c r="C68" s="46" t="s">
        <v>65</v>
      </c>
      <c r="D68" s="46" t="s">
        <v>66</v>
      </c>
      <c r="E68" s="1">
        <v>318</v>
      </c>
      <c r="F68" s="45">
        <f t="shared" si="4"/>
        <v>0</v>
      </c>
      <c r="V68" s="45" t="s">
        <v>302</v>
      </c>
      <c r="W68" s="47">
        <v>1</v>
      </c>
      <c r="AA68" s="70">
        <v>67</v>
      </c>
      <c r="AB68" s="70">
        <v>12</v>
      </c>
      <c r="AC68" s="71" t="s">
        <v>181</v>
      </c>
      <c r="AF68"/>
      <c r="AG68"/>
    </row>
    <row r="69" spans="1:33" s="45" customFormat="1">
      <c r="A69" s="1">
        <v>236</v>
      </c>
      <c r="B69" s="46" t="str">
        <f t="shared" si="3"/>
        <v>245Давыдова Анна Сергеевна</v>
      </c>
      <c r="C69" s="46">
        <v>245</v>
      </c>
      <c r="D69" s="46" t="s">
        <v>67</v>
      </c>
      <c r="E69" s="1">
        <v>236</v>
      </c>
      <c r="F69" s="45">
        <f t="shared" si="4"/>
        <v>0</v>
      </c>
      <c r="V69" s="45" t="s">
        <v>193</v>
      </c>
      <c r="W69" s="47">
        <v>1</v>
      </c>
      <c r="AA69" s="70">
        <v>68</v>
      </c>
      <c r="AB69" s="70">
        <v>12</v>
      </c>
      <c r="AC69" s="71" t="s">
        <v>181</v>
      </c>
      <c r="AF69"/>
      <c r="AG69"/>
    </row>
    <row r="70" spans="1:33" s="45" customFormat="1">
      <c r="A70" s="1">
        <v>226</v>
      </c>
      <c r="B70" s="46" t="str">
        <f t="shared" si="3"/>
        <v xml:space="preserve">235Данильянц Юрий Константинович   </v>
      </c>
      <c r="C70" s="46">
        <v>235</v>
      </c>
      <c r="D70" s="46" t="s">
        <v>68</v>
      </c>
      <c r="E70" s="1">
        <v>226</v>
      </c>
      <c r="F70" s="45">
        <f t="shared" si="4"/>
        <v>0</v>
      </c>
      <c r="V70" s="45" t="s">
        <v>67</v>
      </c>
      <c r="W70" s="47">
        <v>1</v>
      </c>
      <c r="AA70" s="70">
        <v>69</v>
      </c>
      <c r="AB70" s="70">
        <v>12</v>
      </c>
      <c r="AC70" s="71" t="s">
        <v>181</v>
      </c>
      <c r="AF70"/>
      <c r="AG70"/>
    </row>
    <row r="71" spans="1:33" s="45" customFormat="1">
      <c r="A71" s="1">
        <v>285</v>
      </c>
      <c r="B71" s="46" t="str">
        <f t="shared" si="3"/>
        <v>297Даточный Алексей Валерьевич</v>
      </c>
      <c r="C71" s="46">
        <v>297</v>
      </c>
      <c r="D71" s="46" t="s">
        <v>69</v>
      </c>
      <c r="E71" s="1">
        <v>285</v>
      </c>
      <c r="F71" s="45">
        <f t="shared" si="4"/>
        <v>0</v>
      </c>
      <c r="V71" s="45" t="s">
        <v>198</v>
      </c>
      <c r="W71" s="47">
        <v>1</v>
      </c>
      <c r="AA71" s="70">
        <v>70</v>
      </c>
      <c r="AB71" s="70">
        <v>12</v>
      </c>
      <c r="AC71" s="71" t="s">
        <v>181</v>
      </c>
      <c r="AF71"/>
      <c r="AG71"/>
    </row>
    <row r="72" spans="1:33" s="45" customFormat="1">
      <c r="A72" s="1">
        <v>24</v>
      </c>
      <c r="B72" s="46" t="str">
        <f t="shared" si="3"/>
        <v>24Двойрина Юлия Владимировна</v>
      </c>
      <c r="C72" s="46">
        <v>24</v>
      </c>
      <c r="D72" s="46" t="s">
        <v>70</v>
      </c>
      <c r="E72" s="1">
        <v>24</v>
      </c>
      <c r="F72" s="45">
        <f t="shared" si="4"/>
        <v>0</v>
      </c>
      <c r="V72" s="45" t="s">
        <v>34</v>
      </c>
      <c r="W72" s="47">
        <v>1</v>
      </c>
      <c r="AA72" s="70">
        <v>71</v>
      </c>
      <c r="AB72" s="70">
        <v>12</v>
      </c>
      <c r="AC72" s="71" t="s">
        <v>181</v>
      </c>
      <c r="AF72"/>
      <c r="AG72"/>
    </row>
    <row r="73" spans="1:33" s="45" customFormat="1">
      <c r="A73" s="1">
        <v>50</v>
      </c>
      <c r="B73" s="46" t="str">
        <f t="shared" si="3"/>
        <v>50Денисов Дмитрий Алексеевич</v>
      </c>
      <c r="C73" s="46">
        <v>50</v>
      </c>
      <c r="D73" s="46" t="s">
        <v>71</v>
      </c>
      <c r="E73" s="1">
        <v>50</v>
      </c>
      <c r="F73" s="45">
        <f t="shared" si="4"/>
        <v>0</v>
      </c>
      <c r="V73" s="45" t="s">
        <v>205</v>
      </c>
      <c r="W73" s="47">
        <v>1</v>
      </c>
      <c r="AA73" s="70">
        <v>72</v>
      </c>
      <c r="AB73" s="70">
        <v>12</v>
      </c>
      <c r="AC73" s="71" t="s">
        <v>181</v>
      </c>
      <c r="AF73"/>
      <c r="AG73"/>
    </row>
    <row r="74" spans="1:33" s="45" customFormat="1">
      <c r="A74" s="1">
        <v>122</v>
      </c>
      <c r="B74" s="46" t="str">
        <f t="shared" si="3"/>
        <v>127Денисов Сергей Александрович</v>
      </c>
      <c r="C74" s="46">
        <v>127</v>
      </c>
      <c r="D74" s="46" t="s">
        <v>72</v>
      </c>
      <c r="E74" s="1">
        <v>122</v>
      </c>
      <c r="F74" s="45">
        <f t="shared" si="4"/>
        <v>0</v>
      </c>
      <c r="V74" s="45" t="s">
        <v>266</v>
      </c>
      <c r="W74" s="47">
        <v>1</v>
      </c>
      <c r="AA74" s="70">
        <v>73</v>
      </c>
      <c r="AB74" s="70">
        <v>12</v>
      </c>
      <c r="AC74" s="71" t="s">
        <v>181</v>
      </c>
      <c r="AF74"/>
      <c r="AG74"/>
    </row>
    <row r="75" spans="1:33" s="45" customFormat="1">
      <c r="A75" s="1">
        <v>301</v>
      </c>
      <c r="B75" s="46" t="str">
        <f t="shared" si="3"/>
        <v>316Десюкова Марина Александровна</v>
      </c>
      <c r="C75" s="46">
        <v>316</v>
      </c>
      <c r="D75" s="46" t="s">
        <v>73</v>
      </c>
      <c r="E75" s="1">
        <v>301</v>
      </c>
      <c r="F75" s="45">
        <f t="shared" si="4"/>
        <v>0</v>
      </c>
      <c r="V75" s="45" t="s">
        <v>30</v>
      </c>
      <c r="W75" s="47">
        <v>1</v>
      </c>
      <c r="AA75" s="70">
        <v>74</v>
      </c>
      <c r="AB75" s="70">
        <v>12</v>
      </c>
      <c r="AC75" s="71" t="s">
        <v>181</v>
      </c>
      <c r="AF75"/>
      <c r="AG75"/>
    </row>
    <row r="76" spans="1:33" s="45" customFormat="1" ht="24">
      <c r="A76" s="1">
        <v>18</v>
      </c>
      <c r="B76" s="46" t="str">
        <f t="shared" si="3"/>
        <v>18Дидушко Денис Васильевич (Василий)</v>
      </c>
      <c r="C76" s="46">
        <v>18</v>
      </c>
      <c r="D76" s="46" t="s">
        <v>74</v>
      </c>
      <c r="E76" s="1">
        <v>18</v>
      </c>
      <c r="F76" s="45">
        <f t="shared" si="4"/>
        <v>0</v>
      </c>
      <c r="V76" s="45" t="s">
        <v>81</v>
      </c>
      <c r="W76" s="47">
        <v>1</v>
      </c>
      <c r="AA76" s="70">
        <v>75</v>
      </c>
      <c r="AB76" s="70">
        <v>12</v>
      </c>
      <c r="AC76" s="71" t="s">
        <v>181</v>
      </c>
      <c r="AF76"/>
      <c r="AG76"/>
    </row>
    <row r="77" spans="1:33" s="45" customFormat="1">
      <c r="A77" s="1">
        <v>155</v>
      </c>
      <c r="B77" s="46" t="str">
        <f t="shared" si="3"/>
        <v>163Дорошенко Владимир Алексеевич</v>
      </c>
      <c r="C77" s="46">
        <v>163</v>
      </c>
      <c r="D77" s="46" t="s">
        <v>75</v>
      </c>
      <c r="E77" s="1">
        <v>155</v>
      </c>
      <c r="F77" s="45">
        <f t="shared" si="4"/>
        <v>0</v>
      </c>
      <c r="V77" s="45" t="s">
        <v>219</v>
      </c>
      <c r="W77" s="47">
        <v>1</v>
      </c>
      <c r="AA77" s="70">
        <v>76</v>
      </c>
      <c r="AB77" s="70">
        <v>12</v>
      </c>
      <c r="AC77" s="71" t="s">
        <v>181</v>
      </c>
      <c r="AF77"/>
      <c r="AG77"/>
    </row>
    <row r="78" spans="1:33" s="45" customFormat="1">
      <c r="A78" s="1">
        <v>44</v>
      </c>
      <c r="B78" s="46" t="str">
        <f t="shared" si="3"/>
        <v>44Дубов Александр Сергеевич</v>
      </c>
      <c r="C78" s="46">
        <v>44</v>
      </c>
      <c r="D78" s="46" t="s">
        <v>76</v>
      </c>
      <c r="E78" s="1">
        <v>44</v>
      </c>
      <c r="F78" s="45">
        <f t="shared" si="4"/>
        <v>0</v>
      </c>
      <c r="V78" s="45" t="s">
        <v>236</v>
      </c>
      <c r="W78" s="47">
        <v>1</v>
      </c>
      <c r="AA78" s="70">
        <v>77</v>
      </c>
      <c r="AB78" s="70">
        <v>12</v>
      </c>
      <c r="AC78" s="71" t="s">
        <v>181</v>
      </c>
      <c r="AF78"/>
      <c r="AG78"/>
    </row>
    <row r="79" spans="1:33" s="45" customFormat="1">
      <c r="A79" s="1">
        <v>132</v>
      </c>
      <c r="B79" s="46" t="str">
        <f t="shared" si="3"/>
        <v>139Евглевская Ольга Борисовна</v>
      </c>
      <c r="C79" s="46">
        <v>139</v>
      </c>
      <c r="D79" s="46" t="s">
        <v>77</v>
      </c>
      <c r="E79" s="1">
        <v>132</v>
      </c>
      <c r="F79" s="45">
        <f t="shared" si="4"/>
        <v>0</v>
      </c>
      <c r="V79" s="45" t="s">
        <v>230</v>
      </c>
      <c r="W79" s="47">
        <v>1</v>
      </c>
      <c r="AA79" s="70">
        <v>78</v>
      </c>
      <c r="AB79" s="70">
        <v>12</v>
      </c>
      <c r="AC79" s="71" t="s">
        <v>181</v>
      </c>
      <c r="AF79"/>
      <c r="AG79"/>
    </row>
    <row r="80" spans="1:33" s="45" customFormat="1">
      <c r="A80" s="1">
        <v>159</v>
      </c>
      <c r="B80" s="46" t="str">
        <f t="shared" si="3"/>
        <v>167Евсеев Александр Сергеевич</v>
      </c>
      <c r="C80" s="46">
        <v>167</v>
      </c>
      <c r="D80" s="46" t="s">
        <v>78</v>
      </c>
      <c r="E80" s="1">
        <v>159</v>
      </c>
      <c r="F80" s="45">
        <f t="shared" si="4"/>
        <v>0</v>
      </c>
      <c r="V80" s="45" t="s">
        <v>232</v>
      </c>
      <c r="W80" s="47">
        <v>1</v>
      </c>
      <c r="AA80" s="70">
        <v>79</v>
      </c>
      <c r="AB80" s="70">
        <v>12</v>
      </c>
      <c r="AC80" s="71" t="s">
        <v>181</v>
      </c>
      <c r="AF80"/>
      <c r="AG80"/>
    </row>
    <row r="81" spans="1:33" s="45" customFormat="1">
      <c r="A81" s="1">
        <v>181</v>
      </c>
      <c r="B81" s="46" t="str">
        <f t="shared" si="3"/>
        <v xml:space="preserve">189Елисеев Сергей Вячеславович          </v>
      </c>
      <c r="C81" s="46">
        <v>189</v>
      </c>
      <c r="D81" s="46" t="s">
        <v>79</v>
      </c>
      <c r="E81" s="1">
        <v>181</v>
      </c>
      <c r="F81" s="45">
        <f t="shared" si="4"/>
        <v>0</v>
      </c>
      <c r="V81" s="45" t="s">
        <v>237</v>
      </c>
      <c r="W81" s="47">
        <v>1</v>
      </c>
      <c r="AA81" s="70">
        <v>80</v>
      </c>
      <c r="AB81" s="70">
        <v>12</v>
      </c>
      <c r="AC81" s="71" t="s">
        <v>181</v>
      </c>
      <c r="AF81"/>
      <c r="AG81"/>
    </row>
    <row r="82" spans="1:33" s="45" customFormat="1">
      <c r="A82" s="1">
        <v>284</v>
      </c>
      <c r="B82" s="46" t="str">
        <f t="shared" si="3"/>
        <v>296Епанчинцева Людмила Филипповна</v>
      </c>
      <c r="C82" s="46">
        <v>296</v>
      </c>
      <c r="D82" s="46" t="s">
        <v>80</v>
      </c>
      <c r="E82" s="1">
        <v>284</v>
      </c>
      <c r="F82" s="45">
        <f t="shared" si="4"/>
        <v>0</v>
      </c>
      <c r="V82" s="45" t="s">
        <v>135</v>
      </c>
      <c r="W82" s="47">
        <v>1</v>
      </c>
      <c r="AA82" s="70">
        <v>81</v>
      </c>
      <c r="AB82" s="70">
        <v>2</v>
      </c>
      <c r="AC82" s="71" t="s">
        <v>2</v>
      </c>
      <c r="AF82"/>
      <c r="AG82"/>
    </row>
    <row r="83" spans="1:33" s="45" customFormat="1" ht="24">
      <c r="A83" s="1">
        <v>264</v>
      </c>
      <c r="B83" s="46" t="str">
        <f t="shared" si="3"/>
        <v>277Еременко Виктор Александрович (Валентина)</v>
      </c>
      <c r="C83" s="46">
        <v>277</v>
      </c>
      <c r="D83" s="46" t="s">
        <v>81</v>
      </c>
      <c r="E83" s="1">
        <v>264</v>
      </c>
      <c r="F83" s="45">
        <f t="shared" si="4"/>
        <v>0</v>
      </c>
      <c r="V83" s="45" t="s">
        <v>242</v>
      </c>
      <c r="W83" s="47">
        <v>1</v>
      </c>
      <c r="AA83" s="70">
        <v>82</v>
      </c>
      <c r="AB83" s="70">
        <v>2</v>
      </c>
      <c r="AC83" s="71" t="s">
        <v>2</v>
      </c>
      <c r="AF83"/>
      <c r="AG83"/>
    </row>
    <row r="84" spans="1:33" s="45" customFormat="1">
      <c r="A84" s="1">
        <v>32</v>
      </c>
      <c r="B84" s="46" t="str">
        <f t="shared" si="3"/>
        <v>32Ермакова Татьяна Викторовна</v>
      </c>
      <c r="C84" s="46">
        <v>32</v>
      </c>
      <c r="D84" s="46" t="s">
        <v>82</v>
      </c>
      <c r="E84" s="1">
        <v>32</v>
      </c>
      <c r="F84" s="45">
        <f t="shared" si="4"/>
        <v>0</v>
      </c>
      <c r="V84" s="45" t="s">
        <v>3</v>
      </c>
      <c r="W84" s="47">
        <v>1</v>
      </c>
      <c r="AA84" s="70">
        <v>83</v>
      </c>
      <c r="AB84" s="70">
        <v>2</v>
      </c>
      <c r="AC84" s="71" t="s">
        <v>2</v>
      </c>
      <c r="AF84"/>
      <c r="AG84"/>
    </row>
    <row r="85" spans="1:33" s="45" customFormat="1">
      <c r="A85" s="1">
        <v>49</v>
      </c>
      <c r="B85" s="46" t="str">
        <f t="shared" si="3"/>
        <v>49Ермолаева Виктория Александровна</v>
      </c>
      <c r="C85" s="46">
        <v>49</v>
      </c>
      <c r="D85" s="46" t="s">
        <v>83</v>
      </c>
      <c r="E85" s="1">
        <v>49</v>
      </c>
      <c r="F85" s="45">
        <f t="shared" si="4"/>
        <v>0</v>
      </c>
      <c r="V85" s="45" t="s">
        <v>248</v>
      </c>
      <c r="W85" s="47">
        <v>1</v>
      </c>
      <c r="AA85" s="70">
        <v>84</v>
      </c>
      <c r="AB85" s="70">
        <v>2</v>
      </c>
      <c r="AC85" s="71" t="s">
        <v>2</v>
      </c>
      <c r="AF85"/>
      <c r="AG85"/>
    </row>
    <row r="86" spans="1:33" s="45" customFormat="1" ht="24">
      <c r="A86" s="1">
        <v>234</v>
      </c>
      <c r="B86" s="46" t="str">
        <f t="shared" si="3"/>
        <v>243-244Ермошина Татьяна Евгеньевна (Владимир)</v>
      </c>
      <c r="C86" s="46" t="s">
        <v>85</v>
      </c>
      <c r="D86" s="46" t="s">
        <v>84</v>
      </c>
      <c r="E86" s="1">
        <v>234</v>
      </c>
      <c r="F86" s="45">
        <f t="shared" si="4"/>
        <v>1</v>
      </c>
      <c r="V86" s="45" t="s">
        <v>127</v>
      </c>
      <c r="W86" s="47">
        <v>1</v>
      </c>
      <c r="AA86" s="70">
        <v>85</v>
      </c>
      <c r="AB86" s="70">
        <v>2</v>
      </c>
      <c r="AC86" s="71" t="s">
        <v>2</v>
      </c>
      <c r="AF86"/>
      <c r="AG86"/>
    </row>
    <row r="87" spans="1:33" s="45" customFormat="1" ht="24">
      <c r="A87" s="1">
        <v>234</v>
      </c>
      <c r="B87" s="46" t="str">
        <f t="shared" si="3"/>
        <v>244Ермошина Татьяна Евгеньевна (Владимир)</v>
      </c>
      <c r="C87" s="46">
        <v>244</v>
      </c>
      <c r="D87" s="46" t="s">
        <v>84</v>
      </c>
      <c r="E87" s="1">
        <v>234</v>
      </c>
      <c r="F87" s="45">
        <f t="shared" si="4"/>
        <v>1</v>
      </c>
      <c r="V87" s="45" t="s">
        <v>251</v>
      </c>
      <c r="W87" s="47">
        <v>1</v>
      </c>
      <c r="AA87" s="70">
        <v>86</v>
      </c>
      <c r="AB87" s="70">
        <v>2</v>
      </c>
      <c r="AC87" s="71" t="s">
        <v>2</v>
      </c>
      <c r="AF87"/>
      <c r="AG87"/>
    </row>
    <row r="88" spans="1:33" s="45" customFormat="1" ht="24">
      <c r="A88" s="1">
        <v>234</v>
      </c>
      <c r="B88" s="46" t="str">
        <f t="shared" si="3"/>
        <v>243Ермошина Татьяна Евгеньевна (Владимир)</v>
      </c>
      <c r="C88" s="46">
        <v>243</v>
      </c>
      <c r="D88" s="46" t="s">
        <v>84</v>
      </c>
      <c r="E88" s="1">
        <v>234</v>
      </c>
      <c r="F88" s="45">
        <f t="shared" si="4"/>
        <v>1</v>
      </c>
      <c r="V88" s="45" t="s">
        <v>267</v>
      </c>
      <c r="W88" s="47">
        <v>1</v>
      </c>
      <c r="AA88" s="70">
        <v>87</v>
      </c>
      <c r="AB88" s="70">
        <v>2</v>
      </c>
      <c r="AC88" s="71" t="s">
        <v>2</v>
      </c>
      <c r="AF88"/>
      <c r="AG88"/>
    </row>
    <row r="89" spans="1:33" s="45" customFormat="1">
      <c r="A89" s="1">
        <v>254</v>
      </c>
      <c r="B89" s="46" t="str">
        <f t="shared" si="3"/>
        <v>267Ершова Виктория Львовна</v>
      </c>
      <c r="C89" s="46">
        <v>267</v>
      </c>
      <c r="D89" s="46" t="s">
        <v>86</v>
      </c>
      <c r="E89" s="1">
        <v>254</v>
      </c>
      <c r="F89" s="45">
        <f t="shared" si="4"/>
        <v>0</v>
      </c>
      <c r="V89" s="45" t="s">
        <v>257</v>
      </c>
      <c r="W89" s="47">
        <v>1</v>
      </c>
      <c r="AA89" s="70">
        <v>88</v>
      </c>
      <c r="AB89" s="70">
        <v>2</v>
      </c>
      <c r="AC89" s="71" t="s">
        <v>2</v>
      </c>
      <c r="AF89"/>
      <c r="AG89"/>
    </row>
    <row r="90" spans="1:33" s="45" customFormat="1">
      <c r="A90" s="1">
        <v>230</v>
      </c>
      <c r="B90" s="46" t="str">
        <f t="shared" si="3"/>
        <v>257Жарикова Светлана Юрьевна</v>
      </c>
      <c r="C90" s="46">
        <v>257</v>
      </c>
      <c r="D90" s="46" t="s">
        <v>87</v>
      </c>
      <c r="E90" s="1">
        <v>230</v>
      </c>
      <c r="F90" s="45">
        <f t="shared" si="4"/>
        <v>1</v>
      </c>
      <c r="V90" s="45" t="s">
        <v>255</v>
      </c>
      <c r="W90" s="47">
        <v>1</v>
      </c>
      <c r="AA90" s="70">
        <v>89</v>
      </c>
      <c r="AB90" s="70">
        <v>2</v>
      </c>
      <c r="AC90" s="71" t="s">
        <v>2</v>
      </c>
      <c r="AF90"/>
      <c r="AG90"/>
    </row>
    <row r="91" spans="1:33" s="45" customFormat="1">
      <c r="A91" s="1">
        <v>230</v>
      </c>
      <c r="B91" s="46" t="str">
        <f t="shared" si="3"/>
        <v>239Жарикова Светлана Юрьевна</v>
      </c>
      <c r="C91" s="46">
        <v>239</v>
      </c>
      <c r="D91" s="46" t="s">
        <v>87</v>
      </c>
      <c r="E91" s="1">
        <v>230</v>
      </c>
      <c r="F91" s="45">
        <f t="shared" si="4"/>
        <v>1</v>
      </c>
      <c r="V91" s="45" t="s">
        <v>258</v>
      </c>
      <c r="W91" s="47">
        <v>1</v>
      </c>
      <c r="AA91" s="70">
        <v>90</v>
      </c>
      <c r="AB91" s="70">
        <v>2</v>
      </c>
      <c r="AC91" s="71" t="s">
        <v>2</v>
      </c>
      <c r="AF91"/>
      <c r="AG91"/>
    </row>
    <row r="92" spans="1:33" s="45" customFormat="1">
      <c r="A92" s="1">
        <v>4</v>
      </c>
      <c r="B92" s="46" t="str">
        <f t="shared" si="3"/>
        <v>4Жигунов Юрий Александрович</v>
      </c>
      <c r="C92" s="46">
        <v>4</v>
      </c>
      <c r="D92" s="46" t="s">
        <v>88</v>
      </c>
      <c r="E92" s="1">
        <v>4</v>
      </c>
      <c r="F92" s="45">
        <f t="shared" si="4"/>
        <v>0</v>
      </c>
      <c r="V92" s="45" t="s">
        <v>201</v>
      </c>
      <c r="W92" s="47">
        <v>1</v>
      </c>
      <c r="AA92" s="70">
        <v>91</v>
      </c>
      <c r="AB92" s="70">
        <v>2</v>
      </c>
      <c r="AC92" s="71" t="s">
        <v>2</v>
      </c>
      <c r="AF92"/>
      <c r="AG92"/>
    </row>
    <row r="93" spans="1:33" s="45" customFormat="1">
      <c r="A93" s="1">
        <v>213</v>
      </c>
      <c r="B93" s="46" t="str">
        <f t="shared" si="3"/>
        <v>222Жирная Татьяна Сергеевна</v>
      </c>
      <c r="C93" s="46">
        <v>222</v>
      </c>
      <c r="D93" s="46" t="s">
        <v>89</v>
      </c>
      <c r="E93" s="1">
        <v>213</v>
      </c>
      <c r="F93" s="45">
        <f t="shared" si="4"/>
        <v>0</v>
      </c>
      <c r="V93" s="45" t="s">
        <v>259</v>
      </c>
      <c r="W93" s="47">
        <v>1</v>
      </c>
      <c r="AA93" s="70">
        <v>92</v>
      </c>
      <c r="AB93" s="70">
        <v>2</v>
      </c>
      <c r="AC93" s="71" t="s">
        <v>2</v>
      </c>
      <c r="AF93"/>
      <c r="AG93"/>
    </row>
    <row r="94" spans="1:33" s="45" customFormat="1">
      <c r="A94" s="1">
        <v>127</v>
      </c>
      <c r="B94" s="46" t="str">
        <f t="shared" si="3"/>
        <v>132Жохова Елена Сергеевна</v>
      </c>
      <c r="C94" s="46">
        <v>132</v>
      </c>
      <c r="D94" s="46" t="s">
        <v>90</v>
      </c>
      <c r="E94" s="1">
        <v>127</v>
      </c>
      <c r="F94" s="45">
        <f t="shared" si="4"/>
        <v>0</v>
      </c>
      <c r="V94" s="45" t="s">
        <v>79</v>
      </c>
      <c r="W94" s="47">
        <v>1</v>
      </c>
      <c r="AA94" s="70">
        <v>93</v>
      </c>
      <c r="AB94" s="70">
        <v>2</v>
      </c>
      <c r="AC94" s="71" t="s">
        <v>2</v>
      </c>
      <c r="AF94"/>
      <c r="AG94"/>
    </row>
    <row r="95" spans="1:33" s="45" customFormat="1" ht="24">
      <c r="A95" s="1">
        <v>66</v>
      </c>
      <c r="B95" s="46" t="str">
        <f t="shared" si="3"/>
        <v>68Заборская Светлана Анатольевна (Андрей)</v>
      </c>
      <c r="C95" s="46">
        <v>68</v>
      </c>
      <c r="D95" s="46" t="s">
        <v>91</v>
      </c>
      <c r="E95" s="1">
        <v>66</v>
      </c>
      <c r="F95" s="45">
        <f t="shared" si="4"/>
        <v>0</v>
      </c>
      <c r="V95" s="45" t="s">
        <v>262</v>
      </c>
      <c r="W95" s="47">
        <v>1</v>
      </c>
      <c r="AA95" s="70">
        <v>94</v>
      </c>
      <c r="AB95" s="70">
        <v>2</v>
      </c>
      <c r="AC95" s="71" t="s">
        <v>2</v>
      </c>
      <c r="AF95"/>
      <c r="AG95"/>
    </row>
    <row r="96" spans="1:33" s="45" customFormat="1">
      <c r="A96" s="1">
        <v>36</v>
      </c>
      <c r="B96" s="46" t="str">
        <f t="shared" si="3"/>
        <v>36Закревская Марина Владимировна</v>
      </c>
      <c r="C96" s="46">
        <v>36</v>
      </c>
      <c r="D96" s="46" t="s">
        <v>92</v>
      </c>
      <c r="E96" s="1">
        <v>36</v>
      </c>
      <c r="F96" s="45">
        <f t="shared" si="4"/>
        <v>0</v>
      </c>
      <c r="V96" s="45" t="s">
        <v>172</v>
      </c>
      <c r="W96" s="47">
        <v>1</v>
      </c>
      <c r="AA96" s="70">
        <v>95</v>
      </c>
      <c r="AB96" s="70">
        <v>2</v>
      </c>
      <c r="AC96" s="71" t="s">
        <v>2</v>
      </c>
      <c r="AF96"/>
      <c r="AG96"/>
    </row>
    <row r="97" spans="1:33" s="45" customFormat="1" ht="24">
      <c r="A97" s="1">
        <v>38</v>
      </c>
      <c r="B97" s="46" t="str">
        <f t="shared" si="3"/>
        <v>255Заручинский Вячеслав Владимирович</v>
      </c>
      <c r="C97" s="46">
        <v>255</v>
      </c>
      <c r="D97" s="46" t="s">
        <v>93</v>
      </c>
      <c r="E97" s="1">
        <v>38</v>
      </c>
      <c r="F97" s="45">
        <f t="shared" si="4"/>
        <v>1</v>
      </c>
      <c r="V97" s="45" t="s">
        <v>271</v>
      </c>
      <c r="W97" s="47">
        <v>1</v>
      </c>
      <c r="AA97" s="70">
        <v>96</v>
      </c>
      <c r="AB97" s="70">
        <v>2</v>
      </c>
      <c r="AC97" s="71" t="s">
        <v>2</v>
      </c>
      <c r="AF97"/>
      <c r="AG97"/>
    </row>
    <row r="98" spans="1:33" s="45" customFormat="1" ht="24">
      <c r="A98" s="1">
        <v>38</v>
      </c>
      <c r="B98" s="46" t="str">
        <f t="shared" si="3"/>
        <v>38Заручинский Вячеслав Владимирович</v>
      </c>
      <c r="C98" s="46">
        <v>38</v>
      </c>
      <c r="D98" s="46" t="s">
        <v>93</v>
      </c>
      <c r="E98" s="1">
        <v>38</v>
      </c>
      <c r="F98" s="45">
        <f t="shared" si="4"/>
        <v>1</v>
      </c>
      <c r="V98" s="45" t="s">
        <v>19</v>
      </c>
      <c r="W98" s="47">
        <v>1</v>
      </c>
      <c r="AA98" s="70">
        <v>97</v>
      </c>
      <c r="AB98" s="70">
        <v>2</v>
      </c>
      <c r="AC98" s="71" t="s">
        <v>2</v>
      </c>
      <c r="AF98"/>
      <c r="AG98"/>
    </row>
    <row r="99" spans="1:33" s="45" customFormat="1">
      <c r="A99" s="1">
        <v>12</v>
      </c>
      <c r="B99" s="46" t="str">
        <f t="shared" si="3"/>
        <v>12Захаренкова Светлана Евгеньевна</v>
      </c>
      <c r="C99" s="46">
        <v>12</v>
      </c>
      <c r="D99" s="46" t="s">
        <v>94</v>
      </c>
      <c r="E99" s="1">
        <v>12</v>
      </c>
      <c r="F99" s="45">
        <f t="shared" si="4"/>
        <v>0</v>
      </c>
      <c r="V99" s="45" t="s">
        <v>272</v>
      </c>
      <c r="W99" s="47">
        <v>1</v>
      </c>
      <c r="AA99" s="70">
        <v>98</v>
      </c>
      <c r="AB99" s="70">
        <v>2</v>
      </c>
      <c r="AC99" s="71" t="s">
        <v>2</v>
      </c>
      <c r="AF99"/>
      <c r="AG99"/>
    </row>
    <row r="100" spans="1:33" s="45" customFormat="1">
      <c r="A100" s="1">
        <v>63</v>
      </c>
      <c r="B100" s="46" t="str">
        <f t="shared" si="3"/>
        <v>65Захаров Михаил Сергеевич</v>
      </c>
      <c r="C100" s="46">
        <v>65</v>
      </c>
      <c r="D100" s="46" t="s">
        <v>95</v>
      </c>
      <c r="E100" s="1">
        <v>63</v>
      </c>
      <c r="F100" s="45">
        <f t="shared" si="4"/>
        <v>0</v>
      </c>
      <c r="V100" s="45" t="s">
        <v>216</v>
      </c>
      <c r="W100" s="47">
        <v>1</v>
      </c>
      <c r="AA100" s="70">
        <v>99</v>
      </c>
      <c r="AB100" s="70">
        <v>2</v>
      </c>
      <c r="AC100" s="71" t="s">
        <v>2</v>
      </c>
      <c r="AF100"/>
      <c r="AG100"/>
    </row>
    <row r="101" spans="1:33" s="45" customFormat="1">
      <c r="A101" s="1">
        <v>16</v>
      </c>
      <c r="B101" s="46" t="str">
        <f t="shared" si="3"/>
        <v>16Захарова Людмила Захаровна</v>
      </c>
      <c r="C101" s="46">
        <v>16</v>
      </c>
      <c r="D101" s="46" t="s">
        <v>96</v>
      </c>
      <c r="E101" s="1">
        <v>16</v>
      </c>
      <c r="F101" s="45">
        <f t="shared" si="4"/>
        <v>0</v>
      </c>
      <c r="V101" s="45" t="s">
        <v>275</v>
      </c>
      <c r="W101" s="47">
        <v>1</v>
      </c>
      <c r="AA101" s="70">
        <v>100</v>
      </c>
      <c r="AB101" s="70">
        <v>2</v>
      </c>
      <c r="AC101" s="71" t="s">
        <v>2</v>
      </c>
      <c r="AF101"/>
      <c r="AG101"/>
    </row>
    <row r="102" spans="1:33" s="45" customFormat="1">
      <c r="A102" s="1">
        <v>121</v>
      </c>
      <c r="B102" s="46" t="str">
        <f t="shared" si="3"/>
        <v>126Зиннатов Рафаэль Шакурович</v>
      </c>
      <c r="C102" s="46">
        <v>126</v>
      </c>
      <c r="D102" s="46" t="s">
        <v>97</v>
      </c>
      <c r="E102" s="1">
        <v>121</v>
      </c>
      <c r="F102" s="45">
        <f t="shared" si="4"/>
        <v>0</v>
      </c>
      <c r="V102" s="45" t="s">
        <v>76</v>
      </c>
      <c r="W102" s="47">
        <v>1</v>
      </c>
      <c r="AA102" s="70">
        <v>101</v>
      </c>
      <c r="AB102" s="70">
        <v>1</v>
      </c>
      <c r="AC102" s="71" t="s">
        <v>645</v>
      </c>
      <c r="AF102"/>
      <c r="AG102"/>
    </row>
    <row r="103" spans="1:33" s="45" customFormat="1">
      <c r="A103" s="1">
        <v>156</v>
      </c>
      <c r="B103" s="46" t="str">
        <f t="shared" si="3"/>
        <v>164Иваненко Петр Олегович</v>
      </c>
      <c r="C103" s="46">
        <v>164</v>
      </c>
      <c r="D103" s="46" t="s">
        <v>98</v>
      </c>
      <c r="E103" s="1">
        <v>156</v>
      </c>
      <c r="F103" s="45">
        <f t="shared" si="4"/>
        <v>0</v>
      </c>
      <c r="V103" s="45" t="s">
        <v>276</v>
      </c>
      <c r="W103" s="47">
        <v>1</v>
      </c>
      <c r="AA103" s="70">
        <v>102</v>
      </c>
      <c r="AB103" s="70">
        <v>1</v>
      </c>
      <c r="AC103" s="71" t="s">
        <v>645</v>
      </c>
      <c r="AF103"/>
      <c r="AG103"/>
    </row>
    <row r="104" spans="1:33" s="45" customFormat="1">
      <c r="A104" s="1">
        <v>5</v>
      </c>
      <c r="B104" s="46" t="str">
        <f t="shared" si="3"/>
        <v>5Иванов Владимир Николаевич</v>
      </c>
      <c r="C104" s="46">
        <v>5</v>
      </c>
      <c r="D104" s="46" t="s">
        <v>99</v>
      </c>
      <c r="E104" s="1">
        <v>5</v>
      </c>
      <c r="F104" s="45">
        <f t="shared" si="4"/>
        <v>0</v>
      </c>
      <c r="V104" s="45" t="s">
        <v>188</v>
      </c>
      <c r="W104" s="47">
        <v>1</v>
      </c>
      <c r="AA104" s="70">
        <v>103</v>
      </c>
      <c r="AB104" s="70">
        <v>1</v>
      </c>
      <c r="AC104" s="71" t="s">
        <v>645</v>
      </c>
      <c r="AF104"/>
      <c r="AG104"/>
    </row>
    <row r="105" spans="1:33" s="45" customFormat="1">
      <c r="A105" s="1">
        <v>214</v>
      </c>
      <c r="B105" s="46" t="str">
        <f t="shared" si="3"/>
        <v>223Иванов Денис Сильвестрович</v>
      </c>
      <c r="C105" s="46">
        <v>223</v>
      </c>
      <c r="D105" s="46" t="s">
        <v>100</v>
      </c>
      <c r="E105" s="1">
        <v>214</v>
      </c>
      <c r="F105" s="45">
        <f t="shared" si="4"/>
        <v>0</v>
      </c>
      <c r="V105" s="45" t="s">
        <v>281</v>
      </c>
      <c r="W105" s="47">
        <v>1</v>
      </c>
      <c r="AA105" s="70">
        <v>104</v>
      </c>
      <c r="AB105" s="70">
        <v>1</v>
      </c>
      <c r="AC105" s="71" t="s">
        <v>645</v>
      </c>
      <c r="AF105"/>
      <c r="AG105"/>
    </row>
    <row r="106" spans="1:33" s="45" customFormat="1">
      <c r="A106" s="1">
        <v>279</v>
      </c>
      <c r="B106" s="46" t="str">
        <f t="shared" si="3"/>
        <v>291Иванова Светлана Сергеевна</v>
      </c>
      <c r="C106" s="46">
        <v>291</v>
      </c>
      <c r="D106" s="46" t="s">
        <v>101</v>
      </c>
      <c r="E106" s="1">
        <v>279</v>
      </c>
      <c r="F106" s="45">
        <f t="shared" si="4"/>
        <v>0</v>
      </c>
      <c r="V106" s="45" t="s">
        <v>110</v>
      </c>
      <c r="W106" s="47">
        <v>1</v>
      </c>
      <c r="AA106" s="70">
        <v>105</v>
      </c>
      <c r="AB106" s="70">
        <v>1</v>
      </c>
      <c r="AC106" s="71" t="s">
        <v>645</v>
      </c>
      <c r="AF106"/>
      <c r="AG106"/>
    </row>
    <row r="107" spans="1:33" s="45" customFormat="1">
      <c r="A107" s="1">
        <v>197</v>
      </c>
      <c r="B107" s="46" t="str">
        <f t="shared" si="3"/>
        <v>205Иванова Татьяна Викторовна</v>
      </c>
      <c r="C107" s="46">
        <v>205</v>
      </c>
      <c r="D107" s="46" t="s">
        <v>102</v>
      </c>
      <c r="E107" s="1">
        <v>197</v>
      </c>
      <c r="F107" s="45">
        <f t="shared" si="4"/>
        <v>0</v>
      </c>
      <c r="V107" s="45" t="s">
        <v>282</v>
      </c>
      <c r="W107" s="47">
        <v>1</v>
      </c>
      <c r="AA107" s="70">
        <v>106</v>
      </c>
      <c r="AB107" s="70">
        <v>1</v>
      </c>
      <c r="AC107" s="71" t="s">
        <v>645</v>
      </c>
      <c r="AF107"/>
      <c r="AG107"/>
    </row>
    <row r="108" spans="1:33" s="45" customFormat="1">
      <c r="A108" s="1">
        <v>295</v>
      </c>
      <c r="B108" s="46" t="str">
        <f t="shared" si="3"/>
        <v>310Измайлов Михаил Михайлович</v>
      </c>
      <c r="C108" s="46">
        <v>310</v>
      </c>
      <c r="D108" s="46" t="s">
        <v>103</v>
      </c>
      <c r="E108" s="1">
        <v>295</v>
      </c>
      <c r="F108" s="45">
        <f t="shared" si="4"/>
        <v>0</v>
      </c>
      <c r="V108" s="45" t="s">
        <v>170</v>
      </c>
      <c r="W108" s="47">
        <v>1</v>
      </c>
      <c r="AA108" s="70">
        <v>107</v>
      </c>
      <c r="AB108" s="70">
        <v>1</v>
      </c>
      <c r="AC108" s="71" t="s">
        <v>645</v>
      </c>
      <c r="AF108"/>
      <c r="AG108"/>
    </row>
    <row r="109" spans="1:33" s="45" customFormat="1">
      <c r="A109" s="1">
        <v>196</v>
      </c>
      <c r="B109" s="46" t="str">
        <f t="shared" si="3"/>
        <v>204Казарин Сергей Викторович</v>
      </c>
      <c r="C109" s="46">
        <v>204</v>
      </c>
      <c r="D109" s="46" t="s">
        <v>104</v>
      </c>
      <c r="E109" s="1">
        <v>196</v>
      </c>
      <c r="F109" s="45">
        <f t="shared" si="4"/>
        <v>0</v>
      </c>
      <c r="V109" s="45" t="s">
        <v>288</v>
      </c>
      <c r="W109" s="47">
        <v>1</v>
      </c>
      <c r="AA109" s="70">
        <v>108</v>
      </c>
      <c r="AB109" s="70">
        <v>1</v>
      </c>
      <c r="AC109" s="71" t="s">
        <v>645</v>
      </c>
      <c r="AF109"/>
      <c r="AG109"/>
    </row>
    <row r="110" spans="1:33" s="45" customFormat="1" ht="24">
      <c r="A110" s="1">
        <v>124</v>
      </c>
      <c r="B110" s="46" t="str">
        <f t="shared" si="3"/>
        <v>129Казымов Горхмаз Гамид/Лавренчук Александр Владиславович</v>
      </c>
      <c r="C110" s="46">
        <v>129</v>
      </c>
      <c r="D110" s="46" t="s">
        <v>105</v>
      </c>
      <c r="E110" s="1">
        <v>124</v>
      </c>
      <c r="F110" s="45">
        <f t="shared" si="4"/>
        <v>0</v>
      </c>
      <c r="V110" s="45" t="s">
        <v>82</v>
      </c>
      <c r="W110" s="47">
        <v>1</v>
      </c>
      <c r="AA110" s="70">
        <v>109</v>
      </c>
      <c r="AB110" s="70">
        <v>1</v>
      </c>
      <c r="AC110" s="71" t="s">
        <v>645</v>
      </c>
      <c r="AF110"/>
      <c r="AG110"/>
    </row>
    <row r="111" spans="1:33" s="45" customFormat="1">
      <c r="A111" s="1">
        <v>250</v>
      </c>
      <c r="B111" s="46" t="str">
        <f t="shared" si="3"/>
        <v>261Каляникова Наталья Сергеевна</v>
      </c>
      <c r="C111" s="46">
        <v>261</v>
      </c>
      <c r="D111" s="46" t="s">
        <v>106</v>
      </c>
      <c r="E111" s="1">
        <v>250</v>
      </c>
      <c r="F111" s="45">
        <f t="shared" si="4"/>
        <v>0</v>
      </c>
      <c r="V111" s="45" t="s">
        <v>289</v>
      </c>
      <c r="W111" s="47">
        <v>1</v>
      </c>
      <c r="AA111" s="70">
        <v>110</v>
      </c>
      <c r="AB111" s="70">
        <v>1</v>
      </c>
      <c r="AC111" s="71" t="s">
        <v>645</v>
      </c>
      <c r="AF111"/>
      <c r="AG111"/>
    </row>
    <row r="112" spans="1:33" s="45" customFormat="1">
      <c r="A112" s="1">
        <v>153</v>
      </c>
      <c r="B112" s="46" t="str">
        <f t="shared" si="3"/>
        <v>161Канышкина Юлия Юрьевна</v>
      </c>
      <c r="C112" s="46">
        <v>161</v>
      </c>
      <c r="D112" s="46" t="s">
        <v>107</v>
      </c>
      <c r="E112" s="1">
        <v>153</v>
      </c>
      <c r="F112" s="45">
        <f t="shared" si="4"/>
        <v>0</v>
      </c>
      <c r="V112" s="45" t="s">
        <v>10</v>
      </c>
      <c r="W112" s="47">
        <v>1</v>
      </c>
      <c r="AA112" s="70">
        <v>111</v>
      </c>
      <c r="AB112" s="70">
        <v>1</v>
      </c>
      <c r="AC112" s="71" t="s">
        <v>645</v>
      </c>
      <c r="AF112"/>
      <c r="AG112"/>
    </row>
    <row r="113" spans="1:33" s="45" customFormat="1">
      <c r="A113" s="1">
        <v>106</v>
      </c>
      <c r="B113" s="46" t="str">
        <f t="shared" si="3"/>
        <v>111Карпекина Лилия Рафаэльевна</v>
      </c>
      <c r="C113" s="46">
        <v>111</v>
      </c>
      <c r="D113" s="46" t="s">
        <v>108</v>
      </c>
      <c r="E113" s="1">
        <v>106</v>
      </c>
      <c r="F113" s="45">
        <f t="shared" si="4"/>
        <v>0</v>
      </c>
      <c r="V113" s="45" t="s">
        <v>300</v>
      </c>
      <c r="W113" s="47">
        <v>1</v>
      </c>
      <c r="AA113" s="70">
        <v>112</v>
      </c>
      <c r="AB113" s="70">
        <v>1</v>
      </c>
      <c r="AC113" s="71" t="s">
        <v>645</v>
      </c>
      <c r="AF113"/>
      <c r="AG113"/>
    </row>
    <row r="114" spans="1:33" s="45" customFormat="1">
      <c r="A114" s="1">
        <v>222</v>
      </c>
      <c r="B114" s="46" t="str">
        <f t="shared" si="3"/>
        <v>231Карпова Елена Витальевна</v>
      </c>
      <c r="C114" s="46">
        <v>231</v>
      </c>
      <c r="D114" s="46" t="s">
        <v>109</v>
      </c>
      <c r="E114" s="1">
        <v>222</v>
      </c>
      <c r="F114" s="45">
        <f t="shared" si="4"/>
        <v>0</v>
      </c>
      <c r="V114" s="45" t="s">
        <v>138</v>
      </c>
      <c r="W114" s="47">
        <v>1</v>
      </c>
      <c r="AA114" s="70">
        <v>113</v>
      </c>
      <c r="AB114" s="70">
        <v>1</v>
      </c>
      <c r="AC114" s="71" t="s">
        <v>645</v>
      </c>
      <c r="AF114"/>
      <c r="AG114"/>
    </row>
    <row r="115" spans="1:33" s="45" customFormat="1">
      <c r="A115" s="1">
        <v>208</v>
      </c>
      <c r="B115" s="46" t="str">
        <f t="shared" si="3"/>
        <v>218Катушкин Роман Юрьевич</v>
      </c>
      <c r="C115" s="46">
        <v>218</v>
      </c>
      <c r="D115" s="46" t="s">
        <v>110</v>
      </c>
      <c r="E115" s="1">
        <v>208</v>
      </c>
      <c r="F115" s="45">
        <f t="shared" si="4"/>
        <v>0</v>
      </c>
      <c r="V115" s="45" t="s">
        <v>303</v>
      </c>
      <c r="W115" s="47">
        <v>1</v>
      </c>
      <c r="AA115" s="70">
        <v>114</v>
      </c>
      <c r="AB115" s="70">
        <v>1</v>
      </c>
      <c r="AC115" s="71" t="s">
        <v>645</v>
      </c>
      <c r="AF115"/>
      <c r="AG115"/>
    </row>
    <row r="116" spans="1:33" s="45" customFormat="1" ht="24">
      <c r="A116" s="1">
        <v>207</v>
      </c>
      <c r="B116" s="46" t="str">
        <f t="shared" si="3"/>
        <v>217Катушкин Роман Юрьевич//Валеев Артур Рашидович</v>
      </c>
      <c r="C116" s="46">
        <v>217</v>
      </c>
      <c r="D116" s="46" t="s">
        <v>111</v>
      </c>
      <c r="E116" s="1">
        <v>207</v>
      </c>
      <c r="F116" s="45">
        <f t="shared" si="4"/>
        <v>0</v>
      </c>
      <c r="V116" s="45" t="s">
        <v>23</v>
      </c>
      <c r="W116" s="47">
        <v>1</v>
      </c>
      <c r="AA116" s="70">
        <v>115</v>
      </c>
      <c r="AB116" s="70">
        <v>1</v>
      </c>
      <c r="AC116" s="71" t="s">
        <v>645</v>
      </c>
      <c r="AF116"/>
      <c r="AG116"/>
    </row>
    <row r="117" spans="1:33" s="45" customFormat="1">
      <c r="A117" s="1">
        <v>231</v>
      </c>
      <c r="B117" s="46" t="str">
        <f t="shared" si="3"/>
        <v>240Кашичкин Александр Борисович</v>
      </c>
      <c r="C117" s="46">
        <v>240</v>
      </c>
      <c r="D117" s="46" t="s">
        <v>112</v>
      </c>
      <c r="E117" s="1">
        <v>231</v>
      </c>
      <c r="F117" s="45">
        <f t="shared" si="4"/>
        <v>0</v>
      </c>
      <c r="V117" s="45" t="s">
        <v>305</v>
      </c>
      <c r="W117" s="47">
        <v>1</v>
      </c>
      <c r="AA117" s="70">
        <v>116</v>
      </c>
      <c r="AB117" s="70">
        <v>1</v>
      </c>
      <c r="AC117" s="71" t="s">
        <v>645</v>
      </c>
      <c r="AF117"/>
      <c r="AG117"/>
    </row>
    <row r="118" spans="1:33" s="45" customFormat="1" ht="24">
      <c r="A118" s="1">
        <v>76</v>
      </c>
      <c r="B118" s="46" t="str">
        <f t="shared" si="3"/>
        <v>82Киеня Валентина Александровна (Анатолий)</v>
      </c>
      <c r="C118" s="46">
        <v>82</v>
      </c>
      <c r="D118" s="46" t="s">
        <v>113</v>
      </c>
      <c r="E118" s="1">
        <v>76</v>
      </c>
      <c r="F118" s="45">
        <f t="shared" si="4"/>
        <v>0</v>
      </c>
      <c r="V118" s="45" t="s">
        <v>283</v>
      </c>
      <c r="W118" s="47">
        <v>1</v>
      </c>
      <c r="AA118" s="70">
        <v>117</v>
      </c>
      <c r="AB118" s="70">
        <v>1</v>
      </c>
      <c r="AC118" s="71" t="s">
        <v>645</v>
      </c>
      <c r="AF118"/>
      <c r="AG118"/>
    </row>
    <row r="119" spans="1:33" s="45" customFormat="1">
      <c r="A119" s="1">
        <v>82</v>
      </c>
      <c r="B119" s="46" t="str">
        <f t="shared" si="3"/>
        <v>87Кикоть Наталья Петровна (Андрей)</v>
      </c>
      <c r="C119" s="46">
        <v>87</v>
      </c>
      <c r="D119" s="46" t="s">
        <v>114</v>
      </c>
      <c r="E119" s="1">
        <v>82</v>
      </c>
      <c r="F119" s="45">
        <f t="shared" si="4"/>
        <v>0</v>
      </c>
      <c r="V119" s="45" t="s">
        <v>306</v>
      </c>
      <c r="W119" s="47">
        <v>1</v>
      </c>
      <c r="AA119" s="70">
        <v>118</v>
      </c>
      <c r="AB119" s="70">
        <v>1</v>
      </c>
      <c r="AC119" s="71" t="s">
        <v>645</v>
      </c>
      <c r="AF119"/>
      <c r="AG119"/>
    </row>
    <row r="120" spans="1:33" s="45" customFormat="1">
      <c r="A120" s="1">
        <v>8</v>
      </c>
      <c r="B120" s="46" t="str">
        <f t="shared" si="3"/>
        <v>8Кириенко Раиса Федоровна</v>
      </c>
      <c r="C120" s="46">
        <v>8</v>
      </c>
      <c r="D120" s="46" t="s">
        <v>115</v>
      </c>
      <c r="E120" s="1">
        <v>8</v>
      </c>
      <c r="F120" s="45">
        <f t="shared" si="4"/>
        <v>0</v>
      </c>
      <c r="V120" s="45" t="s">
        <v>227</v>
      </c>
      <c r="W120" s="47">
        <v>1</v>
      </c>
      <c r="AA120" s="70">
        <v>119</v>
      </c>
      <c r="AB120" s="70">
        <v>1</v>
      </c>
      <c r="AC120" s="71" t="s">
        <v>645</v>
      </c>
      <c r="AF120"/>
      <c r="AG120"/>
    </row>
    <row r="121" spans="1:33" s="45" customFormat="1">
      <c r="A121" s="1">
        <v>149</v>
      </c>
      <c r="B121" s="46" t="str">
        <f t="shared" si="3"/>
        <v>157Кириллов Вадим Александрович</v>
      </c>
      <c r="C121" s="46">
        <v>157</v>
      </c>
      <c r="D121" s="46" t="s">
        <v>116</v>
      </c>
      <c r="E121" s="1">
        <v>149</v>
      </c>
      <c r="F121" s="45">
        <f t="shared" si="4"/>
        <v>0</v>
      </c>
      <c r="V121" s="45" t="s">
        <v>308</v>
      </c>
      <c r="W121" s="47">
        <v>1</v>
      </c>
      <c r="AA121" s="70">
        <v>120</v>
      </c>
      <c r="AB121" s="70">
        <v>1</v>
      </c>
      <c r="AC121" s="71" t="s">
        <v>645</v>
      </c>
      <c r="AF121"/>
      <c r="AG121"/>
    </row>
    <row r="122" spans="1:33" s="45" customFormat="1">
      <c r="A122" s="1">
        <v>30</v>
      </c>
      <c r="B122" s="46" t="str">
        <f t="shared" si="3"/>
        <v>30Кириллов Дмитрий Александрович</v>
      </c>
      <c r="C122" s="46">
        <v>30</v>
      </c>
      <c r="D122" s="46" t="s">
        <v>117</v>
      </c>
      <c r="E122" s="1">
        <v>30</v>
      </c>
      <c r="F122" s="45">
        <f t="shared" si="4"/>
        <v>0</v>
      </c>
      <c r="V122" s="45" t="s">
        <v>175</v>
      </c>
      <c r="W122" s="47">
        <v>1</v>
      </c>
      <c r="AA122" s="70">
        <v>121</v>
      </c>
      <c r="AB122" s="70">
        <v>1</v>
      </c>
      <c r="AC122" s="71" t="s">
        <v>645</v>
      </c>
      <c r="AF122"/>
      <c r="AG122"/>
    </row>
    <row r="123" spans="1:33" s="45" customFormat="1">
      <c r="A123" s="1">
        <v>269</v>
      </c>
      <c r="B123" s="46" t="str">
        <f t="shared" si="3"/>
        <v>282Коваленко Ирина Леонидовна</v>
      </c>
      <c r="C123" s="46">
        <v>282</v>
      </c>
      <c r="D123" s="46" t="s">
        <v>118</v>
      </c>
      <c r="E123" s="1">
        <v>269</v>
      </c>
      <c r="F123" s="45">
        <f t="shared" si="4"/>
        <v>0</v>
      </c>
      <c r="V123" s="45" t="s">
        <v>309</v>
      </c>
      <c r="W123" s="47">
        <v>1</v>
      </c>
      <c r="AA123" s="70">
        <v>122</v>
      </c>
      <c r="AB123" s="70">
        <v>1</v>
      </c>
      <c r="AC123" s="71" t="s">
        <v>645</v>
      </c>
      <c r="AF123"/>
      <c r="AG123"/>
    </row>
    <row r="124" spans="1:33" s="45" customFormat="1">
      <c r="A124" s="1">
        <v>271</v>
      </c>
      <c r="B124" s="46" t="str">
        <f t="shared" si="3"/>
        <v>284Кожемякин Сергей Владимирович</v>
      </c>
      <c r="C124" s="46">
        <v>284</v>
      </c>
      <c r="D124" s="46" t="s">
        <v>119</v>
      </c>
      <c r="E124" s="1">
        <v>271</v>
      </c>
      <c r="F124" s="45">
        <f t="shared" si="4"/>
        <v>0</v>
      </c>
      <c r="V124" s="45" t="s">
        <v>277</v>
      </c>
      <c r="W124" s="47">
        <v>1</v>
      </c>
      <c r="AA124" s="70">
        <v>123</v>
      </c>
      <c r="AB124" s="70">
        <v>1</v>
      </c>
      <c r="AC124" s="71" t="s">
        <v>645</v>
      </c>
      <c r="AF124"/>
      <c r="AG124"/>
    </row>
    <row r="125" spans="1:33" s="45" customFormat="1">
      <c r="A125" s="1">
        <v>265</v>
      </c>
      <c r="B125" s="46" t="str">
        <f t="shared" si="3"/>
        <v>278Козловский Алексей Гаврилович</v>
      </c>
      <c r="C125" s="46">
        <v>278</v>
      </c>
      <c r="D125" s="46" t="s">
        <v>120</v>
      </c>
      <c r="E125" s="1">
        <v>265</v>
      </c>
      <c r="F125" s="45">
        <f t="shared" si="4"/>
        <v>0</v>
      </c>
      <c r="V125" s="45" t="s">
        <v>295</v>
      </c>
      <c r="W125" s="47">
        <v>1</v>
      </c>
      <c r="AA125" s="70">
        <v>124</v>
      </c>
      <c r="AB125" s="70">
        <v>1</v>
      </c>
      <c r="AC125" s="71" t="s">
        <v>645</v>
      </c>
      <c r="AF125"/>
      <c r="AG125"/>
    </row>
    <row r="126" spans="1:33" s="45" customFormat="1" ht="24">
      <c r="A126" s="1">
        <v>173</v>
      </c>
      <c r="B126" s="46" t="str">
        <f t="shared" si="3"/>
        <v>181Колесников Никита Олегович(у Кряжковой Виктория Сергеевна</v>
      </c>
      <c r="C126" s="46">
        <v>181</v>
      </c>
      <c r="D126" s="46" t="s">
        <v>121</v>
      </c>
      <c r="E126" s="1">
        <v>173</v>
      </c>
      <c r="F126" s="45">
        <f t="shared" si="4"/>
        <v>0</v>
      </c>
      <c r="V126" s="45" t="s">
        <v>91</v>
      </c>
      <c r="W126" s="47">
        <v>1</v>
      </c>
      <c r="AA126" s="70">
        <v>125</v>
      </c>
      <c r="AB126" s="70">
        <v>1</v>
      </c>
      <c r="AC126" s="71" t="s">
        <v>645</v>
      </c>
      <c r="AF126"/>
      <c r="AG126"/>
    </row>
    <row r="127" spans="1:33" s="45" customFormat="1">
      <c r="A127" s="1">
        <v>305</v>
      </c>
      <c r="B127" s="46" t="str">
        <f t="shared" si="3"/>
        <v>320Колесов Вадим Владимирович</v>
      </c>
      <c r="C127" s="46">
        <v>320</v>
      </c>
      <c r="D127" s="46" t="s">
        <v>122</v>
      </c>
      <c r="E127" s="1">
        <v>305</v>
      </c>
      <c r="F127" s="45">
        <f t="shared" si="4"/>
        <v>0</v>
      </c>
      <c r="V127" s="45" t="s">
        <v>294</v>
      </c>
      <c r="W127" s="47">
        <v>1</v>
      </c>
      <c r="AA127" s="70">
        <v>126</v>
      </c>
      <c r="AB127" s="70">
        <v>1</v>
      </c>
      <c r="AC127" s="71" t="s">
        <v>645</v>
      </c>
      <c r="AF127"/>
      <c r="AG127"/>
    </row>
    <row r="128" spans="1:33" s="45" customFormat="1">
      <c r="A128" s="1">
        <v>69</v>
      </c>
      <c r="B128" s="46" t="str">
        <f t="shared" si="3"/>
        <v>76Колташ Анна Владимировна</v>
      </c>
      <c r="C128" s="46">
        <v>76</v>
      </c>
      <c r="D128" s="46" t="s">
        <v>123</v>
      </c>
      <c r="E128" s="1">
        <v>69</v>
      </c>
      <c r="F128" s="45">
        <f t="shared" si="4"/>
        <v>1</v>
      </c>
      <c r="V128" s="45" t="s">
        <v>169</v>
      </c>
      <c r="W128" s="47">
        <v>1</v>
      </c>
      <c r="AA128" s="70">
        <v>127</v>
      </c>
      <c r="AB128" s="70">
        <v>1</v>
      </c>
      <c r="AC128" s="71" t="s">
        <v>645</v>
      </c>
      <c r="AF128"/>
      <c r="AG128"/>
    </row>
    <row r="129" spans="1:33" s="45" customFormat="1">
      <c r="A129" s="1">
        <v>69</v>
      </c>
      <c r="B129" s="46" t="str">
        <f t="shared" si="3"/>
        <v>75Колташ Анна Владимировна</v>
      </c>
      <c r="C129" s="46">
        <v>75</v>
      </c>
      <c r="D129" s="46" t="s">
        <v>123</v>
      </c>
      <c r="E129" s="1">
        <v>69</v>
      </c>
      <c r="F129" s="45">
        <f t="shared" si="4"/>
        <v>1</v>
      </c>
      <c r="V129" s="45" t="s">
        <v>2</v>
      </c>
      <c r="W129" s="47">
        <v>1</v>
      </c>
      <c r="AA129" s="70">
        <v>128</v>
      </c>
      <c r="AB129" s="70">
        <v>1</v>
      </c>
      <c r="AC129" s="71" t="s">
        <v>645</v>
      </c>
      <c r="AF129"/>
      <c r="AG129"/>
    </row>
    <row r="130" spans="1:33" s="45" customFormat="1">
      <c r="A130" s="1">
        <v>1</v>
      </c>
      <c r="B130" s="46" t="str">
        <f t="shared" ref="B130:B193" si="5">CONCATENATE(C130,D130)</f>
        <v>1Колыгина Нина Николаевна</v>
      </c>
      <c r="C130" s="46">
        <v>1</v>
      </c>
      <c r="D130" s="46" t="s">
        <v>124</v>
      </c>
      <c r="E130" s="1">
        <v>1</v>
      </c>
      <c r="F130" s="45">
        <f t="shared" si="4"/>
        <v>0</v>
      </c>
      <c r="V130" s="45" t="s">
        <v>92</v>
      </c>
      <c r="W130" s="47">
        <v>1</v>
      </c>
      <c r="AA130" s="70">
        <v>129</v>
      </c>
      <c r="AB130" s="70">
        <v>1</v>
      </c>
      <c r="AC130" s="71" t="s">
        <v>645</v>
      </c>
      <c r="AF130"/>
      <c r="AG130"/>
    </row>
    <row r="131" spans="1:33" s="45" customFormat="1">
      <c r="A131" s="1">
        <v>302</v>
      </c>
      <c r="B131" s="46" t="str">
        <f t="shared" si="5"/>
        <v>317Колышкина Александра Сергеевна</v>
      </c>
      <c r="C131" s="46">
        <v>317</v>
      </c>
      <c r="D131" s="46" t="s">
        <v>125</v>
      </c>
      <c r="E131" s="1">
        <v>302</v>
      </c>
      <c r="F131" s="45">
        <f t="shared" ref="F131:F194" si="6">IF(VLOOKUP(D131,$V$2:$W$299,2,FALSE)&lt;&gt;1,1,0)</f>
        <v>0</v>
      </c>
      <c r="V131" s="45" t="s">
        <v>194</v>
      </c>
      <c r="W131" s="47">
        <v>1</v>
      </c>
      <c r="AA131" s="70">
        <v>130</v>
      </c>
      <c r="AB131" s="70">
        <v>1</v>
      </c>
      <c r="AC131" s="71" t="s">
        <v>645</v>
      </c>
      <c r="AF131"/>
      <c r="AG131"/>
    </row>
    <row r="132" spans="1:33" s="45" customFormat="1">
      <c r="A132" s="1">
        <v>123</v>
      </c>
      <c r="B132" s="46" t="str">
        <f t="shared" si="5"/>
        <v>128Кондратьева Юлия Викторовна</v>
      </c>
      <c r="C132" s="46">
        <v>128</v>
      </c>
      <c r="D132" s="46" t="s">
        <v>126</v>
      </c>
      <c r="E132" s="1">
        <v>123</v>
      </c>
      <c r="F132" s="45">
        <f t="shared" si="6"/>
        <v>0</v>
      </c>
      <c r="V132" s="45" t="s">
        <v>139</v>
      </c>
      <c r="W132" s="47">
        <v>1</v>
      </c>
      <c r="AA132" s="70">
        <v>131</v>
      </c>
      <c r="AB132" s="70">
        <v>13</v>
      </c>
      <c r="AC132" s="71" t="s">
        <v>641</v>
      </c>
      <c r="AF132"/>
      <c r="AG132"/>
    </row>
    <row r="133" spans="1:33" s="45" customFormat="1" ht="24">
      <c r="A133" s="1">
        <v>163</v>
      </c>
      <c r="B133" s="46" t="str">
        <f t="shared" si="5"/>
        <v>171Кондратюк Наталья Петровна 1/2,  Соболев Олег Юрьевич 1/2</v>
      </c>
      <c r="C133" s="46">
        <v>171</v>
      </c>
      <c r="D133" s="46" t="s">
        <v>127</v>
      </c>
      <c r="E133" s="1">
        <v>163</v>
      </c>
      <c r="F133" s="45">
        <f t="shared" si="6"/>
        <v>0</v>
      </c>
      <c r="V133" s="45" t="s">
        <v>181</v>
      </c>
      <c r="W133" s="47">
        <v>1</v>
      </c>
      <c r="AA133" s="70">
        <v>132</v>
      </c>
      <c r="AB133" s="70">
        <v>13</v>
      </c>
      <c r="AC133" s="71" t="s">
        <v>641</v>
      </c>
      <c r="AF133"/>
      <c r="AG133"/>
    </row>
    <row r="134" spans="1:33" s="45" customFormat="1">
      <c r="A134" s="1">
        <v>110</v>
      </c>
      <c r="B134" s="46" t="str">
        <f t="shared" si="5"/>
        <v>115Кондрашов Роман Вячеславович</v>
      </c>
      <c r="C134" s="46">
        <v>115</v>
      </c>
      <c r="D134" s="46" t="s">
        <v>128</v>
      </c>
      <c r="E134" s="1">
        <v>110</v>
      </c>
      <c r="F134" s="45">
        <f t="shared" si="6"/>
        <v>0</v>
      </c>
      <c r="V134" s="45" t="s">
        <v>162</v>
      </c>
      <c r="W134" s="47">
        <v>1</v>
      </c>
      <c r="AA134" s="70">
        <v>133</v>
      </c>
      <c r="AB134" s="70">
        <v>13</v>
      </c>
      <c r="AC134" s="71" t="s">
        <v>641</v>
      </c>
      <c r="AF134"/>
      <c r="AG134"/>
    </row>
    <row r="135" spans="1:33" s="45" customFormat="1" ht="36">
      <c r="A135" s="1">
        <v>112</v>
      </c>
      <c r="B135" s="46" t="str">
        <f t="shared" si="5"/>
        <v>117Кондрашов Сергей Вячеславович//Балыкин Александр Иванович</v>
      </c>
      <c r="C135" s="46">
        <v>117</v>
      </c>
      <c r="D135" s="46" t="s">
        <v>129</v>
      </c>
      <c r="E135" s="1">
        <v>112</v>
      </c>
      <c r="F135" s="45">
        <f t="shared" si="6"/>
        <v>0</v>
      </c>
      <c r="V135" s="45" t="s">
        <v>114</v>
      </c>
      <c r="W135" s="47">
        <v>1</v>
      </c>
      <c r="AA135" s="70">
        <v>134</v>
      </c>
      <c r="AB135" s="70">
        <v>13</v>
      </c>
      <c r="AC135" s="71" t="s">
        <v>641</v>
      </c>
      <c r="AF135"/>
      <c r="AG135"/>
    </row>
    <row r="136" spans="1:33" s="45" customFormat="1">
      <c r="A136" s="1">
        <v>190</v>
      </c>
      <c r="B136" s="46" t="str">
        <f t="shared" si="5"/>
        <v>198Коновальцев Олег Серафимович</v>
      </c>
      <c r="C136" s="46">
        <v>198</v>
      </c>
      <c r="D136" s="46" t="s">
        <v>130</v>
      </c>
      <c r="E136" s="1">
        <v>190</v>
      </c>
      <c r="F136" s="45">
        <f t="shared" si="6"/>
        <v>0</v>
      </c>
      <c r="V136" s="45" t="s">
        <v>27</v>
      </c>
      <c r="W136" s="47">
        <v>1</v>
      </c>
      <c r="AA136" s="70">
        <v>135</v>
      </c>
      <c r="AB136" s="70">
        <v>13</v>
      </c>
      <c r="AC136" s="71" t="s">
        <v>641</v>
      </c>
      <c r="AF136"/>
      <c r="AG136"/>
    </row>
    <row r="137" spans="1:33" s="45" customFormat="1" ht="24">
      <c r="A137" s="1">
        <v>83</v>
      </c>
      <c r="B137" s="46" t="str">
        <f t="shared" si="5"/>
        <v>88Кононенко Алла Николаевна (Александр)</v>
      </c>
      <c r="C137" s="46">
        <v>88</v>
      </c>
      <c r="D137" s="46" t="s">
        <v>131</v>
      </c>
      <c r="E137" s="1">
        <v>83</v>
      </c>
      <c r="F137" s="45">
        <f t="shared" si="6"/>
        <v>0</v>
      </c>
      <c r="V137" s="45" t="s">
        <v>131</v>
      </c>
      <c r="W137" s="47">
        <v>1</v>
      </c>
      <c r="AA137" s="70">
        <v>136</v>
      </c>
      <c r="AB137" s="70">
        <v>13</v>
      </c>
      <c r="AC137" s="71" t="s">
        <v>641</v>
      </c>
      <c r="AF137"/>
      <c r="AG137"/>
    </row>
    <row r="138" spans="1:33" s="45" customFormat="1">
      <c r="A138" s="1">
        <v>133</v>
      </c>
      <c r="B138" s="46" t="str">
        <f t="shared" si="5"/>
        <v>140Короткевич Наталья Владимировна</v>
      </c>
      <c r="C138" s="46">
        <v>140</v>
      </c>
      <c r="D138" s="46" t="s">
        <v>132</v>
      </c>
      <c r="E138" s="1">
        <v>133</v>
      </c>
      <c r="F138" s="45">
        <f t="shared" si="6"/>
        <v>0</v>
      </c>
      <c r="V138" s="45" t="s">
        <v>231</v>
      </c>
      <c r="W138" s="47">
        <v>1</v>
      </c>
      <c r="AA138" s="70">
        <v>137</v>
      </c>
      <c r="AB138" s="70">
        <v>13</v>
      </c>
      <c r="AC138" s="71" t="s">
        <v>641</v>
      </c>
      <c r="AF138"/>
      <c r="AG138"/>
    </row>
    <row r="139" spans="1:33" s="45" customFormat="1">
      <c r="A139" s="1">
        <v>202</v>
      </c>
      <c r="B139" s="46" t="str">
        <f t="shared" si="5"/>
        <v>212Корчинская Ирина Анатольевна</v>
      </c>
      <c r="C139" s="46">
        <v>212</v>
      </c>
      <c r="D139" s="46" t="s">
        <v>133</v>
      </c>
      <c r="E139" s="1">
        <v>202</v>
      </c>
      <c r="F139" s="45">
        <f t="shared" si="6"/>
        <v>0</v>
      </c>
      <c r="V139" s="45" t="s">
        <v>291</v>
      </c>
      <c r="W139" s="47">
        <v>1</v>
      </c>
      <c r="AA139" s="70">
        <v>138</v>
      </c>
      <c r="AB139" s="70">
        <v>13</v>
      </c>
      <c r="AC139" s="71" t="s">
        <v>641</v>
      </c>
      <c r="AF139"/>
      <c r="AG139"/>
    </row>
    <row r="140" spans="1:33" s="45" customFormat="1" ht="24">
      <c r="A140" s="1">
        <v>192</v>
      </c>
      <c r="B140" s="46" t="str">
        <f t="shared" si="5"/>
        <v>200Косенков Степан Фед-ч(Галактионова)</v>
      </c>
      <c r="C140" s="46">
        <v>200</v>
      </c>
      <c r="D140" s="46" t="s">
        <v>134</v>
      </c>
      <c r="E140" s="1">
        <v>192</v>
      </c>
      <c r="F140" s="45">
        <f t="shared" si="6"/>
        <v>0</v>
      </c>
      <c r="V140" s="45" t="s">
        <v>187</v>
      </c>
      <c r="W140" s="47">
        <v>1</v>
      </c>
      <c r="AA140" s="70">
        <v>139</v>
      </c>
      <c r="AB140" s="70">
        <v>13</v>
      </c>
      <c r="AC140" s="71" t="s">
        <v>641</v>
      </c>
      <c r="AF140"/>
      <c r="AG140"/>
    </row>
    <row r="141" spans="1:33" s="45" customFormat="1">
      <c r="A141" s="1">
        <v>289</v>
      </c>
      <c r="B141" s="46" t="str">
        <f t="shared" si="5"/>
        <v>301Косенкова Елизавета Евгеньевна</v>
      </c>
      <c r="C141" s="46">
        <v>301</v>
      </c>
      <c r="D141" s="46" t="s">
        <v>135</v>
      </c>
      <c r="E141" s="1">
        <v>289</v>
      </c>
      <c r="F141" s="45">
        <f t="shared" si="6"/>
        <v>0</v>
      </c>
      <c r="V141" s="45" t="s">
        <v>184</v>
      </c>
      <c r="W141" s="47">
        <v>1</v>
      </c>
      <c r="AA141" s="70">
        <v>140</v>
      </c>
      <c r="AB141" s="70">
        <v>13</v>
      </c>
      <c r="AC141" s="71" t="s">
        <v>641</v>
      </c>
      <c r="AF141"/>
      <c r="AG141"/>
    </row>
    <row r="142" spans="1:33" s="45" customFormat="1">
      <c r="A142" s="1">
        <v>143</v>
      </c>
      <c r="B142" s="46" t="str">
        <f t="shared" si="5"/>
        <v>151Красникова Раиса Михайловна</v>
      </c>
      <c r="C142" s="46">
        <v>151</v>
      </c>
      <c r="D142" s="46" t="s">
        <v>136</v>
      </c>
      <c r="E142" s="1">
        <v>143</v>
      </c>
      <c r="F142" s="45">
        <f t="shared" si="6"/>
        <v>0</v>
      </c>
      <c r="V142" s="45" t="s">
        <v>178</v>
      </c>
      <c r="W142" s="47">
        <v>1</v>
      </c>
      <c r="AA142" s="70">
        <v>141</v>
      </c>
      <c r="AB142" s="70">
        <v>13</v>
      </c>
      <c r="AC142" s="71" t="s">
        <v>641</v>
      </c>
      <c r="AF142"/>
      <c r="AG142"/>
    </row>
    <row r="143" spans="1:33" s="45" customFormat="1">
      <c r="A143" s="1">
        <v>62</v>
      </c>
      <c r="B143" s="46" t="str">
        <f t="shared" si="5"/>
        <v>64Кривой Владимир Аркадьевич</v>
      </c>
      <c r="C143" s="46">
        <v>64</v>
      </c>
      <c r="D143" s="46" t="s">
        <v>137</v>
      </c>
      <c r="E143" s="1">
        <v>62</v>
      </c>
      <c r="F143" s="45">
        <f t="shared" si="6"/>
        <v>0</v>
      </c>
      <c r="V143" s="45" t="s">
        <v>47</v>
      </c>
      <c r="W143" s="47">
        <v>1</v>
      </c>
      <c r="AA143" s="70">
        <v>142</v>
      </c>
      <c r="AB143" s="70">
        <v>13</v>
      </c>
      <c r="AC143" s="71" t="s">
        <v>641</v>
      </c>
      <c r="AF143"/>
      <c r="AG143"/>
    </row>
    <row r="144" spans="1:33" s="45" customFormat="1">
      <c r="A144" s="1">
        <v>225</v>
      </c>
      <c r="B144" s="46" t="str">
        <f t="shared" si="5"/>
        <v>234Крупник Андрей Валерьевич</v>
      </c>
      <c r="C144" s="46">
        <v>234</v>
      </c>
      <c r="D144" s="46" t="s">
        <v>138</v>
      </c>
      <c r="E144" s="1">
        <v>225</v>
      </c>
      <c r="F144" s="45">
        <f t="shared" si="6"/>
        <v>0</v>
      </c>
      <c r="V144" s="45" t="s">
        <v>189</v>
      </c>
      <c r="W144" s="47">
        <v>1</v>
      </c>
      <c r="AA144" s="70">
        <v>143</v>
      </c>
      <c r="AB144" s="70">
        <v>13</v>
      </c>
      <c r="AC144" s="71" t="s">
        <v>641</v>
      </c>
      <c r="AF144"/>
      <c r="AG144"/>
    </row>
    <row r="145" spans="1:33" s="45" customFormat="1">
      <c r="A145" s="1">
        <v>266</v>
      </c>
      <c r="B145" s="46" t="str">
        <f t="shared" si="5"/>
        <v>279Кудревцев Евгений Александрович</v>
      </c>
      <c r="C145" s="46">
        <v>279</v>
      </c>
      <c r="D145" s="46" t="s">
        <v>139</v>
      </c>
      <c r="E145" s="1">
        <v>266</v>
      </c>
      <c r="F145" s="45">
        <f t="shared" si="6"/>
        <v>0</v>
      </c>
      <c r="V145" s="45" t="s">
        <v>160</v>
      </c>
      <c r="W145" s="47">
        <v>1</v>
      </c>
      <c r="AA145" s="70">
        <v>144</v>
      </c>
      <c r="AB145" s="70">
        <v>13</v>
      </c>
      <c r="AC145" s="71" t="s">
        <v>641</v>
      </c>
      <c r="AF145"/>
      <c r="AG145"/>
    </row>
    <row r="146" spans="1:33" s="45" customFormat="1">
      <c r="A146" s="1">
        <v>157</v>
      </c>
      <c r="B146" s="46" t="str">
        <f t="shared" si="5"/>
        <v>165Кудрявцева Наталья Викторовна</v>
      </c>
      <c r="C146" s="46">
        <v>165</v>
      </c>
      <c r="D146" s="46" t="s">
        <v>140</v>
      </c>
      <c r="E146" s="1">
        <v>157</v>
      </c>
      <c r="F146" s="45">
        <f t="shared" si="6"/>
        <v>0</v>
      </c>
      <c r="V146" s="45" t="s">
        <v>149</v>
      </c>
      <c r="W146" s="47">
        <v>1</v>
      </c>
      <c r="AA146" s="70">
        <v>145</v>
      </c>
      <c r="AB146" s="70">
        <v>13</v>
      </c>
      <c r="AC146" s="71" t="s">
        <v>641</v>
      </c>
      <c r="AF146"/>
      <c r="AG146"/>
    </row>
    <row r="147" spans="1:33" s="45" customFormat="1">
      <c r="A147" s="1">
        <v>194</v>
      </c>
      <c r="B147" s="46" t="str">
        <f t="shared" si="5"/>
        <v>202Куликов Александр Владимирович</v>
      </c>
      <c r="C147" s="46">
        <v>202</v>
      </c>
      <c r="D147" s="46" t="s">
        <v>141</v>
      </c>
      <c r="E147" s="1">
        <v>194</v>
      </c>
      <c r="F147" s="45">
        <f t="shared" si="6"/>
        <v>0</v>
      </c>
      <c r="V147" s="45" t="s">
        <v>190</v>
      </c>
      <c r="W147" s="47">
        <v>1</v>
      </c>
      <c r="AA147" s="70">
        <v>146</v>
      </c>
      <c r="AB147" s="70">
        <v>13</v>
      </c>
      <c r="AC147" s="71" t="s">
        <v>641</v>
      </c>
      <c r="AF147"/>
      <c r="AG147"/>
    </row>
    <row r="148" spans="1:33" s="45" customFormat="1">
      <c r="A148" s="1">
        <v>65</v>
      </c>
      <c r="B148" s="46" t="str">
        <f t="shared" si="5"/>
        <v xml:space="preserve">67Куликова Наталья Александровна </v>
      </c>
      <c r="C148" s="46">
        <v>67</v>
      </c>
      <c r="D148" s="46" t="s">
        <v>142</v>
      </c>
      <c r="E148" s="1">
        <v>65</v>
      </c>
      <c r="F148" s="45">
        <f t="shared" si="6"/>
        <v>0</v>
      </c>
      <c r="V148" s="45" t="s">
        <v>204</v>
      </c>
      <c r="W148" s="47">
        <v>1</v>
      </c>
      <c r="AA148" s="70">
        <v>147</v>
      </c>
      <c r="AB148" s="70">
        <v>13</v>
      </c>
      <c r="AC148" s="71" t="s">
        <v>641</v>
      </c>
      <c r="AF148"/>
      <c r="AG148"/>
    </row>
    <row r="149" spans="1:33" s="45" customFormat="1">
      <c r="A149" s="1">
        <v>216</v>
      </c>
      <c r="B149" s="46" t="str">
        <f t="shared" si="5"/>
        <v xml:space="preserve">226Кулиш Сергей Александрович       </v>
      </c>
      <c r="C149" s="46">
        <v>226</v>
      </c>
      <c r="D149" s="48" t="s">
        <v>143</v>
      </c>
      <c r="E149" s="1">
        <v>216</v>
      </c>
      <c r="F149" s="45">
        <f t="shared" si="6"/>
        <v>1</v>
      </c>
      <c r="V149" s="45" t="s">
        <v>44</v>
      </c>
      <c r="W149" s="47">
        <v>1</v>
      </c>
      <c r="AA149" s="70">
        <v>148</v>
      </c>
      <c r="AB149" s="70">
        <v>13</v>
      </c>
      <c r="AC149" s="71" t="s">
        <v>641</v>
      </c>
      <c r="AF149"/>
      <c r="AG149"/>
    </row>
    <row r="150" spans="1:33" s="45" customFormat="1">
      <c r="A150" s="1">
        <v>216</v>
      </c>
      <c r="B150" s="46" t="str">
        <f t="shared" si="5"/>
        <v xml:space="preserve">225Кулиш Сергей Александрович       </v>
      </c>
      <c r="C150" s="46">
        <v>225</v>
      </c>
      <c r="D150" s="48" t="s">
        <v>143</v>
      </c>
      <c r="E150" s="1">
        <v>216</v>
      </c>
      <c r="F150" s="45">
        <f t="shared" si="6"/>
        <v>1</v>
      </c>
      <c r="V150" s="45" t="s">
        <v>260</v>
      </c>
      <c r="W150" s="47">
        <v>1</v>
      </c>
      <c r="AA150" s="70">
        <v>149</v>
      </c>
      <c r="AB150" s="70">
        <v>13</v>
      </c>
      <c r="AC150" s="71" t="s">
        <v>641</v>
      </c>
      <c r="AF150"/>
      <c r="AG150"/>
    </row>
    <row r="151" spans="1:33" s="45" customFormat="1">
      <c r="A151" s="1">
        <v>56</v>
      </c>
      <c r="B151" s="46" t="str">
        <f t="shared" si="5"/>
        <v>58Кушваха Виджай Шанкар</v>
      </c>
      <c r="C151" s="46">
        <v>58</v>
      </c>
      <c r="D151" s="46" t="s">
        <v>144</v>
      </c>
      <c r="E151" s="1">
        <v>56</v>
      </c>
      <c r="F151" s="45">
        <f t="shared" si="6"/>
        <v>0</v>
      </c>
      <c r="V151" s="45" t="s">
        <v>250</v>
      </c>
      <c r="W151" s="47">
        <v>1</v>
      </c>
      <c r="AA151" s="70">
        <v>150</v>
      </c>
      <c r="AB151" s="70">
        <v>13</v>
      </c>
      <c r="AC151" s="71" t="s">
        <v>641</v>
      </c>
      <c r="AF151"/>
      <c r="AG151"/>
    </row>
    <row r="152" spans="1:33" s="45" customFormat="1">
      <c r="A152" s="1">
        <v>150</v>
      </c>
      <c r="B152" s="46" t="str">
        <f t="shared" si="5"/>
        <v>158Лайпанов Рустам Сеитбиевич</v>
      </c>
      <c r="C152" s="46">
        <v>158</v>
      </c>
      <c r="D152" s="46" t="s">
        <v>145</v>
      </c>
      <c r="E152" s="1">
        <v>150</v>
      </c>
      <c r="F152" s="45">
        <f t="shared" si="6"/>
        <v>0</v>
      </c>
      <c r="V152" s="45" t="s">
        <v>156</v>
      </c>
      <c r="W152" s="47">
        <v>1</v>
      </c>
      <c r="AA152" s="70">
        <v>151</v>
      </c>
      <c r="AB152" s="70">
        <v>13</v>
      </c>
      <c r="AC152" s="71" t="s">
        <v>641</v>
      </c>
      <c r="AF152"/>
      <c r="AG152"/>
    </row>
    <row r="153" spans="1:33" s="45" customFormat="1">
      <c r="A153" s="1">
        <v>243</v>
      </c>
      <c r="B153" s="46" t="str">
        <f t="shared" si="5"/>
        <v>254Лапшин Сергей Николаевич</v>
      </c>
      <c r="C153" s="46">
        <v>254</v>
      </c>
      <c r="D153" s="46" t="s">
        <v>146</v>
      </c>
      <c r="E153" s="1">
        <v>243</v>
      </c>
      <c r="F153" s="45">
        <f t="shared" si="6"/>
        <v>0</v>
      </c>
      <c r="V153" s="45" t="s">
        <v>48</v>
      </c>
      <c r="W153" s="47">
        <v>1</v>
      </c>
      <c r="AA153" s="70">
        <v>152</v>
      </c>
      <c r="AB153" s="70">
        <v>13</v>
      </c>
      <c r="AC153" s="71" t="s">
        <v>641</v>
      </c>
      <c r="AF153"/>
      <c r="AG153"/>
    </row>
    <row r="154" spans="1:33" s="45" customFormat="1">
      <c r="A154" s="1">
        <v>220</v>
      </c>
      <c r="B154" s="46" t="str">
        <f t="shared" si="5"/>
        <v>229Ларионова Наталья Владимировна</v>
      </c>
      <c r="C154" s="46">
        <v>229</v>
      </c>
      <c r="D154" s="46" t="s">
        <v>147</v>
      </c>
      <c r="E154" s="1">
        <v>220</v>
      </c>
      <c r="F154" s="45">
        <f t="shared" si="6"/>
        <v>0</v>
      </c>
      <c r="V154" s="45" t="s">
        <v>153</v>
      </c>
      <c r="W154" s="47">
        <v>1</v>
      </c>
      <c r="AA154" s="70">
        <v>153</v>
      </c>
      <c r="AB154" s="70">
        <v>13</v>
      </c>
      <c r="AC154" s="71" t="s">
        <v>641</v>
      </c>
      <c r="AF154"/>
      <c r="AG154"/>
    </row>
    <row r="155" spans="1:33" s="45" customFormat="1">
      <c r="A155" s="1">
        <v>3</v>
      </c>
      <c r="B155" s="46" t="str">
        <f t="shared" si="5"/>
        <v>3Лебедев Андрей Анатольевич</v>
      </c>
      <c r="C155" s="46">
        <v>3</v>
      </c>
      <c r="D155" s="46" t="s">
        <v>148</v>
      </c>
      <c r="E155" s="1">
        <v>3</v>
      </c>
      <c r="F155" s="45">
        <f t="shared" si="6"/>
        <v>0</v>
      </c>
      <c r="V155" s="45" t="s">
        <v>265</v>
      </c>
      <c r="W155" s="47">
        <v>1</v>
      </c>
      <c r="AA155" s="70">
        <v>154</v>
      </c>
      <c r="AB155" s="70">
        <v>13</v>
      </c>
      <c r="AC155" s="71" t="s">
        <v>641</v>
      </c>
      <c r="AF155"/>
      <c r="AG155"/>
    </row>
    <row r="156" spans="1:33" s="45" customFormat="1">
      <c r="A156" s="1">
        <v>158</v>
      </c>
      <c r="B156" s="46" t="str">
        <f t="shared" si="5"/>
        <v>166Лебедева Елена Александровна</v>
      </c>
      <c r="C156" s="46">
        <v>166</v>
      </c>
      <c r="D156" s="46" t="s">
        <v>149</v>
      </c>
      <c r="E156" s="1">
        <v>158</v>
      </c>
      <c r="F156" s="45">
        <f t="shared" si="6"/>
        <v>0</v>
      </c>
      <c r="V156" s="45" t="s">
        <v>290</v>
      </c>
      <c r="W156" s="47">
        <v>1</v>
      </c>
      <c r="AA156" s="70">
        <v>155</v>
      </c>
      <c r="AB156" s="70">
        <v>13</v>
      </c>
      <c r="AC156" s="71" t="s">
        <v>641</v>
      </c>
      <c r="AF156"/>
      <c r="AG156"/>
    </row>
    <row r="157" spans="1:33" s="45" customFormat="1" ht="24">
      <c r="A157" s="1">
        <v>139</v>
      </c>
      <c r="B157" s="46" t="str">
        <f t="shared" si="5"/>
        <v>149Левина Елена Александровна (Дмитрий)</v>
      </c>
      <c r="C157" s="46">
        <v>149</v>
      </c>
      <c r="D157" s="46" t="s">
        <v>150</v>
      </c>
      <c r="E157" s="1">
        <v>139</v>
      </c>
      <c r="F157" s="45">
        <f t="shared" si="6"/>
        <v>1</v>
      </c>
      <c r="V157" s="45" t="s">
        <v>60</v>
      </c>
      <c r="W157" s="47">
        <v>1</v>
      </c>
      <c r="AA157" s="70">
        <v>156</v>
      </c>
      <c r="AB157" s="70">
        <v>3</v>
      </c>
      <c r="AC157" s="71" t="s">
        <v>13</v>
      </c>
      <c r="AF157"/>
      <c r="AG157"/>
    </row>
    <row r="158" spans="1:33" s="45" customFormat="1" ht="24">
      <c r="A158" s="1">
        <v>139</v>
      </c>
      <c r="B158" s="46" t="str">
        <f t="shared" si="5"/>
        <v>148Левина Елена Александровна (Дмитрий)</v>
      </c>
      <c r="C158" s="46">
        <v>148</v>
      </c>
      <c r="D158" s="46" t="s">
        <v>150</v>
      </c>
      <c r="E158" s="1">
        <v>139</v>
      </c>
      <c r="F158" s="45">
        <f t="shared" si="6"/>
        <v>1</v>
      </c>
      <c r="V158" s="45" t="s">
        <v>61</v>
      </c>
      <c r="W158" s="47">
        <v>1</v>
      </c>
      <c r="AA158" s="70">
        <v>157</v>
      </c>
      <c r="AB158" s="70">
        <v>3</v>
      </c>
      <c r="AC158" s="71" t="s">
        <v>13</v>
      </c>
      <c r="AF158"/>
      <c r="AG158"/>
    </row>
    <row r="159" spans="1:33" s="45" customFormat="1" ht="24">
      <c r="A159" s="1">
        <v>139</v>
      </c>
      <c r="B159" s="46" t="str">
        <f t="shared" si="5"/>
        <v>147Левина Елена Александровна (Дмитрий)</v>
      </c>
      <c r="C159" s="46">
        <v>147</v>
      </c>
      <c r="D159" s="46" t="s">
        <v>150</v>
      </c>
      <c r="E159" s="1">
        <v>139</v>
      </c>
      <c r="F159" s="45">
        <f t="shared" si="6"/>
        <v>1</v>
      </c>
      <c r="V159" s="45" t="s">
        <v>298</v>
      </c>
      <c r="W159" s="47">
        <v>1</v>
      </c>
      <c r="AA159" s="70">
        <v>158</v>
      </c>
      <c r="AB159" s="70">
        <v>3</v>
      </c>
      <c r="AC159" s="71" t="s">
        <v>13</v>
      </c>
      <c r="AF159"/>
      <c r="AG159"/>
    </row>
    <row r="160" spans="1:33" s="45" customFormat="1">
      <c r="A160" s="1">
        <v>261</v>
      </c>
      <c r="B160" s="46" t="str">
        <f t="shared" si="5"/>
        <v>275Леськов Олег Петрович</v>
      </c>
      <c r="C160" s="46">
        <v>275</v>
      </c>
      <c r="D160" s="46" t="s">
        <v>151</v>
      </c>
      <c r="E160" s="1">
        <v>261</v>
      </c>
      <c r="F160" s="45">
        <f t="shared" si="6"/>
        <v>1</v>
      </c>
      <c r="V160" s="45" t="s">
        <v>121</v>
      </c>
      <c r="W160" s="47">
        <v>1</v>
      </c>
      <c r="AA160" s="70">
        <v>159</v>
      </c>
      <c r="AB160" s="70">
        <v>3</v>
      </c>
      <c r="AC160" s="71" t="s">
        <v>13</v>
      </c>
      <c r="AF160"/>
      <c r="AG160"/>
    </row>
    <row r="161" spans="1:33" s="45" customFormat="1">
      <c r="A161" s="1">
        <v>261</v>
      </c>
      <c r="B161" s="46" t="str">
        <f t="shared" si="5"/>
        <v>274Леськов Олег Петрович</v>
      </c>
      <c r="C161" s="46">
        <v>274</v>
      </c>
      <c r="D161" s="46" t="s">
        <v>151</v>
      </c>
      <c r="E161" s="1">
        <v>261</v>
      </c>
      <c r="F161" s="45">
        <f t="shared" si="6"/>
        <v>1</v>
      </c>
      <c r="V161" s="45" t="s">
        <v>49</v>
      </c>
      <c r="W161" s="47">
        <v>1</v>
      </c>
      <c r="AA161" s="70">
        <v>160</v>
      </c>
      <c r="AB161" s="70">
        <v>3</v>
      </c>
      <c r="AC161" s="71" t="s">
        <v>13</v>
      </c>
      <c r="AF161"/>
      <c r="AG161"/>
    </row>
    <row r="162" spans="1:33" s="45" customFormat="1">
      <c r="A162" s="1">
        <v>72</v>
      </c>
      <c r="B162" s="46" t="str">
        <f t="shared" si="5"/>
        <v>78Лещёва Ольга Владимировна</v>
      </c>
      <c r="C162" s="46">
        <v>78</v>
      </c>
      <c r="D162" s="46" t="s">
        <v>21</v>
      </c>
      <c r="E162" s="1">
        <v>72</v>
      </c>
      <c r="F162" s="45">
        <f t="shared" si="6"/>
        <v>0</v>
      </c>
      <c r="V162" s="45" t="s">
        <v>70</v>
      </c>
      <c r="W162" s="47">
        <v>1</v>
      </c>
      <c r="AA162" s="70">
        <v>161</v>
      </c>
      <c r="AB162" s="70">
        <v>3</v>
      </c>
      <c r="AC162" s="71" t="s">
        <v>13</v>
      </c>
      <c r="AF162"/>
      <c r="AG162"/>
    </row>
    <row r="163" spans="1:33" s="45" customFormat="1">
      <c r="A163" s="1">
        <v>288</v>
      </c>
      <c r="B163" s="46" t="str">
        <f t="shared" si="5"/>
        <v>300Ли Наталья Сергеевна</v>
      </c>
      <c r="C163" s="46">
        <v>300</v>
      </c>
      <c r="D163" s="46" t="s">
        <v>152</v>
      </c>
      <c r="E163" s="1">
        <v>288</v>
      </c>
      <c r="F163" s="45">
        <f t="shared" si="6"/>
        <v>0</v>
      </c>
      <c r="V163" s="45" t="s">
        <v>40</v>
      </c>
      <c r="W163" s="47">
        <v>1</v>
      </c>
      <c r="AA163" s="70">
        <v>162</v>
      </c>
      <c r="AB163" s="70">
        <v>3</v>
      </c>
      <c r="AC163" s="71" t="s">
        <v>13</v>
      </c>
      <c r="AF163"/>
      <c r="AG163"/>
    </row>
    <row r="164" spans="1:33" s="45" customFormat="1">
      <c r="A164" s="1">
        <v>166</v>
      </c>
      <c r="B164" s="46" t="str">
        <f t="shared" si="5"/>
        <v>174Ловыгина Татьяна Александровна</v>
      </c>
      <c r="C164" s="46">
        <v>174</v>
      </c>
      <c r="D164" s="46" t="s">
        <v>153</v>
      </c>
      <c r="E164" s="1">
        <v>166</v>
      </c>
      <c r="F164" s="45">
        <f t="shared" si="6"/>
        <v>0</v>
      </c>
      <c r="V164" s="45" t="s">
        <v>203</v>
      </c>
      <c r="W164" s="47">
        <v>1</v>
      </c>
      <c r="AA164" s="70">
        <v>163</v>
      </c>
      <c r="AB164" s="70">
        <v>3</v>
      </c>
      <c r="AC164" s="71" t="s">
        <v>13</v>
      </c>
      <c r="AF164"/>
      <c r="AG164"/>
    </row>
    <row r="165" spans="1:33" s="45" customFormat="1">
      <c r="A165" s="1">
        <v>118</v>
      </c>
      <c r="B165" s="46" t="str">
        <f t="shared" si="5"/>
        <v>123Лопухинова Надежда Михайловна</v>
      </c>
      <c r="C165" s="46">
        <v>123</v>
      </c>
      <c r="D165" s="46" t="s">
        <v>154</v>
      </c>
      <c r="E165" s="1">
        <v>118</v>
      </c>
      <c r="F165" s="45">
        <f t="shared" si="6"/>
        <v>0</v>
      </c>
      <c r="V165" s="45" t="s">
        <v>268</v>
      </c>
      <c r="W165" s="47">
        <v>1</v>
      </c>
      <c r="AA165" s="70">
        <v>164</v>
      </c>
      <c r="AB165" s="70">
        <v>3</v>
      </c>
      <c r="AC165" s="71" t="s">
        <v>13</v>
      </c>
      <c r="AF165"/>
      <c r="AG165"/>
    </row>
    <row r="166" spans="1:33" s="45" customFormat="1">
      <c r="A166" s="1">
        <v>199</v>
      </c>
      <c r="B166" s="46" t="str">
        <f t="shared" si="5"/>
        <v>208Лошкарев Виктор Ильич</v>
      </c>
      <c r="C166" s="46">
        <v>208</v>
      </c>
      <c r="D166" s="46" t="s">
        <v>155</v>
      </c>
      <c r="E166" s="1">
        <v>199</v>
      </c>
      <c r="F166" s="45">
        <f t="shared" si="6"/>
        <v>1</v>
      </c>
      <c r="V166" s="45" t="s">
        <v>287</v>
      </c>
      <c r="W166" s="47">
        <v>1</v>
      </c>
      <c r="AA166" s="70">
        <v>165</v>
      </c>
      <c r="AB166" s="70">
        <v>3</v>
      </c>
      <c r="AC166" s="71" t="s">
        <v>13</v>
      </c>
      <c r="AF166"/>
      <c r="AG166"/>
    </row>
    <row r="167" spans="1:33" s="45" customFormat="1">
      <c r="A167" s="1">
        <v>199</v>
      </c>
      <c r="B167" s="46" t="str">
        <f t="shared" si="5"/>
        <v>207Лошкарев Виктор Ильич</v>
      </c>
      <c r="C167" s="46">
        <v>207</v>
      </c>
      <c r="D167" s="46" t="s">
        <v>155</v>
      </c>
      <c r="E167" s="1">
        <v>199</v>
      </c>
      <c r="F167" s="45">
        <f t="shared" si="6"/>
        <v>1</v>
      </c>
      <c r="V167" s="45" t="s">
        <v>245</v>
      </c>
      <c r="W167" s="47">
        <v>1</v>
      </c>
      <c r="AA167" s="70">
        <v>166</v>
      </c>
      <c r="AB167" s="70">
        <v>3</v>
      </c>
      <c r="AC167" s="71" t="s">
        <v>13</v>
      </c>
      <c r="AF167"/>
      <c r="AG167"/>
    </row>
    <row r="168" spans="1:33" s="45" customFormat="1">
      <c r="A168" s="1">
        <v>164</v>
      </c>
      <c r="B168" s="46" t="str">
        <f t="shared" si="5"/>
        <v>172Лунёв Денис Александрович</v>
      </c>
      <c r="C168" s="46">
        <v>172</v>
      </c>
      <c r="D168" s="46" t="s">
        <v>156</v>
      </c>
      <c r="E168" s="1">
        <v>164</v>
      </c>
      <c r="F168" s="45">
        <f t="shared" si="6"/>
        <v>0</v>
      </c>
      <c r="V168" s="45" t="s">
        <v>297</v>
      </c>
      <c r="W168" s="47">
        <v>1</v>
      </c>
      <c r="AA168" s="70">
        <v>167</v>
      </c>
      <c r="AB168" s="70">
        <v>3</v>
      </c>
      <c r="AC168" s="71" t="s">
        <v>13</v>
      </c>
      <c r="AF168"/>
      <c r="AG168"/>
    </row>
    <row r="169" spans="1:33" s="45" customFormat="1">
      <c r="A169" s="1">
        <v>34</v>
      </c>
      <c r="B169" s="46" t="str">
        <f t="shared" si="5"/>
        <v>34Лунева Ольга Петровна</v>
      </c>
      <c r="C169" s="46">
        <v>34</v>
      </c>
      <c r="D169" s="46" t="s">
        <v>157</v>
      </c>
      <c r="E169" s="1">
        <v>34</v>
      </c>
      <c r="F169" s="45">
        <f t="shared" si="6"/>
        <v>0</v>
      </c>
      <c r="V169" s="45" t="s">
        <v>46</v>
      </c>
      <c r="W169" s="47">
        <v>1</v>
      </c>
      <c r="AA169" s="70">
        <v>168</v>
      </c>
      <c r="AB169" s="70">
        <v>3</v>
      </c>
      <c r="AC169" s="71" t="s">
        <v>13</v>
      </c>
      <c r="AF169"/>
      <c r="AG169"/>
    </row>
    <row r="170" spans="1:33" s="45" customFormat="1">
      <c r="A170" s="1">
        <v>13</v>
      </c>
      <c r="B170" s="46" t="str">
        <f t="shared" si="5"/>
        <v>13Малов Алексей Викторович</v>
      </c>
      <c r="C170" s="46">
        <v>13</v>
      </c>
      <c r="D170" s="46" t="s">
        <v>158</v>
      </c>
      <c r="E170" s="1">
        <v>13</v>
      </c>
      <c r="F170" s="45">
        <f t="shared" si="6"/>
        <v>0</v>
      </c>
      <c r="V170" s="45" t="s">
        <v>200</v>
      </c>
      <c r="W170" s="47">
        <v>1</v>
      </c>
      <c r="AA170" s="70">
        <v>169</v>
      </c>
      <c r="AB170" s="70">
        <v>3</v>
      </c>
      <c r="AC170" s="71" t="s">
        <v>13</v>
      </c>
      <c r="AF170"/>
      <c r="AG170"/>
    </row>
    <row r="171" spans="1:33" s="45" customFormat="1">
      <c r="A171" s="1">
        <v>273</v>
      </c>
      <c r="B171" s="46" t="str">
        <f t="shared" si="5"/>
        <v>286Маргиева Марина Евгеньевна</v>
      </c>
      <c r="C171" s="46">
        <v>286</v>
      </c>
      <c r="D171" s="49" t="s">
        <v>159</v>
      </c>
      <c r="E171" s="1">
        <v>273</v>
      </c>
      <c r="F171" s="45">
        <f t="shared" si="6"/>
        <v>0</v>
      </c>
      <c r="V171" s="45" t="s">
        <v>206</v>
      </c>
      <c r="W171" s="47">
        <v>1</v>
      </c>
      <c r="AA171" s="70">
        <v>170</v>
      </c>
      <c r="AB171" s="70">
        <v>3</v>
      </c>
      <c r="AC171" s="71" t="s">
        <v>13</v>
      </c>
      <c r="AF171"/>
      <c r="AG171"/>
    </row>
    <row r="172" spans="1:33" s="45" customFormat="1" ht="24">
      <c r="A172" s="1">
        <v>87</v>
      </c>
      <c r="B172" s="46" t="str">
        <f t="shared" si="5"/>
        <v>92Маркина Людмила Николаевна, Марина</v>
      </c>
      <c r="C172" s="46">
        <v>92</v>
      </c>
      <c r="D172" s="46" t="s">
        <v>160</v>
      </c>
      <c r="E172" s="1">
        <v>87</v>
      </c>
      <c r="F172" s="45">
        <f t="shared" si="6"/>
        <v>0</v>
      </c>
      <c r="V172" s="45" t="s">
        <v>173</v>
      </c>
      <c r="W172" s="47">
        <v>1</v>
      </c>
      <c r="AA172" s="70">
        <v>171</v>
      </c>
      <c r="AB172" s="70">
        <v>3</v>
      </c>
      <c r="AC172" s="71" t="s">
        <v>13</v>
      </c>
      <c r="AF172"/>
      <c r="AG172"/>
    </row>
    <row r="173" spans="1:33" s="45" customFormat="1">
      <c r="A173" s="1">
        <v>154</v>
      </c>
      <c r="B173" s="46" t="str">
        <f t="shared" si="5"/>
        <v>162Марков Максим Юрьевич</v>
      </c>
      <c r="C173" s="46">
        <v>162</v>
      </c>
      <c r="D173" s="46" t="s">
        <v>161</v>
      </c>
      <c r="E173" s="1">
        <v>154</v>
      </c>
      <c r="F173" s="45">
        <f t="shared" si="6"/>
        <v>0</v>
      </c>
      <c r="V173" s="45" t="s">
        <v>279</v>
      </c>
      <c r="W173" s="47">
        <v>1</v>
      </c>
      <c r="AA173" s="70">
        <v>172</v>
      </c>
      <c r="AB173" s="70">
        <v>3</v>
      </c>
      <c r="AC173" s="71" t="s">
        <v>13</v>
      </c>
      <c r="AF173"/>
      <c r="AG173"/>
    </row>
    <row r="174" spans="1:33" s="45" customFormat="1">
      <c r="A174" s="1">
        <v>270</v>
      </c>
      <c r="B174" s="46" t="str">
        <f t="shared" si="5"/>
        <v>283Маркова Тамара Ивановна</v>
      </c>
      <c r="C174" s="46">
        <v>283</v>
      </c>
      <c r="D174" s="46" t="s">
        <v>162</v>
      </c>
      <c r="E174" s="1">
        <v>270</v>
      </c>
      <c r="F174" s="45">
        <f t="shared" si="6"/>
        <v>0</v>
      </c>
      <c r="V174" s="45" t="s">
        <v>130</v>
      </c>
      <c r="W174" s="47">
        <v>1</v>
      </c>
      <c r="AA174" s="70">
        <v>173</v>
      </c>
      <c r="AB174" s="70">
        <v>3</v>
      </c>
      <c r="AC174" s="71" t="s">
        <v>13</v>
      </c>
      <c r="AF174"/>
      <c r="AG174"/>
    </row>
    <row r="175" spans="1:33" s="45" customFormat="1">
      <c r="A175" s="1">
        <v>9</v>
      </c>
      <c r="B175" s="46" t="str">
        <f t="shared" si="5"/>
        <v>9Марковнина Светлана Викторовна</v>
      </c>
      <c r="C175" s="46">
        <v>9</v>
      </c>
      <c r="D175" s="46" t="s">
        <v>163</v>
      </c>
      <c r="E175" s="1">
        <v>9</v>
      </c>
      <c r="F175" s="45">
        <f t="shared" si="6"/>
        <v>0</v>
      </c>
      <c r="V175" s="45" t="s">
        <v>183</v>
      </c>
      <c r="W175" s="47">
        <v>1</v>
      </c>
      <c r="AA175" s="70">
        <v>174</v>
      </c>
      <c r="AB175" s="70">
        <v>3</v>
      </c>
      <c r="AC175" s="71" t="s">
        <v>13</v>
      </c>
      <c r="AF175"/>
      <c r="AG175"/>
    </row>
    <row r="176" spans="1:33" s="45" customFormat="1">
      <c r="A176" s="1">
        <v>129</v>
      </c>
      <c r="B176" s="46" t="str">
        <f t="shared" si="5"/>
        <v>136Маслов Александр Александрович</v>
      </c>
      <c r="C176" s="46">
        <v>136</v>
      </c>
      <c r="D176" s="46" t="s">
        <v>164</v>
      </c>
      <c r="E176" s="1">
        <v>129</v>
      </c>
      <c r="F176" s="45">
        <f t="shared" si="6"/>
        <v>0</v>
      </c>
      <c r="V176" s="45" t="s">
        <v>134</v>
      </c>
      <c r="W176" s="47">
        <v>1</v>
      </c>
      <c r="AA176" s="70">
        <v>175</v>
      </c>
      <c r="AB176" s="70">
        <v>3</v>
      </c>
      <c r="AC176" s="71" t="s">
        <v>13</v>
      </c>
      <c r="AF176"/>
      <c r="AG176"/>
    </row>
    <row r="177" spans="1:33" s="45" customFormat="1" ht="36">
      <c r="A177" s="1">
        <v>42</v>
      </c>
      <c r="B177" s="46" t="str">
        <f t="shared" si="5"/>
        <v>42Маслов Андрей Геннадьевич (1/2)                 Щербакова Надежда Михайловна (1/2)</v>
      </c>
      <c r="C177" s="46">
        <v>42</v>
      </c>
      <c r="D177" s="46" t="s">
        <v>165</v>
      </c>
      <c r="E177" s="1">
        <v>42</v>
      </c>
      <c r="F177" s="45">
        <f t="shared" si="6"/>
        <v>0</v>
      </c>
      <c r="V177" s="45" t="s">
        <v>39</v>
      </c>
      <c r="W177" s="47">
        <v>1</v>
      </c>
      <c r="AA177" s="70">
        <v>176</v>
      </c>
      <c r="AB177" s="70">
        <v>3</v>
      </c>
      <c r="AC177" s="71" t="s">
        <v>13</v>
      </c>
      <c r="AF177"/>
      <c r="AG177"/>
    </row>
    <row r="178" spans="1:33" s="45" customFormat="1">
      <c r="A178" s="1">
        <v>96</v>
      </c>
      <c r="B178" s="46" t="str">
        <f t="shared" si="5"/>
        <v>102Маслова Валентина Петровна</v>
      </c>
      <c r="C178" s="46">
        <v>102</v>
      </c>
      <c r="D178" s="46" t="s">
        <v>166</v>
      </c>
      <c r="E178" s="1">
        <v>96</v>
      </c>
      <c r="F178" s="45">
        <f t="shared" si="6"/>
        <v>1</v>
      </c>
      <c r="V178" s="45" t="s">
        <v>141</v>
      </c>
      <c r="W178" s="47">
        <v>1</v>
      </c>
      <c r="AA178" s="70">
        <v>177</v>
      </c>
      <c r="AB178" s="70">
        <v>3</v>
      </c>
      <c r="AC178" s="71" t="s">
        <v>13</v>
      </c>
      <c r="AF178"/>
      <c r="AG178"/>
    </row>
    <row r="179" spans="1:33" s="45" customFormat="1">
      <c r="A179" s="1">
        <v>96</v>
      </c>
      <c r="B179" s="46" t="str">
        <f t="shared" si="5"/>
        <v>101Маслова Валентина Петровна</v>
      </c>
      <c r="C179" s="46">
        <v>101</v>
      </c>
      <c r="D179" s="46" t="s">
        <v>166</v>
      </c>
      <c r="E179" s="1">
        <v>96</v>
      </c>
      <c r="F179" s="45">
        <f t="shared" si="6"/>
        <v>1</v>
      </c>
      <c r="V179" s="45" t="s">
        <v>108</v>
      </c>
      <c r="W179" s="47">
        <v>1</v>
      </c>
      <c r="AA179" s="70">
        <v>178</v>
      </c>
      <c r="AB179" s="70">
        <v>3</v>
      </c>
      <c r="AC179" s="71" t="s">
        <v>13</v>
      </c>
      <c r="AF179"/>
      <c r="AG179"/>
    </row>
    <row r="180" spans="1:33" s="45" customFormat="1">
      <c r="A180" s="1">
        <v>292</v>
      </c>
      <c r="B180" s="46" t="str">
        <f t="shared" si="5"/>
        <v>305Матвеев Денис Львович</v>
      </c>
      <c r="C180" s="46">
        <v>305</v>
      </c>
      <c r="D180" s="46" t="s">
        <v>167</v>
      </c>
      <c r="E180" s="1">
        <v>292</v>
      </c>
      <c r="F180" s="45">
        <f t="shared" si="6"/>
        <v>0</v>
      </c>
      <c r="V180" s="45" t="s">
        <v>104</v>
      </c>
      <c r="W180" s="47">
        <v>1</v>
      </c>
      <c r="AA180" s="70">
        <v>179</v>
      </c>
      <c r="AB180" s="70">
        <v>3</v>
      </c>
      <c r="AC180" s="71" t="s">
        <v>13</v>
      </c>
      <c r="AF180"/>
      <c r="AG180"/>
    </row>
    <row r="181" spans="1:33" s="45" customFormat="1" ht="24">
      <c r="A181" s="1">
        <v>209</v>
      </c>
      <c r="B181" s="46" t="str">
        <f t="shared" si="5"/>
        <v>219Мельников Михаил Вячеславович / Диденко</v>
      </c>
      <c r="C181" s="46">
        <v>219</v>
      </c>
      <c r="D181" s="46" t="s">
        <v>168</v>
      </c>
      <c r="E181" s="1">
        <v>209</v>
      </c>
      <c r="F181" s="45">
        <f t="shared" si="6"/>
        <v>0</v>
      </c>
      <c r="V181" s="45" t="s">
        <v>241</v>
      </c>
      <c r="W181" s="47">
        <v>1</v>
      </c>
      <c r="AA181" s="70">
        <v>180</v>
      </c>
      <c r="AB181" s="70">
        <v>3</v>
      </c>
      <c r="AC181" s="71" t="s">
        <v>13</v>
      </c>
      <c r="AF181"/>
      <c r="AG181"/>
    </row>
    <row r="182" spans="1:33" s="45" customFormat="1">
      <c r="A182" s="1">
        <v>257</v>
      </c>
      <c r="B182" s="46" t="str">
        <f t="shared" si="5"/>
        <v>270Месхидзе Оксана Валерьевна</v>
      </c>
      <c r="C182" s="46">
        <v>270</v>
      </c>
      <c r="D182" s="46" t="s">
        <v>169</v>
      </c>
      <c r="E182" s="1">
        <v>257</v>
      </c>
      <c r="F182" s="45">
        <f t="shared" si="6"/>
        <v>0</v>
      </c>
      <c r="V182" s="45" t="s">
        <v>26</v>
      </c>
      <c r="W182" s="47">
        <v>1</v>
      </c>
      <c r="AA182" s="70">
        <v>181</v>
      </c>
      <c r="AB182" s="70">
        <v>14</v>
      </c>
      <c r="AC182" s="71" t="s">
        <v>247</v>
      </c>
      <c r="AF182"/>
      <c r="AG182"/>
    </row>
    <row r="183" spans="1:33" s="45" customFormat="1">
      <c r="A183" s="1">
        <v>212</v>
      </c>
      <c r="B183" s="46" t="str">
        <f t="shared" si="5"/>
        <v>221Милишенко Надежда Ивановна</v>
      </c>
      <c r="C183" s="46">
        <v>221</v>
      </c>
      <c r="D183" s="46" t="s">
        <v>170</v>
      </c>
      <c r="E183" s="1">
        <v>212</v>
      </c>
      <c r="F183" s="45">
        <f t="shared" si="6"/>
        <v>0</v>
      </c>
      <c r="V183" s="45" t="s">
        <v>299</v>
      </c>
      <c r="W183" s="47">
        <v>1</v>
      </c>
      <c r="AA183" s="70">
        <v>182</v>
      </c>
      <c r="AB183" s="70">
        <v>14</v>
      </c>
      <c r="AC183" s="71" t="s">
        <v>247</v>
      </c>
      <c r="AF183"/>
      <c r="AG183"/>
    </row>
    <row r="184" spans="1:33" s="45" customFormat="1">
      <c r="A184" s="1">
        <v>320</v>
      </c>
      <c r="B184" s="46" t="str">
        <f t="shared" si="5"/>
        <v>Милоянин Алексей Леонидович</v>
      </c>
      <c r="C184" s="46"/>
      <c r="D184" s="46" t="s">
        <v>171</v>
      </c>
      <c r="E184" s="1">
        <v>320</v>
      </c>
      <c r="F184" s="45">
        <f t="shared" si="6"/>
        <v>1</v>
      </c>
      <c r="V184" s="45" t="s">
        <v>195</v>
      </c>
      <c r="W184" s="47">
        <v>1</v>
      </c>
      <c r="AA184" s="70">
        <v>183</v>
      </c>
      <c r="AB184" s="70">
        <v>14</v>
      </c>
      <c r="AC184" s="71" t="s">
        <v>247</v>
      </c>
      <c r="AF184"/>
      <c r="AG184"/>
    </row>
    <row r="185" spans="1:33" s="45" customFormat="1" ht="24">
      <c r="A185" s="1">
        <v>186</v>
      </c>
      <c r="B185" s="46" t="str">
        <f t="shared" si="5"/>
        <v>194Мирошниченко Андрей Иванович Захарова Елена Александровна</v>
      </c>
      <c r="C185" s="46">
        <v>194</v>
      </c>
      <c r="D185" s="46" t="s">
        <v>172</v>
      </c>
      <c r="E185" s="1">
        <v>186</v>
      </c>
      <c r="F185" s="45">
        <f t="shared" si="6"/>
        <v>0</v>
      </c>
      <c r="V185" s="45" t="s">
        <v>12</v>
      </c>
      <c r="W185" s="47">
        <v>1</v>
      </c>
      <c r="AA185" s="70">
        <v>184</v>
      </c>
      <c r="AB185" s="70">
        <v>14</v>
      </c>
      <c r="AC185" s="71" t="s">
        <v>247</v>
      </c>
      <c r="AF185"/>
      <c r="AG185"/>
    </row>
    <row r="186" spans="1:33" s="45" customFormat="1">
      <c r="A186" s="1">
        <v>187</v>
      </c>
      <c r="B186" s="46" t="str">
        <f t="shared" si="5"/>
        <v>195Мирошниченко Екатерина Олеговна</v>
      </c>
      <c r="C186" s="46">
        <v>195</v>
      </c>
      <c r="D186" s="46" t="s">
        <v>173</v>
      </c>
      <c r="E186" s="1">
        <v>187</v>
      </c>
      <c r="F186" s="45">
        <f t="shared" si="6"/>
        <v>0</v>
      </c>
      <c r="V186" s="45" t="s">
        <v>5</v>
      </c>
      <c r="W186" s="47">
        <v>1</v>
      </c>
      <c r="AA186" s="70">
        <v>185</v>
      </c>
      <c r="AB186" s="70">
        <v>14</v>
      </c>
      <c r="AC186" s="71" t="s">
        <v>247</v>
      </c>
      <c r="AF186"/>
      <c r="AG186"/>
    </row>
    <row r="187" spans="1:33" s="45" customFormat="1">
      <c r="A187" s="1">
        <v>211</v>
      </c>
      <c r="B187" s="46" t="str">
        <f t="shared" si="5"/>
        <v>220Модин Игорь Николаевич</v>
      </c>
      <c r="C187" s="46">
        <v>220</v>
      </c>
      <c r="D187" s="46" t="s">
        <v>174</v>
      </c>
      <c r="E187" s="1">
        <v>211</v>
      </c>
      <c r="F187" s="45">
        <f t="shared" si="6"/>
        <v>0</v>
      </c>
      <c r="V187" s="45" t="s">
        <v>128</v>
      </c>
      <c r="W187" s="47">
        <v>1</v>
      </c>
      <c r="AA187" s="70">
        <v>186</v>
      </c>
      <c r="AB187" s="70">
        <v>14</v>
      </c>
      <c r="AC187" s="71" t="s">
        <v>247</v>
      </c>
      <c r="AF187"/>
      <c r="AG187"/>
    </row>
    <row r="188" spans="1:33" s="45" customFormat="1">
      <c r="A188" s="1">
        <v>242</v>
      </c>
      <c r="B188" s="46" t="str">
        <f t="shared" si="5"/>
        <v>253Моисеев Андрей Валентинович</v>
      </c>
      <c r="C188" s="46">
        <v>253</v>
      </c>
      <c r="D188" s="46" t="s">
        <v>175</v>
      </c>
      <c r="E188" s="1">
        <v>242</v>
      </c>
      <c r="F188" s="45">
        <f t="shared" si="6"/>
        <v>0</v>
      </c>
      <c r="V188" s="45" t="s">
        <v>240</v>
      </c>
      <c r="W188" s="47">
        <v>1</v>
      </c>
      <c r="AA188" s="70">
        <v>187</v>
      </c>
      <c r="AB188" s="70">
        <v>14</v>
      </c>
      <c r="AC188" s="71" t="s">
        <v>247</v>
      </c>
      <c r="AF188"/>
      <c r="AG188"/>
    </row>
    <row r="189" spans="1:33" s="45" customFormat="1">
      <c r="A189" s="1">
        <v>218</v>
      </c>
      <c r="B189" s="46" t="str">
        <f t="shared" si="5"/>
        <v>227Молчанова Ирина Владимировна</v>
      </c>
      <c r="C189" s="50">
        <v>227</v>
      </c>
      <c r="D189" s="46" t="s">
        <v>176</v>
      </c>
      <c r="E189" s="1">
        <v>218</v>
      </c>
      <c r="F189" s="45">
        <f t="shared" si="6"/>
        <v>0</v>
      </c>
      <c r="V189" s="45" t="s">
        <v>129</v>
      </c>
      <c r="W189" s="47">
        <v>1</v>
      </c>
      <c r="AA189" s="70">
        <v>188</v>
      </c>
      <c r="AB189" s="70">
        <v>14</v>
      </c>
      <c r="AC189" s="71" t="s">
        <v>247</v>
      </c>
      <c r="AF189"/>
      <c r="AG189"/>
    </row>
    <row r="190" spans="1:33" s="45" customFormat="1" ht="24">
      <c r="A190" s="1">
        <v>120</v>
      </c>
      <c r="B190" s="46" t="str">
        <f t="shared" si="5"/>
        <v>125Мудрак Владимир Григорьевич (Марина)</v>
      </c>
      <c r="C190" s="46">
        <v>125</v>
      </c>
      <c r="D190" s="46" t="s">
        <v>177</v>
      </c>
      <c r="E190" s="1">
        <v>120</v>
      </c>
      <c r="F190" s="45">
        <f t="shared" si="6"/>
        <v>0</v>
      </c>
      <c r="V190" s="45" t="s">
        <v>111</v>
      </c>
      <c r="W190" s="47">
        <v>1</v>
      </c>
      <c r="AA190" s="70">
        <v>189</v>
      </c>
      <c r="AB190" s="70">
        <v>14</v>
      </c>
      <c r="AC190" s="71" t="s">
        <v>247</v>
      </c>
      <c r="AF190"/>
      <c r="AG190"/>
    </row>
    <row r="191" spans="1:33" s="45" customFormat="1">
      <c r="A191" s="1">
        <v>287</v>
      </c>
      <c r="B191" s="46" t="str">
        <f t="shared" si="5"/>
        <v>299Мурадова Альбина Сергеевна</v>
      </c>
      <c r="C191" s="46">
        <v>299</v>
      </c>
      <c r="D191" s="46" t="s">
        <v>178</v>
      </c>
      <c r="E191" s="1">
        <v>287</v>
      </c>
      <c r="F191" s="45">
        <f t="shared" si="6"/>
        <v>0</v>
      </c>
      <c r="V191" s="45" t="s">
        <v>52</v>
      </c>
      <c r="W191" s="47">
        <v>1</v>
      </c>
      <c r="AA191" s="70">
        <v>190</v>
      </c>
      <c r="AB191" s="70">
        <v>14</v>
      </c>
      <c r="AC191" s="71" t="s">
        <v>247</v>
      </c>
      <c r="AF191"/>
      <c r="AG191"/>
    </row>
    <row r="192" spans="1:33" s="45" customFormat="1">
      <c r="A192" s="1">
        <v>170</v>
      </c>
      <c r="B192" s="46" t="str">
        <f t="shared" si="5"/>
        <v>179Науменко Дмитрий Александрович</v>
      </c>
      <c r="C192" s="46">
        <v>179</v>
      </c>
      <c r="D192" s="46" t="s">
        <v>179</v>
      </c>
      <c r="E192" s="1">
        <v>170</v>
      </c>
      <c r="F192" s="45">
        <f t="shared" si="6"/>
        <v>1</v>
      </c>
      <c r="V192" s="45" t="s">
        <v>168</v>
      </c>
      <c r="W192" s="47">
        <v>1</v>
      </c>
      <c r="AA192" s="70">
        <v>191</v>
      </c>
      <c r="AB192" s="70">
        <v>14</v>
      </c>
      <c r="AC192" s="71" t="s">
        <v>247</v>
      </c>
      <c r="AF192"/>
      <c r="AG192"/>
    </row>
    <row r="193" spans="1:33" s="45" customFormat="1">
      <c r="A193" s="1">
        <v>170</v>
      </c>
      <c r="B193" s="46" t="str">
        <f t="shared" si="5"/>
        <v>178Науменко Дмитрий Александрович</v>
      </c>
      <c r="C193" s="46">
        <v>178</v>
      </c>
      <c r="D193" s="46" t="s">
        <v>179</v>
      </c>
      <c r="E193" s="1">
        <v>170</v>
      </c>
      <c r="F193" s="45">
        <f t="shared" si="6"/>
        <v>1</v>
      </c>
      <c r="V193" s="45" t="s">
        <v>31</v>
      </c>
      <c r="W193" s="47">
        <v>1</v>
      </c>
      <c r="AA193" s="70">
        <v>192</v>
      </c>
      <c r="AB193" s="70">
        <v>14</v>
      </c>
      <c r="AC193" s="71" t="s">
        <v>247</v>
      </c>
      <c r="AF193"/>
      <c r="AG193"/>
    </row>
    <row r="194" spans="1:33" s="45" customFormat="1">
      <c r="A194" s="1">
        <v>290</v>
      </c>
      <c r="B194" s="46" t="str">
        <f t="shared" ref="B194:B256" si="7">CONCATENATE(C194,D194)</f>
        <v>303Недосенко Татьяна Сергеевна (Олег)</v>
      </c>
      <c r="C194" s="46">
        <v>303</v>
      </c>
      <c r="D194" s="46" t="s">
        <v>180</v>
      </c>
      <c r="E194" s="1">
        <v>290</v>
      </c>
      <c r="F194" s="45">
        <f t="shared" si="6"/>
        <v>0</v>
      </c>
      <c r="V194" s="45" t="s">
        <v>174</v>
      </c>
      <c r="W194" s="47">
        <v>1</v>
      </c>
      <c r="AA194" s="70">
        <v>193</v>
      </c>
      <c r="AB194" s="70">
        <v>14</v>
      </c>
      <c r="AC194" s="71" t="s">
        <v>247</v>
      </c>
      <c r="AF194"/>
      <c r="AG194"/>
    </row>
    <row r="195" spans="1:33" s="45" customFormat="1">
      <c r="A195" s="1">
        <v>81</v>
      </c>
      <c r="B195" s="46" t="str">
        <f t="shared" si="7"/>
        <v>86Нелюбов Сергей Владимирович</v>
      </c>
      <c r="C195" s="46">
        <v>86</v>
      </c>
      <c r="D195" s="46" t="s">
        <v>181</v>
      </c>
      <c r="E195" s="1">
        <v>81</v>
      </c>
      <c r="F195" s="45">
        <f t="shared" ref="F195:F257" si="8">IF(VLOOKUP(D195,$V$2:$W$299,2,FALSE)&lt;&gt;1,1,0)</f>
        <v>0</v>
      </c>
      <c r="V195" s="45" t="s">
        <v>256</v>
      </c>
      <c r="W195" s="47">
        <v>1</v>
      </c>
      <c r="AA195" s="70">
        <v>194</v>
      </c>
      <c r="AB195" s="70">
        <v>14</v>
      </c>
      <c r="AC195" s="71" t="s">
        <v>247</v>
      </c>
      <c r="AF195"/>
      <c r="AG195"/>
    </row>
    <row r="196" spans="1:33" s="45" customFormat="1">
      <c r="A196" s="1">
        <v>31</v>
      </c>
      <c r="B196" s="46" t="str">
        <f t="shared" si="7"/>
        <v>31Нефедов Михаил Владимирович</v>
      </c>
      <c r="C196" s="46">
        <v>31</v>
      </c>
      <c r="D196" s="46" t="s">
        <v>182</v>
      </c>
      <c r="E196" s="1">
        <v>31</v>
      </c>
      <c r="F196" s="45">
        <f t="shared" si="8"/>
        <v>0</v>
      </c>
      <c r="V196" s="45" t="s">
        <v>89</v>
      </c>
      <c r="W196" s="47">
        <v>1</v>
      </c>
      <c r="AA196" s="70">
        <v>195</v>
      </c>
      <c r="AB196" s="70">
        <v>14</v>
      </c>
      <c r="AC196" s="71" t="s">
        <v>247</v>
      </c>
      <c r="AF196"/>
      <c r="AG196"/>
    </row>
    <row r="197" spans="1:33" s="45" customFormat="1">
      <c r="A197" s="1">
        <v>104</v>
      </c>
      <c r="B197" s="46" t="str">
        <f t="shared" si="7"/>
        <v>109Никифоров Андрей Леонидович</v>
      </c>
      <c r="C197" s="46">
        <v>109</v>
      </c>
      <c r="D197" s="46" t="s">
        <v>183</v>
      </c>
      <c r="E197" s="1">
        <v>104</v>
      </c>
      <c r="F197" s="45">
        <f t="shared" si="8"/>
        <v>0</v>
      </c>
      <c r="V197" s="45" t="s">
        <v>55</v>
      </c>
      <c r="W197" s="47">
        <v>1</v>
      </c>
      <c r="AA197" s="70">
        <v>196</v>
      </c>
      <c r="AB197" s="70">
        <v>14</v>
      </c>
      <c r="AC197" s="71" t="s">
        <v>247</v>
      </c>
      <c r="AF197"/>
      <c r="AG197"/>
    </row>
    <row r="198" spans="1:33" s="45" customFormat="1">
      <c r="A198" s="1">
        <v>85</v>
      </c>
      <c r="B198" s="46" t="str">
        <f t="shared" si="7"/>
        <v>90Новиков Виктор Викторович</v>
      </c>
      <c r="C198" s="46">
        <v>90</v>
      </c>
      <c r="D198" s="46" t="s">
        <v>184</v>
      </c>
      <c r="E198" s="1">
        <v>85</v>
      </c>
      <c r="F198" s="45">
        <f t="shared" si="8"/>
        <v>0</v>
      </c>
      <c r="V198" s="45" t="s">
        <v>233</v>
      </c>
      <c r="W198" s="47">
        <v>1</v>
      </c>
      <c r="AA198" s="70">
        <v>197</v>
      </c>
      <c r="AB198" s="70">
        <v>14</v>
      </c>
      <c r="AC198" s="71" t="s">
        <v>247</v>
      </c>
      <c r="AF198"/>
      <c r="AG198"/>
    </row>
    <row r="199" spans="1:33" s="45" customFormat="1">
      <c r="A199" s="1">
        <v>300</v>
      </c>
      <c r="B199" s="46" t="str">
        <f t="shared" si="7"/>
        <v>315Новикова Наталья Петровна</v>
      </c>
      <c r="C199" s="46">
        <v>315</v>
      </c>
      <c r="D199" s="46" t="s">
        <v>185</v>
      </c>
      <c r="E199" s="1">
        <v>300</v>
      </c>
      <c r="F199" s="45">
        <f t="shared" si="8"/>
        <v>0</v>
      </c>
      <c r="V199" s="45" t="s">
        <v>154</v>
      </c>
      <c r="W199" s="47">
        <v>1</v>
      </c>
      <c r="AA199" s="70">
        <v>198</v>
      </c>
      <c r="AB199" s="70">
        <v>14</v>
      </c>
      <c r="AC199" s="71" t="s">
        <v>247</v>
      </c>
      <c r="AF199"/>
      <c r="AG199"/>
    </row>
    <row r="200" spans="1:33" s="45" customFormat="1" ht="24">
      <c r="A200" s="1">
        <v>47</v>
      </c>
      <c r="B200" s="46" t="str">
        <f t="shared" si="7"/>
        <v>47Новикова Светлана Владимировна (Анатолий)</v>
      </c>
      <c r="C200" s="46">
        <v>47</v>
      </c>
      <c r="D200" s="46" t="s">
        <v>186</v>
      </c>
      <c r="E200" s="1">
        <v>47</v>
      </c>
      <c r="F200" s="45">
        <f t="shared" si="8"/>
        <v>0</v>
      </c>
      <c r="V200" s="45" t="s">
        <v>176</v>
      </c>
      <c r="W200" s="47">
        <v>1</v>
      </c>
      <c r="AA200" s="70">
        <v>199</v>
      </c>
      <c r="AB200" s="70">
        <v>14</v>
      </c>
      <c r="AC200" s="71" t="s">
        <v>247</v>
      </c>
      <c r="AF200"/>
      <c r="AG200"/>
    </row>
    <row r="201" spans="1:33" s="45" customFormat="1" ht="24">
      <c r="A201" s="1">
        <v>282</v>
      </c>
      <c r="B201" s="46" t="str">
        <f t="shared" si="7"/>
        <v xml:space="preserve">294Нормуротов Анваржон Абдирайимович    </v>
      </c>
      <c r="C201" s="46">
        <v>294</v>
      </c>
      <c r="D201" s="46" t="s">
        <v>187</v>
      </c>
      <c r="E201" s="1">
        <v>282</v>
      </c>
      <c r="F201" s="45">
        <f t="shared" si="8"/>
        <v>0</v>
      </c>
      <c r="V201" s="45" t="s">
        <v>17</v>
      </c>
      <c r="W201" s="47">
        <v>1</v>
      </c>
      <c r="AA201" s="70">
        <v>200</v>
      </c>
      <c r="AB201" s="70">
        <v>14</v>
      </c>
      <c r="AC201" s="71" t="s">
        <v>247</v>
      </c>
      <c r="AF201"/>
      <c r="AG201"/>
    </row>
    <row r="202" spans="1:33" s="45" customFormat="1">
      <c r="A202" s="1">
        <v>204</v>
      </c>
      <c r="B202" s="46" t="str">
        <f t="shared" si="7"/>
        <v xml:space="preserve">214Носикова Александра Васильевна </v>
      </c>
      <c r="C202" s="46">
        <v>214</v>
      </c>
      <c r="D202" s="46" t="s">
        <v>188</v>
      </c>
      <c r="E202" s="1">
        <v>204</v>
      </c>
      <c r="F202" s="45">
        <f t="shared" si="8"/>
        <v>0</v>
      </c>
      <c r="V202" s="45" t="s">
        <v>147</v>
      </c>
      <c r="W202" s="47">
        <v>1</v>
      </c>
      <c r="AA202" s="70">
        <v>201</v>
      </c>
      <c r="AB202" s="70">
        <v>4</v>
      </c>
      <c r="AC202" s="71" t="s">
        <v>37</v>
      </c>
      <c r="AF202"/>
      <c r="AG202"/>
    </row>
    <row r="203" spans="1:33" s="45" customFormat="1">
      <c r="A203" s="1">
        <v>291</v>
      </c>
      <c r="B203" s="46" t="str">
        <f t="shared" si="7"/>
        <v>304Носикова Мария Леонидовна</v>
      </c>
      <c r="C203" s="46">
        <v>304</v>
      </c>
      <c r="D203" s="46" t="s">
        <v>189</v>
      </c>
      <c r="E203" s="1">
        <v>291</v>
      </c>
      <c r="F203" s="45">
        <f t="shared" si="8"/>
        <v>0</v>
      </c>
      <c r="V203" s="45" t="s">
        <v>177</v>
      </c>
      <c r="W203" s="47">
        <v>1</v>
      </c>
      <c r="AA203" s="70">
        <v>202</v>
      </c>
      <c r="AB203" s="70">
        <v>4</v>
      </c>
      <c r="AC203" s="71" t="s">
        <v>37</v>
      </c>
      <c r="AF203"/>
      <c r="AG203"/>
    </row>
    <row r="204" spans="1:33" s="45" customFormat="1" ht="24">
      <c r="A204" s="1">
        <v>89</v>
      </c>
      <c r="B204" s="46" t="str">
        <f t="shared" si="7"/>
        <v xml:space="preserve">94Олег (Гусев Николай Михайлович — был) </v>
      </c>
      <c r="C204" s="46">
        <v>94</v>
      </c>
      <c r="D204" s="46" t="s">
        <v>190</v>
      </c>
      <c r="E204" s="1">
        <v>89</v>
      </c>
      <c r="F204" s="45">
        <f t="shared" si="8"/>
        <v>0</v>
      </c>
      <c r="V204" s="45" t="s">
        <v>109</v>
      </c>
      <c r="W204" s="47">
        <v>1</v>
      </c>
      <c r="AA204" s="70">
        <v>203</v>
      </c>
      <c r="AB204" s="70">
        <v>4</v>
      </c>
      <c r="AC204" s="71" t="s">
        <v>37</v>
      </c>
      <c r="AF204"/>
      <c r="AG204"/>
    </row>
    <row r="205" spans="1:33" s="45" customFormat="1">
      <c r="A205" s="1">
        <v>26</v>
      </c>
      <c r="B205" s="46" t="str">
        <f t="shared" si="7"/>
        <v xml:space="preserve">26Олейников Дмитрий Александрович </v>
      </c>
      <c r="C205" s="46">
        <v>26</v>
      </c>
      <c r="D205" s="46" t="s">
        <v>191</v>
      </c>
      <c r="E205" s="1">
        <v>26</v>
      </c>
      <c r="F205" s="45">
        <f t="shared" si="8"/>
        <v>0</v>
      </c>
      <c r="V205" s="45" t="s">
        <v>97</v>
      </c>
      <c r="W205" s="47">
        <v>1</v>
      </c>
      <c r="AA205" s="70">
        <v>204</v>
      </c>
      <c r="AB205" s="70">
        <v>4</v>
      </c>
      <c r="AC205" s="71" t="s">
        <v>37</v>
      </c>
      <c r="AF205"/>
      <c r="AG205"/>
    </row>
    <row r="206" spans="1:33" s="45" customFormat="1">
      <c r="A206" s="1">
        <v>71</v>
      </c>
      <c r="B206" s="46" t="str">
        <f t="shared" si="7"/>
        <v>77Олейникова Евгения Александровна</v>
      </c>
      <c r="C206" s="46">
        <v>77</v>
      </c>
      <c r="D206" s="46" t="s">
        <v>192</v>
      </c>
      <c r="E206" s="1">
        <v>71</v>
      </c>
      <c r="F206" s="45">
        <f t="shared" si="8"/>
        <v>0</v>
      </c>
      <c r="V206" s="45" t="s">
        <v>220</v>
      </c>
      <c r="W206" s="47">
        <v>1</v>
      </c>
      <c r="AA206" s="70">
        <v>205</v>
      </c>
      <c r="AB206" s="70">
        <v>4</v>
      </c>
      <c r="AC206" s="71" t="s">
        <v>37</v>
      </c>
      <c r="AF206"/>
      <c r="AG206"/>
    </row>
    <row r="207" spans="1:33" s="45" customFormat="1">
      <c r="A207" s="1">
        <v>6</v>
      </c>
      <c r="B207" s="46" t="str">
        <f t="shared" si="7"/>
        <v>6Осадчев Константин Владимирович</v>
      </c>
      <c r="C207" s="46">
        <v>6</v>
      </c>
      <c r="D207" s="46" t="s">
        <v>193</v>
      </c>
      <c r="E207" s="1">
        <v>6</v>
      </c>
      <c r="F207" s="45">
        <f t="shared" si="8"/>
        <v>0</v>
      </c>
      <c r="V207" s="45" t="s">
        <v>72</v>
      </c>
      <c r="W207" s="47">
        <v>1</v>
      </c>
      <c r="AA207" s="70">
        <v>206</v>
      </c>
      <c r="AB207" s="70">
        <v>4</v>
      </c>
      <c r="AC207" s="71" t="s">
        <v>37</v>
      </c>
      <c r="AF207"/>
      <c r="AG207"/>
    </row>
    <row r="208" spans="1:33" s="45" customFormat="1">
      <c r="A208" s="1">
        <v>80</v>
      </c>
      <c r="B208" s="46" t="str">
        <f t="shared" si="7"/>
        <v>85Острикова Наталья Львовна</v>
      </c>
      <c r="C208" s="46">
        <v>85</v>
      </c>
      <c r="D208" s="46" t="s">
        <v>194</v>
      </c>
      <c r="E208" s="1">
        <v>80</v>
      </c>
      <c r="F208" s="45">
        <f t="shared" si="8"/>
        <v>0</v>
      </c>
      <c r="V208" s="45" t="s">
        <v>68</v>
      </c>
      <c r="W208" s="47">
        <v>1</v>
      </c>
      <c r="AA208" s="70">
        <v>207</v>
      </c>
      <c r="AB208" s="70">
        <v>4</v>
      </c>
      <c r="AC208" s="71" t="s">
        <v>37</v>
      </c>
      <c r="AF208"/>
      <c r="AG208"/>
    </row>
    <row r="209" spans="1:33" s="45" customFormat="1" ht="24">
      <c r="A209" s="1">
        <v>201</v>
      </c>
      <c r="B209" s="46" t="str">
        <f t="shared" si="7"/>
        <v>209Пархачева Эльвира Валентиновна (Алксандр)</v>
      </c>
      <c r="C209" s="46">
        <v>209</v>
      </c>
      <c r="D209" s="46" t="s">
        <v>195</v>
      </c>
      <c r="E209" s="1">
        <v>201</v>
      </c>
      <c r="F209" s="45">
        <f t="shared" si="8"/>
        <v>0</v>
      </c>
      <c r="V209" s="45" t="s">
        <v>126</v>
      </c>
      <c r="W209" s="47">
        <v>1</v>
      </c>
      <c r="AA209" s="70">
        <v>208</v>
      </c>
      <c r="AB209" s="70">
        <v>4</v>
      </c>
      <c r="AC209" s="71" t="s">
        <v>37</v>
      </c>
      <c r="AF209"/>
      <c r="AG209"/>
    </row>
    <row r="210" spans="1:33" s="45" customFormat="1" ht="24">
      <c r="A210" s="1">
        <v>147</v>
      </c>
      <c r="B210" s="46" t="str">
        <f t="shared" si="7"/>
        <v>155Пахарева Ольга Александровна (Дмитрий)</v>
      </c>
      <c r="C210" s="46">
        <v>155</v>
      </c>
      <c r="D210" s="46" t="s">
        <v>196</v>
      </c>
      <c r="E210" s="1">
        <v>147</v>
      </c>
      <c r="F210" s="45">
        <f t="shared" si="8"/>
        <v>0</v>
      </c>
      <c r="V210" s="45" t="s">
        <v>51</v>
      </c>
      <c r="W210" s="47">
        <v>1</v>
      </c>
      <c r="AA210" s="70">
        <v>209</v>
      </c>
      <c r="AB210" s="70">
        <v>4</v>
      </c>
      <c r="AC210" s="71" t="s">
        <v>37</v>
      </c>
      <c r="AF210"/>
      <c r="AG210"/>
    </row>
    <row r="211" spans="1:33" s="45" customFormat="1">
      <c r="A211" s="1">
        <v>29</v>
      </c>
      <c r="B211" s="46" t="str">
        <f t="shared" si="7"/>
        <v>29Петрик Наталья Вячеславовна</v>
      </c>
      <c r="C211" s="46">
        <v>29</v>
      </c>
      <c r="D211" s="46" t="s">
        <v>707</v>
      </c>
      <c r="E211" s="1">
        <v>29</v>
      </c>
      <c r="F211" s="45">
        <f>IF(VLOOKUP(D211,$V$2:$W$299,2,FALSE)&lt;&gt;1,1,0)</f>
        <v>0</v>
      </c>
      <c r="V211" s="45" t="s">
        <v>105</v>
      </c>
      <c r="W211" s="47">
        <v>1</v>
      </c>
      <c r="AA211" s="70">
        <v>210</v>
      </c>
      <c r="AB211" s="70">
        <v>4</v>
      </c>
      <c r="AC211" s="71" t="s">
        <v>37</v>
      </c>
      <c r="AF211"/>
      <c r="AG211"/>
    </row>
    <row r="212" spans="1:33" s="45" customFormat="1">
      <c r="A212" s="1">
        <v>33</v>
      </c>
      <c r="B212" s="46" t="str">
        <f t="shared" si="7"/>
        <v>33Петров Борис Викторович</v>
      </c>
      <c r="C212" s="46">
        <v>33</v>
      </c>
      <c r="D212" s="46" t="s">
        <v>198</v>
      </c>
      <c r="E212" s="1">
        <v>33</v>
      </c>
      <c r="F212" s="45">
        <f t="shared" si="8"/>
        <v>0</v>
      </c>
      <c r="V212" s="45" t="s">
        <v>83</v>
      </c>
      <c r="W212" s="47">
        <v>1</v>
      </c>
      <c r="AA212" s="70">
        <v>211</v>
      </c>
      <c r="AB212" s="70">
        <v>4</v>
      </c>
      <c r="AC212" s="71" t="s">
        <v>37</v>
      </c>
      <c r="AF212"/>
      <c r="AG212"/>
    </row>
    <row r="213" spans="1:33" s="45" customFormat="1">
      <c r="A213" s="1">
        <v>169</v>
      </c>
      <c r="B213" s="46" t="str">
        <f t="shared" si="7"/>
        <v>177Петрова Елена Николаевна</v>
      </c>
      <c r="C213" s="46">
        <v>177</v>
      </c>
      <c r="D213" s="46" t="s">
        <v>199</v>
      </c>
      <c r="E213" s="1">
        <v>169</v>
      </c>
      <c r="F213" s="45">
        <f t="shared" si="8"/>
        <v>0</v>
      </c>
      <c r="V213" s="45" t="s">
        <v>22</v>
      </c>
      <c r="W213" s="47">
        <v>1</v>
      </c>
      <c r="AA213" s="70">
        <v>212</v>
      </c>
      <c r="AB213" s="70">
        <v>4</v>
      </c>
      <c r="AC213" s="71" t="s">
        <v>37</v>
      </c>
      <c r="AF213"/>
      <c r="AG213"/>
    </row>
    <row r="214" spans="1:33" s="45" customFormat="1">
      <c r="A214" s="1">
        <v>185</v>
      </c>
      <c r="B214" s="46" t="str">
        <f t="shared" si="7"/>
        <v>193Петункин Игорь Минович</v>
      </c>
      <c r="C214" s="46">
        <v>193</v>
      </c>
      <c r="D214" s="46" t="s">
        <v>200</v>
      </c>
      <c r="E214" s="1">
        <v>185</v>
      </c>
      <c r="F214" s="45">
        <f t="shared" si="8"/>
        <v>0</v>
      </c>
      <c r="V214" s="45" t="s">
        <v>8</v>
      </c>
      <c r="W214" s="47">
        <v>1</v>
      </c>
      <c r="AA214" s="70">
        <v>213</v>
      </c>
      <c r="AB214" s="70">
        <v>4</v>
      </c>
      <c r="AC214" s="71" t="s">
        <v>37</v>
      </c>
      <c r="AF214"/>
      <c r="AG214"/>
    </row>
    <row r="215" spans="1:33" s="45" customFormat="1">
      <c r="A215" s="1">
        <v>176</v>
      </c>
      <c r="B215" s="46" t="str">
        <f t="shared" si="7"/>
        <v>184Пикалёва Алла Григорьевна (Юрий)</v>
      </c>
      <c r="C215" s="46">
        <v>184</v>
      </c>
      <c r="D215" s="46" t="s">
        <v>201</v>
      </c>
      <c r="E215" s="1">
        <v>176</v>
      </c>
      <c r="F215" s="45">
        <f t="shared" si="8"/>
        <v>0</v>
      </c>
      <c r="V215" s="45" t="s">
        <v>53</v>
      </c>
      <c r="W215" s="47">
        <v>1</v>
      </c>
      <c r="AA215" s="70">
        <v>214</v>
      </c>
      <c r="AB215" s="70">
        <v>4</v>
      </c>
      <c r="AC215" s="71" t="s">
        <v>37</v>
      </c>
      <c r="AF215"/>
      <c r="AG215"/>
    </row>
    <row r="216" spans="1:33" s="45" customFormat="1">
      <c r="A216" s="1">
        <v>307</v>
      </c>
      <c r="B216" s="46" t="str">
        <f t="shared" si="7"/>
        <v>322Поликарпова Наталья Дмитриевна</v>
      </c>
      <c r="C216" s="46">
        <v>322</v>
      </c>
      <c r="D216" s="46" t="s">
        <v>202</v>
      </c>
      <c r="E216" s="1">
        <v>307</v>
      </c>
      <c r="F216" s="45">
        <f t="shared" si="8"/>
        <v>0</v>
      </c>
      <c r="V216" s="45" t="s">
        <v>88</v>
      </c>
      <c r="W216" s="47">
        <v>1</v>
      </c>
      <c r="AA216" s="70">
        <v>215</v>
      </c>
      <c r="AB216" s="70">
        <v>4</v>
      </c>
      <c r="AC216" s="71" t="s">
        <v>37</v>
      </c>
      <c r="AF216"/>
      <c r="AG216"/>
    </row>
    <row r="217" spans="1:33" s="45" customFormat="1">
      <c r="A217" s="1">
        <v>177</v>
      </c>
      <c r="B217" s="46" t="str">
        <f t="shared" si="7"/>
        <v>185Полякова Марина Александровна</v>
      </c>
      <c r="C217" s="46">
        <v>185</v>
      </c>
      <c r="D217" s="46" t="s">
        <v>203</v>
      </c>
      <c r="E217" s="1">
        <v>177</v>
      </c>
      <c r="F217" s="45">
        <f t="shared" si="8"/>
        <v>0</v>
      </c>
      <c r="V217" s="45" t="s">
        <v>90</v>
      </c>
      <c r="W217" s="47">
        <v>1</v>
      </c>
      <c r="AA217" s="70">
        <v>216</v>
      </c>
      <c r="AB217" s="70">
        <v>4</v>
      </c>
      <c r="AC217" s="71" t="s">
        <v>37</v>
      </c>
      <c r="AF217"/>
      <c r="AG217"/>
    </row>
    <row r="218" spans="1:33" s="45" customFormat="1">
      <c r="A218" s="1">
        <v>160</v>
      </c>
      <c r="B218" s="46" t="str">
        <f t="shared" si="7"/>
        <v>168Пономарева Олеся Сергеевна</v>
      </c>
      <c r="C218" s="46">
        <v>168</v>
      </c>
      <c r="D218" s="46" t="s">
        <v>204</v>
      </c>
      <c r="E218" s="1">
        <v>160</v>
      </c>
      <c r="F218" s="45">
        <f t="shared" si="8"/>
        <v>0</v>
      </c>
      <c r="V218" s="45" t="s">
        <v>243</v>
      </c>
      <c r="W218" s="47">
        <v>1</v>
      </c>
      <c r="AA218" s="70">
        <v>217</v>
      </c>
      <c r="AB218" s="70">
        <v>4</v>
      </c>
      <c r="AC218" s="71" t="s">
        <v>37</v>
      </c>
      <c r="AF218"/>
      <c r="AG218"/>
    </row>
    <row r="219" spans="1:33" s="45" customFormat="1">
      <c r="A219" s="1">
        <v>53</v>
      </c>
      <c r="B219" s="46" t="str">
        <f t="shared" si="7"/>
        <v>55Попова Нина Ивановна</v>
      </c>
      <c r="C219" s="46">
        <v>55</v>
      </c>
      <c r="D219" s="46" t="s">
        <v>205</v>
      </c>
      <c r="E219" s="1">
        <v>53</v>
      </c>
      <c r="F219" s="45">
        <f t="shared" si="8"/>
        <v>0</v>
      </c>
      <c r="V219" s="45" t="s">
        <v>229</v>
      </c>
      <c r="W219" s="47">
        <v>1</v>
      </c>
      <c r="AA219" s="70">
        <v>218</v>
      </c>
      <c r="AB219" s="70">
        <v>4</v>
      </c>
      <c r="AC219" s="71" t="s">
        <v>37</v>
      </c>
      <c r="AF219"/>
      <c r="AG219"/>
    </row>
    <row r="220" spans="1:33" s="45" customFormat="1">
      <c r="A220" s="1">
        <v>102</v>
      </c>
      <c r="B220" s="46" t="str">
        <f t="shared" si="7"/>
        <v>107Постернак Татьяна Николаевна</v>
      </c>
      <c r="C220" s="46">
        <v>107</v>
      </c>
      <c r="D220" s="46" t="s">
        <v>206</v>
      </c>
      <c r="E220" s="1">
        <v>102</v>
      </c>
      <c r="F220" s="45">
        <f t="shared" si="8"/>
        <v>0</v>
      </c>
      <c r="V220" s="45" t="s">
        <v>226</v>
      </c>
      <c r="W220" s="47">
        <v>1</v>
      </c>
      <c r="AA220" s="70">
        <v>219</v>
      </c>
      <c r="AB220" s="70">
        <v>4</v>
      </c>
      <c r="AC220" s="71" t="s">
        <v>37</v>
      </c>
      <c r="AF220"/>
      <c r="AG220"/>
    </row>
    <row r="221" spans="1:33" s="45" customFormat="1">
      <c r="A221" s="1">
        <v>174</v>
      </c>
      <c r="B221" s="46" t="str">
        <f t="shared" si="7"/>
        <v>182Просянов Александр Александрович</v>
      </c>
      <c r="C221" s="46">
        <v>182</v>
      </c>
      <c r="D221" s="46" t="s">
        <v>207</v>
      </c>
      <c r="E221" s="1">
        <v>174</v>
      </c>
      <c r="F221" s="45">
        <f t="shared" si="8"/>
        <v>0</v>
      </c>
      <c r="V221" s="45" t="s">
        <v>164</v>
      </c>
      <c r="W221" s="47">
        <v>1</v>
      </c>
      <c r="AA221" s="70">
        <v>220</v>
      </c>
      <c r="AB221" s="70">
        <v>4</v>
      </c>
      <c r="AC221" s="71" t="s">
        <v>37</v>
      </c>
      <c r="AF221"/>
      <c r="AG221"/>
    </row>
    <row r="222" spans="1:33" s="45" customFormat="1">
      <c r="A222" s="1">
        <v>165</v>
      </c>
      <c r="B222" s="46" t="str">
        <f t="shared" si="7"/>
        <v xml:space="preserve">173Прохоров Владимир Михайлович        </v>
      </c>
      <c r="C222" s="46">
        <v>173</v>
      </c>
      <c r="D222" s="46" t="s">
        <v>208</v>
      </c>
      <c r="E222" s="1">
        <v>165</v>
      </c>
      <c r="F222" s="45">
        <f t="shared" si="8"/>
        <v>0</v>
      </c>
      <c r="V222" s="45" t="s">
        <v>234</v>
      </c>
      <c r="W222" s="47">
        <v>1</v>
      </c>
      <c r="AA222" s="70">
        <v>221</v>
      </c>
      <c r="AB222" s="70">
        <v>8</v>
      </c>
      <c r="AC222" s="71" t="s">
        <v>109</v>
      </c>
      <c r="AF222"/>
      <c r="AG222"/>
    </row>
    <row r="223" spans="1:33" s="45" customFormat="1">
      <c r="A223" s="1">
        <v>251</v>
      </c>
      <c r="B223" s="46" t="str">
        <f t="shared" si="7"/>
        <v xml:space="preserve">262Пузанова Екатерина Вячеславовна        </v>
      </c>
      <c r="C223" s="46">
        <v>262</v>
      </c>
      <c r="D223" s="46" t="s">
        <v>209</v>
      </c>
      <c r="E223" s="1">
        <v>251</v>
      </c>
      <c r="F223" s="45">
        <f t="shared" si="8"/>
        <v>0</v>
      </c>
      <c r="V223" s="45" t="s">
        <v>13</v>
      </c>
      <c r="W223" s="47">
        <v>1</v>
      </c>
      <c r="AA223" s="70">
        <v>222</v>
      </c>
      <c r="AB223" s="70">
        <v>8</v>
      </c>
      <c r="AC223" s="71" t="s">
        <v>109</v>
      </c>
      <c r="AF223"/>
      <c r="AG223"/>
    </row>
    <row r="224" spans="1:33" s="45" customFormat="1">
      <c r="A224" s="1">
        <v>315</v>
      </c>
      <c r="B224" s="46" t="str">
        <f t="shared" si="7"/>
        <v>265-266Ратников Алексей Сергеевич</v>
      </c>
      <c r="C224" s="46" t="s">
        <v>210</v>
      </c>
      <c r="D224" s="46" t="s">
        <v>211</v>
      </c>
      <c r="E224" s="1">
        <v>315</v>
      </c>
      <c r="F224" s="45">
        <f t="shared" si="8"/>
        <v>0</v>
      </c>
      <c r="V224" s="45" t="s">
        <v>146</v>
      </c>
      <c r="W224" s="47">
        <v>1</v>
      </c>
      <c r="AA224" s="70">
        <v>223</v>
      </c>
      <c r="AB224" s="70">
        <v>8</v>
      </c>
      <c r="AC224" s="71" t="s">
        <v>109</v>
      </c>
      <c r="AF224"/>
      <c r="AG224"/>
    </row>
    <row r="225" spans="1:33" s="45" customFormat="1">
      <c r="A225" s="1">
        <v>312</v>
      </c>
      <c r="B225" s="46" t="str">
        <f t="shared" si="7"/>
        <v>306-307-210-211Решетов Владимир Генадьевич</v>
      </c>
      <c r="C225" s="46" t="s">
        <v>693</v>
      </c>
      <c r="D225" s="46" t="s">
        <v>213</v>
      </c>
      <c r="E225" s="1">
        <v>312</v>
      </c>
      <c r="F225" s="45">
        <f t="shared" si="8"/>
        <v>0</v>
      </c>
      <c r="V225" s="45" t="s">
        <v>246</v>
      </c>
      <c r="W225" s="47">
        <v>1</v>
      </c>
      <c r="AA225" s="70">
        <v>224</v>
      </c>
      <c r="AB225" s="70">
        <v>8</v>
      </c>
      <c r="AC225" s="71" t="s">
        <v>109</v>
      </c>
      <c r="AF225"/>
      <c r="AG225"/>
    </row>
    <row r="226" spans="1:33" s="45" customFormat="1" ht="24">
      <c r="A226" s="1">
        <v>195</v>
      </c>
      <c r="B226" s="46" t="str">
        <f t="shared" si="7"/>
        <v>203Родичева Наталья Николаевна - Завилевская Е.И. ???</v>
      </c>
      <c r="C226" s="46">
        <v>203</v>
      </c>
      <c r="D226" s="46" t="s">
        <v>216</v>
      </c>
      <c r="E226" s="1">
        <v>195</v>
      </c>
      <c r="F226" s="45">
        <f t="shared" si="8"/>
        <v>0</v>
      </c>
      <c r="V226" s="45" t="s">
        <v>278</v>
      </c>
      <c r="W226" s="47">
        <v>1</v>
      </c>
      <c r="AA226" s="70">
        <v>225</v>
      </c>
      <c r="AB226" s="70">
        <v>8</v>
      </c>
      <c r="AC226" s="71" t="s">
        <v>109</v>
      </c>
      <c r="AF226"/>
      <c r="AG226"/>
    </row>
    <row r="227" spans="1:33" s="45" customFormat="1">
      <c r="A227" s="1">
        <v>144</v>
      </c>
      <c r="B227" s="46" t="str">
        <f t="shared" si="7"/>
        <v>153Рожкова Глафира Андреевна</v>
      </c>
      <c r="C227" s="46">
        <v>153</v>
      </c>
      <c r="D227" s="46" t="s">
        <v>217</v>
      </c>
      <c r="E227" s="1">
        <v>144</v>
      </c>
      <c r="F227" s="45">
        <f t="shared" si="8"/>
        <v>1</v>
      </c>
      <c r="V227" s="45" t="s">
        <v>77</v>
      </c>
      <c r="W227" s="47">
        <v>1</v>
      </c>
      <c r="AA227" s="70">
        <v>226</v>
      </c>
      <c r="AB227" s="70">
        <v>8</v>
      </c>
      <c r="AC227" s="71" t="s">
        <v>109</v>
      </c>
      <c r="AF227"/>
      <c r="AG227"/>
    </row>
    <row r="228" spans="1:33" s="45" customFormat="1">
      <c r="A228" s="1">
        <v>144</v>
      </c>
      <c r="B228" s="46" t="str">
        <f t="shared" si="7"/>
        <v>152Рожкова Глафира Андреевна</v>
      </c>
      <c r="C228" s="46">
        <v>152</v>
      </c>
      <c r="D228" s="46" t="s">
        <v>217</v>
      </c>
      <c r="E228" s="1">
        <v>144</v>
      </c>
      <c r="F228" s="45">
        <f t="shared" si="8"/>
        <v>1</v>
      </c>
      <c r="V228" s="45" t="s">
        <v>20</v>
      </c>
      <c r="W228" s="47">
        <v>1</v>
      </c>
      <c r="AA228" s="70">
        <v>227</v>
      </c>
      <c r="AB228" s="70">
        <v>8</v>
      </c>
      <c r="AC228" s="71" t="s">
        <v>109</v>
      </c>
      <c r="AF228"/>
      <c r="AG228"/>
    </row>
    <row r="229" spans="1:33" s="45" customFormat="1">
      <c r="A229" s="1">
        <v>74</v>
      </c>
      <c r="B229" s="46" t="str">
        <f t="shared" si="7"/>
        <v>81Розова Татьяна Викторовна</v>
      </c>
      <c r="C229" s="46">
        <v>81</v>
      </c>
      <c r="D229" s="46" t="s">
        <v>218</v>
      </c>
      <c r="E229" s="1">
        <v>74</v>
      </c>
      <c r="F229" s="45">
        <f t="shared" si="8"/>
        <v>1</v>
      </c>
      <c r="V229" s="45" t="s">
        <v>132</v>
      </c>
      <c r="W229" s="47">
        <v>1</v>
      </c>
      <c r="AA229" s="70">
        <v>228</v>
      </c>
      <c r="AB229" s="70">
        <v>8</v>
      </c>
      <c r="AC229" s="71" t="s">
        <v>109</v>
      </c>
      <c r="AF229"/>
      <c r="AG229"/>
    </row>
    <row r="230" spans="1:33" s="45" customFormat="1">
      <c r="A230" s="1">
        <v>74</v>
      </c>
      <c r="B230" s="46" t="str">
        <f t="shared" si="7"/>
        <v>80Розова Татьяна Викторовна</v>
      </c>
      <c r="C230" s="46">
        <v>80</v>
      </c>
      <c r="D230" s="46" t="s">
        <v>218</v>
      </c>
      <c r="E230" s="1">
        <v>74</v>
      </c>
      <c r="F230" s="45">
        <f t="shared" si="8"/>
        <v>1</v>
      </c>
      <c r="V230" s="45" t="s">
        <v>209</v>
      </c>
      <c r="W230" s="47">
        <v>1</v>
      </c>
      <c r="AA230" s="70">
        <v>229</v>
      </c>
      <c r="AB230" s="70">
        <v>8</v>
      </c>
      <c r="AC230" s="71" t="s">
        <v>109</v>
      </c>
      <c r="AF230"/>
      <c r="AG230"/>
    </row>
    <row r="231" spans="1:33" s="45" customFormat="1">
      <c r="A231" s="1">
        <v>68</v>
      </c>
      <c r="B231" s="46" t="str">
        <f t="shared" si="7"/>
        <v>70Рощина Ирина Михайловна</v>
      </c>
      <c r="C231" s="46">
        <v>70</v>
      </c>
      <c r="D231" s="46" t="s">
        <v>219</v>
      </c>
      <c r="E231" s="1">
        <v>68</v>
      </c>
      <c r="F231" s="45">
        <f t="shared" si="8"/>
        <v>0</v>
      </c>
      <c r="V231" s="45" t="s">
        <v>221</v>
      </c>
      <c r="W231" s="47">
        <v>1</v>
      </c>
      <c r="AA231" s="70">
        <v>230</v>
      </c>
      <c r="AB231" s="70">
        <v>8</v>
      </c>
      <c r="AC231" s="71" t="s">
        <v>109</v>
      </c>
      <c r="AF231"/>
      <c r="AG231"/>
    </row>
    <row r="232" spans="1:33" s="45" customFormat="1">
      <c r="A232" s="1">
        <v>224</v>
      </c>
      <c r="B232" s="46" t="str">
        <f t="shared" si="7"/>
        <v xml:space="preserve">233Рудая Наталья Викторовна           </v>
      </c>
      <c r="C232" s="46">
        <v>233</v>
      </c>
      <c r="D232" s="46" t="s">
        <v>220</v>
      </c>
      <c r="E232" s="1">
        <v>224</v>
      </c>
      <c r="F232" s="45">
        <f t="shared" si="8"/>
        <v>0</v>
      </c>
      <c r="V232" s="45" t="s">
        <v>86</v>
      </c>
      <c r="W232" s="47">
        <v>1</v>
      </c>
      <c r="AA232" s="70">
        <v>231</v>
      </c>
      <c r="AB232" s="70">
        <v>8</v>
      </c>
      <c r="AC232" s="71" t="s">
        <v>109</v>
      </c>
      <c r="AF232"/>
      <c r="AG232"/>
    </row>
    <row r="233" spans="1:33" s="45" customFormat="1">
      <c r="A233" s="1">
        <v>134</v>
      </c>
      <c r="B233" s="46" t="str">
        <f t="shared" si="7"/>
        <v>141Рыбалкин Андрей Сергеевич</v>
      </c>
      <c r="C233" s="46">
        <v>141</v>
      </c>
      <c r="D233" s="46" t="s">
        <v>221</v>
      </c>
      <c r="E233" s="1">
        <v>134</v>
      </c>
      <c r="F233" s="45">
        <f t="shared" si="8"/>
        <v>0</v>
      </c>
      <c r="V233" s="45" t="s">
        <v>54</v>
      </c>
      <c r="W233" s="47">
        <v>1</v>
      </c>
      <c r="AA233" s="70">
        <v>232</v>
      </c>
      <c r="AB233" s="70">
        <v>8</v>
      </c>
      <c r="AC233" s="71" t="s">
        <v>109</v>
      </c>
      <c r="AF233"/>
      <c r="AG233"/>
    </row>
    <row r="234" spans="1:33" s="45" customFormat="1">
      <c r="A234" s="1">
        <v>267</v>
      </c>
      <c r="B234" s="46" t="str">
        <f t="shared" si="7"/>
        <v>280Рыжов Андрей Николаевич</v>
      </c>
      <c r="C234" s="46">
        <v>280</v>
      </c>
      <c r="D234" s="46" t="s">
        <v>222</v>
      </c>
      <c r="E234" s="1">
        <v>267</v>
      </c>
      <c r="F234" s="45">
        <f t="shared" si="8"/>
        <v>0</v>
      </c>
      <c r="V234" s="45" t="s">
        <v>284</v>
      </c>
      <c r="W234" s="47">
        <v>1</v>
      </c>
      <c r="AA234" s="70">
        <v>233</v>
      </c>
      <c r="AB234" s="70">
        <v>8</v>
      </c>
      <c r="AC234" s="71" t="s">
        <v>109</v>
      </c>
      <c r="AF234"/>
      <c r="AG234"/>
    </row>
    <row r="235" spans="1:33" s="45" customFormat="1">
      <c r="A235" s="1">
        <v>258</v>
      </c>
      <c r="B235" s="46" t="str">
        <f t="shared" si="7"/>
        <v>271Савина Нина Ивановна</v>
      </c>
      <c r="C235" s="46">
        <v>271</v>
      </c>
      <c r="D235" s="46" t="s">
        <v>223</v>
      </c>
      <c r="E235" s="1">
        <v>258</v>
      </c>
      <c r="F235" s="45">
        <f t="shared" si="8"/>
        <v>0</v>
      </c>
      <c r="V235" s="45" t="s">
        <v>29</v>
      </c>
      <c r="W235" s="47">
        <v>1</v>
      </c>
      <c r="AA235" s="70">
        <v>234</v>
      </c>
      <c r="AB235" s="70">
        <v>8</v>
      </c>
      <c r="AC235" s="71" t="s">
        <v>109</v>
      </c>
      <c r="AF235"/>
      <c r="AG235"/>
    </row>
    <row r="236" spans="1:33" s="45" customFormat="1" ht="36">
      <c r="A236" s="1">
        <v>299</v>
      </c>
      <c r="B236" s="46" t="str">
        <f t="shared" si="7"/>
        <v>314Садовников Алексей Владимирович(Рошка Александр Николаевич)</v>
      </c>
      <c r="C236" s="46">
        <v>314</v>
      </c>
      <c r="D236" s="46" t="s">
        <v>224</v>
      </c>
      <c r="E236" s="1">
        <v>299</v>
      </c>
      <c r="F236" s="45">
        <f t="shared" si="8"/>
        <v>0</v>
      </c>
      <c r="V236" s="45" t="s">
        <v>223</v>
      </c>
      <c r="W236" s="47">
        <v>1</v>
      </c>
      <c r="AA236" s="70">
        <v>235</v>
      </c>
      <c r="AB236" s="70">
        <v>8</v>
      </c>
      <c r="AC236" s="71" t="s">
        <v>109</v>
      </c>
      <c r="AF236"/>
      <c r="AG236"/>
    </row>
    <row r="237" spans="1:33" s="45" customFormat="1" ht="24">
      <c r="A237" s="1">
        <v>210</v>
      </c>
      <c r="B237" s="46" t="str">
        <f t="shared" si="7"/>
        <v>219Сазонов Сергей Александрович - Диденко Оксана Владимировна</v>
      </c>
      <c r="C237" s="46">
        <v>219</v>
      </c>
      <c r="D237" s="46" t="s">
        <v>225</v>
      </c>
      <c r="E237" s="1">
        <v>210</v>
      </c>
      <c r="F237" s="45">
        <f t="shared" si="8"/>
        <v>0</v>
      </c>
      <c r="V237" s="45" t="s">
        <v>38</v>
      </c>
      <c r="W237" s="47">
        <v>1</v>
      </c>
      <c r="AA237" s="70">
        <v>236</v>
      </c>
      <c r="AB237" s="70">
        <v>8</v>
      </c>
      <c r="AC237" s="71" t="s">
        <v>109</v>
      </c>
      <c r="AF237"/>
      <c r="AG237"/>
    </row>
    <row r="238" spans="1:33" s="45" customFormat="1">
      <c r="A238" s="1">
        <v>239</v>
      </c>
      <c r="B238" s="46" t="str">
        <f t="shared" si="7"/>
        <v>250Салопаева Татьяна Сергеевна</v>
      </c>
      <c r="C238" s="46">
        <v>250</v>
      </c>
      <c r="D238" s="46" t="s">
        <v>226</v>
      </c>
      <c r="E238" s="1">
        <v>239</v>
      </c>
      <c r="F238" s="45">
        <f t="shared" si="8"/>
        <v>0</v>
      </c>
      <c r="V238" s="45" t="s">
        <v>4</v>
      </c>
      <c r="W238" s="47">
        <v>1</v>
      </c>
      <c r="AA238" s="70">
        <v>237</v>
      </c>
      <c r="AB238" s="70">
        <v>8</v>
      </c>
      <c r="AC238" s="71" t="s">
        <v>109</v>
      </c>
      <c r="AF238"/>
      <c r="AG238"/>
    </row>
    <row r="239" spans="1:33" s="45" customFormat="1">
      <c r="A239" s="1">
        <v>238</v>
      </c>
      <c r="B239" s="46" t="str">
        <f t="shared" si="7"/>
        <v>249Самоволькина Ирина Владимировна</v>
      </c>
      <c r="C239" s="46">
        <v>249</v>
      </c>
      <c r="D239" s="46" t="s">
        <v>227</v>
      </c>
      <c r="E239" s="1">
        <v>238</v>
      </c>
      <c r="F239" s="45">
        <f t="shared" si="8"/>
        <v>0</v>
      </c>
      <c r="V239" s="45" t="s">
        <v>50</v>
      </c>
      <c r="W239" s="47">
        <v>1</v>
      </c>
      <c r="AA239" s="70">
        <v>238</v>
      </c>
      <c r="AB239" s="70">
        <v>8</v>
      </c>
      <c r="AC239" s="71" t="s">
        <v>109</v>
      </c>
      <c r="AF239"/>
      <c r="AG239"/>
    </row>
    <row r="240" spans="1:33" s="45" customFormat="1">
      <c r="A240" s="1">
        <v>77</v>
      </c>
      <c r="B240" s="46" t="str">
        <f t="shared" si="7"/>
        <v>83Самородов</v>
      </c>
      <c r="C240" s="46">
        <v>83</v>
      </c>
      <c r="D240" s="46" t="s">
        <v>295</v>
      </c>
      <c r="E240" s="1">
        <v>77</v>
      </c>
      <c r="F240" s="45">
        <f t="shared" si="8"/>
        <v>0</v>
      </c>
      <c r="V240" s="45" t="s">
        <v>244</v>
      </c>
      <c r="W240" s="47">
        <v>1</v>
      </c>
      <c r="AA240" s="70">
        <v>239</v>
      </c>
      <c r="AB240" s="70">
        <v>8</v>
      </c>
      <c r="AC240" s="71" t="s">
        <v>109</v>
      </c>
      <c r="AF240"/>
      <c r="AG240"/>
    </row>
    <row r="241" spans="1:33" s="45" customFormat="1">
      <c r="A241" s="1">
        <v>297</v>
      </c>
      <c r="B241" s="46" t="str">
        <f t="shared" si="7"/>
        <v>312Саргсян Оганнес Ншанович</v>
      </c>
      <c r="C241" s="46">
        <v>312</v>
      </c>
      <c r="D241" s="46" t="s">
        <v>228</v>
      </c>
      <c r="E241" s="1">
        <v>297</v>
      </c>
      <c r="F241" s="45">
        <f t="shared" si="8"/>
        <v>0</v>
      </c>
      <c r="V241" s="45" t="s">
        <v>56</v>
      </c>
      <c r="W241" s="47">
        <v>1</v>
      </c>
      <c r="AA241" s="70">
        <v>240</v>
      </c>
      <c r="AB241" s="70">
        <v>8</v>
      </c>
      <c r="AC241" s="71" t="s">
        <v>109</v>
      </c>
      <c r="AF241"/>
      <c r="AG241"/>
    </row>
    <row r="242" spans="1:33" s="45" customFormat="1" ht="24">
      <c r="A242" s="1">
        <v>128</v>
      </c>
      <c r="B242" s="46" t="str">
        <f t="shared" si="7"/>
        <v>135Сафронова Наталья Михайловна (у Дедков Илья Егорьевич купила)</v>
      </c>
      <c r="C242" s="46">
        <v>135</v>
      </c>
      <c r="D242" s="46" t="s">
        <v>229</v>
      </c>
      <c r="E242" s="1">
        <v>128</v>
      </c>
      <c r="F242" s="45">
        <f t="shared" si="8"/>
        <v>0</v>
      </c>
      <c r="V242" s="45" t="s">
        <v>120</v>
      </c>
      <c r="W242" s="47">
        <v>1</v>
      </c>
      <c r="AA242" s="70">
        <v>241</v>
      </c>
      <c r="AB242" s="70">
        <v>5</v>
      </c>
      <c r="AC242" s="71" t="s">
        <v>644</v>
      </c>
      <c r="AF242"/>
      <c r="AG242"/>
    </row>
    <row r="243" spans="1:33" s="45" customFormat="1">
      <c r="A243" s="1">
        <v>67</v>
      </c>
      <c r="B243" s="46" t="str">
        <f t="shared" si="7"/>
        <v>69Сбитнева Юлия Сергеевна</v>
      </c>
      <c r="C243" s="46">
        <v>69</v>
      </c>
      <c r="D243" s="46" t="s">
        <v>230</v>
      </c>
      <c r="E243" s="1">
        <v>67</v>
      </c>
      <c r="F243" s="45">
        <f t="shared" si="8"/>
        <v>0</v>
      </c>
      <c r="V243" s="45" t="s">
        <v>33</v>
      </c>
      <c r="W243" s="47">
        <v>1</v>
      </c>
      <c r="AA243" s="70">
        <v>242</v>
      </c>
      <c r="AB243" s="70">
        <v>5</v>
      </c>
      <c r="AC243" s="71" t="s">
        <v>644</v>
      </c>
      <c r="AF243"/>
      <c r="AG243"/>
    </row>
    <row r="244" spans="1:33" s="45" customFormat="1">
      <c r="A244" s="1">
        <v>278</v>
      </c>
      <c r="B244" s="46" t="str">
        <f t="shared" si="7"/>
        <v>290Севастьянов Михаил Григорьевич</v>
      </c>
      <c r="C244" s="46">
        <v>290</v>
      </c>
      <c r="D244" s="46" t="s">
        <v>231</v>
      </c>
      <c r="E244" s="1">
        <v>278</v>
      </c>
      <c r="F244" s="45">
        <f t="shared" si="8"/>
        <v>0</v>
      </c>
      <c r="V244" s="45" t="s">
        <v>222</v>
      </c>
      <c r="W244" s="47">
        <v>1</v>
      </c>
      <c r="AA244" s="70">
        <v>243</v>
      </c>
      <c r="AB244" s="70">
        <v>5</v>
      </c>
      <c r="AC244" s="71" t="s">
        <v>644</v>
      </c>
      <c r="AF244"/>
      <c r="AG244"/>
    </row>
    <row r="245" spans="1:33" s="45" customFormat="1">
      <c r="A245" s="1">
        <v>280</v>
      </c>
      <c r="B245" s="46" t="str">
        <f t="shared" si="7"/>
        <v>292Севрюгина Ольга Викторовна</v>
      </c>
      <c r="C245" s="46">
        <v>292</v>
      </c>
      <c r="D245" s="46" t="s">
        <v>232</v>
      </c>
      <c r="E245" s="1">
        <v>280</v>
      </c>
      <c r="F245" s="45">
        <f t="shared" si="8"/>
        <v>0</v>
      </c>
      <c r="V245" s="45" t="s">
        <v>136</v>
      </c>
      <c r="W245" s="47">
        <v>1</v>
      </c>
      <c r="AA245" s="70">
        <v>244</v>
      </c>
      <c r="AB245" s="70">
        <v>5</v>
      </c>
      <c r="AC245" s="71" t="s">
        <v>644</v>
      </c>
      <c r="AF245"/>
      <c r="AG245"/>
    </row>
    <row r="246" spans="1:33" s="45" customFormat="1">
      <c r="A246" s="1">
        <v>215</v>
      </c>
      <c r="B246" s="46" t="str">
        <f t="shared" si="7"/>
        <v xml:space="preserve">224Семенова Рима Прановна    </v>
      </c>
      <c r="C246" s="46">
        <v>224</v>
      </c>
      <c r="D246" s="46" t="s">
        <v>233</v>
      </c>
      <c r="E246" s="1">
        <v>215</v>
      </c>
      <c r="F246" s="45">
        <f t="shared" si="8"/>
        <v>0</v>
      </c>
      <c r="V246" s="45" t="s">
        <v>118</v>
      </c>
      <c r="W246" s="47">
        <v>1</v>
      </c>
      <c r="AA246" s="70">
        <v>245</v>
      </c>
      <c r="AB246" s="70">
        <v>5</v>
      </c>
      <c r="AC246" s="71" t="s">
        <v>644</v>
      </c>
      <c r="AF246"/>
      <c r="AG246"/>
    </row>
    <row r="247" spans="1:33" s="45" customFormat="1">
      <c r="A247" s="1">
        <v>241</v>
      </c>
      <c r="B247" s="46" t="str">
        <f t="shared" si="7"/>
        <v>252Сёмин Александр Иванович</v>
      </c>
      <c r="C247" s="46">
        <v>252</v>
      </c>
      <c r="D247" s="46" t="s">
        <v>234</v>
      </c>
      <c r="E247" s="1">
        <v>241</v>
      </c>
      <c r="F247" s="45">
        <f t="shared" si="8"/>
        <v>0</v>
      </c>
      <c r="V247" s="45" t="s">
        <v>167</v>
      </c>
      <c r="W247" s="47">
        <v>1</v>
      </c>
      <c r="AA247" s="70">
        <v>246</v>
      </c>
      <c r="AB247" s="70">
        <v>5</v>
      </c>
      <c r="AC247" s="71" t="s">
        <v>644</v>
      </c>
      <c r="AF247"/>
      <c r="AG247"/>
    </row>
    <row r="248" spans="1:33" s="45" customFormat="1">
      <c r="A248" s="1">
        <v>161</v>
      </c>
      <c r="B248" s="46" t="str">
        <f t="shared" si="7"/>
        <v>169Сергиенко Николай Михайлович</v>
      </c>
      <c r="C248" s="46">
        <v>169</v>
      </c>
      <c r="D248" s="46" t="s">
        <v>235</v>
      </c>
      <c r="E248" s="1">
        <v>161</v>
      </c>
      <c r="F248" s="45">
        <f t="shared" si="8"/>
        <v>0</v>
      </c>
      <c r="V248" s="45" t="s">
        <v>119</v>
      </c>
      <c r="W248" s="47">
        <v>1</v>
      </c>
      <c r="AA248" s="70">
        <v>247</v>
      </c>
      <c r="AB248" s="70">
        <v>5</v>
      </c>
      <c r="AC248" s="71" t="s">
        <v>644</v>
      </c>
      <c r="AF248"/>
      <c r="AG248"/>
    </row>
    <row r="249" spans="1:33" s="45" customFormat="1">
      <c r="A249" s="1">
        <v>272</v>
      </c>
      <c r="B249" s="46" t="str">
        <f t="shared" si="7"/>
        <v>285Серебряков Игорь Васильевич</v>
      </c>
      <c r="C249" s="46">
        <v>285</v>
      </c>
      <c r="D249" s="46" t="s">
        <v>236</v>
      </c>
      <c r="E249" s="1">
        <v>272</v>
      </c>
      <c r="F249" s="45">
        <f t="shared" si="8"/>
        <v>0</v>
      </c>
      <c r="V249" s="45" t="s">
        <v>18</v>
      </c>
      <c r="W249" s="47">
        <v>1</v>
      </c>
      <c r="AA249" s="70">
        <v>248</v>
      </c>
      <c r="AB249" s="70">
        <v>5</v>
      </c>
      <c r="AC249" s="71" t="s">
        <v>644</v>
      </c>
      <c r="AF249"/>
      <c r="AG249"/>
    </row>
    <row r="250" spans="1:33" s="45" customFormat="1">
      <c r="A250" s="1">
        <v>19</v>
      </c>
      <c r="B250" s="46" t="str">
        <f t="shared" si="7"/>
        <v>19Серкин Сергей Львовович</v>
      </c>
      <c r="C250" s="46">
        <v>19</v>
      </c>
      <c r="D250" s="46" t="s">
        <v>237</v>
      </c>
      <c r="E250" s="1">
        <v>19</v>
      </c>
      <c r="F250" s="45">
        <f t="shared" si="8"/>
        <v>0</v>
      </c>
      <c r="V250" s="45" t="s">
        <v>159</v>
      </c>
      <c r="W250" s="47">
        <v>1</v>
      </c>
      <c r="AA250" s="70">
        <v>249</v>
      </c>
      <c r="AB250" s="70">
        <v>5</v>
      </c>
      <c r="AC250" s="71" t="s">
        <v>644</v>
      </c>
      <c r="AF250"/>
      <c r="AG250"/>
    </row>
    <row r="251" spans="1:33" s="45" customFormat="1">
      <c r="A251" s="1">
        <v>310</v>
      </c>
      <c r="B251" s="46" t="str">
        <f t="shared" si="7"/>
        <v>133-134Сидельникова Ольга Петровна</v>
      </c>
      <c r="C251" s="46" t="s">
        <v>238</v>
      </c>
      <c r="D251" s="46" t="s">
        <v>239</v>
      </c>
      <c r="E251" s="1">
        <v>310</v>
      </c>
      <c r="F251" s="45">
        <f t="shared" si="8"/>
        <v>0</v>
      </c>
      <c r="V251" s="45" t="s">
        <v>103</v>
      </c>
      <c r="W251" s="47">
        <v>1</v>
      </c>
      <c r="AA251" s="70">
        <v>250</v>
      </c>
      <c r="AB251" s="70">
        <v>5</v>
      </c>
      <c r="AC251" s="71" t="s">
        <v>644</v>
      </c>
      <c r="AF251"/>
      <c r="AG251"/>
    </row>
    <row r="252" spans="1:33" s="45" customFormat="1">
      <c r="A252" s="1">
        <v>205</v>
      </c>
      <c r="B252" s="46" t="str">
        <f t="shared" si="7"/>
        <v>215Сидоров Александр Юрьевич</v>
      </c>
      <c r="C252" s="46">
        <v>215</v>
      </c>
      <c r="D252" s="46" t="s">
        <v>240</v>
      </c>
      <c r="E252" s="1">
        <v>205</v>
      </c>
      <c r="F252" s="45">
        <f t="shared" si="8"/>
        <v>0</v>
      </c>
      <c r="V252" s="45" t="s">
        <v>280</v>
      </c>
      <c r="W252" s="47">
        <v>1</v>
      </c>
      <c r="AA252" s="70">
        <v>251</v>
      </c>
      <c r="AB252" s="70">
        <v>5</v>
      </c>
      <c r="AC252" s="71" t="s">
        <v>644</v>
      </c>
      <c r="AF252"/>
      <c r="AG252"/>
    </row>
    <row r="253" spans="1:33" s="45" customFormat="1" ht="24">
      <c r="A253" s="1">
        <v>107</v>
      </c>
      <c r="B253" s="46" t="str">
        <f t="shared" si="7"/>
        <v>112Сиротин Дмитрий Борисович (Приставалова)</v>
      </c>
      <c r="C253" s="46">
        <v>112</v>
      </c>
      <c r="D253" s="46" t="s">
        <v>241</v>
      </c>
      <c r="E253" s="1">
        <v>107</v>
      </c>
      <c r="F253" s="45">
        <f t="shared" si="8"/>
        <v>0</v>
      </c>
      <c r="V253" s="45" t="s">
        <v>228</v>
      </c>
      <c r="W253" s="47">
        <v>1</v>
      </c>
      <c r="AA253" s="70">
        <v>252</v>
      </c>
      <c r="AB253" s="70">
        <v>5</v>
      </c>
      <c r="AC253" s="71" t="s">
        <v>644</v>
      </c>
      <c r="AF253"/>
      <c r="AG253"/>
    </row>
    <row r="254" spans="1:33" s="45" customFormat="1">
      <c r="A254" s="1">
        <v>48</v>
      </c>
      <c r="B254" s="46" t="str">
        <f t="shared" si="7"/>
        <v>48Сломов Константин Витальевич</v>
      </c>
      <c r="C254" s="46">
        <v>48</v>
      </c>
      <c r="D254" s="46" t="s">
        <v>242</v>
      </c>
      <c r="E254" s="1">
        <v>48</v>
      </c>
      <c r="F254" s="45">
        <f t="shared" si="8"/>
        <v>0</v>
      </c>
      <c r="V254" s="45" t="s">
        <v>9</v>
      </c>
      <c r="W254" s="47">
        <v>1</v>
      </c>
      <c r="AA254" s="70">
        <v>253</v>
      </c>
      <c r="AB254" s="70">
        <v>5</v>
      </c>
      <c r="AC254" s="71" t="s">
        <v>644</v>
      </c>
      <c r="AF254"/>
      <c r="AG254"/>
    </row>
    <row r="255" spans="1:33" s="45" customFormat="1" ht="24">
      <c r="A255" s="1">
        <v>237</v>
      </c>
      <c r="B255" s="46" t="str">
        <f t="shared" si="7"/>
        <v>248Смирнов Максим Анатольевич, Светлана</v>
      </c>
      <c r="C255" s="46">
        <v>248</v>
      </c>
      <c r="D255" s="46" t="s">
        <v>243</v>
      </c>
      <c r="E255" s="1">
        <v>237</v>
      </c>
      <c r="F255" s="45">
        <f t="shared" si="8"/>
        <v>0</v>
      </c>
      <c r="V255" s="45" t="s">
        <v>224</v>
      </c>
      <c r="W255" s="47">
        <v>1</v>
      </c>
      <c r="AA255" s="70">
        <v>254</v>
      </c>
      <c r="AB255" s="70">
        <v>5</v>
      </c>
      <c r="AC255" s="71" t="s">
        <v>644</v>
      </c>
      <c r="AF255"/>
      <c r="AG255"/>
    </row>
    <row r="256" spans="1:33" s="45" customFormat="1">
      <c r="A256" s="1">
        <v>263</v>
      </c>
      <c r="B256" s="46" t="str">
        <f t="shared" si="7"/>
        <v>276Соколова Ирина Анатольевна</v>
      </c>
      <c r="C256" s="46">
        <v>276</v>
      </c>
      <c r="D256" s="46" t="s">
        <v>244</v>
      </c>
      <c r="E256" s="1">
        <v>263</v>
      </c>
      <c r="F256" s="45">
        <f t="shared" si="8"/>
        <v>0</v>
      </c>
      <c r="V256" s="45" t="s">
        <v>101</v>
      </c>
      <c r="W256" s="47">
        <v>1</v>
      </c>
      <c r="AA256" s="70">
        <v>255</v>
      </c>
      <c r="AB256" s="70">
        <v>5</v>
      </c>
      <c r="AC256" s="71" t="s">
        <v>644</v>
      </c>
      <c r="AF256"/>
      <c r="AG256"/>
    </row>
    <row r="257" spans="1:33" s="45" customFormat="1">
      <c r="A257" s="1">
        <v>100</v>
      </c>
      <c r="B257" s="46" t="str">
        <f t="shared" ref="B257:B320" si="9">CONCATENATE(C257,D257)</f>
        <v>105Солодкий Дмитрий Павлович</v>
      </c>
      <c r="C257" s="46">
        <v>105</v>
      </c>
      <c r="D257" s="46" t="s">
        <v>245</v>
      </c>
      <c r="E257" s="1">
        <v>100</v>
      </c>
      <c r="F257" s="45">
        <f t="shared" si="8"/>
        <v>0</v>
      </c>
      <c r="V257" s="45" t="s">
        <v>73</v>
      </c>
      <c r="W257" s="47">
        <v>1</v>
      </c>
      <c r="AA257" s="70">
        <v>256</v>
      </c>
      <c r="AB257" s="70">
        <v>5</v>
      </c>
      <c r="AC257" s="71" t="s">
        <v>644</v>
      </c>
      <c r="AF257"/>
      <c r="AG257"/>
    </row>
    <row r="258" spans="1:33" s="45" customFormat="1">
      <c r="A258" s="1">
        <v>131</v>
      </c>
      <c r="B258" s="46" t="str">
        <f t="shared" si="9"/>
        <v>138Спивак Сергей Николаевич</v>
      </c>
      <c r="C258" s="46">
        <v>138</v>
      </c>
      <c r="D258" s="46" t="s">
        <v>246</v>
      </c>
      <c r="E258" s="1">
        <v>131</v>
      </c>
      <c r="F258" s="45">
        <f t="shared" ref="F258:F321" si="10">IF(VLOOKUP(D258,$V$2:$W$299,2,FALSE)&lt;&gt;1,1,0)</f>
        <v>0</v>
      </c>
      <c r="V258" s="45" t="s">
        <v>25</v>
      </c>
      <c r="W258" s="47">
        <v>1</v>
      </c>
      <c r="AA258" s="70">
        <v>257</v>
      </c>
      <c r="AB258" s="70">
        <v>5</v>
      </c>
      <c r="AC258" s="71" t="s">
        <v>644</v>
      </c>
      <c r="AF258"/>
      <c r="AG258"/>
    </row>
    <row r="259" spans="1:33" s="45" customFormat="1">
      <c r="A259" s="1">
        <v>183</v>
      </c>
      <c r="B259" s="46" t="str">
        <f t="shared" si="9"/>
        <v>192Спиридонов Андрей Владимирович</v>
      </c>
      <c r="C259" s="46">
        <v>192</v>
      </c>
      <c r="D259" s="46" t="s">
        <v>247</v>
      </c>
      <c r="E259" s="1">
        <v>183</v>
      </c>
      <c r="F259" s="45">
        <f t="shared" si="10"/>
        <v>1</v>
      </c>
      <c r="V259" s="45" t="s">
        <v>59</v>
      </c>
      <c r="W259" s="47">
        <v>1</v>
      </c>
      <c r="AA259" s="70">
        <v>258</v>
      </c>
      <c r="AB259" s="70">
        <v>5</v>
      </c>
      <c r="AC259" s="71" t="s">
        <v>644</v>
      </c>
      <c r="AF259"/>
      <c r="AG259"/>
    </row>
    <row r="260" spans="1:33" s="45" customFormat="1">
      <c r="A260" s="1">
        <v>183</v>
      </c>
      <c r="B260" s="46" t="str">
        <f t="shared" si="9"/>
        <v>191Спиридонов Андрей Владимирович</v>
      </c>
      <c r="C260" s="46">
        <v>191</v>
      </c>
      <c r="D260" s="46" t="s">
        <v>247</v>
      </c>
      <c r="E260" s="1">
        <v>183</v>
      </c>
      <c r="F260" s="45">
        <f t="shared" si="10"/>
        <v>1</v>
      </c>
      <c r="V260" s="45" t="s">
        <v>80</v>
      </c>
      <c r="W260" s="47">
        <v>1</v>
      </c>
      <c r="AA260" s="70">
        <v>259</v>
      </c>
      <c r="AB260" s="70">
        <v>5</v>
      </c>
      <c r="AC260" s="71" t="s">
        <v>644</v>
      </c>
      <c r="AF260"/>
      <c r="AG260"/>
    </row>
    <row r="261" spans="1:33" s="45" customFormat="1">
      <c r="A261" s="1">
        <v>21</v>
      </c>
      <c r="B261" s="46" t="str">
        <f t="shared" si="9"/>
        <v>21Старостин Виктор Вячеславович</v>
      </c>
      <c r="C261" s="46">
        <v>21</v>
      </c>
      <c r="D261" s="46" t="s">
        <v>248</v>
      </c>
      <c r="E261" s="1">
        <v>21</v>
      </c>
      <c r="F261" s="45">
        <f t="shared" si="10"/>
        <v>0</v>
      </c>
      <c r="V261" s="45" t="s">
        <v>296</v>
      </c>
      <c r="W261" s="47">
        <v>1</v>
      </c>
      <c r="AA261" s="70">
        <v>260</v>
      </c>
      <c r="AB261" s="70">
        <v>5</v>
      </c>
      <c r="AC261" s="71" t="s">
        <v>644</v>
      </c>
      <c r="AF261"/>
      <c r="AG261"/>
    </row>
    <row r="262" spans="1:33" s="45" customFormat="1">
      <c r="A262" s="1">
        <v>298</v>
      </c>
      <c r="B262" s="46" t="str">
        <f t="shared" si="9"/>
        <v>313Степанов Валерий Владимирович</v>
      </c>
      <c r="C262" s="46">
        <v>313</v>
      </c>
      <c r="D262" s="46" t="s">
        <v>249</v>
      </c>
      <c r="E262" s="1">
        <v>298</v>
      </c>
      <c r="F262" s="45">
        <f t="shared" si="10"/>
        <v>0</v>
      </c>
      <c r="V262" s="45" t="s">
        <v>58</v>
      </c>
      <c r="W262" s="47">
        <v>1</v>
      </c>
      <c r="AA262" s="70">
        <v>261</v>
      </c>
      <c r="AB262" s="70">
        <v>9</v>
      </c>
      <c r="AC262" s="71" t="s">
        <v>146</v>
      </c>
      <c r="AF262"/>
      <c r="AG262"/>
    </row>
    <row r="263" spans="1:33" s="45" customFormat="1" ht="24">
      <c r="A263" s="1">
        <v>91</v>
      </c>
      <c r="B263" s="46" t="str">
        <f t="shared" si="9"/>
        <v>96Степанова Марина Николаевна (Артем)</v>
      </c>
      <c r="C263" s="46">
        <v>96</v>
      </c>
      <c r="D263" s="46" t="s">
        <v>250</v>
      </c>
      <c r="E263" s="1">
        <v>91</v>
      </c>
      <c r="F263" s="45">
        <f t="shared" si="10"/>
        <v>0</v>
      </c>
      <c r="V263" s="45" t="s">
        <v>64</v>
      </c>
      <c r="W263" s="47">
        <v>1</v>
      </c>
      <c r="AA263" s="70">
        <v>262</v>
      </c>
      <c r="AB263" s="70">
        <v>9</v>
      </c>
      <c r="AC263" s="71" t="s">
        <v>146</v>
      </c>
      <c r="AF263"/>
      <c r="AG263"/>
    </row>
    <row r="264" spans="1:33" s="45" customFormat="1">
      <c r="A264" s="1">
        <v>54</v>
      </c>
      <c r="B264" s="46" t="str">
        <f t="shared" si="9"/>
        <v>56Стрелков Андрей Вячеславович</v>
      </c>
      <c r="C264" s="46">
        <v>56</v>
      </c>
      <c r="D264" s="46" t="s">
        <v>251</v>
      </c>
      <c r="E264" s="1">
        <v>54</v>
      </c>
      <c r="F264" s="45">
        <f t="shared" si="10"/>
        <v>0</v>
      </c>
      <c r="V264" s="45" t="s">
        <v>152</v>
      </c>
      <c r="W264" s="47">
        <v>1</v>
      </c>
      <c r="AA264" s="70">
        <v>263</v>
      </c>
      <c r="AB264" s="70">
        <v>9</v>
      </c>
      <c r="AC264" s="71" t="s">
        <v>146</v>
      </c>
      <c r="AF264"/>
      <c r="AG264"/>
    </row>
    <row r="265" spans="1:33" s="45" customFormat="1">
      <c r="A265" s="1">
        <v>317</v>
      </c>
      <c r="B265" s="46" t="str">
        <f t="shared" si="9"/>
        <v xml:space="preserve">51-52Стрелков Андрей Вячеславович  </v>
      </c>
      <c r="C265" s="46" t="s">
        <v>252</v>
      </c>
      <c r="D265" s="46" t="s">
        <v>253</v>
      </c>
      <c r="E265" s="1">
        <v>317</v>
      </c>
      <c r="F265" s="45">
        <f t="shared" si="10"/>
        <v>0</v>
      </c>
      <c r="V265" s="45" t="s">
        <v>239</v>
      </c>
      <c r="W265" s="47">
        <v>1</v>
      </c>
      <c r="AA265" s="70">
        <v>264</v>
      </c>
      <c r="AB265" s="70">
        <v>9</v>
      </c>
      <c r="AC265" s="71" t="s">
        <v>146</v>
      </c>
      <c r="AF265"/>
      <c r="AG265"/>
    </row>
    <row r="266" spans="1:33" s="45" customFormat="1">
      <c r="A266" s="1">
        <v>268</v>
      </c>
      <c r="B266" s="46" t="str">
        <f t="shared" si="9"/>
        <v>281Стрелков Николай Валентинович</v>
      </c>
      <c r="C266" s="46">
        <v>281</v>
      </c>
      <c r="D266" s="46" t="s">
        <v>254</v>
      </c>
      <c r="E266" s="1">
        <v>268</v>
      </c>
      <c r="F266" s="45">
        <f t="shared" si="10"/>
        <v>0</v>
      </c>
      <c r="V266" s="45" t="s">
        <v>180</v>
      </c>
      <c r="W266" s="47">
        <v>1</v>
      </c>
      <c r="AA266" s="70">
        <v>265</v>
      </c>
      <c r="AB266" s="70">
        <v>9</v>
      </c>
      <c r="AC266" s="71" t="s">
        <v>146</v>
      </c>
      <c r="AF266"/>
      <c r="AG266"/>
    </row>
    <row r="267" spans="1:33" s="45" customFormat="1">
      <c r="A267" s="1">
        <v>172</v>
      </c>
      <c r="B267" s="46" t="str">
        <f t="shared" si="9"/>
        <v>180Ступнев Евгений  Романович</v>
      </c>
      <c r="C267" s="46">
        <v>180</v>
      </c>
      <c r="D267" s="46" t="s">
        <v>255</v>
      </c>
      <c r="E267" s="1">
        <v>172</v>
      </c>
      <c r="F267" s="45">
        <f t="shared" si="10"/>
        <v>0</v>
      </c>
      <c r="V267" s="45" t="s">
        <v>211</v>
      </c>
      <c r="W267" s="47">
        <v>1</v>
      </c>
      <c r="AA267" s="70">
        <v>266</v>
      </c>
      <c r="AB267" s="70">
        <v>9</v>
      </c>
      <c r="AC267" s="71" t="s">
        <v>146</v>
      </c>
      <c r="AF267"/>
      <c r="AG267"/>
    </row>
    <row r="268" spans="1:33" s="45" customFormat="1">
      <c r="A268" s="1">
        <v>116</v>
      </c>
      <c r="B268" s="46" t="str">
        <f t="shared" si="9"/>
        <v>121Суворов Сергей Анатольевич</v>
      </c>
      <c r="C268" s="46">
        <v>121</v>
      </c>
      <c r="D268" s="46" t="s">
        <v>256</v>
      </c>
      <c r="E268" s="1">
        <v>116</v>
      </c>
      <c r="F268" s="45">
        <f t="shared" si="10"/>
        <v>0</v>
      </c>
      <c r="V268" s="45" t="s">
        <v>94</v>
      </c>
      <c r="W268" s="47">
        <v>1</v>
      </c>
      <c r="AA268" s="70">
        <v>267</v>
      </c>
      <c r="AB268" s="70">
        <v>9</v>
      </c>
      <c r="AC268" s="71" t="s">
        <v>146</v>
      </c>
      <c r="AF268"/>
      <c r="AG268"/>
    </row>
    <row r="269" spans="1:33" s="45" customFormat="1">
      <c r="A269" s="1">
        <v>57</v>
      </c>
      <c r="B269" s="46" t="str">
        <f t="shared" si="9"/>
        <v>59Суркова Татьяна Александровна</v>
      </c>
      <c r="C269" s="46">
        <v>59</v>
      </c>
      <c r="D269" s="46" t="s">
        <v>257</v>
      </c>
      <c r="E269" s="1">
        <v>57</v>
      </c>
      <c r="F269" s="45">
        <f t="shared" si="10"/>
        <v>0</v>
      </c>
      <c r="V269" s="45" t="s">
        <v>253</v>
      </c>
      <c r="W269" s="47">
        <v>1</v>
      </c>
      <c r="AA269" s="70">
        <v>268</v>
      </c>
      <c r="AB269" s="70">
        <v>9</v>
      </c>
      <c r="AC269" s="71" t="s">
        <v>146</v>
      </c>
      <c r="AF269"/>
      <c r="AG269"/>
    </row>
    <row r="270" spans="1:33" s="45" customFormat="1">
      <c r="A270" s="1">
        <v>46</v>
      </c>
      <c r="B270" s="46" t="str">
        <f t="shared" si="9"/>
        <v>46Сысоев Евгений Анатольевич</v>
      </c>
      <c r="C270" s="46">
        <v>46</v>
      </c>
      <c r="D270" s="46" t="s">
        <v>258</v>
      </c>
      <c r="E270" s="1">
        <v>46</v>
      </c>
      <c r="F270" s="45">
        <f t="shared" si="10"/>
        <v>0</v>
      </c>
      <c r="V270" s="45" t="s">
        <v>57</v>
      </c>
      <c r="W270" s="47">
        <v>1</v>
      </c>
      <c r="AA270" s="70">
        <v>269</v>
      </c>
      <c r="AB270" s="70">
        <v>9</v>
      </c>
      <c r="AC270" s="71" t="s">
        <v>146</v>
      </c>
      <c r="AF270"/>
      <c r="AG270"/>
    </row>
    <row r="271" spans="1:33" s="45" customFormat="1">
      <c r="A271" s="1">
        <v>73</v>
      </c>
      <c r="B271" s="46" t="str">
        <f t="shared" si="9"/>
        <v>79Сысоев Семен Евгеньевич</v>
      </c>
      <c r="C271" s="46">
        <v>79</v>
      </c>
      <c r="D271" s="46" t="s">
        <v>259</v>
      </c>
      <c r="E271" s="1">
        <v>73</v>
      </c>
      <c r="F271" s="45">
        <f t="shared" si="10"/>
        <v>0</v>
      </c>
      <c r="V271" s="45" t="s">
        <v>269</v>
      </c>
      <c r="W271" s="47">
        <v>1</v>
      </c>
      <c r="AA271" s="70">
        <v>270</v>
      </c>
      <c r="AB271" s="70">
        <v>9</v>
      </c>
      <c r="AC271" s="71" t="s">
        <v>146</v>
      </c>
      <c r="AF271"/>
      <c r="AG271"/>
    </row>
    <row r="272" spans="1:33" s="45" customFormat="1">
      <c r="A272" s="1">
        <v>162</v>
      </c>
      <c r="B272" s="46" t="str">
        <f t="shared" si="9"/>
        <v>170Тадлов Виталий Петрович</v>
      </c>
      <c r="C272" s="46">
        <v>170</v>
      </c>
      <c r="D272" s="46" t="s">
        <v>260</v>
      </c>
      <c r="E272" s="1">
        <v>162</v>
      </c>
      <c r="F272" s="45">
        <f t="shared" si="10"/>
        <v>0</v>
      </c>
      <c r="V272" s="45" t="s">
        <v>24</v>
      </c>
      <c r="W272" s="47">
        <v>1</v>
      </c>
      <c r="AA272" s="70">
        <v>271</v>
      </c>
      <c r="AB272" s="70">
        <v>9</v>
      </c>
      <c r="AC272" s="71" t="s">
        <v>146</v>
      </c>
      <c r="AF272"/>
      <c r="AG272"/>
    </row>
    <row r="273" spans="1:33" s="45" customFormat="1">
      <c r="A273" s="1">
        <v>252</v>
      </c>
      <c r="B273" s="46" t="str">
        <f t="shared" si="9"/>
        <v>264Тарасенко Анатолий Семенович</v>
      </c>
      <c r="C273" s="46">
        <v>264</v>
      </c>
      <c r="D273" s="46" t="s">
        <v>261</v>
      </c>
      <c r="E273" s="1">
        <v>252</v>
      </c>
      <c r="F273" s="45">
        <f t="shared" si="10"/>
        <v>1</v>
      </c>
      <c r="V273" s="45" t="s">
        <v>196</v>
      </c>
      <c r="W273" s="47">
        <v>1</v>
      </c>
      <c r="AA273" s="70">
        <v>272</v>
      </c>
      <c r="AB273" s="70">
        <v>9</v>
      </c>
      <c r="AC273" s="71" t="s">
        <v>146</v>
      </c>
      <c r="AF273"/>
      <c r="AG273"/>
    </row>
    <row r="274" spans="1:33" s="45" customFormat="1">
      <c r="A274" s="1">
        <v>252</v>
      </c>
      <c r="B274" s="46" t="str">
        <f t="shared" si="9"/>
        <v>263Тарасенко Анатолий Семенович</v>
      </c>
      <c r="C274" s="46">
        <v>263</v>
      </c>
      <c r="D274" s="46" t="s">
        <v>261</v>
      </c>
      <c r="E274" s="1">
        <v>252</v>
      </c>
      <c r="F274" s="45">
        <f t="shared" si="10"/>
        <v>1</v>
      </c>
      <c r="V274" s="45" t="s">
        <v>249</v>
      </c>
      <c r="W274" s="47">
        <v>1</v>
      </c>
      <c r="AA274" s="70">
        <v>273</v>
      </c>
      <c r="AB274" s="70">
        <v>9</v>
      </c>
      <c r="AC274" s="71" t="s">
        <v>146</v>
      </c>
      <c r="AF274"/>
      <c r="AG274"/>
    </row>
    <row r="275" spans="1:33" s="45" customFormat="1">
      <c r="A275" s="1">
        <v>45</v>
      </c>
      <c r="B275" s="46" t="str">
        <f t="shared" si="9"/>
        <v>45Темникова Елена Станиславовна</v>
      </c>
      <c r="C275" s="46">
        <v>45</v>
      </c>
      <c r="D275" s="46" t="s">
        <v>262</v>
      </c>
      <c r="E275" s="1">
        <v>45</v>
      </c>
      <c r="F275" s="45">
        <f t="shared" si="10"/>
        <v>0</v>
      </c>
      <c r="V275" s="45" t="s">
        <v>63</v>
      </c>
      <c r="W275" s="47">
        <v>1</v>
      </c>
      <c r="AA275" s="70">
        <v>274</v>
      </c>
      <c r="AB275" s="70">
        <v>9</v>
      </c>
      <c r="AC275" s="71" t="s">
        <v>146</v>
      </c>
      <c r="AF275"/>
      <c r="AG275"/>
    </row>
    <row r="276" spans="1:33" s="45" customFormat="1">
      <c r="A276" s="1">
        <v>319</v>
      </c>
      <c r="B276" s="46" t="str">
        <f t="shared" si="9"/>
        <v>73-74Тимофеева Лариса Викторовна</v>
      </c>
      <c r="C276" s="46" t="s">
        <v>263</v>
      </c>
      <c r="D276" s="46" t="s">
        <v>264</v>
      </c>
      <c r="E276" s="1">
        <v>319</v>
      </c>
      <c r="F276" s="45">
        <f t="shared" si="10"/>
        <v>0</v>
      </c>
      <c r="V276" s="45" t="s">
        <v>185</v>
      </c>
      <c r="W276" s="47">
        <v>1</v>
      </c>
      <c r="AA276" s="70">
        <v>275</v>
      </c>
      <c r="AB276" s="70">
        <v>9</v>
      </c>
      <c r="AC276" s="71" t="s">
        <v>146</v>
      </c>
      <c r="AF276"/>
      <c r="AG276"/>
    </row>
    <row r="277" spans="1:33" s="45" customFormat="1" ht="24">
      <c r="A277" s="1">
        <v>93</v>
      </c>
      <c r="B277" s="46" t="str">
        <f t="shared" si="9"/>
        <v>98Тимофеева Татьяна Александровна (Денис)</v>
      </c>
      <c r="C277" s="46">
        <v>98</v>
      </c>
      <c r="D277" s="46" t="s">
        <v>265</v>
      </c>
      <c r="E277" s="1">
        <v>93</v>
      </c>
      <c r="F277" s="45">
        <f t="shared" si="10"/>
        <v>0</v>
      </c>
      <c r="V277" s="45" t="s">
        <v>116</v>
      </c>
      <c r="W277" s="47">
        <v>1</v>
      </c>
      <c r="AA277" s="70">
        <v>276</v>
      </c>
      <c r="AB277" s="70">
        <v>9</v>
      </c>
      <c r="AC277" s="71" t="s">
        <v>146</v>
      </c>
      <c r="AF277"/>
      <c r="AG277"/>
    </row>
    <row r="278" spans="1:33" s="45" customFormat="1">
      <c r="A278" s="1">
        <v>255</v>
      </c>
      <c r="B278" s="46" t="str">
        <f t="shared" si="9"/>
        <v>268Толкова Елена Анатольевна (Олег)</v>
      </c>
      <c r="C278" s="46">
        <v>268</v>
      </c>
      <c r="D278" s="46" t="s">
        <v>266</v>
      </c>
      <c r="E278" s="1">
        <v>255</v>
      </c>
      <c r="F278" s="45">
        <f t="shared" si="10"/>
        <v>0</v>
      </c>
      <c r="V278" s="45" t="s">
        <v>125</v>
      </c>
      <c r="W278" s="47">
        <v>1</v>
      </c>
      <c r="AA278" s="70">
        <v>277</v>
      </c>
      <c r="AB278" s="70">
        <v>9</v>
      </c>
      <c r="AC278" s="71" t="s">
        <v>146</v>
      </c>
      <c r="AF278"/>
      <c r="AG278"/>
    </row>
    <row r="279" spans="1:33" s="45" customFormat="1">
      <c r="A279" s="1">
        <v>167</v>
      </c>
      <c r="B279" s="46" t="str">
        <f t="shared" si="9"/>
        <v>175Трубченко Петр Александрович</v>
      </c>
      <c r="C279" s="46">
        <v>175</v>
      </c>
      <c r="D279" s="46" t="s">
        <v>267</v>
      </c>
      <c r="E279" s="1">
        <v>167</v>
      </c>
      <c r="F279" s="45">
        <f t="shared" si="10"/>
        <v>0</v>
      </c>
      <c r="V279" s="45" t="s">
        <v>145</v>
      </c>
      <c r="W279" s="47">
        <v>1</v>
      </c>
      <c r="AA279" s="70">
        <v>278</v>
      </c>
      <c r="AB279" s="70">
        <v>9</v>
      </c>
      <c r="AC279" s="71" t="s">
        <v>146</v>
      </c>
      <c r="AF279"/>
      <c r="AG279"/>
    </row>
    <row r="280" spans="1:33" s="45" customFormat="1">
      <c r="A280" s="1">
        <v>99</v>
      </c>
      <c r="B280" s="46" t="str">
        <f t="shared" si="9"/>
        <v>104Трыкин Евгений Викторович</v>
      </c>
      <c r="C280" s="46">
        <v>104</v>
      </c>
      <c r="D280" s="46" t="s">
        <v>268</v>
      </c>
      <c r="E280" s="1">
        <v>99</v>
      </c>
      <c r="F280" s="45">
        <f t="shared" si="10"/>
        <v>0</v>
      </c>
      <c r="V280" s="45" t="s">
        <v>122</v>
      </c>
      <c r="W280" s="47">
        <v>1</v>
      </c>
      <c r="AA280" s="70">
        <v>279</v>
      </c>
      <c r="AB280" s="70">
        <v>9</v>
      </c>
      <c r="AC280" s="71" t="s">
        <v>146</v>
      </c>
      <c r="AF280"/>
      <c r="AG280"/>
    </row>
    <row r="281" spans="1:33" s="45" customFormat="1">
      <c r="A281" s="1">
        <v>146</v>
      </c>
      <c r="B281" s="46" t="str">
        <f t="shared" si="9"/>
        <v>154Тюленев Вячеслав Рудольфович</v>
      </c>
      <c r="C281" s="46">
        <v>154</v>
      </c>
      <c r="D281" s="46" t="s">
        <v>269</v>
      </c>
      <c r="E281" s="1">
        <v>146</v>
      </c>
      <c r="F281" s="45">
        <f t="shared" si="10"/>
        <v>0</v>
      </c>
      <c r="V281" s="45" t="s">
        <v>32</v>
      </c>
      <c r="W281" s="47">
        <v>1</v>
      </c>
      <c r="AA281" s="70">
        <v>280</v>
      </c>
      <c r="AB281" s="70">
        <v>9</v>
      </c>
      <c r="AC281" s="71" t="s">
        <v>146</v>
      </c>
      <c r="AF281"/>
      <c r="AG281"/>
    </row>
    <row r="282" spans="1:33" s="45" customFormat="1">
      <c r="A282" s="1"/>
      <c r="B282" s="46"/>
      <c r="C282" s="46"/>
      <c r="D282" s="2"/>
      <c r="E282" s="1"/>
      <c r="V282" s="45" t="s">
        <v>202</v>
      </c>
      <c r="W282" s="47">
        <v>1</v>
      </c>
      <c r="AA282" s="70">
        <v>281</v>
      </c>
      <c r="AB282" s="70">
        <v>11</v>
      </c>
      <c r="AC282" s="71" t="s">
        <v>643</v>
      </c>
      <c r="AF282"/>
      <c r="AG282"/>
    </row>
    <row r="283" spans="1:33" s="45" customFormat="1">
      <c r="A283" s="1">
        <v>28</v>
      </c>
      <c r="B283" s="46" t="str">
        <f t="shared" si="9"/>
        <v>28Федорова Наталья Владимировна</v>
      </c>
      <c r="C283" s="46">
        <v>28</v>
      </c>
      <c r="D283" s="46" t="s">
        <v>271</v>
      </c>
      <c r="E283" s="1">
        <v>28</v>
      </c>
      <c r="F283" s="45">
        <f t="shared" si="10"/>
        <v>0</v>
      </c>
      <c r="V283" s="45" t="s">
        <v>301</v>
      </c>
      <c r="W283" s="47">
        <v>1</v>
      </c>
      <c r="AA283" s="70">
        <v>282</v>
      </c>
      <c r="AB283" s="70">
        <v>11</v>
      </c>
      <c r="AC283" s="71" t="s">
        <v>643</v>
      </c>
      <c r="AF283"/>
      <c r="AG283"/>
    </row>
    <row r="284" spans="1:33" s="45" customFormat="1">
      <c r="A284" s="1">
        <v>27</v>
      </c>
      <c r="B284" s="46" t="str">
        <f t="shared" si="9"/>
        <v>27Федорова Юлия Владимировна</v>
      </c>
      <c r="C284" s="46">
        <v>27</v>
      </c>
      <c r="D284" s="46" t="s">
        <v>272</v>
      </c>
      <c r="E284" s="1">
        <v>27</v>
      </c>
      <c r="F284" s="45">
        <f t="shared" si="10"/>
        <v>0</v>
      </c>
      <c r="V284" s="45" t="s">
        <v>307</v>
      </c>
      <c r="W284" s="47">
        <v>1</v>
      </c>
      <c r="AA284" s="70">
        <v>283</v>
      </c>
      <c r="AB284" s="70">
        <v>11</v>
      </c>
      <c r="AC284" s="71" t="s">
        <v>643</v>
      </c>
      <c r="AF284"/>
      <c r="AG284"/>
    </row>
    <row r="285" spans="1:33" s="45" customFormat="1">
      <c r="A285" s="1">
        <v>135</v>
      </c>
      <c r="B285" s="46" t="str">
        <f t="shared" si="9"/>
        <v>142-143Финогин Сергей Александрович</v>
      </c>
      <c r="C285" s="46" t="s">
        <v>274</v>
      </c>
      <c r="D285" s="46" t="s">
        <v>273</v>
      </c>
      <c r="E285" s="1">
        <v>135</v>
      </c>
      <c r="F285" s="45">
        <f t="shared" si="10"/>
        <v>1</v>
      </c>
      <c r="V285" s="45" t="s">
        <v>107</v>
      </c>
      <c r="W285" s="47">
        <v>1</v>
      </c>
      <c r="AA285" s="70">
        <v>284</v>
      </c>
      <c r="AB285" s="70">
        <v>11</v>
      </c>
      <c r="AC285" s="71" t="s">
        <v>643</v>
      </c>
      <c r="AF285"/>
      <c r="AG285"/>
    </row>
    <row r="286" spans="1:33" s="45" customFormat="1">
      <c r="A286" s="1">
        <v>135</v>
      </c>
      <c r="B286" s="46" t="str">
        <f t="shared" si="9"/>
        <v>143Финогин Сергей Александрович</v>
      </c>
      <c r="C286" s="46">
        <v>143</v>
      </c>
      <c r="D286" s="46" t="s">
        <v>273</v>
      </c>
      <c r="E286" s="1">
        <v>135</v>
      </c>
      <c r="F286" s="45">
        <f t="shared" si="10"/>
        <v>1</v>
      </c>
      <c r="V286" s="45" t="s">
        <v>213</v>
      </c>
      <c r="W286" s="47">
        <v>1</v>
      </c>
      <c r="AA286" s="70">
        <v>285</v>
      </c>
      <c r="AB286" s="70">
        <v>11</v>
      </c>
      <c r="AC286" s="71" t="s">
        <v>643</v>
      </c>
      <c r="AF286"/>
      <c r="AG286"/>
    </row>
    <row r="287" spans="1:33" s="45" customFormat="1">
      <c r="A287" s="1">
        <v>135</v>
      </c>
      <c r="B287" s="46" t="str">
        <f t="shared" si="9"/>
        <v>142Финогин Сергей Александрович</v>
      </c>
      <c r="C287" s="46">
        <v>142</v>
      </c>
      <c r="D287" s="46" t="s">
        <v>273</v>
      </c>
      <c r="E287" s="1">
        <v>135</v>
      </c>
      <c r="F287" s="45">
        <f t="shared" si="10"/>
        <v>1</v>
      </c>
      <c r="V287" s="45" t="s">
        <v>161</v>
      </c>
      <c r="W287" s="47">
        <v>1</v>
      </c>
      <c r="AA287" s="70">
        <v>286</v>
      </c>
      <c r="AB287" s="70">
        <v>11</v>
      </c>
      <c r="AC287" s="71" t="s">
        <v>643</v>
      </c>
      <c r="AF287"/>
      <c r="AG287"/>
    </row>
    <row r="288" spans="1:33" s="45" customFormat="1">
      <c r="A288" s="1">
        <v>59</v>
      </c>
      <c r="B288" s="46" t="str">
        <f t="shared" si="9"/>
        <v>61Фисенко Вадим Петрович</v>
      </c>
      <c r="C288" s="46">
        <v>61</v>
      </c>
      <c r="D288" s="46" t="s">
        <v>275</v>
      </c>
      <c r="E288" s="1">
        <v>59</v>
      </c>
      <c r="F288" s="45">
        <f t="shared" si="10"/>
        <v>0</v>
      </c>
      <c r="V288" s="45" t="s">
        <v>7</v>
      </c>
      <c r="W288" s="47">
        <v>1</v>
      </c>
      <c r="AA288" s="70">
        <v>287</v>
      </c>
      <c r="AB288" s="70">
        <v>11</v>
      </c>
      <c r="AC288" s="71" t="s">
        <v>643</v>
      </c>
      <c r="AF288"/>
      <c r="AG288"/>
    </row>
    <row r="289" spans="1:33" s="45" customFormat="1">
      <c r="A289" s="1">
        <v>60</v>
      </c>
      <c r="B289" s="46" t="str">
        <f t="shared" si="9"/>
        <v>62Фисенко Дмитрий Петрович</v>
      </c>
      <c r="C289" s="46">
        <v>62</v>
      </c>
      <c r="D289" s="46" t="s">
        <v>276</v>
      </c>
      <c r="E289" s="1">
        <v>60</v>
      </c>
      <c r="F289" s="45">
        <f t="shared" si="10"/>
        <v>0</v>
      </c>
      <c r="V289" s="45" t="s">
        <v>75</v>
      </c>
      <c r="W289" s="47">
        <v>1</v>
      </c>
      <c r="AA289" s="70">
        <v>288</v>
      </c>
      <c r="AB289" s="70">
        <v>11</v>
      </c>
      <c r="AC289" s="71" t="s">
        <v>643</v>
      </c>
      <c r="AF289"/>
      <c r="AG289"/>
    </row>
    <row r="290" spans="1:33" s="45" customFormat="1">
      <c r="A290" s="1">
        <v>248</v>
      </c>
      <c r="B290" s="46" t="str">
        <f t="shared" si="9"/>
        <v>259Фомин Андрей Анатольевич</v>
      </c>
      <c r="C290" s="46">
        <v>259</v>
      </c>
      <c r="D290" s="46" t="s">
        <v>277</v>
      </c>
      <c r="E290" s="1">
        <v>248</v>
      </c>
      <c r="F290" s="45">
        <f t="shared" si="10"/>
        <v>0</v>
      </c>
      <c r="V290" s="45" t="s">
        <v>66</v>
      </c>
      <c r="W290" s="47">
        <v>1</v>
      </c>
      <c r="AA290" s="70">
        <v>289</v>
      </c>
      <c r="AB290" s="70">
        <v>11</v>
      </c>
      <c r="AC290" s="71" t="s">
        <v>643</v>
      </c>
      <c r="AF290"/>
      <c r="AG290"/>
    </row>
    <row r="291" spans="1:33" s="45" customFormat="1">
      <c r="A291" s="1">
        <v>247</v>
      </c>
      <c r="B291" s="46" t="str">
        <f t="shared" si="9"/>
        <v>258Фомин Игорь Анатольевич</v>
      </c>
      <c r="C291" s="46">
        <v>258</v>
      </c>
      <c r="D291" s="46" t="s">
        <v>278</v>
      </c>
      <c r="E291" s="1">
        <v>247</v>
      </c>
      <c r="F291" s="45">
        <f t="shared" si="10"/>
        <v>0</v>
      </c>
      <c r="V291" s="45" t="s">
        <v>98</v>
      </c>
      <c r="W291" s="47">
        <v>1</v>
      </c>
      <c r="AA291" s="70">
        <v>290</v>
      </c>
      <c r="AB291" s="70">
        <v>11</v>
      </c>
      <c r="AC291" s="71" t="s">
        <v>643</v>
      </c>
      <c r="AF291"/>
      <c r="AG291"/>
    </row>
    <row r="292" spans="1:33" s="45" customFormat="1">
      <c r="A292" s="1">
        <v>103</v>
      </c>
      <c r="B292" s="46" t="str">
        <f t="shared" si="9"/>
        <v>108Фомичев Александр Петрович</v>
      </c>
      <c r="C292" s="46">
        <v>108</v>
      </c>
      <c r="D292" s="46" t="s">
        <v>279</v>
      </c>
      <c r="E292" s="1">
        <v>103</v>
      </c>
      <c r="F292" s="45">
        <f t="shared" si="10"/>
        <v>0</v>
      </c>
      <c r="V292" s="45" t="s">
        <v>707</v>
      </c>
      <c r="W292" s="47">
        <v>1</v>
      </c>
      <c r="AA292" s="70">
        <v>291</v>
      </c>
      <c r="AB292" s="70">
        <v>11</v>
      </c>
      <c r="AC292" s="71" t="s">
        <v>643</v>
      </c>
      <c r="AF292"/>
      <c r="AG292"/>
    </row>
    <row r="293" spans="1:33" s="45" customFormat="1">
      <c r="A293" s="1">
        <v>275</v>
      </c>
      <c r="B293" s="46" t="str">
        <f t="shared" si="9"/>
        <v>288Хайлов Алексей Анатольевич</v>
      </c>
      <c r="C293" s="46">
        <v>288</v>
      </c>
      <c r="D293" s="46" t="s">
        <v>280</v>
      </c>
      <c r="E293" s="1">
        <v>275</v>
      </c>
      <c r="F293" s="45">
        <f t="shared" si="10"/>
        <v>0</v>
      </c>
      <c r="V293" s="45" t="s">
        <v>140</v>
      </c>
      <c r="W293" s="47">
        <v>1</v>
      </c>
      <c r="AA293" s="70">
        <v>292</v>
      </c>
      <c r="AB293" s="70">
        <v>11</v>
      </c>
      <c r="AC293" s="71" t="s">
        <v>643</v>
      </c>
      <c r="AF293"/>
      <c r="AG293"/>
    </row>
    <row r="294" spans="1:33" s="45" customFormat="1">
      <c r="A294" s="1">
        <v>22</v>
      </c>
      <c r="B294" s="46" t="str">
        <f t="shared" si="9"/>
        <v>22Хан Виталий Борисович</v>
      </c>
      <c r="C294" s="46">
        <v>22</v>
      </c>
      <c r="D294" s="46" t="s">
        <v>281</v>
      </c>
      <c r="E294" s="1">
        <v>22</v>
      </c>
      <c r="F294" s="45">
        <f t="shared" si="10"/>
        <v>0</v>
      </c>
      <c r="V294" s="45" t="s">
        <v>78</v>
      </c>
      <c r="W294" s="47">
        <v>1</v>
      </c>
      <c r="AA294" s="70">
        <v>293</v>
      </c>
      <c r="AB294" s="70">
        <v>11</v>
      </c>
      <c r="AC294" s="71" t="s">
        <v>643</v>
      </c>
      <c r="AF294"/>
      <c r="AG294"/>
    </row>
    <row r="295" spans="1:33" s="45" customFormat="1">
      <c r="A295" s="1">
        <v>20</v>
      </c>
      <c r="B295" s="46" t="str">
        <f t="shared" si="9"/>
        <v>20Харинкина Танзиля Гарафутдиновна</v>
      </c>
      <c r="C295" s="46">
        <v>20</v>
      </c>
      <c r="D295" s="46" t="s">
        <v>282</v>
      </c>
      <c r="E295" s="1">
        <v>20</v>
      </c>
      <c r="F295" s="45">
        <f t="shared" si="10"/>
        <v>0</v>
      </c>
      <c r="V295" s="45" t="s">
        <v>704</v>
      </c>
      <c r="W295" s="47"/>
      <c r="AA295" s="70">
        <v>294</v>
      </c>
      <c r="AB295" s="70">
        <v>11</v>
      </c>
      <c r="AC295" s="71" t="s">
        <v>643</v>
      </c>
      <c r="AF295"/>
      <c r="AG295"/>
    </row>
    <row r="296" spans="1:33" s="45" customFormat="1">
      <c r="A296" s="1">
        <v>233</v>
      </c>
      <c r="B296" s="46" t="str">
        <f t="shared" si="9"/>
        <v>242Хаустова Люция Егоровна</v>
      </c>
      <c r="C296" s="46">
        <v>242</v>
      </c>
      <c r="D296" s="46" t="s">
        <v>283</v>
      </c>
      <c r="E296" s="1">
        <v>233</v>
      </c>
      <c r="F296" s="45">
        <f t="shared" si="10"/>
        <v>0</v>
      </c>
      <c r="V296" s="45" t="s">
        <v>171</v>
      </c>
      <c r="W296" s="47"/>
      <c r="AA296" s="70">
        <v>295</v>
      </c>
      <c r="AB296" s="70">
        <v>11</v>
      </c>
      <c r="AC296" s="71" t="s">
        <v>643</v>
      </c>
      <c r="AF296"/>
      <c r="AG296"/>
    </row>
    <row r="297" spans="1:33" s="45" customFormat="1">
      <c r="A297" s="1">
        <v>256</v>
      </c>
      <c r="B297" s="46" t="str">
        <f t="shared" si="9"/>
        <v>269Хачатрян Алла Самвеловна</v>
      </c>
      <c r="C297" s="46">
        <v>269</v>
      </c>
      <c r="D297" s="46" t="s">
        <v>284</v>
      </c>
      <c r="E297" s="1">
        <v>256</v>
      </c>
      <c r="F297" s="45">
        <f t="shared" si="10"/>
        <v>0</v>
      </c>
      <c r="V297" s="45" t="s">
        <v>619</v>
      </c>
      <c r="W297" s="47">
        <v>319</v>
      </c>
      <c r="AA297" s="70">
        <v>296</v>
      </c>
      <c r="AB297" s="70">
        <v>11</v>
      </c>
      <c r="AC297" s="71" t="s">
        <v>643</v>
      </c>
      <c r="AF297"/>
      <c r="AG297"/>
    </row>
    <row r="298" spans="1:33" s="45" customFormat="1">
      <c r="A298" s="1">
        <v>113</v>
      </c>
      <c r="B298" s="46" t="str">
        <f t="shared" si="9"/>
        <v>116+118+120Хрупало Николай Алексеевич</v>
      </c>
      <c r="C298" s="91" t="s">
        <v>705</v>
      </c>
      <c r="D298" s="46" t="s">
        <v>285</v>
      </c>
      <c r="E298" s="1">
        <v>113</v>
      </c>
      <c r="F298" s="45">
        <f t="shared" si="10"/>
        <v>1</v>
      </c>
      <c r="V298"/>
      <c r="W298"/>
      <c r="AA298" s="70">
        <v>297</v>
      </c>
      <c r="AB298" s="70">
        <v>11</v>
      </c>
      <c r="AC298" s="71" t="s">
        <v>643</v>
      </c>
      <c r="AF298"/>
      <c r="AG298"/>
    </row>
    <row r="299" spans="1:33" s="45" customFormat="1">
      <c r="A299" s="1">
        <v>113</v>
      </c>
      <c r="B299" s="46" t="str">
        <f t="shared" si="9"/>
        <v>116+118+120Хрупало Николай Алексеевич</v>
      </c>
      <c r="C299" s="91" t="s">
        <v>705</v>
      </c>
      <c r="D299" s="46" t="s">
        <v>285</v>
      </c>
      <c r="E299" s="1">
        <v>113</v>
      </c>
      <c r="F299" s="45">
        <f t="shared" si="10"/>
        <v>1</v>
      </c>
      <c r="V299"/>
      <c r="W299"/>
      <c r="AA299" s="70">
        <v>298</v>
      </c>
      <c r="AB299" s="70">
        <v>11</v>
      </c>
      <c r="AC299" s="71" t="s">
        <v>643</v>
      </c>
      <c r="AF299"/>
      <c r="AG299"/>
    </row>
    <row r="300" spans="1:33" s="45" customFormat="1">
      <c r="A300" s="1">
        <v>113</v>
      </c>
      <c r="B300" s="46" t="str">
        <f t="shared" si="9"/>
        <v>116+118+120Хрупало Николай Алексеевич</v>
      </c>
      <c r="C300" s="91" t="s">
        <v>705</v>
      </c>
      <c r="D300" s="46" t="s">
        <v>285</v>
      </c>
      <c r="E300" s="1">
        <v>113</v>
      </c>
      <c r="F300" s="45">
        <f t="shared" si="10"/>
        <v>1</v>
      </c>
      <c r="V300"/>
      <c r="W300"/>
      <c r="AA300" s="70">
        <v>299</v>
      </c>
      <c r="AB300" s="70">
        <v>11</v>
      </c>
      <c r="AC300" s="71" t="s">
        <v>643</v>
      </c>
      <c r="AF300"/>
      <c r="AG300"/>
    </row>
    <row r="301" spans="1:33" s="45" customFormat="1">
      <c r="A301" s="1">
        <v>180</v>
      </c>
      <c r="B301" s="46" t="str">
        <f t="shared" si="9"/>
        <v>188Черешнева Виктория Викторовна</v>
      </c>
      <c r="C301" s="46">
        <v>188</v>
      </c>
      <c r="D301" s="46" t="s">
        <v>287</v>
      </c>
      <c r="E301" s="1">
        <v>180</v>
      </c>
      <c r="F301" s="45">
        <f t="shared" si="10"/>
        <v>0</v>
      </c>
      <c r="AA301" s="70">
        <v>300</v>
      </c>
      <c r="AB301" s="70">
        <v>11</v>
      </c>
      <c r="AC301" s="71" t="s">
        <v>643</v>
      </c>
      <c r="AF301"/>
      <c r="AG301"/>
    </row>
    <row r="302" spans="1:33" s="45" customFormat="1">
      <c r="A302" s="1">
        <v>2</v>
      </c>
      <c r="B302" s="46" t="str">
        <f t="shared" si="9"/>
        <v xml:space="preserve">2Чернявская Оксана Юрьевна        </v>
      </c>
      <c r="C302" s="46">
        <v>2</v>
      </c>
      <c r="D302" s="46" t="s">
        <v>288</v>
      </c>
      <c r="E302" s="1">
        <v>2</v>
      </c>
      <c r="F302" s="45">
        <f t="shared" si="10"/>
        <v>0</v>
      </c>
      <c r="AA302" s="70">
        <v>301</v>
      </c>
      <c r="AB302" s="70">
        <v>7</v>
      </c>
      <c r="AC302" s="71" t="s">
        <v>103</v>
      </c>
      <c r="AF302"/>
      <c r="AG302"/>
    </row>
    <row r="303" spans="1:33" s="45" customFormat="1" ht="24">
      <c r="A303" s="1">
        <v>23</v>
      </c>
      <c r="B303" s="46" t="str">
        <f t="shared" si="9"/>
        <v>23Чигрины Анна Анатольевна и Геннадий Иванович</v>
      </c>
      <c r="C303" s="46">
        <v>23</v>
      </c>
      <c r="D303" s="46" t="s">
        <v>289</v>
      </c>
      <c r="E303" s="1">
        <v>23</v>
      </c>
      <c r="F303" s="45">
        <f t="shared" si="10"/>
        <v>0</v>
      </c>
      <c r="AA303" s="70">
        <v>302</v>
      </c>
      <c r="AB303" s="70">
        <v>7</v>
      </c>
      <c r="AC303" s="71" t="s">
        <v>103</v>
      </c>
      <c r="AF303"/>
      <c r="AG303"/>
    </row>
    <row r="304" spans="1:33" s="45" customFormat="1">
      <c r="A304" s="1">
        <v>168</v>
      </c>
      <c r="B304" s="46" t="str">
        <f t="shared" si="9"/>
        <v>176Чикачёв Сергей Иванович</v>
      </c>
      <c r="C304" s="46">
        <v>176</v>
      </c>
      <c r="D304" s="46" t="s">
        <v>290</v>
      </c>
      <c r="E304" s="1">
        <v>168</v>
      </c>
      <c r="F304" s="45">
        <f t="shared" si="10"/>
        <v>0</v>
      </c>
      <c r="AA304" s="70">
        <v>303</v>
      </c>
      <c r="AB304" s="70">
        <v>7</v>
      </c>
      <c r="AC304" s="71" t="s">
        <v>103</v>
      </c>
      <c r="AF304"/>
      <c r="AG304"/>
    </row>
    <row r="305" spans="1:33" s="45" customFormat="1">
      <c r="A305" s="1">
        <v>84</v>
      </c>
      <c r="B305" s="46" t="str">
        <f t="shared" si="9"/>
        <v>89Шабунина Светлана Николаевна</v>
      </c>
      <c r="C305" s="46">
        <v>89</v>
      </c>
      <c r="D305" s="46" t="s">
        <v>291</v>
      </c>
      <c r="E305" s="1">
        <v>84</v>
      </c>
      <c r="F305" s="45">
        <f t="shared" si="10"/>
        <v>0</v>
      </c>
      <c r="AA305" s="70">
        <v>304</v>
      </c>
      <c r="AB305" s="70">
        <v>7</v>
      </c>
      <c r="AC305" s="71" t="s">
        <v>103</v>
      </c>
      <c r="AF305"/>
      <c r="AG305"/>
    </row>
    <row r="306" spans="1:33" s="45" customFormat="1">
      <c r="A306" s="1">
        <v>88</v>
      </c>
      <c r="B306" s="46" t="str">
        <f t="shared" si="9"/>
        <v>97+93Шалинов Андрей Вадимович</v>
      </c>
      <c r="C306" s="91" t="s">
        <v>706</v>
      </c>
      <c r="D306" s="46" t="s">
        <v>292</v>
      </c>
      <c r="E306" s="1">
        <v>88</v>
      </c>
      <c r="F306" s="45">
        <f t="shared" si="10"/>
        <v>1</v>
      </c>
      <c r="AA306" s="70">
        <v>305</v>
      </c>
      <c r="AB306" s="70">
        <v>7</v>
      </c>
      <c r="AC306" s="71" t="s">
        <v>103</v>
      </c>
      <c r="AF306"/>
      <c r="AG306"/>
    </row>
    <row r="307" spans="1:33" s="45" customFormat="1">
      <c r="A307" s="1">
        <v>88</v>
      </c>
      <c r="B307" s="46" t="str">
        <f t="shared" si="9"/>
        <v>97+93Шалинов Андрей Вадимович</v>
      </c>
      <c r="C307" s="91" t="s">
        <v>706</v>
      </c>
      <c r="D307" s="46" t="s">
        <v>292</v>
      </c>
      <c r="E307" s="1">
        <v>88</v>
      </c>
      <c r="F307" s="45">
        <f t="shared" si="10"/>
        <v>1</v>
      </c>
      <c r="AA307" s="70">
        <v>306</v>
      </c>
      <c r="AB307" s="70">
        <v>7</v>
      </c>
      <c r="AC307" s="71" t="s">
        <v>103</v>
      </c>
      <c r="AF307"/>
      <c r="AG307"/>
    </row>
    <row r="308" spans="1:33" s="45" customFormat="1">
      <c r="A308" s="1">
        <v>78</v>
      </c>
      <c r="B308" s="46" t="str">
        <f t="shared" si="9"/>
        <v>83Шелухина Мария Сергеевна</v>
      </c>
      <c r="C308" s="46">
        <v>83</v>
      </c>
      <c r="D308" s="46" t="s">
        <v>294</v>
      </c>
      <c r="E308" s="1">
        <v>78</v>
      </c>
      <c r="F308" s="45">
        <f t="shared" si="10"/>
        <v>0</v>
      </c>
      <c r="AA308" s="70">
        <v>307</v>
      </c>
      <c r="AB308" s="70">
        <v>7</v>
      </c>
      <c r="AC308" s="71" t="s">
        <v>103</v>
      </c>
      <c r="AF308"/>
      <c r="AG308"/>
    </row>
    <row r="309" spans="1:33" s="45" customFormat="1">
      <c r="A309" s="1">
        <v>306</v>
      </c>
      <c r="B309" s="46" t="str">
        <f t="shared" si="9"/>
        <v>321Шептухина Александра Борисовна</v>
      </c>
      <c r="C309" s="46">
        <v>321</v>
      </c>
      <c r="D309" s="46" t="s">
        <v>296</v>
      </c>
      <c r="E309" s="1">
        <v>306</v>
      </c>
      <c r="F309" s="45">
        <f t="shared" si="10"/>
        <v>0</v>
      </c>
      <c r="AA309" s="70">
        <v>308</v>
      </c>
      <c r="AB309" s="70">
        <v>7</v>
      </c>
      <c r="AC309" s="71" t="s">
        <v>103</v>
      </c>
      <c r="AF309"/>
      <c r="AG309"/>
    </row>
    <row r="310" spans="1:33" s="45" customFormat="1">
      <c r="A310" s="1">
        <v>182</v>
      </c>
      <c r="B310" s="46" t="str">
        <f t="shared" si="9"/>
        <v>190Широков Евгений Александрович</v>
      </c>
      <c r="C310" s="46">
        <v>190</v>
      </c>
      <c r="D310" s="46" t="s">
        <v>297</v>
      </c>
      <c r="E310" s="1">
        <v>182</v>
      </c>
      <c r="F310" s="45">
        <f t="shared" si="10"/>
        <v>0</v>
      </c>
      <c r="AA310" s="70">
        <v>309</v>
      </c>
      <c r="AB310" s="70">
        <v>7</v>
      </c>
      <c r="AC310" s="71" t="s">
        <v>103</v>
      </c>
      <c r="AF310"/>
      <c r="AG310"/>
    </row>
    <row r="311" spans="1:33" s="45" customFormat="1" ht="24">
      <c r="A311" s="1">
        <v>95</v>
      </c>
      <c r="B311" s="46" t="str">
        <f t="shared" si="9"/>
        <v>100Шорахматов Мухаммадхуджа Замшоевич</v>
      </c>
      <c r="C311" s="46">
        <v>100</v>
      </c>
      <c r="D311" s="46" t="s">
        <v>298</v>
      </c>
      <c r="E311" s="1">
        <v>95</v>
      </c>
      <c r="F311" s="45">
        <f t="shared" si="10"/>
        <v>0</v>
      </c>
      <c r="AA311" s="70">
        <v>310</v>
      </c>
      <c r="AB311" s="70">
        <v>7</v>
      </c>
      <c r="AC311" s="71" t="s">
        <v>103</v>
      </c>
      <c r="AF311"/>
      <c r="AG311"/>
    </row>
    <row r="312" spans="1:33" s="45" customFormat="1">
      <c r="A312" s="1">
        <v>108</v>
      </c>
      <c r="B312" s="46" t="str">
        <f t="shared" si="9"/>
        <v>113Шурдук Лариса Анатольевна (Игорь)</v>
      </c>
      <c r="C312" s="46">
        <v>113</v>
      </c>
      <c r="D312" s="46" t="s">
        <v>299</v>
      </c>
      <c r="E312" s="1">
        <v>108</v>
      </c>
      <c r="F312" s="45">
        <f t="shared" si="10"/>
        <v>0</v>
      </c>
      <c r="AA312" s="70">
        <v>311</v>
      </c>
      <c r="AB312" s="70">
        <v>7</v>
      </c>
      <c r="AC312" s="71" t="s">
        <v>103</v>
      </c>
      <c r="AF312"/>
      <c r="AG312"/>
    </row>
    <row r="313" spans="1:33" s="45" customFormat="1">
      <c r="A313" s="1">
        <v>41</v>
      </c>
      <c r="B313" s="46" t="str">
        <f t="shared" si="9"/>
        <v>41Шустов Василий Александрович</v>
      </c>
      <c r="C313" s="46">
        <v>41</v>
      </c>
      <c r="D313" s="46" t="s">
        <v>300</v>
      </c>
      <c r="E313" s="1">
        <v>41</v>
      </c>
      <c r="F313" s="45">
        <f t="shared" si="10"/>
        <v>0</v>
      </c>
      <c r="AA313" s="70">
        <v>312</v>
      </c>
      <c r="AB313" s="70">
        <v>7</v>
      </c>
      <c r="AC313" s="71" t="s">
        <v>103</v>
      </c>
      <c r="AF313"/>
      <c r="AG313"/>
    </row>
    <row r="314" spans="1:33" s="45" customFormat="1">
      <c r="A314" s="1">
        <v>152</v>
      </c>
      <c r="B314" s="46" t="str">
        <f t="shared" si="9"/>
        <v>160Щербаков Павел Евгеньевич</v>
      </c>
      <c r="C314" s="46">
        <v>160</v>
      </c>
      <c r="D314" s="46" t="s">
        <v>301</v>
      </c>
      <c r="E314" s="1">
        <v>152</v>
      </c>
      <c r="F314" s="45">
        <f t="shared" si="10"/>
        <v>0</v>
      </c>
      <c r="AA314" s="70">
        <v>313</v>
      </c>
      <c r="AB314" s="70">
        <v>7</v>
      </c>
      <c r="AC314" s="71" t="s">
        <v>103</v>
      </c>
      <c r="AF314"/>
      <c r="AG314"/>
    </row>
    <row r="315" spans="1:33" s="45" customFormat="1">
      <c r="A315" s="1">
        <v>227</v>
      </c>
      <c r="B315" s="46" t="str">
        <f t="shared" si="9"/>
        <v xml:space="preserve">236Щербакова Татьяна Дмитриевна      </v>
      </c>
      <c r="C315" s="46">
        <v>236</v>
      </c>
      <c r="D315" s="46" t="s">
        <v>302</v>
      </c>
      <c r="E315" s="1">
        <v>227</v>
      </c>
      <c r="F315" s="45">
        <f t="shared" si="10"/>
        <v>0</v>
      </c>
      <c r="AA315" s="70">
        <v>314</v>
      </c>
      <c r="AB315" s="70">
        <v>7</v>
      </c>
      <c r="AC315" s="71" t="s">
        <v>103</v>
      </c>
      <c r="AF315"/>
      <c r="AG315"/>
    </row>
    <row r="316" spans="1:33" s="45" customFormat="1" ht="24">
      <c r="A316" s="1">
        <v>15</v>
      </c>
      <c r="B316" s="46" t="str">
        <f t="shared" si="9"/>
        <v>15Элефтерова Евгения Викторовна (Михаил)</v>
      </c>
      <c r="C316" s="46">
        <v>15</v>
      </c>
      <c r="D316" s="46" t="s">
        <v>303</v>
      </c>
      <c r="E316" s="1">
        <v>15</v>
      </c>
      <c r="F316" s="45">
        <f t="shared" si="10"/>
        <v>0</v>
      </c>
      <c r="AA316" s="70">
        <v>315</v>
      </c>
      <c r="AB316" s="70">
        <v>7</v>
      </c>
      <c r="AC316" s="71" t="s">
        <v>103</v>
      </c>
      <c r="AF316"/>
      <c r="AG316"/>
    </row>
    <row r="317" spans="1:33" s="45" customFormat="1">
      <c r="A317" s="1">
        <v>240</v>
      </c>
      <c r="B317" s="46" t="str">
        <f t="shared" si="9"/>
        <v>251Якиманский Александр Александрович</v>
      </c>
      <c r="C317" s="46">
        <v>251</v>
      </c>
      <c r="D317" s="49" t="s">
        <v>304</v>
      </c>
      <c r="E317" s="1">
        <v>240</v>
      </c>
      <c r="F317" s="45">
        <f t="shared" si="10"/>
        <v>0</v>
      </c>
      <c r="AA317" s="70">
        <v>316</v>
      </c>
      <c r="AB317" s="70">
        <v>7</v>
      </c>
      <c r="AC317" s="71" t="s">
        <v>103</v>
      </c>
      <c r="AF317"/>
      <c r="AG317"/>
    </row>
    <row r="318" spans="1:33" s="45" customFormat="1">
      <c r="A318" s="1">
        <v>10</v>
      </c>
      <c r="B318" s="46" t="str">
        <f t="shared" si="9"/>
        <v>10Якушина Любовь Викторовна</v>
      </c>
      <c r="C318" s="46">
        <v>10</v>
      </c>
      <c r="D318" s="46" t="s">
        <v>305</v>
      </c>
      <c r="E318" s="1">
        <v>10</v>
      </c>
      <c r="F318" s="45">
        <f t="shared" si="10"/>
        <v>0</v>
      </c>
      <c r="AA318" s="70">
        <v>317</v>
      </c>
      <c r="AB318" s="70">
        <v>7</v>
      </c>
      <c r="AC318" s="71" t="s">
        <v>103</v>
      </c>
      <c r="AF318"/>
      <c r="AG318"/>
    </row>
    <row r="319" spans="1:33" s="45" customFormat="1">
      <c r="A319" s="1">
        <v>55</v>
      </c>
      <c r="B319" s="46" t="str">
        <f t="shared" si="9"/>
        <v>57Янковская Елена Александровна</v>
      </c>
      <c r="C319" s="46">
        <v>57</v>
      </c>
      <c r="D319" s="46" t="s">
        <v>306</v>
      </c>
      <c r="E319" s="1">
        <v>55</v>
      </c>
      <c r="F319" s="45">
        <f t="shared" si="10"/>
        <v>0</v>
      </c>
      <c r="AA319" s="70">
        <v>318</v>
      </c>
      <c r="AB319" s="70">
        <v>7</v>
      </c>
      <c r="AC319" s="71" t="s">
        <v>103</v>
      </c>
      <c r="AF319"/>
      <c r="AG319"/>
    </row>
    <row r="320" spans="1:33" s="45" customFormat="1">
      <c r="A320" s="1">
        <v>309</v>
      </c>
      <c r="B320" s="46" t="str">
        <f t="shared" si="9"/>
        <v>324Янковская Яна Валерьевна</v>
      </c>
      <c r="C320" s="46">
        <v>324</v>
      </c>
      <c r="D320" s="46" t="s">
        <v>307</v>
      </c>
      <c r="E320" s="1">
        <v>309</v>
      </c>
      <c r="F320" s="45">
        <f t="shared" si="10"/>
        <v>0</v>
      </c>
      <c r="AA320" s="70">
        <v>319</v>
      </c>
      <c r="AB320" s="70">
        <v>7</v>
      </c>
      <c r="AC320" s="71" t="s">
        <v>103</v>
      </c>
      <c r="AF320"/>
      <c r="AG320"/>
    </row>
    <row r="321" spans="1:33" s="45" customFormat="1">
      <c r="A321" s="1">
        <v>17</v>
      </c>
      <c r="B321" s="46" t="str">
        <f t="shared" ref="B321:B336" si="11">CONCATENATE(C321,D321)</f>
        <v>17Яструб Валерий Викторович</v>
      </c>
      <c r="C321" s="46">
        <v>17</v>
      </c>
      <c r="D321" s="46" t="s">
        <v>308</v>
      </c>
      <c r="E321" s="1">
        <v>17</v>
      </c>
      <c r="F321" s="45">
        <f t="shared" si="10"/>
        <v>0</v>
      </c>
      <c r="AA321" s="70">
        <v>320</v>
      </c>
      <c r="AB321" s="70">
        <v>7</v>
      </c>
      <c r="AC321" s="71" t="s">
        <v>103</v>
      </c>
      <c r="AF321"/>
      <c r="AG321"/>
    </row>
    <row r="322" spans="1:33" s="45" customFormat="1">
      <c r="A322" s="1">
        <v>40</v>
      </c>
      <c r="B322" s="46" t="str">
        <f t="shared" si="11"/>
        <v>40Яшин Евгений Иванович</v>
      </c>
      <c r="C322" s="46">
        <v>40</v>
      </c>
      <c r="D322" s="46" t="s">
        <v>309</v>
      </c>
      <c r="E322" s="1">
        <v>40</v>
      </c>
      <c r="F322" s="45">
        <f t="shared" ref="F322" si="12">IF(VLOOKUP(D322,$V$2:$W$299,2,FALSE)&lt;&gt;1,1,0)</f>
        <v>0</v>
      </c>
      <c r="AA322" s="70">
        <v>321</v>
      </c>
      <c r="AB322" s="70">
        <v>7</v>
      </c>
      <c r="AC322" s="71" t="s">
        <v>103</v>
      </c>
      <c r="AF322"/>
      <c r="AG322"/>
    </row>
    <row r="323" spans="1:33" s="45" customFormat="1" ht="24">
      <c r="A323" s="41">
        <v>321</v>
      </c>
      <c r="B323" s="46" t="str">
        <f t="shared" si="11"/>
        <v>ВОЛГЕЩЕВ ДМИТРИЙЦ ГЕННАДЬЕВИЧ</v>
      </c>
      <c r="C323"/>
      <c r="D323" s="76" t="s">
        <v>688</v>
      </c>
      <c r="E323" s="41">
        <v>321</v>
      </c>
      <c r="F323"/>
      <c r="AA323" s="70">
        <v>322</v>
      </c>
      <c r="AB323" s="70">
        <v>7</v>
      </c>
      <c r="AC323" s="71" t="s">
        <v>103</v>
      </c>
      <c r="AF323"/>
      <c r="AG323"/>
    </row>
    <row r="324" spans="1:33" ht="24">
      <c r="A324" s="41">
        <v>322</v>
      </c>
      <c r="B324" s="46" t="str">
        <f t="shared" si="11"/>
        <v>ИВАНОВ СЕРГЕЙ АЛЕКСАНДРОВИЧ</v>
      </c>
      <c r="D324" s="77" t="s">
        <v>689</v>
      </c>
      <c r="E324" s="41">
        <v>322</v>
      </c>
      <c r="AA324" s="70">
        <v>323</v>
      </c>
      <c r="AB324" s="70">
        <v>7</v>
      </c>
      <c r="AC324" s="71" t="s">
        <v>103</v>
      </c>
    </row>
    <row r="325" spans="1:33">
      <c r="A325" s="41">
        <v>323</v>
      </c>
      <c r="B325" s="46" t="str">
        <f t="shared" si="11"/>
        <v>ЛЕСКОВСКИЙ АНАТОЛИЙ ВИТАЛЬЕВИЧ</v>
      </c>
      <c r="D325" s="75" t="s">
        <v>690</v>
      </c>
      <c r="E325" s="41">
        <v>323</v>
      </c>
      <c r="AA325" s="70">
        <v>324</v>
      </c>
      <c r="AB325" s="70">
        <v>7</v>
      </c>
      <c r="AC325" s="71" t="s">
        <v>103</v>
      </c>
    </row>
    <row r="326" spans="1:33">
      <c r="A326" s="41">
        <v>324</v>
      </c>
      <c r="B326" s="46" t="str">
        <f t="shared" si="11"/>
        <v>камышкина юлия юрьевна</v>
      </c>
      <c r="D326" s="78" t="s">
        <v>692</v>
      </c>
      <c r="E326" s="41">
        <v>324</v>
      </c>
    </row>
    <row r="327" spans="1:33">
      <c r="A327" s="41">
        <v>325</v>
      </c>
      <c r="B327" s="46" t="str">
        <f t="shared" si="11"/>
        <v/>
      </c>
    </row>
    <row r="328" spans="1:33">
      <c r="A328" s="41">
        <v>326</v>
      </c>
      <c r="B328" s="46" t="str">
        <f t="shared" si="11"/>
        <v/>
      </c>
    </row>
    <row r="329" spans="1:33">
      <c r="A329" s="41">
        <v>327</v>
      </c>
      <c r="B329" s="46" t="str">
        <f t="shared" si="11"/>
        <v/>
      </c>
    </row>
    <row r="330" spans="1:33">
      <c r="A330" s="41">
        <v>328</v>
      </c>
      <c r="B330" s="46" t="str">
        <f t="shared" si="11"/>
        <v/>
      </c>
    </row>
    <row r="331" spans="1:33">
      <c r="A331" s="41">
        <v>329</v>
      </c>
      <c r="B331" s="46" t="str">
        <f t="shared" si="11"/>
        <v/>
      </c>
    </row>
    <row r="332" spans="1:33">
      <c r="A332" s="41">
        <v>330</v>
      </c>
      <c r="B332" s="46" t="str">
        <f t="shared" si="11"/>
        <v/>
      </c>
    </row>
    <row r="333" spans="1:33">
      <c r="A333" s="41">
        <v>331</v>
      </c>
      <c r="B333" s="46" t="str">
        <f t="shared" si="11"/>
        <v/>
      </c>
    </row>
    <row r="334" spans="1:33">
      <c r="A334" s="41">
        <v>332</v>
      </c>
      <c r="B334" s="46" t="str">
        <f t="shared" si="11"/>
        <v/>
      </c>
    </row>
    <row r="335" spans="1:33">
      <c r="A335" s="41">
        <v>333</v>
      </c>
      <c r="B335" s="46" t="str">
        <f t="shared" si="11"/>
        <v/>
      </c>
    </row>
    <row r="336" spans="1:33">
      <c r="A336" s="41">
        <v>334</v>
      </c>
      <c r="B336" s="46" t="str">
        <f t="shared" si="11"/>
        <v/>
      </c>
    </row>
  </sheetData>
  <autoFilter ref="A1:AI281"/>
  <sortState ref="B2:E323">
    <sortCondition ref="C2:C323"/>
    <sortCondition ref="D2:D323"/>
  </sortState>
  <pageMargins left="0.7" right="0.7" top="0.75" bottom="0.75" header="0.3" footer="0.3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V625"/>
  <sheetViews>
    <sheetView topLeftCell="A315" workbookViewId="0">
      <selection activeCell="C331" sqref="C331"/>
    </sheetView>
  </sheetViews>
  <sheetFormatPr baseColWidth="10" defaultColWidth="8.83203125" defaultRowHeight="14" x14ac:dyDescent="0"/>
  <cols>
    <col min="3" max="3" width="14.33203125" customWidth="1"/>
    <col min="4" max="5" width="25" customWidth="1"/>
    <col min="6" max="11" width="10.5" bestFit="1" customWidth="1"/>
    <col min="15" max="15" width="17.33203125" customWidth="1"/>
    <col min="16" max="21" width="30" bestFit="1" customWidth="1"/>
  </cols>
  <sheetData>
    <row r="1" spans="3:22">
      <c r="C1" s="41" t="s">
        <v>617</v>
      </c>
      <c r="D1" s="41" t="s">
        <v>639</v>
      </c>
      <c r="E1" s="41" t="s">
        <v>679</v>
      </c>
      <c r="F1" s="28">
        <v>42370</v>
      </c>
      <c r="G1" s="28">
        <v>42401</v>
      </c>
      <c r="H1" s="28">
        <v>42430</v>
      </c>
      <c r="I1" s="28">
        <v>42461</v>
      </c>
      <c r="J1" s="28">
        <v>42491</v>
      </c>
      <c r="K1" s="28">
        <v>42522</v>
      </c>
    </row>
    <row r="2" spans="3:22">
      <c r="C2" s="41">
        <v>79</v>
      </c>
      <c r="D2" s="1">
        <v>84</v>
      </c>
      <c r="E2" s="1">
        <v>800</v>
      </c>
      <c r="F2" s="22"/>
      <c r="G2" s="22">
        <v>4000</v>
      </c>
      <c r="H2" s="22"/>
      <c r="I2" s="22">
        <v>2400</v>
      </c>
      <c r="J2" s="22"/>
      <c r="K2" s="22"/>
      <c r="O2" s="44" t="s">
        <v>618</v>
      </c>
      <c r="P2" t="s">
        <v>681</v>
      </c>
      <c r="Q2" t="s">
        <v>682</v>
      </c>
      <c r="R2" t="s">
        <v>683</v>
      </c>
      <c r="S2" t="s">
        <v>684</v>
      </c>
      <c r="T2" t="s">
        <v>685</v>
      </c>
      <c r="U2" t="s">
        <v>686</v>
      </c>
    </row>
    <row r="3" spans="3:22">
      <c r="C3" s="41">
        <v>35</v>
      </c>
      <c r="D3" s="1">
        <v>35</v>
      </c>
      <c r="E3" s="1">
        <v>800</v>
      </c>
      <c r="F3" s="22"/>
      <c r="G3" s="22"/>
      <c r="H3" s="22"/>
      <c r="I3" s="22"/>
      <c r="J3" s="22"/>
      <c r="K3" s="22"/>
      <c r="O3" s="45">
        <v>1</v>
      </c>
      <c r="P3" s="61"/>
      <c r="Q3" s="61">
        <v>1</v>
      </c>
      <c r="R3" s="61"/>
      <c r="S3" s="61"/>
      <c r="T3" s="61"/>
      <c r="U3" s="61"/>
      <c r="V3">
        <f>COUNTA(P3:U3)</f>
        <v>1</v>
      </c>
    </row>
    <row r="4" spans="3:22">
      <c r="C4" s="41">
        <v>260</v>
      </c>
      <c r="D4" s="1">
        <v>273</v>
      </c>
      <c r="E4" s="1">
        <v>800</v>
      </c>
      <c r="F4" s="22"/>
      <c r="G4" s="22">
        <v>2000</v>
      </c>
      <c r="H4" s="22"/>
      <c r="I4" s="22"/>
      <c r="J4" s="22">
        <v>1000</v>
      </c>
      <c r="K4" s="22">
        <v>2000</v>
      </c>
      <c r="O4" s="45">
        <v>2</v>
      </c>
      <c r="P4" s="61"/>
      <c r="Q4" s="61"/>
      <c r="R4" s="61"/>
      <c r="S4" s="61"/>
      <c r="T4" s="61"/>
      <c r="U4" s="61"/>
      <c r="V4">
        <f t="shared" ref="V4:V67" si="0">COUNTA(P4:U4)</f>
        <v>0</v>
      </c>
    </row>
    <row r="5" spans="3:22">
      <c r="C5" s="41">
        <v>203</v>
      </c>
      <c r="D5" s="1">
        <v>213</v>
      </c>
      <c r="E5" s="1">
        <v>800</v>
      </c>
      <c r="F5" s="22">
        <v>2600</v>
      </c>
      <c r="G5" s="22"/>
      <c r="H5" s="22"/>
      <c r="I5" s="22"/>
      <c r="J5" s="22">
        <v>4200</v>
      </c>
      <c r="K5" s="22"/>
      <c r="O5" s="45">
        <v>3</v>
      </c>
      <c r="P5" s="61"/>
      <c r="Q5" s="61"/>
      <c r="R5" s="61"/>
      <c r="S5" s="61"/>
      <c r="T5" s="61"/>
      <c r="U5" s="61"/>
      <c r="V5">
        <f t="shared" si="0"/>
        <v>0</v>
      </c>
    </row>
    <row r="6" spans="3:22">
      <c r="C6" s="41">
        <v>316</v>
      </c>
      <c r="D6" s="1" t="s">
        <v>6</v>
      </c>
      <c r="E6" s="1">
        <v>800</v>
      </c>
      <c r="F6" s="22">
        <v>800</v>
      </c>
      <c r="G6" s="22"/>
      <c r="H6" s="22"/>
      <c r="I6" s="22"/>
      <c r="J6" s="22"/>
      <c r="K6" s="22"/>
      <c r="O6" s="45">
        <v>4</v>
      </c>
      <c r="P6" s="61"/>
      <c r="Q6" s="61"/>
      <c r="R6" s="61"/>
      <c r="S6" s="61"/>
      <c r="T6" s="61">
        <v>1</v>
      </c>
      <c r="U6" s="61"/>
      <c r="V6">
        <f t="shared" si="0"/>
        <v>1</v>
      </c>
    </row>
    <row r="7" spans="3:22">
      <c r="C7" s="41">
        <v>232</v>
      </c>
      <c r="D7" s="1">
        <v>241</v>
      </c>
      <c r="E7" s="1">
        <v>800</v>
      </c>
      <c r="F7" s="22"/>
      <c r="G7" s="22"/>
      <c r="H7" s="22"/>
      <c r="I7" s="22"/>
      <c r="J7" s="22"/>
      <c r="K7" s="22"/>
      <c r="O7" s="45">
        <v>5</v>
      </c>
      <c r="P7" s="61"/>
      <c r="Q7" s="61"/>
      <c r="R7" s="61"/>
      <c r="S7" s="61"/>
      <c r="T7" s="61"/>
      <c r="U7" s="61"/>
      <c r="V7">
        <f t="shared" si="0"/>
        <v>0</v>
      </c>
    </row>
    <row r="8" spans="3:22">
      <c r="C8" s="41">
        <v>277</v>
      </c>
      <c r="D8" s="1">
        <v>290</v>
      </c>
      <c r="E8" s="1">
        <v>800</v>
      </c>
      <c r="F8" s="22"/>
      <c r="G8" s="22"/>
      <c r="H8" s="22"/>
      <c r="I8" s="22"/>
      <c r="J8" s="22"/>
      <c r="K8" s="22"/>
      <c r="O8" s="45">
        <v>6</v>
      </c>
      <c r="P8" s="61"/>
      <c r="Q8" s="61"/>
      <c r="R8" s="61"/>
      <c r="S8" s="61"/>
      <c r="T8" s="61">
        <v>1</v>
      </c>
      <c r="U8" s="61"/>
      <c r="V8">
        <f t="shared" si="0"/>
        <v>1</v>
      </c>
    </row>
    <row r="9" spans="3:22">
      <c r="C9" s="41">
        <v>221</v>
      </c>
      <c r="D9" s="1">
        <v>230</v>
      </c>
      <c r="E9" s="1">
        <v>800</v>
      </c>
      <c r="F9" s="22">
        <v>12000</v>
      </c>
      <c r="G9" s="22"/>
      <c r="H9" s="22"/>
      <c r="I9" s="22"/>
      <c r="J9" s="22"/>
      <c r="K9" s="22"/>
      <c r="O9" s="45">
        <v>7</v>
      </c>
      <c r="P9" s="61"/>
      <c r="Q9" s="61"/>
      <c r="R9" s="61"/>
      <c r="S9" s="61"/>
      <c r="T9" s="61"/>
      <c r="U9" s="61"/>
      <c r="V9">
        <f t="shared" si="0"/>
        <v>0</v>
      </c>
    </row>
    <row r="10" spans="3:22">
      <c r="C10" s="41">
        <v>259</v>
      </c>
      <c r="D10" s="1">
        <v>272</v>
      </c>
      <c r="E10" s="1">
        <v>800</v>
      </c>
      <c r="F10" s="22"/>
      <c r="G10" s="22"/>
      <c r="H10" s="22"/>
      <c r="I10" s="22"/>
      <c r="J10" s="22"/>
      <c r="K10" s="22"/>
      <c r="O10" s="45">
        <v>8</v>
      </c>
      <c r="P10" s="61"/>
      <c r="Q10" s="61"/>
      <c r="R10" s="61"/>
      <c r="S10" s="61"/>
      <c r="T10" s="61"/>
      <c r="U10" s="61">
        <v>1</v>
      </c>
      <c r="V10">
        <f t="shared" si="0"/>
        <v>1</v>
      </c>
    </row>
    <row r="11" spans="3:22">
      <c r="C11" s="41">
        <v>109</v>
      </c>
      <c r="D11" s="1">
        <v>114</v>
      </c>
      <c r="E11" s="1">
        <v>800</v>
      </c>
      <c r="F11" s="22"/>
      <c r="G11" s="22">
        <v>1000</v>
      </c>
      <c r="H11" s="22">
        <v>1000</v>
      </c>
      <c r="I11" s="22"/>
      <c r="J11" s="22"/>
      <c r="K11" s="22"/>
      <c r="O11" s="45">
        <v>9</v>
      </c>
      <c r="P11" s="61"/>
      <c r="Q11" s="61"/>
      <c r="R11" s="61"/>
      <c r="S11" s="61"/>
      <c r="T11" s="61">
        <v>1</v>
      </c>
      <c r="U11" s="61">
        <v>1</v>
      </c>
      <c r="V11">
        <f t="shared" si="0"/>
        <v>2</v>
      </c>
    </row>
    <row r="12" spans="3:22">
      <c r="C12" s="41">
        <v>130</v>
      </c>
      <c r="D12" s="1">
        <v>137</v>
      </c>
      <c r="E12" s="1">
        <v>800</v>
      </c>
      <c r="F12" s="22"/>
      <c r="G12" s="22">
        <v>800</v>
      </c>
      <c r="H12" s="22"/>
      <c r="I12" s="22"/>
      <c r="J12" s="22"/>
      <c r="K12" s="22">
        <v>2400</v>
      </c>
      <c r="O12" s="45">
        <v>10</v>
      </c>
      <c r="P12" s="61"/>
      <c r="Q12" s="61"/>
      <c r="R12" s="61"/>
      <c r="S12" s="61"/>
      <c r="T12" s="61"/>
      <c r="U12" s="61"/>
      <c r="V12">
        <f t="shared" si="0"/>
        <v>0</v>
      </c>
    </row>
    <row r="13" spans="3:22">
      <c r="C13" s="41">
        <v>7</v>
      </c>
      <c r="D13" s="1">
        <v>7</v>
      </c>
      <c r="E13" s="1">
        <v>800</v>
      </c>
      <c r="F13" s="22"/>
      <c r="G13" s="22"/>
      <c r="H13" s="22"/>
      <c r="I13" s="22"/>
      <c r="J13" s="22"/>
      <c r="K13" s="22"/>
      <c r="O13" s="45">
        <v>11</v>
      </c>
      <c r="P13" s="61"/>
      <c r="Q13" s="61"/>
      <c r="R13" s="61"/>
      <c r="S13" s="61"/>
      <c r="T13" s="61"/>
      <c r="U13" s="61"/>
      <c r="V13">
        <f t="shared" si="0"/>
        <v>0</v>
      </c>
    </row>
    <row r="14" spans="3:22">
      <c r="C14" s="41">
        <v>7</v>
      </c>
      <c r="D14" s="1">
        <v>14</v>
      </c>
      <c r="E14" s="1"/>
      <c r="F14" s="22"/>
      <c r="G14" s="22"/>
      <c r="H14" s="22"/>
      <c r="I14" s="22"/>
      <c r="J14" s="22"/>
      <c r="K14" s="22"/>
      <c r="O14" s="45">
        <v>12</v>
      </c>
      <c r="P14" s="61"/>
      <c r="Q14" s="61"/>
      <c r="R14" s="61"/>
      <c r="S14" s="61"/>
      <c r="T14" s="61"/>
      <c r="U14" s="61"/>
      <c r="V14">
        <f t="shared" si="0"/>
        <v>0</v>
      </c>
    </row>
    <row r="15" spans="3:22">
      <c r="C15" s="41">
        <v>193</v>
      </c>
      <c r="D15" s="1">
        <v>201</v>
      </c>
      <c r="E15" s="1">
        <v>800</v>
      </c>
      <c r="F15" s="22"/>
      <c r="G15" s="22"/>
      <c r="H15" s="22"/>
      <c r="I15" s="22"/>
      <c r="J15" s="22"/>
      <c r="K15" s="22"/>
      <c r="O15" s="45">
        <v>13</v>
      </c>
      <c r="P15" s="61"/>
      <c r="Q15" s="61"/>
      <c r="R15" s="61"/>
      <c r="S15" s="61"/>
      <c r="T15" s="61"/>
      <c r="U15" s="61"/>
      <c r="V15">
        <f t="shared" si="0"/>
        <v>0</v>
      </c>
    </row>
    <row r="16" spans="3:22">
      <c r="C16" s="41">
        <v>178</v>
      </c>
      <c r="D16" s="1">
        <v>186</v>
      </c>
      <c r="E16" s="1">
        <v>800</v>
      </c>
      <c r="F16" s="22"/>
      <c r="G16" s="22"/>
      <c r="H16" s="22"/>
      <c r="I16" s="22"/>
      <c r="J16" s="22"/>
      <c r="K16" s="22"/>
      <c r="O16" s="45">
        <v>15</v>
      </c>
      <c r="P16" s="61"/>
      <c r="Q16" s="61">
        <v>1</v>
      </c>
      <c r="R16" s="61"/>
      <c r="S16" s="61"/>
      <c r="T16" s="61"/>
      <c r="U16" s="61">
        <v>1</v>
      </c>
      <c r="V16">
        <f t="shared" si="0"/>
        <v>2</v>
      </c>
    </row>
    <row r="17" spans="3:22">
      <c r="C17" s="41">
        <v>119</v>
      </c>
      <c r="D17" s="1">
        <v>124</v>
      </c>
      <c r="E17" s="1">
        <v>800</v>
      </c>
      <c r="F17" s="22"/>
      <c r="G17" s="22"/>
      <c r="H17" s="22">
        <v>3000</v>
      </c>
      <c r="I17" s="22"/>
      <c r="J17" s="22"/>
      <c r="K17" s="22"/>
      <c r="O17" s="45">
        <v>16</v>
      </c>
      <c r="P17" s="61"/>
      <c r="Q17" s="61"/>
      <c r="R17" s="61"/>
      <c r="S17" s="61"/>
      <c r="T17" s="61"/>
      <c r="U17" s="61">
        <v>1</v>
      </c>
      <c r="V17">
        <f t="shared" si="0"/>
        <v>1</v>
      </c>
    </row>
    <row r="18" spans="3:22">
      <c r="C18" s="41">
        <v>293</v>
      </c>
      <c r="D18" s="1">
        <v>308</v>
      </c>
      <c r="E18" s="1">
        <v>800</v>
      </c>
      <c r="F18" s="22"/>
      <c r="G18" s="22"/>
      <c r="H18" s="22"/>
      <c r="I18" s="22"/>
      <c r="J18" s="22"/>
      <c r="K18" s="22"/>
      <c r="O18" s="45">
        <v>17</v>
      </c>
      <c r="P18" s="61">
        <v>1</v>
      </c>
      <c r="Q18" s="61"/>
      <c r="R18" s="61">
        <v>1</v>
      </c>
      <c r="S18" s="61"/>
      <c r="T18" s="61"/>
      <c r="U18" s="61">
        <v>1</v>
      </c>
      <c r="V18">
        <f t="shared" si="0"/>
        <v>3</v>
      </c>
    </row>
    <row r="19" spans="3:22">
      <c r="C19" s="41">
        <v>191</v>
      </c>
      <c r="D19" s="1">
        <v>199</v>
      </c>
      <c r="E19" s="1">
        <v>800</v>
      </c>
      <c r="F19" s="22"/>
      <c r="G19" s="22"/>
      <c r="H19" s="22"/>
      <c r="I19" s="22"/>
      <c r="J19" s="22"/>
      <c r="K19" s="22"/>
      <c r="O19" s="45">
        <v>18</v>
      </c>
      <c r="P19" s="61"/>
      <c r="Q19" s="61"/>
      <c r="R19" s="61"/>
      <c r="S19" s="61"/>
      <c r="T19" s="61"/>
      <c r="U19" s="61"/>
      <c r="V19">
        <f t="shared" si="0"/>
        <v>0</v>
      </c>
    </row>
    <row r="20" spans="3:22">
      <c r="C20" s="41">
        <v>249</v>
      </c>
      <c r="D20" s="1">
        <v>260</v>
      </c>
      <c r="E20" s="1">
        <v>800</v>
      </c>
      <c r="F20" s="22"/>
      <c r="G20" s="22"/>
      <c r="H20" s="22"/>
      <c r="I20" s="22"/>
      <c r="J20" s="22"/>
      <c r="K20" s="22"/>
      <c r="O20" s="45">
        <v>19</v>
      </c>
      <c r="P20" s="61"/>
      <c r="Q20" s="61"/>
      <c r="R20" s="61"/>
      <c r="S20" s="61"/>
      <c r="T20" s="61"/>
      <c r="U20" s="61">
        <v>1</v>
      </c>
      <c r="V20">
        <f t="shared" si="0"/>
        <v>1</v>
      </c>
    </row>
    <row r="21" spans="3:22">
      <c r="C21" s="41">
        <v>72</v>
      </c>
      <c r="D21" s="1">
        <v>78</v>
      </c>
      <c r="E21" s="1">
        <v>800</v>
      </c>
      <c r="F21" s="22"/>
      <c r="G21" s="22"/>
      <c r="H21" s="22"/>
      <c r="I21" s="22"/>
      <c r="J21" s="22"/>
      <c r="K21" s="22"/>
      <c r="O21" s="45">
        <v>20</v>
      </c>
      <c r="P21" s="61"/>
      <c r="Q21" s="61"/>
      <c r="R21" s="61"/>
      <c r="S21" s="61"/>
      <c r="T21" s="61"/>
      <c r="U21" s="61"/>
      <c r="V21">
        <f t="shared" si="0"/>
        <v>0</v>
      </c>
    </row>
    <row r="22" spans="3:22">
      <c r="C22" s="41">
        <v>125</v>
      </c>
      <c r="D22" s="1">
        <v>130</v>
      </c>
      <c r="E22" s="1">
        <v>800</v>
      </c>
      <c r="F22" s="22"/>
      <c r="G22" s="22"/>
      <c r="H22" s="22"/>
      <c r="I22" s="22"/>
      <c r="J22" s="22"/>
      <c r="K22" s="22">
        <v>3000</v>
      </c>
      <c r="O22" s="45">
        <v>21</v>
      </c>
      <c r="P22" s="61"/>
      <c r="Q22" s="61"/>
      <c r="R22" s="61"/>
      <c r="S22" s="61"/>
      <c r="T22" s="61"/>
      <c r="U22" s="61"/>
      <c r="V22">
        <f t="shared" si="0"/>
        <v>0</v>
      </c>
    </row>
    <row r="23" spans="3:22">
      <c r="C23" s="41">
        <v>229</v>
      </c>
      <c r="D23" s="1">
        <v>238</v>
      </c>
      <c r="E23" s="1">
        <v>800</v>
      </c>
      <c r="F23" s="22"/>
      <c r="G23" s="22"/>
      <c r="H23" s="22"/>
      <c r="I23" s="22"/>
      <c r="J23" s="22"/>
      <c r="K23" s="22"/>
      <c r="O23" s="45">
        <v>22</v>
      </c>
      <c r="P23" s="61"/>
      <c r="Q23" s="61"/>
      <c r="R23" s="61"/>
      <c r="S23" s="61"/>
      <c r="T23" s="61"/>
      <c r="U23" s="61"/>
      <c r="V23">
        <f t="shared" si="0"/>
        <v>0</v>
      </c>
    </row>
    <row r="24" spans="3:22">
      <c r="C24" s="41">
        <v>296</v>
      </c>
      <c r="D24" s="1">
        <v>311</v>
      </c>
      <c r="E24" s="1">
        <v>800</v>
      </c>
      <c r="F24" s="22"/>
      <c r="G24" s="22"/>
      <c r="H24" s="22"/>
      <c r="I24" s="22"/>
      <c r="J24" s="22"/>
      <c r="K24" s="22"/>
      <c r="O24" s="45">
        <v>23</v>
      </c>
      <c r="P24" s="61">
        <v>1</v>
      </c>
      <c r="Q24" s="61"/>
      <c r="R24" s="61"/>
      <c r="S24" s="61"/>
      <c r="T24" s="61"/>
      <c r="U24" s="61"/>
      <c r="V24">
        <f t="shared" si="0"/>
        <v>1</v>
      </c>
    </row>
    <row r="25" spans="3:22">
      <c r="C25" s="41">
        <v>281</v>
      </c>
      <c r="D25" s="1">
        <v>293</v>
      </c>
      <c r="E25" s="1">
        <v>800</v>
      </c>
      <c r="F25" s="22"/>
      <c r="G25" s="22"/>
      <c r="H25" s="22"/>
      <c r="I25" s="22"/>
      <c r="J25" s="22"/>
      <c r="K25" s="22"/>
      <c r="O25" s="45">
        <v>24</v>
      </c>
      <c r="P25" s="61"/>
      <c r="Q25" s="61"/>
      <c r="R25" s="61"/>
      <c r="S25" s="61"/>
      <c r="T25" s="61"/>
      <c r="U25" s="61"/>
      <c r="V25">
        <f t="shared" si="0"/>
        <v>0</v>
      </c>
    </row>
    <row r="26" spans="3:22">
      <c r="C26" s="41">
        <v>198</v>
      </c>
      <c r="D26" s="1">
        <v>206</v>
      </c>
      <c r="E26" s="1">
        <v>800</v>
      </c>
      <c r="F26" s="22"/>
      <c r="G26" s="22"/>
      <c r="H26" s="22">
        <v>3200</v>
      </c>
      <c r="I26" s="22"/>
      <c r="J26" s="22">
        <v>800</v>
      </c>
      <c r="K26" s="22"/>
      <c r="O26" s="45">
        <v>25</v>
      </c>
      <c r="P26" s="61"/>
      <c r="Q26" s="61"/>
      <c r="R26" s="61">
        <v>1</v>
      </c>
      <c r="S26" s="61"/>
      <c r="T26" s="61">
        <v>1</v>
      </c>
      <c r="U26" s="61">
        <v>1</v>
      </c>
      <c r="V26">
        <f t="shared" si="0"/>
        <v>3</v>
      </c>
    </row>
    <row r="27" spans="3:22">
      <c r="C27" s="41">
        <v>52</v>
      </c>
      <c r="D27" s="1">
        <v>54</v>
      </c>
      <c r="E27" s="1">
        <v>800</v>
      </c>
      <c r="F27" s="22">
        <v>3000</v>
      </c>
      <c r="G27" s="22">
        <v>2000</v>
      </c>
      <c r="H27" s="22">
        <v>800</v>
      </c>
      <c r="I27" s="22"/>
      <c r="J27" s="22">
        <v>1600</v>
      </c>
      <c r="K27" s="22"/>
      <c r="O27" s="45">
        <v>26</v>
      </c>
      <c r="P27" s="61"/>
      <c r="Q27" s="61"/>
      <c r="R27" s="61"/>
      <c r="S27" s="61"/>
      <c r="T27" s="61"/>
      <c r="U27" s="61"/>
      <c r="V27">
        <f t="shared" si="0"/>
        <v>0</v>
      </c>
    </row>
    <row r="28" spans="3:22">
      <c r="C28" s="41">
        <v>51</v>
      </c>
      <c r="D28" s="1">
        <v>53</v>
      </c>
      <c r="E28" s="1">
        <v>800</v>
      </c>
      <c r="F28" s="22">
        <v>3000</v>
      </c>
      <c r="G28" s="22">
        <v>2000</v>
      </c>
      <c r="H28" s="22">
        <v>800</v>
      </c>
      <c r="I28" s="22"/>
      <c r="J28" s="22">
        <v>1600</v>
      </c>
      <c r="K28" s="22"/>
      <c r="O28" s="45">
        <v>27</v>
      </c>
      <c r="P28" s="61"/>
      <c r="Q28" s="61"/>
      <c r="R28" s="61"/>
      <c r="S28" s="61"/>
      <c r="T28" s="61"/>
      <c r="U28" s="61"/>
      <c r="V28">
        <f t="shared" si="0"/>
        <v>0</v>
      </c>
    </row>
    <row r="29" spans="3:22">
      <c r="C29" s="41">
        <v>136</v>
      </c>
      <c r="D29" s="1">
        <v>144</v>
      </c>
      <c r="E29" s="1">
        <v>800</v>
      </c>
      <c r="F29" s="22"/>
      <c r="G29" s="22"/>
      <c r="H29" s="22"/>
      <c r="I29" s="22"/>
      <c r="J29" s="22"/>
      <c r="K29" s="22"/>
      <c r="O29" s="45">
        <v>28</v>
      </c>
      <c r="P29" s="61"/>
      <c r="Q29" s="61">
        <v>1</v>
      </c>
      <c r="R29" s="61"/>
      <c r="S29" s="61">
        <v>1</v>
      </c>
      <c r="T29" s="61"/>
      <c r="U29" s="61"/>
      <c r="V29">
        <f t="shared" si="0"/>
        <v>2</v>
      </c>
    </row>
    <row r="30" spans="3:22">
      <c r="C30" s="41">
        <v>11</v>
      </c>
      <c r="D30" s="1">
        <v>11</v>
      </c>
      <c r="E30" s="1">
        <v>800</v>
      </c>
      <c r="F30" s="22"/>
      <c r="G30" s="22"/>
      <c r="H30" s="22"/>
      <c r="I30" s="22"/>
      <c r="J30" s="22"/>
      <c r="K30" s="22"/>
      <c r="O30" s="45">
        <v>29</v>
      </c>
      <c r="P30" s="61">
        <v>1</v>
      </c>
      <c r="Q30" s="61">
        <v>1</v>
      </c>
      <c r="R30" s="61">
        <v>1</v>
      </c>
      <c r="S30" s="61">
        <v>1</v>
      </c>
      <c r="T30" s="61"/>
      <c r="U30" s="61"/>
      <c r="V30">
        <f t="shared" si="0"/>
        <v>4</v>
      </c>
    </row>
    <row r="31" spans="3:22">
      <c r="C31" s="41">
        <v>114</v>
      </c>
      <c r="D31" s="1">
        <v>119</v>
      </c>
      <c r="E31" s="1">
        <v>800</v>
      </c>
      <c r="F31" s="22"/>
      <c r="G31" s="22"/>
      <c r="H31" s="22"/>
      <c r="I31" s="22"/>
      <c r="J31" s="22"/>
      <c r="K31" s="22"/>
      <c r="O31" s="45">
        <v>30</v>
      </c>
      <c r="P31" s="61"/>
      <c r="Q31" s="61"/>
      <c r="R31" s="61"/>
      <c r="S31" s="61"/>
      <c r="T31" s="61"/>
      <c r="U31" s="61"/>
      <c r="V31">
        <f t="shared" si="0"/>
        <v>0</v>
      </c>
    </row>
    <row r="32" spans="3:22">
      <c r="C32" s="41">
        <v>151</v>
      </c>
      <c r="D32" s="1">
        <v>159</v>
      </c>
      <c r="E32" s="1">
        <v>800</v>
      </c>
      <c r="F32" s="22"/>
      <c r="G32" s="22"/>
      <c r="H32" s="22"/>
      <c r="I32" s="22"/>
      <c r="J32" s="22"/>
      <c r="K32" s="22"/>
      <c r="O32" s="45">
        <v>31</v>
      </c>
      <c r="P32" s="61"/>
      <c r="Q32" s="61"/>
      <c r="R32" s="61"/>
      <c r="S32" s="61">
        <v>1</v>
      </c>
      <c r="T32" s="61">
        <v>1</v>
      </c>
      <c r="U32" s="61"/>
      <c r="V32">
        <f t="shared" si="0"/>
        <v>2</v>
      </c>
    </row>
    <row r="33" spans="3:22">
      <c r="C33" s="41">
        <v>142</v>
      </c>
      <c r="D33" s="1">
        <v>150</v>
      </c>
      <c r="E33" s="1">
        <v>800</v>
      </c>
      <c r="F33" s="22"/>
      <c r="G33" s="22"/>
      <c r="H33" s="22"/>
      <c r="I33" s="22"/>
      <c r="J33" s="22"/>
      <c r="K33" s="22"/>
      <c r="O33" s="45">
        <v>32</v>
      </c>
      <c r="P33" s="61">
        <v>1</v>
      </c>
      <c r="Q33" s="61"/>
      <c r="R33" s="61"/>
      <c r="S33" s="61"/>
      <c r="T33" s="61"/>
      <c r="U33" s="61">
        <v>1</v>
      </c>
      <c r="V33">
        <f t="shared" si="0"/>
        <v>2</v>
      </c>
    </row>
    <row r="34" spans="3:22">
      <c r="C34" s="41">
        <v>245</v>
      </c>
      <c r="D34" s="1">
        <v>256</v>
      </c>
      <c r="E34" s="1">
        <v>800</v>
      </c>
      <c r="F34" s="22"/>
      <c r="G34" s="22"/>
      <c r="H34" s="22"/>
      <c r="I34" s="22"/>
      <c r="J34" s="22"/>
      <c r="K34" s="22">
        <v>9000</v>
      </c>
      <c r="O34" s="45">
        <v>33</v>
      </c>
      <c r="P34" s="61"/>
      <c r="Q34" s="61"/>
      <c r="R34" s="61"/>
      <c r="S34" s="61"/>
      <c r="T34" s="61">
        <v>1</v>
      </c>
      <c r="U34" s="61"/>
      <c r="V34">
        <f t="shared" si="0"/>
        <v>1</v>
      </c>
    </row>
    <row r="35" spans="3:22">
      <c r="C35" s="41">
        <v>188</v>
      </c>
      <c r="D35" s="1">
        <v>196</v>
      </c>
      <c r="E35" s="1">
        <v>800</v>
      </c>
      <c r="F35" s="22"/>
      <c r="G35" s="22"/>
      <c r="H35" s="22"/>
      <c r="I35" s="22"/>
      <c r="J35" s="22"/>
      <c r="K35" s="22"/>
      <c r="O35" s="45">
        <v>34</v>
      </c>
      <c r="P35" s="61"/>
      <c r="Q35" s="61"/>
      <c r="R35" s="61"/>
      <c r="S35" s="61"/>
      <c r="T35" s="61"/>
      <c r="U35" s="61"/>
      <c r="V35">
        <f t="shared" si="0"/>
        <v>0</v>
      </c>
    </row>
    <row r="36" spans="3:22">
      <c r="C36" s="41">
        <v>188</v>
      </c>
      <c r="D36" s="1">
        <v>197</v>
      </c>
      <c r="E36" s="1"/>
      <c r="F36" s="22"/>
      <c r="G36" s="22"/>
      <c r="H36" s="22"/>
      <c r="I36" s="22"/>
      <c r="J36" s="22"/>
      <c r="K36" s="22"/>
      <c r="O36" s="45">
        <v>35</v>
      </c>
      <c r="P36" s="61"/>
      <c r="Q36" s="61"/>
      <c r="R36" s="61"/>
      <c r="S36" s="61"/>
      <c r="T36" s="61"/>
      <c r="U36" s="61"/>
      <c r="V36">
        <f t="shared" si="0"/>
        <v>0</v>
      </c>
    </row>
    <row r="37" spans="3:22">
      <c r="C37" s="41">
        <v>219</v>
      </c>
      <c r="D37" s="1">
        <v>228</v>
      </c>
      <c r="E37" s="1">
        <v>800</v>
      </c>
      <c r="F37" s="22"/>
      <c r="G37" s="22"/>
      <c r="H37" s="22">
        <v>3000</v>
      </c>
      <c r="I37" s="22"/>
      <c r="J37" s="22"/>
      <c r="K37" s="22">
        <v>3000</v>
      </c>
      <c r="O37" s="45">
        <v>36</v>
      </c>
      <c r="P37" s="61"/>
      <c r="Q37" s="61"/>
      <c r="R37" s="61"/>
      <c r="S37" s="61"/>
      <c r="T37" s="61"/>
      <c r="U37" s="61"/>
      <c r="V37">
        <f t="shared" si="0"/>
        <v>0</v>
      </c>
    </row>
    <row r="38" spans="3:22">
      <c r="C38" s="41">
        <v>223</v>
      </c>
      <c r="D38" s="1">
        <v>232</v>
      </c>
      <c r="E38" s="1">
        <v>800</v>
      </c>
      <c r="F38" s="22"/>
      <c r="G38" s="22"/>
      <c r="H38" s="22"/>
      <c r="I38" s="22"/>
      <c r="J38" s="22"/>
      <c r="K38" s="22"/>
      <c r="O38" s="45">
        <v>37</v>
      </c>
      <c r="P38" s="61"/>
      <c r="Q38" s="61"/>
      <c r="R38" s="61"/>
      <c r="S38" s="61"/>
      <c r="T38" s="61"/>
      <c r="U38" s="61"/>
      <c r="V38">
        <f t="shared" si="0"/>
        <v>0</v>
      </c>
    </row>
    <row r="39" spans="3:22">
      <c r="C39" s="41">
        <v>137</v>
      </c>
      <c r="D39" s="1">
        <v>145</v>
      </c>
      <c r="E39" s="1">
        <v>800</v>
      </c>
      <c r="F39" s="22"/>
      <c r="G39" s="22">
        <v>1600</v>
      </c>
      <c r="H39" s="22"/>
      <c r="I39" s="22"/>
      <c r="J39" s="22"/>
      <c r="K39" s="22">
        <v>800</v>
      </c>
      <c r="O39" s="45">
        <v>38</v>
      </c>
      <c r="P39" s="61"/>
      <c r="Q39" s="61"/>
      <c r="R39" s="61"/>
      <c r="S39" s="61"/>
      <c r="T39" s="61"/>
      <c r="U39" s="61">
        <v>1</v>
      </c>
      <c r="V39">
        <f t="shared" si="0"/>
        <v>1</v>
      </c>
    </row>
    <row r="40" spans="3:22">
      <c r="C40" s="41">
        <v>105</v>
      </c>
      <c r="D40" s="1">
        <v>110</v>
      </c>
      <c r="E40" s="1">
        <v>800</v>
      </c>
      <c r="F40" s="22">
        <v>3000</v>
      </c>
      <c r="G40" s="22"/>
      <c r="H40" s="22"/>
      <c r="I40" s="22"/>
      <c r="J40" s="22"/>
      <c r="K40" s="22">
        <v>800</v>
      </c>
      <c r="O40" s="45">
        <v>39</v>
      </c>
      <c r="P40" s="61"/>
      <c r="Q40" s="61"/>
      <c r="R40" s="61"/>
      <c r="S40" s="61"/>
      <c r="T40" s="61"/>
      <c r="U40" s="61"/>
      <c r="V40">
        <f t="shared" si="0"/>
        <v>0</v>
      </c>
    </row>
    <row r="41" spans="3:22">
      <c r="C41" s="41">
        <v>98</v>
      </c>
      <c r="D41" s="1">
        <v>103</v>
      </c>
      <c r="E41" s="1">
        <v>800</v>
      </c>
      <c r="F41" s="22"/>
      <c r="G41" s="22"/>
      <c r="H41" s="22"/>
      <c r="I41" s="22"/>
      <c r="J41" s="22"/>
      <c r="K41" s="22"/>
      <c r="O41" s="45">
        <v>40</v>
      </c>
      <c r="P41" s="61"/>
      <c r="Q41" s="61"/>
      <c r="R41" s="61"/>
      <c r="S41" s="61"/>
      <c r="T41" s="61"/>
      <c r="U41" s="61"/>
      <c r="V41">
        <f t="shared" si="0"/>
        <v>0</v>
      </c>
    </row>
    <row r="42" spans="3:22">
      <c r="C42" s="41">
        <v>274</v>
      </c>
      <c r="D42" s="1">
        <v>287</v>
      </c>
      <c r="E42" s="1">
        <v>800</v>
      </c>
      <c r="F42" s="22"/>
      <c r="G42" s="22"/>
      <c r="H42" s="22">
        <v>1600</v>
      </c>
      <c r="I42" s="22"/>
      <c r="J42" s="22"/>
      <c r="K42" s="22">
        <v>26800</v>
      </c>
      <c r="O42" s="45">
        <v>41</v>
      </c>
      <c r="P42" s="61"/>
      <c r="Q42" s="61"/>
      <c r="R42" s="61"/>
      <c r="S42" s="61"/>
      <c r="T42" s="61"/>
      <c r="U42" s="61"/>
      <c r="V42">
        <f t="shared" si="0"/>
        <v>0</v>
      </c>
    </row>
    <row r="43" spans="3:22">
      <c r="C43" s="41">
        <v>274</v>
      </c>
      <c r="D43" s="1">
        <v>295</v>
      </c>
      <c r="E43" s="1"/>
      <c r="F43" s="22"/>
      <c r="G43" s="22"/>
      <c r="H43" s="22"/>
      <c r="I43" s="22"/>
      <c r="J43" s="22"/>
      <c r="K43" s="22"/>
      <c r="O43" s="45">
        <v>42</v>
      </c>
      <c r="P43" s="61">
        <v>1</v>
      </c>
      <c r="Q43" s="61">
        <v>1</v>
      </c>
      <c r="R43" s="61"/>
      <c r="S43" s="61">
        <v>1</v>
      </c>
      <c r="T43" s="61"/>
      <c r="U43" s="61">
        <v>1</v>
      </c>
      <c r="V43">
        <f t="shared" si="0"/>
        <v>4</v>
      </c>
    </row>
    <row r="44" spans="3:22">
      <c r="C44" s="41">
        <v>175</v>
      </c>
      <c r="D44" s="1">
        <v>183</v>
      </c>
      <c r="E44" s="1">
        <v>800</v>
      </c>
      <c r="F44" s="22"/>
      <c r="G44" s="22"/>
      <c r="H44" s="22"/>
      <c r="I44" s="22"/>
      <c r="J44" s="22">
        <v>21600</v>
      </c>
      <c r="K44" s="22"/>
      <c r="O44" s="45">
        <v>43</v>
      </c>
      <c r="P44" s="61"/>
      <c r="Q44" s="61"/>
      <c r="R44" s="61"/>
      <c r="S44" s="61"/>
      <c r="T44" s="61"/>
      <c r="U44" s="61">
        <v>1</v>
      </c>
      <c r="V44">
        <f t="shared" si="0"/>
        <v>1</v>
      </c>
    </row>
    <row r="45" spans="3:22">
      <c r="C45" s="41">
        <v>175</v>
      </c>
      <c r="D45" s="1">
        <v>187</v>
      </c>
      <c r="E45" s="1"/>
      <c r="F45" s="22"/>
      <c r="G45" s="22"/>
      <c r="H45" s="22"/>
      <c r="I45" s="22"/>
      <c r="J45" s="22"/>
      <c r="K45" s="22"/>
      <c r="O45" s="45">
        <v>44</v>
      </c>
      <c r="P45" s="61"/>
      <c r="Q45" s="61"/>
      <c r="R45" s="61"/>
      <c r="S45" s="61"/>
      <c r="T45" s="61"/>
      <c r="U45" s="61"/>
      <c r="V45">
        <f t="shared" si="0"/>
        <v>0</v>
      </c>
    </row>
    <row r="46" spans="3:22">
      <c r="C46" s="41">
        <v>303</v>
      </c>
      <c r="D46" s="1">
        <v>318</v>
      </c>
      <c r="E46" s="1">
        <v>800</v>
      </c>
      <c r="F46" s="22"/>
      <c r="G46" s="22"/>
      <c r="H46" s="22"/>
      <c r="I46" s="22"/>
      <c r="J46" s="22"/>
      <c r="K46" s="22"/>
      <c r="O46" s="45">
        <v>45</v>
      </c>
      <c r="P46" s="61">
        <v>1</v>
      </c>
      <c r="Q46" s="61">
        <v>1</v>
      </c>
      <c r="R46" s="61">
        <v>1</v>
      </c>
      <c r="S46" s="61">
        <v>1</v>
      </c>
      <c r="T46" s="61">
        <v>1</v>
      </c>
      <c r="U46" s="61">
        <v>1</v>
      </c>
      <c r="V46">
        <f t="shared" si="0"/>
        <v>6</v>
      </c>
    </row>
    <row r="47" spans="3:22">
      <c r="C47" s="41">
        <v>303</v>
      </c>
      <c r="D47" s="1">
        <v>319</v>
      </c>
      <c r="E47" s="1"/>
      <c r="F47" s="22"/>
      <c r="G47" s="22"/>
      <c r="H47" s="22"/>
      <c r="I47" s="22"/>
      <c r="J47" s="22"/>
      <c r="K47" s="22"/>
      <c r="O47" s="45">
        <v>46</v>
      </c>
      <c r="P47" s="61"/>
      <c r="Q47" s="61"/>
      <c r="R47" s="61"/>
      <c r="S47" s="61"/>
      <c r="T47" s="61"/>
      <c r="U47" s="61"/>
      <c r="V47">
        <f t="shared" si="0"/>
        <v>0</v>
      </c>
    </row>
    <row r="48" spans="3:22">
      <c r="C48" s="41">
        <v>90</v>
      </c>
      <c r="D48" s="1">
        <v>95</v>
      </c>
      <c r="E48" s="1">
        <v>800</v>
      </c>
      <c r="F48" s="22"/>
      <c r="G48" s="22"/>
      <c r="H48" s="22"/>
      <c r="I48" s="22">
        <v>4800</v>
      </c>
      <c r="J48" s="22"/>
      <c r="K48" s="22"/>
      <c r="O48" s="45">
        <v>47</v>
      </c>
      <c r="P48" s="61"/>
      <c r="Q48" s="61"/>
      <c r="R48" s="61"/>
      <c r="S48" s="61"/>
      <c r="T48" s="61"/>
      <c r="U48" s="61"/>
      <c r="V48">
        <f t="shared" si="0"/>
        <v>0</v>
      </c>
    </row>
    <row r="49" spans="3:22">
      <c r="C49" s="41">
        <v>206</v>
      </c>
      <c r="D49" s="1">
        <v>216</v>
      </c>
      <c r="E49" s="1">
        <v>800</v>
      </c>
      <c r="F49" s="22"/>
      <c r="G49" s="22"/>
      <c r="H49" s="22"/>
      <c r="I49" s="22"/>
      <c r="J49" s="22"/>
      <c r="K49" s="22"/>
      <c r="O49" s="45">
        <v>48</v>
      </c>
      <c r="P49" s="61"/>
      <c r="Q49" s="61"/>
      <c r="R49" s="61"/>
      <c r="S49" s="61"/>
      <c r="T49" s="61"/>
      <c r="U49" s="61"/>
      <c r="V49">
        <f t="shared" si="0"/>
        <v>0</v>
      </c>
    </row>
    <row r="50" spans="3:22">
      <c r="C50" s="41">
        <v>101</v>
      </c>
      <c r="D50" s="1">
        <v>106</v>
      </c>
      <c r="E50" s="1">
        <v>800</v>
      </c>
      <c r="F50" s="22">
        <v>7000</v>
      </c>
      <c r="G50" s="22"/>
      <c r="H50" s="22"/>
      <c r="I50" s="22"/>
      <c r="J50" s="22"/>
      <c r="K50" s="22"/>
      <c r="O50" s="45">
        <v>49</v>
      </c>
      <c r="P50" s="61"/>
      <c r="Q50" s="61"/>
      <c r="R50" s="61"/>
      <c r="S50" s="61"/>
      <c r="T50" s="61">
        <v>1</v>
      </c>
      <c r="U50" s="61">
        <v>1</v>
      </c>
      <c r="V50">
        <f t="shared" si="0"/>
        <v>2</v>
      </c>
    </row>
    <row r="51" spans="3:22">
      <c r="C51" s="41">
        <v>86</v>
      </c>
      <c r="D51" s="1">
        <v>91</v>
      </c>
      <c r="E51" s="1">
        <v>800</v>
      </c>
      <c r="F51" s="22"/>
      <c r="G51" s="22">
        <v>2000</v>
      </c>
      <c r="H51" s="22"/>
      <c r="I51" s="22">
        <v>1000</v>
      </c>
      <c r="J51" s="22"/>
      <c r="K51" s="22">
        <v>1600</v>
      </c>
      <c r="O51" s="45">
        <v>50</v>
      </c>
      <c r="P51" s="61"/>
      <c r="Q51" s="61"/>
      <c r="R51" s="61">
        <v>1</v>
      </c>
      <c r="S51" s="61"/>
      <c r="T51" s="61"/>
      <c r="U51" s="61"/>
      <c r="V51">
        <f t="shared" si="0"/>
        <v>1</v>
      </c>
    </row>
    <row r="52" spans="3:22">
      <c r="C52" s="41">
        <v>43</v>
      </c>
      <c r="D52" s="1">
        <v>43</v>
      </c>
      <c r="E52" s="1">
        <v>800</v>
      </c>
      <c r="F52" s="22"/>
      <c r="G52" s="22"/>
      <c r="H52" s="22"/>
      <c r="I52" s="22"/>
      <c r="J52" s="22"/>
      <c r="K52" s="22">
        <v>2000</v>
      </c>
      <c r="O52" s="45">
        <v>51</v>
      </c>
      <c r="P52" s="61">
        <v>1</v>
      </c>
      <c r="Q52" s="61">
        <v>1</v>
      </c>
      <c r="R52" s="61">
        <v>1</v>
      </c>
      <c r="S52" s="61"/>
      <c r="T52" s="61">
        <v>1</v>
      </c>
      <c r="U52" s="61"/>
      <c r="V52">
        <f t="shared" si="0"/>
        <v>4</v>
      </c>
    </row>
    <row r="53" spans="3:22">
      <c r="C53" s="41">
        <v>25</v>
      </c>
      <c r="D53" s="1">
        <v>25</v>
      </c>
      <c r="E53" s="1">
        <v>800</v>
      </c>
      <c r="F53" s="22"/>
      <c r="G53" s="22"/>
      <c r="H53" s="22">
        <v>3000</v>
      </c>
      <c r="I53" s="22"/>
      <c r="J53" s="22">
        <v>3000</v>
      </c>
      <c r="K53" s="22">
        <v>800</v>
      </c>
      <c r="O53" s="45">
        <v>52</v>
      </c>
      <c r="P53" s="61">
        <v>1</v>
      </c>
      <c r="Q53" s="61">
        <v>1</v>
      </c>
      <c r="R53" s="61">
        <v>1</v>
      </c>
      <c r="S53" s="61"/>
      <c r="T53" s="61">
        <v>1</v>
      </c>
      <c r="U53" s="61"/>
      <c r="V53">
        <f t="shared" si="0"/>
        <v>4</v>
      </c>
    </row>
    <row r="54" spans="3:22">
      <c r="C54" s="41">
        <v>138</v>
      </c>
      <c r="D54" s="1">
        <v>146</v>
      </c>
      <c r="E54" s="1">
        <v>800</v>
      </c>
      <c r="F54" s="22"/>
      <c r="G54" s="22">
        <v>3000</v>
      </c>
      <c r="H54" s="22"/>
      <c r="I54" s="22"/>
      <c r="J54" s="22"/>
      <c r="K54" s="22">
        <v>2900</v>
      </c>
      <c r="O54" s="45">
        <v>53</v>
      </c>
      <c r="P54" s="61"/>
      <c r="Q54" s="61"/>
      <c r="R54" s="61"/>
      <c r="S54" s="61"/>
      <c r="T54" s="61"/>
      <c r="U54" s="61"/>
      <c r="V54">
        <f t="shared" si="0"/>
        <v>0</v>
      </c>
    </row>
    <row r="55" spans="3:22">
      <c r="C55" s="41">
        <v>228</v>
      </c>
      <c r="D55" s="1">
        <v>237</v>
      </c>
      <c r="E55" s="1">
        <v>800</v>
      </c>
      <c r="F55" s="22"/>
      <c r="G55" s="22"/>
      <c r="H55" s="22"/>
      <c r="I55" s="22"/>
      <c r="J55" s="22"/>
      <c r="K55" s="22"/>
      <c r="O55" s="45">
        <v>54</v>
      </c>
      <c r="P55" s="61"/>
      <c r="Q55" s="61"/>
      <c r="R55" s="61"/>
      <c r="S55" s="61"/>
      <c r="T55" s="61"/>
      <c r="U55" s="61"/>
      <c r="V55">
        <f t="shared" si="0"/>
        <v>0</v>
      </c>
    </row>
    <row r="56" spans="3:22">
      <c r="C56" s="41">
        <v>37</v>
      </c>
      <c r="D56" s="1">
        <v>37</v>
      </c>
      <c r="E56" s="1">
        <v>800</v>
      </c>
      <c r="F56" s="22"/>
      <c r="G56" s="22"/>
      <c r="H56" s="22"/>
      <c r="I56" s="22"/>
      <c r="J56" s="22"/>
      <c r="K56" s="22"/>
      <c r="O56" s="45">
        <v>55</v>
      </c>
      <c r="P56" s="61"/>
      <c r="Q56" s="61"/>
      <c r="R56" s="61">
        <v>1</v>
      </c>
      <c r="S56" s="61"/>
      <c r="T56" s="61"/>
      <c r="U56" s="61"/>
      <c r="V56">
        <f t="shared" si="0"/>
        <v>1</v>
      </c>
    </row>
    <row r="57" spans="3:22">
      <c r="C57" s="41">
        <v>126</v>
      </c>
      <c r="D57" s="1">
        <v>131</v>
      </c>
      <c r="E57" s="1">
        <v>800</v>
      </c>
      <c r="F57" s="22"/>
      <c r="G57" s="22"/>
      <c r="H57" s="22">
        <v>2400</v>
      </c>
      <c r="I57" s="22"/>
      <c r="J57" s="22"/>
      <c r="K57" s="22"/>
      <c r="O57" s="45">
        <v>56</v>
      </c>
      <c r="P57" s="61"/>
      <c r="Q57" s="61"/>
      <c r="R57" s="61"/>
      <c r="S57" s="61"/>
      <c r="T57" s="61"/>
      <c r="U57" s="61"/>
      <c r="V57">
        <f t="shared" si="0"/>
        <v>0</v>
      </c>
    </row>
    <row r="58" spans="3:22">
      <c r="C58" s="41">
        <v>58</v>
      </c>
      <c r="D58" s="1">
        <v>60</v>
      </c>
      <c r="E58" s="1">
        <v>800</v>
      </c>
      <c r="F58" s="22"/>
      <c r="G58" s="22"/>
      <c r="H58" s="22">
        <v>2400</v>
      </c>
      <c r="I58" s="22"/>
      <c r="J58" s="22"/>
      <c r="K58" s="22">
        <v>5600</v>
      </c>
      <c r="O58" s="45">
        <v>57</v>
      </c>
      <c r="P58" s="61"/>
      <c r="Q58" s="61"/>
      <c r="R58" s="61"/>
      <c r="S58" s="61"/>
      <c r="T58" s="61"/>
      <c r="U58" s="61"/>
      <c r="V58">
        <f t="shared" si="0"/>
        <v>0</v>
      </c>
    </row>
    <row r="59" spans="3:22">
      <c r="C59" s="41">
        <v>117</v>
      </c>
      <c r="D59" s="1">
        <v>122</v>
      </c>
      <c r="E59" s="1">
        <v>800</v>
      </c>
      <c r="F59" s="22"/>
      <c r="G59" s="22"/>
      <c r="H59" s="22"/>
      <c r="I59" s="22"/>
      <c r="J59" s="22"/>
      <c r="K59" s="22"/>
      <c r="O59" s="45">
        <v>58</v>
      </c>
      <c r="P59" s="61"/>
      <c r="Q59" s="61"/>
      <c r="R59" s="61">
        <v>1</v>
      </c>
      <c r="S59" s="61"/>
      <c r="T59" s="61"/>
      <c r="U59" s="61">
        <v>1</v>
      </c>
      <c r="V59">
        <f t="shared" si="0"/>
        <v>2</v>
      </c>
    </row>
    <row r="60" spans="3:22">
      <c r="C60" s="41">
        <v>61</v>
      </c>
      <c r="D60" s="1">
        <v>63</v>
      </c>
      <c r="E60" s="1">
        <v>800</v>
      </c>
      <c r="F60" s="22"/>
      <c r="G60" s="22"/>
      <c r="H60" s="22"/>
      <c r="I60" s="22"/>
      <c r="J60" s="22"/>
      <c r="K60" s="22"/>
      <c r="O60" s="45">
        <v>59</v>
      </c>
      <c r="P60" s="61">
        <v>1</v>
      </c>
      <c r="Q60" s="61"/>
      <c r="R60" s="61"/>
      <c r="S60" s="61"/>
      <c r="T60" s="61"/>
      <c r="U60" s="61"/>
      <c r="V60">
        <f t="shared" si="0"/>
        <v>1</v>
      </c>
    </row>
    <row r="61" spans="3:22">
      <c r="C61" s="41">
        <v>294</v>
      </c>
      <c r="D61" s="1">
        <v>309</v>
      </c>
      <c r="E61" s="1">
        <v>800</v>
      </c>
      <c r="F61" s="22">
        <v>9600</v>
      </c>
      <c r="G61" s="22"/>
      <c r="H61" s="22"/>
      <c r="I61" s="22"/>
      <c r="J61" s="22"/>
      <c r="K61" s="22"/>
      <c r="O61" s="45">
        <v>60</v>
      </c>
      <c r="P61" s="61"/>
      <c r="Q61" s="61"/>
      <c r="R61" s="61"/>
      <c r="S61" s="61"/>
      <c r="T61" s="61"/>
      <c r="U61" s="61"/>
      <c r="V61">
        <f t="shared" si="0"/>
        <v>0</v>
      </c>
    </row>
    <row r="62" spans="3:22">
      <c r="C62" s="41">
        <v>286</v>
      </c>
      <c r="D62" s="1">
        <v>298</v>
      </c>
      <c r="E62" s="1">
        <v>800</v>
      </c>
      <c r="F62" s="22"/>
      <c r="G62" s="22">
        <v>8000</v>
      </c>
      <c r="H62" s="22"/>
      <c r="I62" s="22"/>
      <c r="J62" s="22"/>
      <c r="K62" s="22">
        <v>4000</v>
      </c>
      <c r="O62" s="45">
        <v>61</v>
      </c>
      <c r="P62" s="61"/>
      <c r="Q62" s="61"/>
      <c r="R62" s="61"/>
      <c r="S62" s="61"/>
      <c r="T62" s="61"/>
      <c r="U62" s="61"/>
      <c r="V62">
        <f t="shared" si="0"/>
        <v>0</v>
      </c>
    </row>
    <row r="63" spans="3:22">
      <c r="C63" s="41">
        <v>64</v>
      </c>
      <c r="D63" s="1">
        <v>66</v>
      </c>
      <c r="E63" s="1">
        <v>800</v>
      </c>
      <c r="F63" s="22">
        <v>3000</v>
      </c>
      <c r="G63" s="22"/>
      <c r="H63" s="22">
        <v>1600</v>
      </c>
      <c r="I63" s="22"/>
      <c r="J63" s="22"/>
      <c r="K63" s="22">
        <v>1600</v>
      </c>
      <c r="O63" s="45">
        <v>62</v>
      </c>
      <c r="P63" s="61"/>
      <c r="Q63" s="61"/>
      <c r="R63" s="61">
        <v>1</v>
      </c>
      <c r="S63" s="61"/>
      <c r="T63" s="61"/>
      <c r="U63" s="61"/>
      <c r="V63">
        <f t="shared" si="0"/>
        <v>1</v>
      </c>
    </row>
    <row r="64" spans="3:22">
      <c r="C64" s="41">
        <v>94</v>
      </c>
      <c r="D64" s="1">
        <v>99</v>
      </c>
      <c r="E64" s="1">
        <v>800</v>
      </c>
      <c r="F64" s="22"/>
      <c r="G64" s="22"/>
      <c r="H64" s="22"/>
      <c r="I64" s="22"/>
      <c r="J64" s="22"/>
      <c r="K64" s="22"/>
      <c r="O64" s="45">
        <v>63</v>
      </c>
      <c r="P64" s="61"/>
      <c r="Q64" s="61"/>
      <c r="R64" s="61"/>
      <c r="S64" s="61"/>
      <c r="T64" s="61"/>
      <c r="U64" s="61">
        <v>1</v>
      </c>
      <c r="V64">
        <f t="shared" si="0"/>
        <v>1</v>
      </c>
    </row>
    <row r="65" spans="3:22">
      <c r="C65" s="41">
        <v>39</v>
      </c>
      <c r="D65" s="1">
        <v>39</v>
      </c>
      <c r="E65" s="1">
        <v>800</v>
      </c>
      <c r="F65" s="22"/>
      <c r="G65" s="22"/>
      <c r="H65" s="22"/>
      <c r="I65" s="22"/>
      <c r="J65" s="22"/>
      <c r="K65" s="22"/>
      <c r="O65" s="45">
        <v>64</v>
      </c>
      <c r="P65" s="61">
        <v>1</v>
      </c>
      <c r="Q65" s="61"/>
      <c r="R65" s="61">
        <v>1</v>
      </c>
      <c r="S65" s="61"/>
      <c r="T65" s="61"/>
      <c r="U65" s="61">
        <v>1</v>
      </c>
      <c r="V65">
        <f t="shared" si="0"/>
        <v>3</v>
      </c>
    </row>
    <row r="66" spans="3:22">
      <c r="C66" s="41">
        <v>276</v>
      </c>
      <c r="D66" s="1">
        <v>289</v>
      </c>
      <c r="E66" s="1">
        <v>800</v>
      </c>
      <c r="F66" s="22"/>
      <c r="G66" s="22"/>
      <c r="H66" s="22"/>
      <c r="I66" s="22"/>
      <c r="J66" s="22"/>
      <c r="K66" s="22">
        <v>21600</v>
      </c>
      <c r="O66" s="45">
        <v>65</v>
      </c>
      <c r="P66" s="61"/>
      <c r="Q66" s="61"/>
      <c r="R66" s="61"/>
      <c r="S66" s="61"/>
      <c r="T66" s="61"/>
      <c r="U66" s="61"/>
      <c r="V66">
        <f t="shared" si="0"/>
        <v>0</v>
      </c>
    </row>
    <row r="67" spans="3:22">
      <c r="C67" s="41">
        <v>148</v>
      </c>
      <c r="D67" s="1">
        <v>156</v>
      </c>
      <c r="E67" s="1">
        <v>800</v>
      </c>
      <c r="F67" s="22"/>
      <c r="G67" s="22">
        <v>1800</v>
      </c>
      <c r="H67" s="22">
        <v>1800</v>
      </c>
      <c r="I67" s="22">
        <v>1800</v>
      </c>
      <c r="J67" s="22"/>
      <c r="K67" s="22"/>
      <c r="O67" s="45">
        <v>66</v>
      </c>
      <c r="P67" s="61"/>
      <c r="Q67" s="61"/>
      <c r="R67" s="61"/>
      <c r="S67" s="61"/>
      <c r="T67" s="61"/>
      <c r="U67" s="61"/>
      <c r="V67">
        <f t="shared" si="0"/>
        <v>0</v>
      </c>
    </row>
    <row r="68" spans="3:22">
      <c r="C68" s="41">
        <v>308</v>
      </c>
      <c r="D68" s="1">
        <v>323</v>
      </c>
      <c r="E68" s="1">
        <v>800</v>
      </c>
      <c r="F68" s="22"/>
      <c r="G68" s="22"/>
      <c r="H68" s="22"/>
      <c r="I68" s="22"/>
      <c r="J68" s="22"/>
      <c r="K68" s="22"/>
      <c r="O68" s="45">
        <v>67</v>
      </c>
      <c r="P68" s="61"/>
      <c r="Q68" s="61"/>
      <c r="R68" s="61"/>
      <c r="S68" s="61"/>
      <c r="T68" s="61"/>
      <c r="U68" s="61"/>
      <c r="V68">
        <f t="shared" ref="V68:V131" si="1">COUNTA(P68:U68)</f>
        <v>0</v>
      </c>
    </row>
    <row r="69" spans="3:22">
      <c r="C69" s="41">
        <v>318</v>
      </c>
      <c r="D69" s="1" t="s">
        <v>65</v>
      </c>
      <c r="E69" s="1">
        <v>800</v>
      </c>
      <c r="F69" s="22"/>
      <c r="G69" s="22">
        <v>4800</v>
      </c>
      <c r="H69" s="22"/>
      <c r="I69" s="22">
        <v>4800</v>
      </c>
      <c r="J69" s="22"/>
      <c r="K69" s="22"/>
      <c r="O69" s="45">
        <v>68</v>
      </c>
      <c r="P69" s="61"/>
      <c r="Q69" s="61">
        <v>1</v>
      </c>
      <c r="R69" s="61">
        <v>1</v>
      </c>
      <c r="S69" s="61"/>
      <c r="T69" s="61">
        <v>1</v>
      </c>
      <c r="U69" s="61">
        <v>1</v>
      </c>
      <c r="V69">
        <f t="shared" si="1"/>
        <v>4</v>
      </c>
    </row>
    <row r="70" spans="3:22">
      <c r="C70" s="41">
        <v>236</v>
      </c>
      <c r="D70" s="1">
        <v>245</v>
      </c>
      <c r="E70" s="1">
        <v>800</v>
      </c>
      <c r="F70" s="22"/>
      <c r="G70" s="22"/>
      <c r="H70" s="22"/>
      <c r="I70" s="22"/>
      <c r="J70" s="22">
        <v>25000</v>
      </c>
      <c r="K70" s="22"/>
      <c r="O70" s="45">
        <v>69</v>
      </c>
      <c r="P70" s="61"/>
      <c r="Q70" s="61"/>
      <c r="R70" s="61"/>
      <c r="S70" s="61"/>
      <c r="T70" s="61"/>
      <c r="U70" s="61"/>
      <c r="V70">
        <f t="shared" si="1"/>
        <v>0</v>
      </c>
    </row>
    <row r="71" spans="3:22">
      <c r="C71" s="41">
        <v>226</v>
      </c>
      <c r="D71" s="1">
        <v>235</v>
      </c>
      <c r="E71" s="1">
        <v>800</v>
      </c>
      <c r="F71" s="22"/>
      <c r="G71" s="22"/>
      <c r="H71" s="22"/>
      <c r="I71" s="22"/>
      <c r="J71" s="22"/>
      <c r="K71" s="22"/>
      <c r="O71" s="45">
        <v>71</v>
      </c>
      <c r="P71" s="61"/>
      <c r="Q71" s="61"/>
      <c r="R71" s="61"/>
      <c r="S71" s="61"/>
      <c r="T71" s="61"/>
      <c r="U71" s="61"/>
      <c r="V71">
        <f t="shared" si="1"/>
        <v>0</v>
      </c>
    </row>
    <row r="72" spans="3:22">
      <c r="C72" s="41">
        <v>285</v>
      </c>
      <c r="D72" s="1">
        <v>297</v>
      </c>
      <c r="E72" s="1">
        <v>800</v>
      </c>
      <c r="F72" s="22"/>
      <c r="G72" s="22">
        <v>8000</v>
      </c>
      <c r="H72" s="22"/>
      <c r="I72" s="22"/>
      <c r="J72" s="22"/>
      <c r="K72" s="22">
        <v>4000</v>
      </c>
      <c r="O72" s="45">
        <v>72</v>
      </c>
      <c r="P72" s="61"/>
      <c r="Q72" s="61"/>
      <c r="R72" s="61"/>
      <c r="S72" s="61"/>
      <c r="T72" s="61"/>
      <c r="U72" s="61"/>
      <c r="V72">
        <f t="shared" si="1"/>
        <v>0</v>
      </c>
    </row>
    <row r="73" spans="3:22">
      <c r="C73" s="41">
        <v>24</v>
      </c>
      <c r="D73" s="1">
        <v>24</v>
      </c>
      <c r="E73" s="1">
        <v>800</v>
      </c>
      <c r="F73" s="22"/>
      <c r="G73" s="22"/>
      <c r="H73" s="22"/>
      <c r="I73" s="22"/>
      <c r="J73" s="22"/>
      <c r="K73" s="22"/>
      <c r="O73" s="45">
        <v>73</v>
      </c>
      <c r="P73" s="61"/>
      <c r="Q73" s="61"/>
      <c r="R73" s="61"/>
      <c r="S73" s="61"/>
      <c r="T73" s="61"/>
      <c r="U73" s="61"/>
      <c r="V73">
        <f t="shared" si="1"/>
        <v>0</v>
      </c>
    </row>
    <row r="74" spans="3:22">
      <c r="C74" s="41">
        <v>50</v>
      </c>
      <c r="D74" s="1">
        <v>50</v>
      </c>
      <c r="E74" s="1">
        <v>800</v>
      </c>
      <c r="F74" s="22"/>
      <c r="G74" s="22"/>
      <c r="H74" s="22">
        <v>12000</v>
      </c>
      <c r="I74" s="22"/>
      <c r="J74" s="22"/>
      <c r="K74" s="22"/>
      <c r="O74" s="45">
        <v>74</v>
      </c>
      <c r="P74" s="61">
        <v>1</v>
      </c>
      <c r="Q74" s="61"/>
      <c r="R74" s="61"/>
      <c r="S74" s="61"/>
      <c r="T74" s="61">
        <v>1</v>
      </c>
      <c r="U74" s="61"/>
      <c r="V74">
        <f t="shared" si="1"/>
        <v>2</v>
      </c>
    </row>
    <row r="75" spans="3:22">
      <c r="C75" s="41">
        <v>122</v>
      </c>
      <c r="D75" s="1">
        <v>127</v>
      </c>
      <c r="E75" s="1">
        <v>800</v>
      </c>
      <c r="F75" s="22"/>
      <c r="G75" s="22">
        <v>2000</v>
      </c>
      <c r="H75" s="22"/>
      <c r="I75" s="22">
        <v>2000</v>
      </c>
      <c r="J75" s="22"/>
      <c r="K75" s="22"/>
      <c r="O75" s="45">
        <v>76</v>
      </c>
      <c r="P75" s="61"/>
      <c r="Q75" s="61">
        <v>1</v>
      </c>
      <c r="R75" s="61"/>
      <c r="S75" s="61">
        <v>1</v>
      </c>
      <c r="T75" s="61"/>
      <c r="U75" s="61"/>
      <c r="V75">
        <f t="shared" si="1"/>
        <v>2</v>
      </c>
    </row>
    <row r="76" spans="3:22">
      <c r="C76" s="41">
        <v>301</v>
      </c>
      <c r="D76" s="1">
        <v>316</v>
      </c>
      <c r="E76" s="1">
        <v>800</v>
      </c>
      <c r="F76" s="22"/>
      <c r="G76" s="22"/>
      <c r="H76" s="22"/>
      <c r="I76" s="22"/>
      <c r="J76" s="22"/>
      <c r="K76" s="22"/>
      <c r="O76" s="45">
        <v>77</v>
      </c>
      <c r="P76" s="61"/>
      <c r="Q76" s="61"/>
      <c r="R76" s="61"/>
      <c r="S76" s="61"/>
      <c r="T76" s="61"/>
      <c r="U76" s="61"/>
      <c r="V76">
        <f t="shared" si="1"/>
        <v>0</v>
      </c>
    </row>
    <row r="77" spans="3:22">
      <c r="C77" s="41">
        <v>18</v>
      </c>
      <c r="D77" s="1">
        <v>18</v>
      </c>
      <c r="E77" s="1">
        <v>800</v>
      </c>
      <c r="F77" s="22"/>
      <c r="G77" s="22"/>
      <c r="H77" s="22"/>
      <c r="I77" s="22"/>
      <c r="J77" s="22"/>
      <c r="K77" s="22"/>
      <c r="O77" s="45">
        <v>78</v>
      </c>
      <c r="P77" s="61"/>
      <c r="Q77" s="61"/>
      <c r="R77" s="61"/>
      <c r="S77" s="61"/>
      <c r="T77" s="61"/>
      <c r="U77" s="61"/>
      <c r="V77">
        <f t="shared" si="1"/>
        <v>0</v>
      </c>
    </row>
    <row r="78" spans="3:22">
      <c r="C78" s="41">
        <v>155</v>
      </c>
      <c r="D78" s="1">
        <v>163</v>
      </c>
      <c r="E78" s="1">
        <v>800</v>
      </c>
      <c r="F78" s="22"/>
      <c r="G78" s="22">
        <v>600</v>
      </c>
      <c r="H78" s="22">
        <v>1600</v>
      </c>
      <c r="I78" s="22"/>
      <c r="J78" s="22">
        <v>1600</v>
      </c>
      <c r="K78" s="22"/>
      <c r="O78" s="45">
        <v>79</v>
      </c>
      <c r="P78" s="61"/>
      <c r="Q78" s="61">
        <v>1</v>
      </c>
      <c r="R78" s="61"/>
      <c r="S78" s="61">
        <v>1</v>
      </c>
      <c r="T78" s="61"/>
      <c r="U78" s="61"/>
      <c r="V78">
        <f t="shared" si="1"/>
        <v>2</v>
      </c>
    </row>
    <row r="79" spans="3:22">
      <c r="C79" s="41">
        <v>44</v>
      </c>
      <c r="D79" s="1">
        <v>44</v>
      </c>
      <c r="E79" s="1">
        <v>800</v>
      </c>
      <c r="F79" s="22"/>
      <c r="G79" s="22"/>
      <c r="H79" s="22"/>
      <c r="I79" s="22"/>
      <c r="J79" s="22"/>
      <c r="K79" s="22"/>
      <c r="O79" s="45">
        <v>80</v>
      </c>
      <c r="P79" s="61"/>
      <c r="Q79" s="61"/>
      <c r="R79" s="61"/>
      <c r="S79" s="61"/>
      <c r="T79" s="61"/>
      <c r="U79" s="61">
        <v>1</v>
      </c>
      <c r="V79">
        <f t="shared" si="1"/>
        <v>1</v>
      </c>
    </row>
    <row r="80" spans="3:22">
      <c r="C80" s="41">
        <v>132</v>
      </c>
      <c r="D80" s="1">
        <v>139</v>
      </c>
      <c r="E80" s="1">
        <v>800</v>
      </c>
      <c r="F80" s="22"/>
      <c r="G80" s="22"/>
      <c r="H80" s="22"/>
      <c r="I80" s="22"/>
      <c r="J80" s="22"/>
      <c r="K80" s="22"/>
      <c r="O80" s="45">
        <v>81</v>
      </c>
      <c r="P80" s="61"/>
      <c r="Q80" s="61"/>
      <c r="R80" s="61">
        <v>1</v>
      </c>
      <c r="S80" s="61"/>
      <c r="T80" s="61"/>
      <c r="U80" s="61"/>
      <c r="V80">
        <f t="shared" si="1"/>
        <v>1</v>
      </c>
    </row>
    <row r="81" spans="3:22">
      <c r="C81" s="41">
        <v>159</v>
      </c>
      <c r="D81" s="1">
        <v>167</v>
      </c>
      <c r="E81" s="1">
        <v>800</v>
      </c>
      <c r="F81" s="22"/>
      <c r="G81" s="22">
        <v>12000</v>
      </c>
      <c r="H81" s="22"/>
      <c r="I81" s="22"/>
      <c r="J81" s="22"/>
      <c r="K81" s="22"/>
      <c r="O81" s="45">
        <v>82</v>
      </c>
      <c r="P81" s="61">
        <v>1</v>
      </c>
      <c r="Q81" s="61"/>
      <c r="R81" s="61">
        <v>1</v>
      </c>
      <c r="S81" s="61"/>
      <c r="T81" s="61"/>
      <c r="U81" s="61"/>
      <c r="V81">
        <f t="shared" si="1"/>
        <v>2</v>
      </c>
    </row>
    <row r="82" spans="3:22">
      <c r="C82" s="41">
        <v>181</v>
      </c>
      <c r="D82" s="1">
        <v>189</v>
      </c>
      <c r="E82" s="1">
        <v>800</v>
      </c>
      <c r="F82" s="22"/>
      <c r="G82" s="22"/>
      <c r="H82" s="22"/>
      <c r="I82" s="22"/>
      <c r="J82" s="22">
        <v>7000</v>
      </c>
      <c r="K82" s="22"/>
      <c r="O82" s="45">
        <v>83</v>
      </c>
      <c r="P82" s="61">
        <v>1</v>
      </c>
      <c r="Q82" s="61">
        <v>1</v>
      </c>
      <c r="R82" s="61">
        <v>1</v>
      </c>
      <c r="S82" s="61">
        <v>1</v>
      </c>
      <c r="T82" s="61">
        <v>1</v>
      </c>
      <c r="U82" s="61">
        <v>1</v>
      </c>
      <c r="V82">
        <f t="shared" si="1"/>
        <v>6</v>
      </c>
    </row>
    <row r="83" spans="3:22">
      <c r="C83" s="41">
        <v>284</v>
      </c>
      <c r="D83" s="1">
        <v>296</v>
      </c>
      <c r="E83" s="1">
        <v>800</v>
      </c>
      <c r="F83" s="22"/>
      <c r="G83" s="22"/>
      <c r="H83" s="22">
        <v>6000</v>
      </c>
      <c r="I83" s="22"/>
      <c r="J83" s="22"/>
      <c r="K83" s="22"/>
      <c r="O83" s="45">
        <v>84</v>
      </c>
      <c r="P83" s="61"/>
      <c r="Q83" s="61"/>
      <c r="R83" s="61"/>
      <c r="S83" s="61"/>
      <c r="T83" s="61"/>
      <c r="U83" s="61">
        <v>1</v>
      </c>
      <c r="V83">
        <f t="shared" si="1"/>
        <v>1</v>
      </c>
    </row>
    <row r="84" spans="3:22">
      <c r="C84" s="41">
        <v>264</v>
      </c>
      <c r="D84" s="1">
        <v>277</v>
      </c>
      <c r="E84" s="1">
        <v>800</v>
      </c>
      <c r="F84" s="22">
        <v>4000</v>
      </c>
      <c r="G84" s="22"/>
      <c r="H84" s="22">
        <v>2000</v>
      </c>
      <c r="I84" s="22"/>
      <c r="J84" s="22"/>
      <c r="K84" s="22"/>
      <c r="O84" s="45">
        <v>85</v>
      </c>
      <c r="P84" s="61"/>
      <c r="Q84" s="61"/>
      <c r="R84" s="61"/>
      <c r="S84" s="61">
        <v>1</v>
      </c>
      <c r="T84" s="61"/>
      <c r="U84" s="61"/>
      <c r="V84">
        <f t="shared" si="1"/>
        <v>1</v>
      </c>
    </row>
    <row r="85" spans="3:22">
      <c r="C85" s="41">
        <v>32</v>
      </c>
      <c r="D85" s="1">
        <v>32</v>
      </c>
      <c r="E85" s="1">
        <v>800</v>
      </c>
      <c r="F85" s="22">
        <v>2400</v>
      </c>
      <c r="G85" s="22"/>
      <c r="H85" s="22"/>
      <c r="I85" s="22"/>
      <c r="J85" s="22"/>
      <c r="K85" s="22">
        <v>2400</v>
      </c>
      <c r="O85" s="45">
        <v>86</v>
      </c>
      <c r="P85" s="61"/>
      <c r="Q85" s="61">
        <v>1</v>
      </c>
      <c r="R85" s="61"/>
      <c r="S85" s="61">
        <v>1</v>
      </c>
      <c r="T85" s="61"/>
      <c r="U85" s="61">
        <v>1</v>
      </c>
      <c r="V85">
        <f t="shared" si="1"/>
        <v>3</v>
      </c>
    </row>
    <row r="86" spans="3:22">
      <c r="C86" s="41">
        <v>49</v>
      </c>
      <c r="D86" s="1">
        <v>49</v>
      </c>
      <c r="E86" s="1">
        <v>800</v>
      </c>
      <c r="F86" s="22"/>
      <c r="G86" s="22"/>
      <c r="H86" s="22"/>
      <c r="I86" s="22"/>
      <c r="J86" s="22">
        <v>4800</v>
      </c>
      <c r="K86" s="22">
        <v>10200</v>
      </c>
      <c r="O86" s="45">
        <v>87</v>
      </c>
      <c r="P86" s="61"/>
      <c r="Q86" s="61"/>
      <c r="R86" s="61"/>
      <c r="S86" s="61"/>
      <c r="T86" s="61"/>
      <c r="U86" s="61"/>
      <c r="V86">
        <f t="shared" si="1"/>
        <v>0</v>
      </c>
    </row>
    <row r="87" spans="3:22">
      <c r="C87" s="41">
        <v>234</v>
      </c>
      <c r="D87" s="1">
        <v>243</v>
      </c>
      <c r="E87" s="1"/>
      <c r="F87" s="22"/>
      <c r="G87" s="22">
        <v>4800</v>
      </c>
      <c r="H87" s="22"/>
      <c r="I87" s="22"/>
      <c r="J87" s="22"/>
      <c r="K87" s="22"/>
      <c r="O87" s="45">
        <v>88</v>
      </c>
      <c r="P87" s="61">
        <v>1</v>
      </c>
      <c r="Q87" s="61"/>
      <c r="R87" s="61"/>
      <c r="S87" s="61"/>
      <c r="T87" s="61"/>
      <c r="U87" s="61"/>
      <c r="V87">
        <f t="shared" si="1"/>
        <v>1</v>
      </c>
    </row>
    <row r="88" spans="3:22">
      <c r="C88" s="41">
        <v>234</v>
      </c>
      <c r="D88" s="1">
        <v>244</v>
      </c>
      <c r="E88" s="1"/>
      <c r="F88" s="22"/>
      <c r="G88" s="22"/>
      <c r="H88" s="22"/>
      <c r="I88" s="22"/>
      <c r="J88" s="22"/>
      <c r="K88" s="22"/>
      <c r="O88" s="45">
        <v>89</v>
      </c>
      <c r="P88" s="61"/>
      <c r="Q88" s="61"/>
      <c r="R88" s="61"/>
      <c r="S88" s="61"/>
      <c r="T88" s="61"/>
      <c r="U88" s="61"/>
      <c r="V88">
        <f t="shared" si="1"/>
        <v>0</v>
      </c>
    </row>
    <row r="89" spans="3:22">
      <c r="C89" s="41">
        <v>234</v>
      </c>
      <c r="D89" s="1" t="s">
        <v>85</v>
      </c>
      <c r="E89" s="1">
        <v>800</v>
      </c>
      <c r="F89" s="22"/>
      <c r="G89" s="22"/>
      <c r="H89" s="22"/>
      <c r="I89" s="22"/>
      <c r="J89" s="22"/>
      <c r="K89" s="22"/>
      <c r="O89" s="45">
        <v>90</v>
      </c>
      <c r="P89" s="61"/>
      <c r="Q89" s="61"/>
      <c r="R89" s="61"/>
      <c r="S89" s="61">
        <v>1</v>
      </c>
      <c r="T89" s="61"/>
      <c r="U89" s="61"/>
      <c r="V89">
        <f t="shared" si="1"/>
        <v>1</v>
      </c>
    </row>
    <row r="90" spans="3:22">
      <c r="C90" s="41">
        <v>254</v>
      </c>
      <c r="D90" s="1">
        <v>267</v>
      </c>
      <c r="E90" s="1">
        <v>800</v>
      </c>
      <c r="F90" s="22"/>
      <c r="G90" s="22"/>
      <c r="H90" s="22"/>
      <c r="I90" s="22"/>
      <c r="J90" s="22"/>
      <c r="K90" s="22"/>
      <c r="O90" s="45">
        <v>91</v>
      </c>
      <c r="P90" s="61"/>
      <c r="Q90" s="61"/>
      <c r="R90" s="61"/>
      <c r="S90" s="61"/>
      <c r="T90" s="61"/>
      <c r="U90" s="61"/>
      <c r="V90">
        <f t="shared" si="1"/>
        <v>0</v>
      </c>
    </row>
    <row r="91" spans="3:22">
      <c r="C91" s="41">
        <v>230</v>
      </c>
      <c r="D91" s="1">
        <v>239</v>
      </c>
      <c r="E91" s="1">
        <v>800</v>
      </c>
      <c r="F91" s="22"/>
      <c r="G91" s="22"/>
      <c r="H91" s="22"/>
      <c r="I91" s="22"/>
      <c r="J91" s="22"/>
      <c r="K91" s="22"/>
      <c r="O91" s="45">
        <v>93</v>
      </c>
      <c r="P91" s="61"/>
      <c r="Q91" s="61"/>
      <c r="R91" s="61"/>
      <c r="S91" s="61"/>
      <c r="T91" s="61"/>
      <c r="U91" s="61"/>
      <c r="V91">
        <f t="shared" si="1"/>
        <v>0</v>
      </c>
    </row>
    <row r="92" spans="3:22">
      <c r="C92" s="41">
        <v>230</v>
      </c>
      <c r="D92" s="1">
        <v>257</v>
      </c>
      <c r="E92" s="1"/>
      <c r="F92" s="22"/>
      <c r="G92" s="22"/>
      <c r="H92" s="22"/>
      <c r="I92" s="22"/>
      <c r="J92" s="22">
        <v>3500</v>
      </c>
      <c r="K92" s="22"/>
      <c r="O92" s="45">
        <v>94</v>
      </c>
      <c r="P92" s="61"/>
      <c r="Q92" s="61"/>
      <c r="R92" s="61"/>
      <c r="S92" s="61"/>
      <c r="T92" s="61"/>
      <c r="U92" s="61"/>
      <c r="V92">
        <f t="shared" si="1"/>
        <v>0</v>
      </c>
    </row>
    <row r="93" spans="3:22">
      <c r="C93" s="41">
        <v>4</v>
      </c>
      <c r="D93" s="1">
        <v>4</v>
      </c>
      <c r="E93" s="1">
        <v>800</v>
      </c>
      <c r="F93" s="22"/>
      <c r="G93" s="22"/>
      <c r="H93" s="22"/>
      <c r="I93" s="22"/>
      <c r="J93" s="22">
        <v>5000</v>
      </c>
      <c r="K93" s="22"/>
      <c r="O93" s="45">
        <v>95</v>
      </c>
      <c r="P93" s="61"/>
      <c r="Q93" s="61"/>
      <c r="R93" s="61"/>
      <c r="S93" s="61"/>
      <c r="T93" s="61"/>
      <c r="U93" s="61">
        <v>1</v>
      </c>
      <c r="V93">
        <f t="shared" si="1"/>
        <v>1</v>
      </c>
    </row>
    <row r="94" spans="3:22">
      <c r="C94" s="41">
        <v>213</v>
      </c>
      <c r="D94" s="1">
        <v>222</v>
      </c>
      <c r="E94" s="1">
        <v>800</v>
      </c>
      <c r="F94" s="22"/>
      <c r="G94" s="22"/>
      <c r="H94" s="22"/>
      <c r="I94" s="22"/>
      <c r="J94" s="22"/>
      <c r="K94" s="22"/>
      <c r="O94" s="45">
        <v>96</v>
      </c>
      <c r="P94" s="61">
        <v>1</v>
      </c>
      <c r="Q94" s="61"/>
      <c r="R94" s="61"/>
      <c r="S94" s="61">
        <v>1</v>
      </c>
      <c r="T94" s="61"/>
      <c r="U94" s="61">
        <v>1</v>
      </c>
      <c r="V94">
        <f t="shared" si="1"/>
        <v>3</v>
      </c>
    </row>
    <row r="95" spans="3:22">
      <c r="C95" s="41">
        <v>127</v>
      </c>
      <c r="D95" s="1">
        <v>132</v>
      </c>
      <c r="E95" s="1">
        <v>800</v>
      </c>
      <c r="F95" s="22"/>
      <c r="G95" s="22">
        <v>1600</v>
      </c>
      <c r="H95" s="22"/>
      <c r="I95" s="22"/>
      <c r="J95" s="22"/>
      <c r="K95" s="22"/>
      <c r="O95" s="45">
        <v>98</v>
      </c>
      <c r="P95" s="61"/>
      <c r="Q95" s="61"/>
      <c r="R95" s="61"/>
      <c r="S95" s="61"/>
      <c r="T95" s="61"/>
      <c r="U95" s="61"/>
      <c r="V95">
        <f t="shared" si="1"/>
        <v>0</v>
      </c>
    </row>
    <row r="96" spans="3:22">
      <c r="C96" s="41">
        <v>66</v>
      </c>
      <c r="D96" s="1">
        <v>68</v>
      </c>
      <c r="E96" s="1">
        <v>800</v>
      </c>
      <c r="F96" s="22"/>
      <c r="G96" s="22"/>
      <c r="H96" s="22"/>
      <c r="I96" s="22"/>
      <c r="J96" s="22"/>
      <c r="K96" s="22"/>
      <c r="O96" s="45">
        <v>99</v>
      </c>
      <c r="P96" s="61"/>
      <c r="Q96" s="61"/>
      <c r="R96" s="61"/>
      <c r="S96" s="61"/>
      <c r="T96" s="61"/>
      <c r="U96" s="61"/>
      <c r="V96">
        <f t="shared" si="1"/>
        <v>0</v>
      </c>
    </row>
    <row r="97" spans="3:22">
      <c r="C97" s="41">
        <v>36</v>
      </c>
      <c r="D97" s="1">
        <v>36</v>
      </c>
      <c r="E97" s="1">
        <v>800</v>
      </c>
      <c r="F97" s="22"/>
      <c r="G97" s="22"/>
      <c r="H97" s="22"/>
      <c r="I97" s="22"/>
      <c r="J97" s="22"/>
      <c r="K97" s="22"/>
      <c r="O97" s="45">
        <v>100</v>
      </c>
      <c r="P97" s="61">
        <v>1</v>
      </c>
      <c r="Q97" s="61"/>
      <c r="R97" s="61"/>
      <c r="S97" s="61"/>
      <c r="T97" s="61"/>
      <c r="U97" s="61"/>
      <c r="V97">
        <f t="shared" si="1"/>
        <v>1</v>
      </c>
    </row>
    <row r="98" spans="3:22">
      <c r="C98" s="41">
        <v>38</v>
      </c>
      <c r="D98" s="1">
        <v>255</v>
      </c>
      <c r="E98" s="1"/>
      <c r="F98" s="22"/>
      <c r="G98" s="22"/>
      <c r="H98" s="22"/>
      <c r="I98" s="22"/>
      <c r="J98" s="22"/>
      <c r="K98" s="22">
        <v>1600</v>
      </c>
      <c r="O98" s="45">
        <v>101</v>
      </c>
      <c r="P98" s="61">
        <v>1</v>
      </c>
      <c r="Q98" s="61"/>
      <c r="R98" s="61"/>
      <c r="S98" s="61"/>
      <c r="T98" s="61"/>
      <c r="U98" s="61"/>
      <c r="V98">
        <f t="shared" si="1"/>
        <v>1</v>
      </c>
    </row>
    <row r="99" spans="3:22">
      <c r="C99" s="41">
        <v>38</v>
      </c>
      <c r="D99" s="1">
        <v>38</v>
      </c>
      <c r="E99" s="1">
        <v>800</v>
      </c>
      <c r="F99" s="22"/>
      <c r="G99" s="22"/>
      <c r="H99" s="22"/>
      <c r="I99" s="22"/>
      <c r="J99" s="22"/>
      <c r="K99" s="22"/>
      <c r="O99" s="45">
        <v>102</v>
      </c>
      <c r="P99" s="61">
        <v>1</v>
      </c>
      <c r="Q99" s="61">
        <v>1</v>
      </c>
      <c r="R99" s="61">
        <v>1</v>
      </c>
      <c r="S99" s="61">
        <v>1</v>
      </c>
      <c r="T99" s="61"/>
      <c r="U99" s="61">
        <v>1</v>
      </c>
      <c r="V99">
        <f t="shared" si="1"/>
        <v>5</v>
      </c>
    </row>
    <row r="100" spans="3:22">
      <c r="C100" s="41">
        <v>12</v>
      </c>
      <c r="D100" s="1">
        <v>12</v>
      </c>
      <c r="E100" s="1">
        <v>800</v>
      </c>
      <c r="F100" s="22"/>
      <c r="G100" s="22"/>
      <c r="H100" s="22"/>
      <c r="I100" s="22"/>
      <c r="J100" s="22"/>
      <c r="K100" s="22"/>
      <c r="O100" s="45">
        <v>103</v>
      </c>
      <c r="P100" s="61">
        <v>1</v>
      </c>
      <c r="Q100" s="61"/>
      <c r="R100" s="61">
        <v>1</v>
      </c>
      <c r="S100" s="61"/>
      <c r="T100" s="61"/>
      <c r="U100" s="61"/>
      <c r="V100">
        <f t="shared" si="1"/>
        <v>2</v>
      </c>
    </row>
    <row r="101" spans="3:22">
      <c r="C101" s="41">
        <v>63</v>
      </c>
      <c r="D101" s="1">
        <v>65</v>
      </c>
      <c r="E101" s="1">
        <v>800</v>
      </c>
      <c r="F101" s="22"/>
      <c r="G101" s="22"/>
      <c r="H101" s="22"/>
      <c r="I101" s="22"/>
      <c r="J101" s="22"/>
      <c r="K101" s="22">
        <v>800</v>
      </c>
      <c r="O101" s="45">
        <v>104</v>
      </c>
      <c r="P101" s="61"/>
      <c r="Q101" s="61"/>
      <c r="R101" s="61"/>
      <c r="S101" s="61"/>
      <c r="T101" s="61"/>
      <c r="U101" s="61"/>
      <c r="V101">
        <f t="shared" si="1"/>
        <v>0</v>
      </c>
    </row>
    <row r="102" spans="3:22">
      <c r="C102" s="41">
        <v>16</v>
      </c>
      <c r="D102" s="1">
        <v>16</v>
      </c>
      <c r="E102" s="1">
        <v>800</v>
      </c>
      <c r="F102" s="22"/>
      <c r="G102" s="22"/>
      <c r="H102" s="22"/>
      <c r="I102" s="22"/>
      <c r="J102" s="22"/>
      <c r="K102" s="22">
        <v>12000</v>
      </c>
      <c r="O102" s="45">
        <v>105</v>
      </c>
      <c r="P102" s="61">
        <v>1</v>
      </c>
      <c r="Q102" s="61"/>
      <c r="R102" s="61"/>
      <c r="S102" s="61"/>
      <c r="T102" s="61"/>
      <c r="U102" s="61">
        <v>1</v>
      </c>
      <c r="V102">
        <f t="shared" si="1"/>
        <v>2</v>
      </c>
    </row>
    <row r="103" spans="3:22">
      <c r="C103" s="41">
        <v>121</v>
      </c>
      <c r="D103" s="1">
        <v>126</v>
      </c>
      <c r="E103" s="1">
        <v>800</v>
      </c>
      <c r="F103" s="22">
        <v>3000</v>
      </c>
      <c r="G103" s="22"/>
      <c r="H103" s="22"/>
      <c r="I103" s="22">
        <v>3200</v>
      </c>
      <c r="J103" s="22"/>
      <c r="K103" s="22"/>
      <c r="O103" s="45">
        <v>106</v>
      </c>
      <c r="P103" s="61"/>
      <c r="Q103" s="61"/>
      <c r="R103" s="61"/>
      <c r="S103" s="61"/>
      <c r="T103" s="61"/>
      <c r="U103" s="61"/>
      <c r="V103">
        <f t="shared" si="1"/>
        <v>0</v>
      </c>
    </row>
    <row r="104" spans="3:22">
      <c r="C104" s="41">
        <v>156</v>
      </c>
      <c r="D104" s="1">
        <v>164</v>
      </c>
      <c r="E104" s="1">
        <v>800</v>
      </c>
      <c r="F104" s="22"/>
      <c r="G104" s="22">
        <v>5000</v>
      </c>
      <c r="H104" s="22">
        <v>1000</v>
      </c>
      <c r="I104" s="22">
        <v>1000</v>
      </c>
      <c r="J104" s="22">
        <v>1000</v>
      </c>
      <c r="K104" s="22">
        <v>1000</v>
      </c>
      <c r="O104" s="45">
        <v>107</v>
      </c>
      <c r="P104" s="61"/>
      <c r="Q104" s="61">
        <v>1</v>
      </c>
      <c r="R104" s="61">
        <v>1</v>
      </c>
      <c r="S104" s="61">
        <v>1</v>
      </c>
      <c r="T104" s="61"/>
      <c r="U104" s="61">
        <v>1</v>
      </c>
      <c r="V104">
        <f t="shared" si="1"/>
        <v>4</v>
      </c>
    </row>
    <row r="105" spans="3:22">
      <c r="C105" s="41">
        <v>5</v>
      </c>
      <c r="D105" s="1">
        <v>5</v>
      </c>
      <c r="E105" s="1">
        <v>800</v>
      </c>
      <c r="F105" s="22"/>
      <c r="G105" s="22"/>
      <c r="H105" s="22"/>
      <c r="I105" s="22"/>
      <c r="J105" s="22"/>
      <c r="K105" s="22"/>
      <c r="O105" s="45">
        <v>108</v>
      </c>
      <c r="P105" s="61"/>
      <c r="Q105" s="61">
        <v>1</v>
      </c>
      <c r="R105" s="61">
        <v>1</v>
      </c>
      <c r="S105" s="61"/>
      <c r="T105" s="61"/>
      <c r="U105" s="61">
        <v>1</v>
      </c>
      <c r="V105">
        <f t="shared" si="1"/>
        <v>3</v>
      </c>
    </row>
    <row r="106" spans="3:22">
      <c r="C106" s="41">
        <v>214</v>
      </c>
      <c r="D106" s="1">
        <v>223</v>
      </c>
      <c r="E106" s="1">
        <v>800</v>
      </c>
      <c r="F106" s="22"/>
      <c r="G106" s="22">
        <v>3000</v>
      </c>
      <c r="H106" s="22"/>
      <c r="I106" s="22"/>
      <c r="J106" s="22"/>
      <c r="K106" s="22">
        <v>2000</v>
      </c>
      <c r="O106" s="45">
        <v>109</v>
      </c>
      <c r="P106" s="61"/>
      <c r="Q106" s="61">
        <v>1</v>
      </c>
      <c r="R106" s="61">
        <v>1</v>
      </c>
      <c r="S106" s="61"/>
      <c r="T106" s="61"/>
      <c r="U106" s="61"/>
      <c r="V106">
        <f t="shared" si="1"/>
        <v>2</v>
      </c>
    </row>
    <row r="107" spans="3:22">
      <c r="C107" s="41">
        <v>279</v>
      </c>
      <c r="D107" s="1">
        <v>291</v>
      </c>
      <c r="E107" s="1">
        <v>800</v>
      </c>
      <c r="F107" s="22"/>
      <c r="G107" s="22"/>
      <c r="H107" s="22"/>
      <c r="I107" s="22"/>
      <c r="J107" s="22"/>
      <c r="K107" s="22"/>
      <c r="O107" s="45">
        <v>110</v>
      </c>
      <c r="P107" s="61"/>
      <c r="Q107" s="61"/>
      <c r="R107" s="61"/>
      <c r="S107" s="61"/>
      <c r="T107" s="61"/>
      <c r="U107" s="61"/>
      <c r="V107">
        <f t="shared" si="1"/>
        <v>0</v>
      </c>
    </row>
    <row r="108" spans="3:22">
      <c r="C108" s="41">
        <v>197</v>
      </c>
      <c r="D108" s="1">
        <v>205</v>
      </c>
      <c r="E108" s="1">
        <v>800</v>
      </c>
      <c r="F108" s="22"/>
      <c r="G108" s="22"/>
      <c r="H108" s="22"/>
      <c r="I108" s="22"/>
      <c r="J108" s="22"/>
      <c r="K108" s="22"/>
      <c r="O108" s="45">
        <v>112</v>
      </c>
      <c r="P108" s="61"/>
      <c r="Q108" s="61">
        <v>1</v>
      </c>
      <c r="R108" s="61"/>
      <c r="S108" s="61"/>
      <c r="T108" s="61"/>
      <c r="U108" s="61">
        <v>1</v>
      </c>
      <c r="V108">
        <f t="shared" si="1"/>
        <v>2</v>
      </c>
    </row>
    <row r="109" spans="3:22">
      <c r="C109" s="41">
        <v>295</v>
      </c>
      <c r="D109" s="1">
        <v>310</v>
      </c>
      <c r="E109" s="1">
        <v>800</v>
      </c>
      <c r="F109" s="22"/>
      <c r="G109" s="22"/>
      <c r="H109" s="22"/>
      <c r="I109" s="22"/>
      <c r="J109" s="22"/>
      <c r="K109" s="22"/>
      <c r="O109" s="45">
        <v>113</v>
      </c>
      <c r="P109" s="61">
        <v>1</v>
      </c>
      <c r="Q109" s="61"/>
      <c r="R109" s="61"/>
      <c r="S109" s="61">
        <v>1</v>
      </c>
      <c r="T109" s="61"/>
      <c r="U109" s="61">
        <v>1</v>
      </c>
      <c r="V109">
        <f t="shared" si="1"/>
        <v>3</v>
      </c>
    </row>
    <row r="110" spans="3:22">
      <c r="C110" s="41">
        <v>196</v>
      </c>
      <c r="D110" s="1">
        <v>204</v>
      </c>
      <c r="E110" s="1">
        <v>800</v>
      </c>
      <c r="F110" s="22"/>
      <c r="G110" s="22"/>
      <c r="H110" s="22">
        <v>4800</v>
      </c>
      <c r="I110" s="22"/>
      <c r="J110" s="22"/>
      <c r="K110" s="22"/>
      <c r="O110" s="45">
        <v>114</v>
      </c>
      <c r="P110" s="61"/>
      <c r="Q110" s="61"/>
      <c r="R110" s="61"/>
      <c r="S110" s="61"/>
      <c r="T110" s="61"/>
      <c r="U110" s="61"/>
      <c r="V110">
        <f t="shared" si="1"/>
        <v>0</v>
      </c>
    </row>
    <row r="111" spans="3:22">
      <c r="C111" s="41">
        <v>124</v>
      </c>
      <c r="D111" s="1">
        <v>129</v>
      </c>
      <c r="E111" s="1">
        <v>800</v>
      </c>
      <c r="F111" s="22"/>
      <c r="G111" s="22"/>
      <c r="H111" s="22"/>
      <c r="I111" s="22"/>
      <c r="J111" s="22"/>
      <c r="K111" s="22"/>
      <c r="O111" s="45">
        <v>116</v>
      </c>
      <c r="P111" s="61"/>
      <c r="Q111" s="61"/>
      <c r="R111" s="61">
        <v>1</v>
      </c>
      <c r="S111" s="61"/>
      <c r="T111" s="61"/>
      <c r="U111" s="61"/>
      <c r="V111">
        <f t="shared" si="1"/>
        <v>1</v>
      </c>
    </row>
    <row r="112" spans="3:22">
      <c r="C112" s="41">
        <v>250</v>
      </c>
      <c r="D112" s="1">
        <v>261</v>
      </c>
      <c r="E112" s="1">
        <v>800</v>
      </c>
      <c r="F112" s="22"/>
      <c r="G112" s="22"/>
      <c r="H112" s="22">
        <v>1000</v>
      </c>
      <c r="I112" s="22">
        <v>1000</v>
      </c>
      <c r="J112" s="22">
        <v>1000</v>
      </c>
      <c r="K112" s="22"/>
      <c r="O112" s="45">
        <v>117</v>
      </c>
      <c r="P112" s="61"/>
      <c r="Q112" s="61"/>
      <c r="R112" s="61"/>
      <c r="S112" s="61"/>
      <c r="T112" s="61"/>
      <c r="U112" s="61"/>
      <c r="V112">
        <f t="shared" si="1"/>
        <v>0</v>
      </c>
    </row>
    <row r="113" spans="3:22">
      <c r="C113" s="41">
        <v>153</v>
      </c>
      <c r="D113" s="1">
        <v>161</v>
      </c>
      <c r="E113" s="1">
        <v>800</v>
      </c>
      <c r="F113" s="22"/>
      <c r="G113" s="22"/>
      <c r="H113" s="22"/>
      <c r="I113" s="22">
        <v>7200</v>
      </c>
      <c r="J113" s="22"/>
      <c r="K113" s="22"/>
      <c r="O113" s="45">
        <v>118</v>
      </c>
      <c r="P113" s="61"/>
      <c r="Q113" s="61"/>
      <c r="R113" s="61"/>
      <c r="S113" s="61"/>
      <c r="T113" s="61"/>
      <c r="U113" s="61"/>
      <c r="V113">
        <f t="shared" si="1"/>
        <v>0</v>
      </c>
    </row>
    <row r="114" spans="3:22">
      <c r="C114" s="41">
        <v>106</v>
      </c>
      <c r="D114" s="1">
        <v>111</v>
      </c>
      <c r="E114" s="1">
        <v>800</v>
      </c>
      <c r="F114" s="22"/>
      <c r="G114" s="22"/>
      <c r="H114" s="22"/>
      <c r="I114" s="22"/>
      <c r="J114" s="22"/>
      <c r="K114" s="22"/>
      <c r="O114" s="45">
        <v>119</v>
      </c>
      <c r="P114" s="61"/>
      <c r="Q114" s="61"/>
      <c r="R114" s="61">
        <v>1</v>
      </c>
      <c r="S114" s="61"/>
      <c r="T114" s="61"/>
      <c r="U114" s="61"/>
      <c r="V114">
        <f t="shared" si="1"/>
        <v>1</v>
      </c>
    </row>
    <row r="115" spans="3:22">
      <c r="C115" s="41">
        <v>222</v>
      </c>
      <c r="D115" s="1">
        <v>231</v>
      </c>
      <c r="E115" s="1">
        <v>800</v>
      </c>
      <c r="F115" s="22"/>
      <c r="G115" s="22">
        <v>3200</v>
      </c>
      <c r="H115" s="22"/>
      <c r="I115" s="22"/>
      <c r="J115" s="22">
        <v>4000</v>
      </c>
      <c r="K115" s="22"/>
      <c r="O115" s="45">
        <v>120</v>
      </c>
      <c r="P115" s="61">
        <v>1</v>
      </c>
      <c r="Q115" s="61">
        <v>1</v>
      </c>
      <c r="R115" s="61">
        <v>1</v>
      </c>
      <c r="S115" s="61"/>
      <c r="T115" s="61"/>
      <c r="U115" s="61">
        <v>1</v>
      </c>
      <c r="V115">
        <f t="shared" si="1"/>
        <v>4</v>
      </c>
    </row>
    <row r="116" spans="3:22">
      <c r="C116" s="41">
        <v>208</v>
      </c>
      <c r="D116" s="1">
        <v>218</v>
      </c>
      <c r="E116" s="1">
        <v>800</v>
      </c>
      <c r="F116" s="22"/>
      <c r="G116" s="22"/>
      <c r="H116" s="22"/>
      <c r="I116" s="22"/>
      <c r="J116" s="22"/>
      <c r="K116" s="22"/>
      <c r="O116" s="45">
        <v>121</v>
      </c>
      <c r="P116" s="61">
        <v>1</v>
      </c>
      <c r="Q116" s="61"/>
      <c r="R116" s="61"/>
      <c r="S116" s="61">
        <v>1</v>
      </c>
      <c r="T116" s="61"/>
      <c r="U116" s="61"/>
      <c r="V116">
        <f t="shared" si="1"/>
        <v>2</v>
      </c>
    </row>
    <row r="117" spans="3:22">
      <c r="C117" s="41">
        <v>207</v>
      </c>
      <c r="D117" s="1">
        <v>217</v>
      </c>
      <c r="E117" s="1">
        <v>800</v>
      </c>
      <c r="F117" s="22"/>
      <c r="G117" s="22"/>
      <c r="H117" s="22"/>
      <c r="I117" s="22"/>
      <c r="J117" s="22"/>
      <c r="K117" s="22"/>
      <c r="O117" s="45">
        <v>122</v>
      </c>
      <c r="P117" s="61"/>
      <c r="Q117" s="61">
        <v>1</v>
      </c>
      <c r="R117" s="61"/>
      <c r="S117" s="61">
        <v>1</v>
      </c>
      <c r="T117" s="61"/>
      <c r="U117" s="61"/>
      <c r="V117">
        <f t="shared" si="1"/>
        <v>2</v>
      </c>
    </row>
    <row r="118" spans="3:22">
      <c r="C118" s="41">
        <v>231</v>
      </c>
      <c r="D118" s="1">
        <v>240</v>
      </c>
      <c r="E118" s="1">
        <v>800</v>
      </c>
      <c r="F118" s="22"/>
      <c r="G118" s="22">
        <v>5000</v>
      </c>
      <c r="H118" s="22"/>
      <c r="I118" s="22">
        <v>1000</v>
      </c>
      <c r="J118" s="22"/>
      <c r="K118" s="22"/>
      <c r="O118" s="45">
        <v>123</v>
      </c>
      <c r="P118" s="61"/>
      <c r="Q118" s="61"/>
      <c r="R118" s="61"/>
      <c r="S118" s="61"/>
      <c r="T118" s="61"/>
      <c r="U118" s="61"/>
      <c r="V118">
        <f t="shared" si="1"/>
        <v>0</v>
      </c>
    </row>
    <row r="119" spans="3:22">
      <c r="C119" s="41">
        <v>76</v>
      </c>
      <c r="D119" s="1">
        <v>82</v>
      </c>
      <c r="E119" s="1">
        <v>800</v>
      </c>
      <c r="F119" s="22"/>
      <c r="G119" s="22">
        <v>2400</v>
      </c>
      <c r="H119" s="22"/>
      <c r="I119" s="22">
        <v>2400</v>
      </c>
      <c r="J119" s="22"/>
      <c r="K119" s="22"/>
      <c r="O119" s="45">
        <v>124</v>
      </c>
      <c r="P119" s="61"/>
      <c r="Q119" s="61"/>
      <c r="R119" s="61"/>
      <c r="S119" s="61"/>
      <c r="T119" s="61"/>
      <c r="U119" s="61"/>
      <c r="V119">
        <f t="shared" si="1"/>
        <v>0</v>
      </c>
    </row>
    <row r="120" spans="3:22">
      <c r="C120" s="41">
        <v>82</v>
      </c>
      <c r="D120" s="1">
        <v>87</v>
      </c>
      <c r="E120" s="1">
        <v>800</v>
      </c>
      <c r="F120" s="22">
        <v>3000</v>
      </c>
      <c r="G120" s="22"/>
      <c r="H120" s="22">
        <v>3000</v>
      </c>
      <c r="I120" s="22"/>
      <c r="J120" s="22"/>
      <c r="K120" s="22"/>
      <c r="O120" s="45">
        <v>125</v>
      </c>
      <c r="P120" s="61"/>
      <c r="Q120" s="61"/>
      <c r="R120" s="61"/>
      <c r="S120" s="61"/>
      <c r="T120" s="61"/>
      <c r="U120" s="61">
        <v>1</v>
      </c>
      <c r="V120">
        <f t="shared" si="1"/>
        <v>1</v>
      </c>
    </row>
    <row r="121" spans="3:22">
      <c r="C121" s="41">
        <v>8</v>
      </c>
      <c r="D121" s="1">
        <v>8</v>
      </c>
      <c r="E121" s="1">
        <v>800</v>
      </c>
      <c r="F121" s="22"/>
      <c r="G121" s="22"/>
      <c r="H121" s="22"/>
      <c r="I121" s="22"/>
      <c r="J121" s="22"/>
      <c r="K121" s="22">
        <v>4000</v>
      </c>
      <c r="O121" s="45">
        <v>126</v>
      </c>
      <c r="P121" s="61"/>
      <c r="Q121" s="61"/>
      <c r="R121" s="61">
        <v>1</v>
      </c>
      <c r="S121" s="61"/>
      <c r="T121" s="61"/>
      <c r="U121" s="61"/>
      <c r="V121">
        <f t="shared" si="1"/>
        <v>1</v>
      </c>
    </row>
    <row r="122" spans="3:22">
      <c r="C122" s="41">
        <v>149</v>
      </c>
      <c r="D122" s="1">
        <v>157</v>
      </c>
      <c r="E122" s="1">
        <v>800</v>
      </c>
      <c r="F122" s="22"/>
      <c r="G122" s="22"/>
      <c r="H122" s="22">
        <v>1000</v>
      </c>
      <c r="I122" s="22"/>
      <c r="J122" s="22">
        <v>1000</v>
      </c>
      <c r="K122" s="22"/>
      <c r="O122" s="45">
        <v>127</v>
      </c>
      <c r="P122" s="61"/>
      <c r="Q122" s="61">
        <v>1</v>
      </c>
      <c r="R122" s="61"/>
      <c r="S122" s="61"/>
      <c r="T122" s="61"/>
      <c r="U122" s="61"/>
      <c r="V122">
        <f t="shared" si="1"/>
        <v>1</v>
      </c>
    </row>
    <row r="123" spans="3:22">
      <c r="C123" s="41">
        <v>30</v>
      </c>
      <c r="D123" s="1">
        <v>30</v>
      </c>
      <c r="E123" s="1">
        <v>800</v>
      </c>
      <c r="F123" s="22"/>
      <c r="G123" s="22"/>
      <c r="H123" s="22"/>
      <c r="I123" s="22"/>
      <c r="J123" s="22"/>
      <c r="K123" s="22"/>
      <c r="O123" s="45">
        <v>128</v>
      </c>
      <c r="P123" s="61">
        <v>1</v>
      </c>
      <c r="Q123" s="61"/>
      <c r="R123" s="61"/>
      <c r="S123" s="61"/>
      <c r="T123" s="61"/>
      <c r="U123" s="61"/>
      <c r="V123">
        <f t="shared" si="1"/>
        <v>1</v>
      </c>
    </row>
    <row r="124" spans="3:22">
      <c r="C124" s="41">
        <v>269</v>
      </c>
      <c r="D124" s="1">
        <v>282</v>
      </c>
      <c r="E124" s="1">
        <v>800</v>
      </c>
      <c r="F124" s="22"/>
      <c r="G124" s="22"/>
      <c r="H124" s="22"/>
      <c r="I124" s="22"/>
      <c r="J124" s="22"/>
      <c r="K124" s="22"/>
      <c r="O124" s="45">
        <v>129</v>
      </c>
      <c r="P124" s="61"/>
      <c r="Q124" s="61">
        <v>1</v>
      </c>
      <c r="R124" s="61"/>
      <c r="S124" s="61">
        <v>1</v>
      </c>
      <c r="T124" s="61"/>
      <c r="U124" s="61"/>
      <c r="V124">
        <f t="shared" si="1"/>
        <v>2</v>
      </c>
    </row>
    <row r="125" spans="3:22">
      <c r="C125" s="41">
        <v>271</v>
      </c>
      <c r="D125" s="1">
        <v>284</v>
      </c>
      <c r="E125" s="1">
        <v>800</v>
      </c>
      <c r="F125" s="22"/>
      <c r="G125" s="22"/>
      <c r="H125" s="22"/>
      <c r="I125" s="22"/>
      <c r="J125" s="22"/>
      <c r="K125" s="22">
        <v>5000</v>
      </c>
      <c r="O125" s="45">
        <v>130</v>
      </c>
      <c r="P125" s="61"/>
      <c r="Q125" s="61">
        <v>1</v>
      </c>
      <c r="R125" s="61"/>
      <c r="S125" s="61"/>
      <c r="T125" s="61"/>
      <c r="U125" s="61">
        <v>1</v>
      </c>
      <c r="V125">
        <f t="shared" si="1"/>
        <v>2</v>
      </c>
    </row>
    <row r="126" spans="3:22">
      <c r="C126" s="41">
        <v>265</v>
      </c>
      <c r="D126" s="1">
        <v>278</v>
      </c>
      <c r="E126" s="1">
        <v>800</v>
      </c>
      <c r="F126" s="22"/>
      <c r="G126" s="22"/>
      <c r="H126" s="22">
        <v>3000</v>
      </c>
      <c r="I126" s="22"/>
      <c r="J126" s="22"/>
      <c r="K126" s="22"/>
      <c r="O126" s="45">
        <v>131</v>
      </c>
      <c r="P126" s="61"/>
      <c r="Q126" s="61"/>
      <c r="R126" s="61"/>
      <c r="S126" s="61">
        <v>1</v>
      </c>
      <c r="T126" s="61"/>
      <c r="U126" s="61"/>
      <c r="V126">
        <f t="shared" si="1"/>
        <v>1</v>
      </c>
    </row>
    <row r="127" spans="3:22">
      <c r="C127" s="41">
        <v>173</v>
      </c>
      <c r="D127" s="1">
        <v>181</v>
      </c>
      <c r="E127" s="1">
        <v>800</v>
      </c>
      <c r="F127" s="22"/>
      <c r="G127" s="22"/>
      <c r="H127" s="22"/>
      <c r="I127" s="22"/>
      <c r="J127" s="22"/>
      <c r="K127" s="22"/>
      <c r="O127" s="45">
        <v>132</v>
      </c>
      <c r="P127" s="61"/>
      <c r="Q127" s="61"/>
      <c r="R127" s="61"/>
      <c r="S127" s="61"/>
      <c r="T127" s="61"/>
      <c r="U127" s="61"/>
      <c r="V127">
        <f t="shared" si="1"/>
        <v>0</v>
      </c>
    </row>
    <row r="128" spans="3:22">
      <c r="C128" s="41">
        <v>305</v>
      </c>
      <c r="D128" s="1">
        <v>320</v>
      </c>
      <c r="E128" s="1">
        <v>800</v>
      </c>
      <c r="F128" s="22"/>
      <c r="G128" s="22"/>
      <c r="H128" s="22"/>
      <c r="I128" s="22"/>
      <c r="J128" s="22"/>
      <c r="K128" s="22"/>
      <c r="O128" s="45">
        <v>133</v>
      </c>
      <c r="P128" s="61"/>
      <c r="Q128" s="61">
        <v>1</v>
      </c>
      <c r="R128" s="61">
        <v>1</v>
      </c>
      <c r="S128" s="61">
        <v>1</v>
      </c>
      <c r="T128" s="61">
        <v>1</v>
      </c>
      <c r="U128" s="61">
        <v>1</v>
      </c>
      <c r="V128">
        <f t="shared" si="1"/>
        <v>5</v>
      </c>
    </row>
    <row r="129" spans="3:22">
      <c r="C129" s="41">
        <v>69</v>
      </c>
      <c r="D129" s="1">
        <v>75</v>
      </c>
      <c r="E129" s="1">
        <v>800</v>
      </c>
      <c r="F129" s="22"/>
      <c r="G129" s="22"/>
      <c r="H129" s="22"/>
      <c r="I129" s="22"/>
      <c r="J129" s="22"/>
      <c r="K129" s="22"/>
      <c r="O129" s="45">
        <v>134</v>
      </c>
      <c r="P129" s="61">
        <v>1</v>
      </c>
      <c r="Q129" s="61">
        <v>1</v>
      </c>
      <c r="R129" s="61"/>
      <c r="S129" s="61"/>
      <c r="T129" s="61"/>
      <c r="U129" s="61"/>
      <c r="V129">
        <f t="shared" si="1"/>
        <v>2</v>
      </c>
    </row>
    <row r="130" spans="3:22">
      <c r="C130" s="41">
        <v>69</v>
      </c>
      <c r="D130" s="1">
        <v>76</v>
      </c>
      <c r="E130" s="1"/>
      <c r="F130" s="22"/>
      <c r="G130" s="22"/>
      <c r="H130" s="22"/>
      <c r="I130" s="22"/>
      <c r="J130" s="22"/>
      <c r="K130" s="22"/>
      <c r="O130" s="45">
        <v>135</v>
      </c>
      <c r="P130" s="61"/>
      <c r="Q130" s="61"/>
      <c r="R130" s="61">
        <v>1</v>
      </c>
      <c r="S130" s="61"/>
      <c r="T130" s="61"/>
      <c r="U130" s="61">
        <v>1</v>
      </c>
      <c r="V130">
        <f t="shared" si="1"/>
        <v>2</v>
      </c>
    </row>
    <row r="131" spans="3:22">
      <c r="C131" s="41">
        <v>1</v>
      </c>
      <c r="D131" s="1">
        <v>1</v>
      </c>
      <c r="E131" s="1">
        <v>800</v>
      </c>
      <c r="F131" s="22"/>
      <c r="G131" s="22">
        <v>4200</v>
      </c>
      <c r="H131" s="22"/>
      <c r="I131" s="22"/>
      <c r="J131" s="22"/>
      <c r="K131" s="22"/>
      <c r="O131" s="45">
        <v>136</v>
      </c>
      <c r="P131" s="61"/>
      <c r="Q131" s="61"/>
      <c r="R131" s="61"/>
      <c r="S131" s="61"/>
      <c r="T131" s="61"/>
      <c r="U131" s="61"/>
      <c r="V131">
        <f t="shared" si="1"/>
        <v>0</v>
      </c>
    </row>
    <row r="132" spans="3:22">
      <c r="C132" s="41">
        <v>302</v>
      </c>
      <c r="D132" s="1">
        <v>317</v>
      </c>
      <c r="E132" s="1">
        <v>800</v>
      </c>
      <c r="F132" s="22"/>
      <c r="G132" s="22"/>
      <c r="H132" s="22"/>
      <c r="I132" s="22"/>
      <c r="J132" s="22"/>
      <c r="K132" s="22"/>
      <c r="O132" s="45">
        <v>137</v>
      </c>
      <c r="P132" s="61"/>
      <c r="Q132" s="61">
        <v>1</v>
      </c>
      <c r="R132" s="61"/>
      <c r="S132" s="61"/>
      <c r="T132" s="61"/>
      <c r="U132" s="61">
        <v>1</v>
      </c>
      <c r="V132">
        <f t="shared" ref="V132:V195" si="2">COUNTA(P132:U132)</f>
        <v>2</v>
      </c>
    </row>
    <row r="133" spans="3:22">
      <c r="C133" s="41">
        <v>123</v>
      </c>
      <c r="D133" s="1">
        <v>128</v>
      </c>
      <c r="E133" s="1">
        <v>800</v>
      </c>
      <c r="F133" s="22"/>
      <c r="G133" s="22"/>
      <c r="H133" s="22"/>
      <c r="I133" s="22"/>
      <c r="J133" s="22"/>
      <c r="K133" s="22"/>
      <c r="O133" s="45">
        <v>138</v>
      </c>
      <c r="P133" s="61"/>
      <c r="Q133" s="61">
        <v>1</v>
      </c>
      <c r="R133" s="61"/>
      <c r="S133" s="61"/>
      <c r="T133" s="61"/>
      <c r="U133" s="61">
        <v>1</v>
      </c>
      <c r="V133">
        <f t="shared" si="2"/>
        <v>2</v>
      </c>
    </row>
    <row r="134" spans="3:22">
      <c r="C134" s="41">
        <v>163</v>
      </c>
      <c r="D134" s="1">
        <v>171</v>
      </c>
      <c r="E134" s="1">
        <v>800</v>
      </c>
      <c r="F134" s="22"/>
      <c r="G134" s="22"/>
      <c r="H134" s="22"/>
      <c r="I134" s="22"/>
      <c r="J134" s="22"/>
      <c r="K134" s="22"/>
      <c r="O134" s="45">
        <v>139</v>
      </c>
      <c r="P134" s="61"/>
      <c r="Q134" s="61"/>
      <c r="R134" s="61"/>
      <c r="S134" s="61"/>
      <c r="T134" s="61">
        <v>1</v>
      </c>
      <c r="U134" s="61"/>
      <c r="V134">
        <f t="shared" si="2"/>
        <v>1</v>
      </c>
    </row>
    <row r="135" spans="3:22">
      <c r="C135" s="41">
        <v>110</v>
      </c>
      <c r="D135" s="1">
        <v>115</v>
      </c>
      <c r="E135" s="1">
        <v>800</v>
      </c>
      <c r="F135" s="22"/>
      <c r="G135" s="22"/>
      <c r="H135" s="22"/>
      <c r="I135" s="22"/>
      <c r="J135" s="22"/>
      <c r="K135" s="22"/>
      <c r="O135" s="45">
        <v>142</v>
      </c>
      <c r="P135" s="61"/>
      <c r="Q135" s="61"/>
      <c r="R135" s="61"/>
      <c r="S135" s="61"/>
      <c r="T135" s="61"/>
      <c r="U135" s="61"/>
      <c r="V135">
        <f t="shared" si="2"/>
        <v>0</v>
      </c>
    </row>
    <row r="136" spans="3:22">
      <c r="C136" s="41">
        <v>112</v>
      </c>
      <c r="D136" s="1">
        <v>117</v>
      </c>
      <c r="E136" s="1">
        <v>800</v>
      </c>
      <c r="F136" s="22"/>
      <c r="G136" s="22">
        <v>4800</v>
      </c>
      <c r="H136" s="22"/>
      <c r="I136" s="22"/>
      <c r="J136" s="22"/>
      <c r="K136" s="22">
        <v>4800</v>
      </c>
      <c r="O136" s="45">
        <v>143</v>
      </c>
      <c r="P136" s="61"/>
      <c r="Q136" s="61"/>
      <c r="R136" s="61"/>
      <c r="S136" s="61"/>
      <c r="T136" s="61"/>
      <c r="U136" s="61">
        <v>1</v>
      </c>
      <c r="V136">
        <f t="shared" si="2"/>
        <v>1</v>
      </c>
    </row>
    <row r="137" spans="3:22">
      <c r="C137" s="41">
        <v>190</v>
      </c>
      <c r="D137" s="1">
        <v>198</v>
      </c>
      <c r="E137" s="1">
        <v>800</v>
      </c>
      <c r="F137" s="22"/>
      <c r="G137" s="22"/>
      <c r="H137" s="22"/>
      <c r="I137" s="22"/>
      <c r="J137" s="22"/>
      <c r="K137" s="22">
        <v>800</v>
      </c>
      <c r="O137" s="45">
        <v>144</v>
      </c>
      <c r="P137" s="61"/>
      <c r="Q137" s="61"/>
      <c r="R137" s="61"/>
      <c r="S137" s="61"/>
      <c r="T137" s="61"/>
      <c r="U137" s="61"/>
      <c r="V137">
        <f t="shared" si="2"/>
        <v>0</v>
      </c>
    </row>
    <row r="138" spans="3:22">
      <c r="C138" s="41">
        <v>83</v>
      </c>
      <c r="D138" s="1">
        <v>88</v>
      </c>
      <c r="E138" s="1">
        <v>800</v>
      </c>
      <c r="F138" s="22">
        <v>2800</v>
      </c>
      <c r="G138" s="22">
        <v>800</v>
      </c>
      <c r="H138" s="22">
        <v>800</v>
      </c>
      <c r="I138" s="22">
        <v>800</v>
      </c>
      <c r="J138" s="22">
        <v>800</v>
      </c>
      <c r="K138" s="22">
        <v>800</v>
      </c>
      <c r="O138" s="45">
        <v>146</v>
      </c>
      <c r="P138" s="61"/>
      <c r="Q138" s="61"/>
      <c r="R138" s="61"/>
      <c r="S138" s="61"/>
      <c r="T138" s="61"/>
      <c r="U138" s="61">
        <v>1</v>
      </c>
      <c r="V138">
        <f t="shared" si="2"/>
        <v>1</v>
      </c>
    </row>
    <row r="139" spans="3:22">
      <c r="C139" s="41">
        <v>133</v>
      </c>
      <c r="D139" s="1">
        <v>140</v>
      </c>
      <c r="E139" s="1">
        <v>800</v>
      </c>
      <c r="F139" s="22"/>
      <c r="G139" s="22">
        <v>1000</v>
      </c>
      <c r="H139" s="22">
        <v>1000</v>
      </c>
      <c r="I139" s="22">
        <v>1000</v>
      </c>
      <c r="J139" s="22">
        <v>1000</v>
      </c>
      <c r="K139" s="22">
        <v>1000</v>
      </c>
      <c r="O139" s="45">
        <v>147</v>
      </c>
      <c r="P139" s="61"/>
      <c r="Q139" s="61"/>
      <c r="R139" s="61"/>
      <c r="S139" s="61"/>
      <c r="T139" s="61"/>
      <c r="U139" s="61"/>
      <c r="V139">
        <f t="shared" si="2"/>
        <v>0</v>
      </c>
    </row>
    <row r="140" spans="3:22">
      <c r="C140" s="41">
        <v>202</v>
      </c>
      <c r="D140" s="1">
        <v>212</v>
      </c>
      <c r="E140" s="1">
        <v>800</v>
      </c>
      <c r="F140" s="22"/>
      <c r="G140" s="22"/>
      <c r="H140" s="22"/>
      <c r="I140" s="22"/>
      <c r="J140" s="22"/>
      <c r="K140" s="22"/>
      <c r="O140" s="45">
        <v>148</v>
      </c>
      <c r="P140" s="61"/>
      <c r="Q140" s="61">
        <v>1</v>
      </c>
      <c r="R140" s="61">
        <v>1</v>
      </c>
      <c r="S140" s="61">
        <v>1</v>
      </c>
      <c r="T140" s="61"/>
      <c r="U140" s="61"/>
      <c r="V140">
        <f t="shared" si="2"/>
        <v>3</v>
      </c>
    </row>
    <row r="141" spans="3:22">
      <c r="C141" s="41">
        <v>192</v>
      </c>
      <c r="D141" s="1">
        <v>200</v>
      </c>
      <c r="E141" s="1">
        <v>800</v>
      </c>
      <c r="F141" s="22"/>
      <c r="G141" s="22"/>
      <c r="H141" s="22"/>
      <c r="I141" s="22"/>
      <c r="J141" s="22"/>
      <c r="K141" s="22"/>
      <c r="O141" s="45">
        <v>149</v>
      </c>
      <c r="P141" s="61"/>
      <c r="Q141" s="61"/>
      <c r="R141" s="61">
        <v>1</v>
      </c>
      <c r="S141" s="61"/>
      <c r="T141" s="61">
        <v>1</v>
      </c>
      <c r="U141" s="61"/>
      <c r="V141">
        <f t="shared" si="2"/>
        <v>2</v>
      </c>
    </row>
    <row r="142" spans="3:22">
      <c r="C142" s="41">
        <v>289</v>
      </c>
      <c r="D142" s="1">
        <v>301</v>
      </c>
      <c r="E142" s="1">
        <v>800</v>
      </c>
      <c r="F142" s="22"/>
      <c r="G142" s="22"/>
      <c r="H142" s="22"/>
      <c r="I142" s="22"/>
      <c r="J142" s="22"/>
      <c r="K142" s="22"/>
      <c r="O142" s="45">
        <v>150</v>
      </c>
      <c r="P142" s="61"/>
      <c r="Q142" s="61"/>
      <c r="R142" s="61"/>
      <c r="S142" s="61"/>
      <c r="T142" s="61"/>
      <c r="U142" s="61"/>
      <c r="V142">
        <f t="shared" si="2"/>
        <v>0</v>
      </c>
    </row>
    <row r="143" spans="3:22">
      <c r="C143" s="41">
        <v>143</v>
      </c>
      <c r="D143" s="1">
        <v>151</v>
      </c>
      <c r="E143" s="1">
        <v>800</v>
      </c>
      <c r="F143" s="22"/>
      <c r="G143" s="22"/>
      <c r="H143" s="22"/>
      <c r="I143" s="22"/>
      <c r="J143" s="22"/>
      <c r="K143" s="22">
        <v>4800</v>
      </c>
      <c r="O143" s="45">
        <v>151</v>
      </c>
      <c r="P143" s="61"/>
      <c r="Q143" s="61"/>
      <c r="R143" s="61"/>
      <c r="S143" s="61"/>
      <c r="T143" s="61"/>
      <c r="U143" s="61"/>
      <c r="V143">
        <f t="shared" si="2"/>
        <v>0</v>
      </c>
    </row>
    <row r="144" spans="3:22">
      <c r="C144" s="41">
        <v>62</v>
      </c>
      <c r="D144" s="1">
        <v>64</v>
      </c>
      <c r="E144" s="1">
        <v>800</v>
      </c>
      <c r="F144" s="29"/>
      <c r="G144" s="29"/>
      <c r="H144" s="29">
        <v>3200</v>
      </c>
      <c r="I144" s="29"/>
      <c r="J144" s="29"/>
      <c r="K144" s="29"/>
      <c r="O144" s="45">
        <v>152</v>
      </c>
      <c r="P144" s="61"/>
      <c r="Q144" s="61"/>
      <c r="R144" s="61"/>
      <c r="S144" s="61"/>
      <c r="T144" s="61"/>
      <c r="U144" s="61"/>
      <c r="V144">
        <f t="shared" si="2"/>
        <v>0</v>
      </c>
    </row>
    <row r="145" spans="3:22">
      <c r="C145" s="41">
        <v>225</v>
      </c>
      <c r="D145" s="1">
        <v>234</v>
      </c>
      <c r="E145" s="1">
        <v>800</v>
      </c>
      <c r="F145" s="29"/>
      <c r="G145" s="29"/>
      <c r="H145" s="29"/>
      <c r="I145" s="29"/>
      <c r="J145" s="29"/>
      <c r="K145" s="29"/>
      <c r="O145" s="45">
        <v>153</v>
      </c>
      <c r="P145" s="61"/>
      <c r="Q145" s="61"/>
      <c r="R145" s="61"/>
      <c r="S145" s="61">
        <v>1</v>
      </c>
      <c r="T145" s="61"/>
      <c r="U145" s="61"/>
      <c r="V145">
        <f t="shared" si="2"/>
        <v>1</v>
      </c>
    </row>
    <row r="146" spans="3:22">
      <c r="C146" s="41">
        <v>266</v>
      </c>
      <c r="D146" s="1">
        <v>279</v>
      </c>
      <c r="E146" s="1">
        <v>800</v>
      </c>
      <c r="F146" s="29"/>
      <c r="G146" s="29"/>
      <c r="H146" s="29"/>
      <c r="I146" s="29"/>
      <c r="J146" s="29"/>
      <c r="K146" s="29"/>
      <c r="O146" s="45">
        <v>154</v>
      </c>
      <c r="P146" s="61"/>
      <c r="Q146" s="61"/>
      <c r="R146" s="61"/>
      <c r="S146" s="61">
        <v>1</v>
      </c>
      <c r="T146" s="61">
        <v>1</v>
      </c>
      <c r="U146" s="61">
        <v>1</v>
      </c>
      <c r="V146">
        <f t="shared" si="2"/>
        <v>3</v>
      </c>
    </row>
    <row r="147" spans="3:22">
      <c r="C147" s="41">
        <v>157</v>
      </c>
      <c r="D147" s="1">
        <v>165</v>
      </c>
      <c r="E147" s="1">
        <v>800</v>
      </c>
      <c r="F147" s="29">
        <v>1000</v>
      </c>
      <c r="G147" s="29"/>
      <c r="H147" s="29"/>
      <c r="I147" s="29"/>
      <c r="J147" s="29"/>
      <c r="K147" s="29"/>
      <c r="O147" s="45">
        <v>155</v>
      </c>
      <c r="P147" s="61"/>
      <c r="Q147" s="61">
        <v>1</v>
      </c>
      <c r="R147" s="61">
        <v>1</v>
      </c>
      <c r="S147" s="61"/>
      <c r="T147" s="61">
        <v>1</v>
      </c>
      <c r="U147" s="61"/>
      <c r="V147">
        <f t="shared" si="2"/>
        <v>3</v>
      </c>
    </row>
    <row r="148" spans="3:22">
      <c r="C148" s="41">
        <v>194</v>
      </c>
      <c r="D148" s="1">
        <v>202</v>
      </c>
      <c r="E148" s="1">
        <v>800</v>
      </c>
      <c r="F148" s="29"/>
      <c r="G148" s="29">
        <v>5000</v>
      </c>
      <c r="H148" s="29"/>
      <c r="I148" s="29"/>
      <c r="J148" s="29"/>
      <c r="K148" s="29"/>
      <c r="O148" s="45">
        <v>156</v>
      </c>
      <c r="P148" s="61"/>
      <c r="Q148" s="61">
        <v>1</v>
      </c>
      <c r="R148" s="61">
        <v>1</v>
      </c>
      <c r="S148" s="61">
        <v>1</v>
      </c>
      <c r="T148" s="61">
        <v>1</v>
      </c>
      <c r="U148" s="61">
        <v>1</v>
      </c>
      <c r="V148">
        <f t="shared" si="2"/>
        <v>5</v>
      </c>
    </row>
    <row r="149" spans="3:22">
      <c r="C149" s="41">
        <v>65</v>
      </c>
      <c r="D149" s="1">
        <v>67</v>
      </c>
      <c r="E149" s="1">
        <v>800</v>
      </c>
      <c r="F149" s="29"/>
      <c r="G149" s="29"/>
      <c r="H149" s="29"/>
      <c r="I149" s="29"/>
      <c r="J149" s="29"/>
      <c r="K149" s="29"/>
      <c r="O149" s="45">
        <v>157</v>
      </c>
      <c r="P149" s="61">
        <v>1</v>
      </c>
      <c r="Q149" s="61"/>
      <c r="R149" s="61"/>
      <c r="S149" s="61"/>
      <c r="T149" s="61"/>
      <c r="U149" s="61"/>
      <c r="V149">
        <f t="shared" si="2"/>
        <v>1</v>
      </c>
    </row>
    <row r="150" spans="3:22">
      <c r="C150" s="41">
        <v>216</v>
      </c>
      <c r="D150" s="1">
        <v>225</v>
      </c>
      <c r="E150" s="1">
        <v>800</v>
      </c>
      <c r="F150" s="29"/>
      <c r="G150" s="29">
        <v>5200</v>
      </c>
      <c r="H150" s="29"/>
      <c r="I150" s="29"/>
      <c r="J150" s="29"/>
      <c r="K150" s="29"/>
      <c r="O150" s="45">
        <v>158</v>
      </c>
      <c r="P150" s="61"/>
      <c r="Q150" s="61"/>
      <c r="R150" s="61"/>
      <c r="S150" s="61"/>
      <c r="T150" s="61"/>
      <c r="U150" s="61"/>
      <c r="V150">
        <f t="shared" si="2"/>
        <v>0</v>
      </c>
    </row>
    <row r="151" spans="3:22">
      <c r="C151" s="41">
        <v>216</v>
      </c>
      <c r="D151" s="1">
        <v>226</v>
      </c>
      <c r="E151" s="1"/>
      <c r="F151" s="29"/>
      <c r="G151" s="29"/>
      <c r="H151" s="29"/>
      <c r="I151" s="29"/>
      <c r="J151" s="29"/>
      <c r="K151" s="29"/>
      <c r="O151" s="45">
        <v>159</v>
      </c>
      <c r="P151" s="61"/>
      <c r="Q151" s="61">
        <v>1</v>
      </c>
      <c r="R151" s="61"/>
      <c r="S151" s="61"/>
      <c r="T151" s="61"/>
      <c r="U151" s="61"/>
      <c r="V151">
        <f t="shared" si="2"/>
        <v>1</v>
      </c>
    </row>
    <row r="152" spans="3:22">
      <c r="C152" s="41">
        <v>56</v>
      </c>
      <c r="D152" s="1">
        <v>58</v>
      </c>
      <c r="E152" s="1">
        <v>800</v>
      </c>
      <c r="F152" s="29"/>
      <c r="G152" s="29"/>
      <c r="H152" s="29"/>
      <c r="I152" s="29"/>
      <c r="J152" s="29"/>
      <c r="K152" s="29"/>
      <c r="O152" s="45">
        <v>160</v>
      </c>
      <c r="P152" s="61"/>
      <c r="Q152" s="61"/>
      <c r="R152" s="61"/>
      <c r="S152" s="61"/>
      <c r="T152" s="61"/>
      <c r="U152" s="61"/>
      <c r="V152">
        <f t="shared" si="2"/>
        <v>0</v>
      </c>
    </row>
    <row r="153" spans="3:22">
      <c r="C153" s="41">
        <v>150</v>
      </c>
      <c r="D153" s="1">
        <v>158</v>
      </c>
      <c r="E153" s="1">
        <v>800</v>
      </c>
      <c r="F153" s="29"/>
      <c r="G153" s="29"/>
      <c r="H153" s="29"/>
      <c r="I153" s="29"/>
      <c r="J153" s="29"/>
      <c r="K153" s="29"/>
      <c r="O153" s="45">
        <v>161</v>
      </c>
      <c r="P153" s="61"/>
      <c r="Q153" s="61"/>
      <c r="R153" s="61"/>
      <c r="S153" s="61"/>
      <c r="T153" s="61"/>
      <c r="U153" s="61"/>
      <c r="V153">
        <f t="shared" si="2"/>
        <v>0</v>
      </c>
    </row>
    <row r="154" spans="3:22">
      <c r="C154" s="41">
        <v>243</v>
      </c>
      <c r="D154" s="1">
        <v>254</v>
      </c>
      <c r="E154" s="1">
        <v>800</v>
      </c>
      <c r="F154" s="29">
        <v>5000</v>
      </c>
      <c r="G154" s="29">
        <v>4800</v>
      </c>
      <c r="H154" s="29"/>
      <c r="I154" s="29"/>
      <c r="J154" s="29"/>
      <c r="K154" s="29">
        <v>4800</v>
      </c>
      <c r="O154" s="45">
        <v>162</v>
      </c>
      <c r="P154" s="61"/>
      <c r="Q154" s="61"/>
      <c r="R154" s="61"/>
      <c r="S154" s="61"/>
      <c r="T154" s="61">
        <v>1</v>
      </c>
      <c r="U154" s="61"/>
      <c r="V154">
        <f t="shared" si="2"/>
        <v>1</v>
      </c>
    </row>
    <row r="155" spans="3:22">
      <c r="C155" s="41">
        <v>220</v>
      </c>
      <c r="D155" s="1">
        <v>229</v>
      </c>
      <c r="E155" s="1">
        <v>800</v>
      </c>
      <c r="F155" s="29"/>
      <c r="G155" s="29"/>
      <c r="H155" s="29"/>
      <c r="I155" s="29"/>
      <c r="J155" s="29"/>
      <c r="K155" s="29"/>
      <c r="O155" s="45">
        <v>163</v>
      </c>
      <c r="P155" s="61"/>
      <c r="Q155" s="61"/>
      <c r="R155" s="61"/>
      <c r="S155" s="61"/>
      <c r="T155" s="61"/>
      <c r="U155" s="61"/>
      <c r="V155">
        <f t="shared" si="2"/>
        <v>0</v>
      </c>
    </row>
    <row r="156" spans="3:22">
      <c r="C156" s="41">
        <v>3</v>
      </c>
      <c r="D156" s="1">
        <v>3</v>
      </c>
      <c r="E156" s="1">
        <v>800</v>
      </c>
      <c r="F156" s="29"/>
      <c r="G156" s="29"/>
      <c r="H156" s="29"/>
      <c r="I156" s="29"/>
      <c r="J156" s="29"/>
      <c r="K156" s="29"/>
      <c r="O156" s="45">
        <v>164</v>
      </c>
      <c r="P156" s="61"/>
      <c r="Q156" s="61"/>
      <c r="R156" s="61"/>
      <c r="S156" s="61"/>
      <c r="T156" s="61"/>
      <c r="U156" s="61"/>
      <c r="V156">
        <f t="shared" si="2"/>
        <v>0</v>
      </c>
    </row>
    <row r="157" spans="3:22">
      <c r="C157" s="41">
        <v>158</v>
      </c>
      <c r="D157" s="1">
        <v>166</v>
      </c>
      <c r="E157" s="1">
        <v>800</v>
      </c>
      <c r="F157" s="29"/>
      <c r="G157" s="29"/>
      <c r="H157" s="29"/>
      <c r="I157" s="29"/>
      <c r="J157" s="29"/>
      <c r="K157" s="29"/>
      <c r="O157" s="45">
        <v>165</v>
      </c>
      <c r="P157" s="61"/>
      <c r="Q157" s="61"/>
      <c r="R157" s="61"/>
      <c r="S157" s="61"/>
      <c r="T157" s="61"/>
      <c r="U157" s="61"/>
      <c r="V157">
        <f t="shared" si="2"/>
        <v>0</v>
      </c>
    </row>
    <row r="158" spans="3:22">
      <c r="C158" s="41">
        <v>139</v>
      </c>
      <c r="D158" s="1">
        <v>149</v>
      </c>
      <c r="E158" s="1"/>
      <c r="F158" s="29"/>
      <c r="G158" s="29"/>
      <c r="H158" s="29"/>
      <c r="I158" s="29"/>
      <c r="J158" s="29">
        <v>4800</v>
      </c>
      <c r="K158" s="29"/>
      <c r="O158" s="45">
        <v>166</v>
      </c>
      <c r="P158" s="61"/>
      <c r="Q158" s="61"/>
      <c r="R158" s="61"/>
      <c r="S158" s="61"/>
      <c r="T158" s="61"/>
      <c r="U158" s="61"/>
      <c r="V158">
        <f t="shared" si="2"/>
        <v>0</v>
      </c>
    </row>
    <row r="159" spans="3:22">
      <c r="C159" s="41">
        <v>139</v>
      </c>
      <c r="D159" s="1">
        <v>147</v>
      </c>
      <c r="E159" s="1"/>
      <c r="F159" s="29"/>
      <c r="G159" s="29"/>
      <c r="H159" s="29"/>
      <c r="I159" s="29"/>
      <c r="J159" s="29"/>
      <c r="K159" s="29"/>
      <c r="O159" s="45">
        <v>167</v>
      </c>
      <c r="P159" s="61"/>
      <c r="Q159" s="61"/>
      <c r="R159" s="61"/>
      <c r="S159" s="61"/>
      <c r="T159" s="61"/>
      <c r="U159" s="61"/>
      <c r="V159">
        <f t="shared" si="2"/>
        <v>0</v>
      </c>
    </row>
    <row r="160" spans="3:22">
      <c r="C160" s="41">
        <v>139</v>
      </c>
      <c r="D160" s="1">
        <v>148</v>
      </c>
      <c r="E160" s="1">
        <v>800</v>
      </c>
      <c r="F160" s="29"/>
      <c r="G160" s="29"/>
      <c r="H160" s="29"/>
      <c r="I160" s="29"/>
      <c r="J160" s="29"/>
      <c r="K160" s="29"/>
      <c r="O160" s="45">
        <v>168</v>
      </c>
      <c r="P160" s="61"/>
      <c r="Q160" s="61">
        <v>1</v>
      </c>
      <c r="R160" s="61"/>
      <c r="S160" s="61">
        <v>1</v>
      </c>
      <c r="T160" s="61">
        <v>1</v>
      </c>
      <c r="U160" s="61"/>
      <c r="V160">
        <f t="shared" si="2"/>
        <v>3</v>
      </c>
    </row>
    <row r="161" spans="3:22">
      <c r="C161" s="41">
        <v>261</v>
      </c>
      <c r="D161" s="1">
        <v>274</v>
      </c>
      <c r="E161" s="1"/>
      <c r="F161" s="29">
        <v>2400</v>
      </c>
      <c r="G161" s="29"/>
      <c r="H161" s="29"/>
      <c r="I161" s="29">
        <v>2400</v>
      </c>
      <c r="J161" s="29"/>
      <c r="K161" s="29"/>
      <c r="O161" s="45">
        <v>169</v>
      </c>
      <c r="P161" s="61"/>
      <c r="Q161" s="61"/>
      <c r="R161" s="61">
        <v>1</v>
      </c>
      <c r="S161" s="61"/>
      <c r="T161" s="61">
        <v>1</v>
      </c>
      <c r="U161" s="61"/>
      <c r="V161">
        <f t="shared" si="2"/>
        <v>2</v>
      </c>
    </row>
    <row r="162" spans="3:22">
      <c r="C162" s="41">
        <v>261</v>
      </c>
      <c r="D162" s="1">
        <v>275</v>
      </c>
      <c r="E162" s="1">
        <v>800</v>
      </c>
      <c r="F162" s="29"/>
      <c r="G162" s="29"/>
      <c r="H162" s="29"/>
      <c r="I162" s="29"/>
      <c r="J162" s="29"/>
      <c r="K162" s="29"/>
      <c r="O162" s="45">
        <v>170</v>
      </c>
      <c r="P162" s="61">
        <v>1</v>
      </c>
      <c r="Q162" s="61"/>
      <c r="R162" s="61">
        <v>1</v>
      </c>
      <c r="S162" s="61"/>
      <c r="T162" s="61"/>
      <c r="U162" s="61">
        <v>1</v>
      </c>
      <c r="V162">
        <f t="shared" si="2"/>
        <v>3</v>
      </c>
    </row>
    <row r="163" spans="3:22">
      <c r="C163" s="41">
        <v>288</v>
      </c>
      <c r="D163" s="1">
        <v>300</v>
      </c>
      <c r="E163" s="1">
        <v>800</v>
      </c>
      <c r="F163" s="29"/>
      <c r="G163" s="29"/>
      <c r="H163" s="29"/>
      <c r="I163" s="29"/>
      <c r="J163" s="29"/>
      <c r="K163" s="29"/>
      <c r="O163" s="45">
        <v>172</v>
      </c>
      <c r="P163" s="61"/>
      <c r="Q163" s="61"/>
      <c r="R163" s="61"/>
      <c r="S163" s="61"/>
      <c r="T163" s="61"/>
      <c r="U163" s="61"/>
      <c r="V163">
        <f t="shared" si="2"/>
        <v>0</v>
      </c>
    </row>
    <row r="164" spans="3:22">
      <c r="C164" s="41">
        <v>166</v>
      </c>
      <c r="D164" s="1">
        <v>174</v>
      </c>
      <c r="E164" s="1">
        <v>800</v>
      </c>
      <c r="F164" s="29"/>
      <c r="G164" s="29"/>
      <c r="H164" s="29"/>
      <c r="I164" s="29"/>
      <c r="J164" s="29"/>
      <c r="K164" s="29"/>
      <c r="O164" s="45">
        <v>173</v>
      </c>
      <c r="P164" s="61"/>
      <c r="Q164" s="61"/>
      <c r="R164" s="61"/>
      <c r="S164" s="61"/>
      <c r="T164" s="61"/>
      <c r="U164" s="61"/>
      <c r="V164">
        <f t="shared" si="2"/>
        <v>0</v>
      </c>
    </row>
    <row r="165" spans="3:22">
      <c r="C165" s="41">
        <v>118</v>
      </c>
      <c r="D165" s="1">
        <v>123</v>
      </c>
      <c r="E165" s="1">
        <v>800</v>
      </c>
      <c r="F165" s="29"/>
      <c r="G165" s="29"/>
      <c r="H165" s="29"/>
      <c r="I165" s="29"/>
      <c r="J165" s="29"/>
      <c r="K165" s="29"/>
      <c r="O165" s="45">
        <v>174</v>
      </c>
      <c r="P165" s="61">
        <v>1</v>
      </c>
      <c r="Q165" s="61"/>
      <c r="R165" s="61"/>
      <c r="S165" s="61"/>
      <c r="T165" s="61">
        <v>1</v>
      </c>
      <c r="U165" s="61"/>
      <c r="V165">
        <f t="shared" si="2"/>
        <v>2</v>
      </c>
    </row>
    <row r="166" spans="3:22">
      <c r="C166" s="41">
        <v>199</v>
      </c>
      <c r="D166" s="1">
        <v>207</v>
      </c>
      <c r="E166" s="1">
        <v>800</v>
      </c>
      <c r="F166" s="29"/>
      <c r="G166" s="29"/>
      <c r="H166" s="29"/>
      <c r="I166" s="29"/>
      <c r="J166" s="29"/>
      <c r="K166" s="29"/>
      <c r="O166" s="45">
        <v>175</v>
      </c>
      <c r="P166" s="61"/>
      <c r="Q166" s="61"/>
      <c r="R166" s="61"/>
      <c r="S166" s="61"/>
      <c r="T166" s="61">
        <v>1</v>
      </c>
      <c r="U166" s="61"/>
      <c r="V166">
        <f t="shared" si="2"/>
        <v>1</v>
      </c>
    </row>
    <row r="167" spans="3:22">
      <c r="C167" s="41">
        <v>199</v>
      </c>
      <c r="D167" s="1">
        <v>208</v>
      </c>
      <c r="E167" s="1"/>
      <c r="F167" s="29"/>
      <c r="G167" s="29"/>
      <c r="H167" s="29"/>
      <c r="I167" s="29"/>
      <c r="J167" s="29"/>
      <c r="K167" s="29"/>
      <c r="O167" s="45">
        <v>176</v>
      </c>
      <c r="P167" s="61">
        <v>1</v>
      </c>
      <c r="Q167" s="61">
        <v>1</v>
      </c>
      <c r="R167" s="61"/>
      <c r="S167" s="61"/>
      <c r="T167" s="61">
        <v>1</v>
      </c>
      <c r="U167" s="61">
        <v>1</v>
      </c>
      <c r="V167">
        <f t="shared" si="2"/>
        <v>4</v>
      </c>
    </row>
    <row r="168" spans="3:22">
      <c r="C168" s="41">
        <v>164</v>
      </c>
      <c r="D168" s="1">
        <v>172</v>
      </c>
      <c r="E168" s="1">
        <v>800</v>
      </c>
      <c r="F168" s="29"/>
      <c r="G168" s="29"/>
      <c r="H168" s="29"/>
      <c r="I168" s="29"/>
      <c r="J168" s="29"/>
      <c r="K168" s="29"/>
      <c r="O168" s="45">
        <v>177</v>
      </c>
      <c r="P168" s="61"/>
      <c r="Q168" s="61"/>
      <c r="R168" s="61"/>
      <c r="S168" s="61"/>
      <c r="T168" s="61"/>
      <c r="U168" s="61"/>
      <c r="V168">
        <f t="shared" si="2"/>
        <v>0</v>
      </c>
    </row>
    <row r="169" spans="3:22">
      <c r="C169" s="41">
        <v>34</v>
      </c>
      <c r="D169" s="1">
        <v>34</v>
      </c>
      <c r="E169" s="1">
        <v>800</v>
      </c>
      <c r="F169" s="29"/>
      <c r="G169" s="29"/>
      <c r="H169" s="29"/>
      <c r="I169" s="29"/>
      <c r="J169" s="29"/>
      <c r="K169" s="29"/>
      <c r="O169" s="45">
        <v>178</v>
      </c>
      <c r="P169" s="61"/>
      <c r="Q169" s="61"/>
      <c r="R169" s="61"/>
      <c r="S169" s="61"/>
      <c r="T169" s="61"/>
      <c r="U169" s="61"/>
      <c r="V169">
        <f t="shared" si="2"/>
        <v>0</v>
      </c>
    </row>
    <row r="170" spans="3:22">
      <c r="C170" s="41">
        <v>13</v>
      </c>
      <c r="D170" s="1">
        <v>13</v>
      </c>
      <c r="E170" s="1">
        <v>800</v>
      </c>
      <c r="F170" s="29"/>
      <c r="G170" s="29"/>
      <c r="H170" s="29"/>
      <c r="I170" s="29"/>
      <c r="J170" s="29"/>
      <c r="K170" s="29"/>
      <c r="O170" s="45">
        <v>180</v>
      </c>
      <c r="P170" s="61"/>
      <c r="Q170" s="61"/>
      <c r="R170" s="61"/>
      <c r="S170" s="61"/>
      <c r="T170" s="61">
        <v>1</v>
      </c>
      <c r="U170" s="61"/>
      <c r="V170">
        <f t="shared" si="2"/>
        <v>1</v>
      </c>
    </row>
    <row r="171" spans="3:22">
      <c r="C171" s="41">
        <v>273</v>
      </c>
      <c r="D171" s="1">
        <v>286</v>
      </c>
      <c r="E171" s="1">
        <v>800</v>
      </c>
      <c r="F171" s="29"/>
      <c r="G171" s="29"/>
      <c r="H171" s="29"/>
      <c r="I171" s="29"/>
      <c r="J171" s="29"/>
      <c r="K171" s="29">
        <v>8000</v>
      </c>
      <c r="O171" s="45">
        <v>181</v>
      </c>
      <c r="P171" s="61"/>
      <c r="Q171" s="61"/>
      <c r="R171" s="61"/>
      <c r="S171" s="61"/>
      <c r="T171" s="61">
        <v>1</v>
      </c>
      <c r="U171" s="61"/>
      <c r="V171">
        <f t="shared" si="2"/>
        <v>1</v>
      </c>
    </row>
    <row r="172" spans="3:22">
      <c r="C172" s="41">
        <v>87</v>
      </c>
      <c r="D172" s="1">
        <v>92</v>
      </c>
      <c r="E172" s="1">
        <v>800</v>
      </c>
      <c r="F172" s="29"/>
      <c r="G172" s="29"/>
      <c r="H172" s="29"/>
      <c r="I172" s="29"/>
      <c r="J172" s="29"/>
      <c r="K172" s="29"/>
      <c r="O172" s="45">
        <v>182</v>
      </c>
      <c r="P172" s="61"/>
      <c r="Q172" s="61"/>
      <c r="R172" s="61"/>
      <c r="S172" s="61"/>
      <c r="T172" s="61">
        <v>1</v>
      </c>
      <c r="U172" s="61"/>
      <c r="V172">
        <f t="shared" si="2"/>
        <v>1</v>
      </c>
    </row>
    <row r="173" spans="3:22">
      <c r="C173" s="41">
        <v>154</v>
      </c>
      <c r="D173" s="1">
        <v>162</v>
      </c>
      <c r="E173" s="1">
        <v>800</v>
      </c>
      <c r="F173" s="29"/>
      <c r="G173" s="29"/>
      <c r="H173" s="29"/>
      <c r="I173" s="29">
        <v>2400</v>
      </c>
      <c r="J173" s="29">
        <v>800</v>
      </c>
      <c r="K173" s="29">
        <v>1600</v>
      </c>
      <c r="O173" s="45">
        <v>183</v>
      </c>
      <c r="P173" s="61">
        <v>1</v>
      </c>
      <c r="Q173" s="61"/>
      <c r="R173" s="61"/>
      <c r="S173" s="61"/>
      <c r="T173" s="61"/>
      <c r="U173" s="61"/>
      <c r="V173">
        <f t="shared" si="2"/>
        <v>1</v>
      </c>
    </row>
    <row r="174" spans="3:22">
      <c r="C174" s="41">
        <v>270</v>
      </c>
      <c r="D174" s="1">
        <v>283</v>
      </c>
      <c r="E174" s="1">
        <v>800</v>
      </c>
      <c r="F174" s="29"/>
      <c r="G174" s="29"/>
      <c r="H174" s="29"/>
      <c r="I174" s="29"/>
      <c r="J174" s="29"/>
      <c r="K174" s="29"/>
      <c r="O174" s="45">
        <v>185</v>
      </c>
      <c r="P174" s="61"/>
      <c r="Q174" s="61"/>
      <c r="R174" s="61"/>
      <c r="S174" s="61"/>
      <c r="T174" s="61"/>
      <c r="U174" s="61"/>
      <c r="V174">
        <f t="shared" si="2"/>
        <v>0</v>
      </c>
    </row>
    <row r="175" spans="3:22">
      <c r="C175" s="41">
        <v>9</v>
      </c>
      <c r="D175" s="1">
        <v>9</v>
      </c>
      <c r="E175" s="1">
        <v>800</v>
      </c>
      <c r="F175" s="29"/>
      <c r="G175" s="29"/>
      <c r="H175" s="29"/>
      <c r="I175" s="29"/>
      <c r="J175" s="29">
        <v>9000</v>
      </c>
      <c r="K175" s="29">
        <v>1600</v>
      </c>
      <c r="O175" s="45">
        <v>186</v>
      </c>
      <c r="P175" s="61"/>
      <c r="Q175" s="61"/>
      <c r="R175" s="61"/>
      <c r="S175" s="61">
        <v>1</v>
      </c>
      <c r="T175" s="61"/>
      <c r="U175" s="61"/>
      <c r="V175">
        <f t="shared" si="2"/>
        <v>1</v>
      </c>
    </row>
    <row r="176" spans="3:22">
      <c r="C176" s="41">
        <v>129</v>
      </c>
      <c r="D176" s="1">
        <v>136</v>
      </c>
      <c r="E176" s="1">
        <v>800</v>
      </c>
      <c r="F176" s="29"/>
      <c r="G176" s="29">
        <v>3000</v>
      </c>
      <c r="H176" s="29"/>
      <c r="I176" s="29">
        <v>3000</v>
      </c>
      <c r="J176" s="29"/>
      <c r="K176" s="29"/>
      <c r="O176" s="45">
        <v>187</v>
      </c>
      <c r="P176" s="61"/>
      <c r="Q176" s="61"/>
      <c r="R176" s="61"/>
      <c r="S176" s="61">
        <v>1</v>
      </c>
      <c r="T176" s="61"/>
      <c r="U176" s="61"/>
      <c r="V176">
        <f t="shared" si="2"/>
        <v>1</v>
      </c>
    </row>
    <row r="177" spans="3:22">
      <c r="C177" s="41">
        <v>42</v>
      </c>
      <c r="D177" s="1">
        <v>42</v>
      </c>
      <c r="E177" s="1">
        <v>800</v>
      </c>
      <c r="F177" s="29">
        <v>5000</v>
      </c>
      <c r="G177" s="29">
        <v>1400</v>
      </c>
      <c r="H177" s="29"/>
      <c r="I177" s="29">
        <v>1600</v>
      </c>
      <c r="J177" s="29"/>
      <c r="K177" s="29">
        <v>1600</v>
      </c>
      <c r="O177" s="45">
        <v>188</v>
      </c>
      <c r="P177" s="61"/>
      <c r="Q177" s="61"/>
      <c r="R177" s="61"/>
      <c r="S177" s="61"/>
      <c r="T177" s="61"/>
      <c r="U177" s="61"/>
      <c r="V177">
        <f t="shared" si="2"/>
        <v>0</v>
      </c>
    </row>
    <row r="178" spans="3:22">
      <c r="C178" s="41">
        <v>96</v>
      </c>
      <c r="D178" s="1">
        <v>101</v>
      </c>
      <c r="E178" s="1"/>
      <c r="F178" s="29">
        <v>9000</v>
      </c>
      <c r="G178" s="29"/>
      <c r="H178" s="29"/>
      <c r="I178" s="29">
        <v>2000</v>
      </c>
      <c r="J178" s="29"/>
      <c r="K178" s="29">
        <v>2000</v>
      </c>
      <c r="O178" s="45">
        <v>190</v>
      </c>
      <c r="P178" s="61"/>
      <c r="Q178" s="61"/>
      <c r="R178" s="61"/>
      <c r="S178" s="61"/>
      <c r="T178" s="61"/>
      <c r="U178" s="61">
        <v>1</v>
      </c>
      <c r="V178">
        <f t="shared" si="2"/>
        <v>1</v>
      </c>
    </row>
    <row r="179" spans="3:22">
      <c r="C179" s="41">
        <v>96</v>
      </c>
      <c r="D179" s="1">
        <v>102</v>
      </c>
      <c r="E179" s="1">
        <v>800</v>
      </c>
      <c r="F179" s="29"/>
      <c r="G179" s="29"/>
      <c r="H179" s="29"/>
      <c r="I179" s="29"/>
      <c r="J179" s="29"/>
      <c r="K179" s="29"/>
      <c r="O179" s="45">
        <v>191</v>
      </c>
      <c r="P179" s="61"/>
      <c r="Q179" s="61"/>
      <c r="R179" s="61"/>
      <c r="S179" s="61"/>
      <c r="T179" s="61"/>
      <c r="U179" s="61"/>
      <c r="V179">
        <f t="shared" si="2"/>
        <v>0</v>
      </c>
    </row>
    <row r="180" spans="3:22">
      <c r="C180" s="41">
        <v>292</v>
      </c>
      <c r="D180" s="1">
        <v>305</v>
      </c>
      <c r="E180" s="1">
        <v>800</v>
      </c>
      <c r="F180" s="29"/>
      <c r="G180" s="29"/>
      <c r="H180" s="29"/>
      <c r="I180" s="29"/>
      <c r="J180" s="29"/>
      <c r="K180" s="29"/>
      <c r="O180" s="45">
        <v>192</v>
      </c>
      <c r="P180" s="61"/>
      <c r="Q180" s="61"/>
      <c r="R180" s="61"/>
      <c r="S180" s="61"/>
      <c r="T180" s="61"/>
      <c r="U180" s="61"/>
      <c r="V180">
        <f t="shared" si="2"/>
        <v>0</v>
      </c>
    </row>
    <row r="181" spans="3:22">
      <c r="C181" s="41">
        <v>209</v>
      </c>
      <c r="D181" s="1">
        <v>219</v>
      </c>
      <c r="E181" s="1">
        <v>800</v>
      </c>
      <c r="F181" s="29"/>
      <c r="G181" s="29"/>
      <c r="H181" s="29"/>
      <c r="I181" s="29"/>
      <c r="J181" s="29">
        <v>2000</v>
      </c>
      <c r="K181" s="29">
        <v>3000</v>
      </c>
      <c r="O181" s="45">
        <v>193</v>
      </c>
      <c r="P181" s="61"/>
      <c r="Q181" s="61"/>
      <c r="R181" s="61"/>
      <c r="S181" s="61"/>
      <c r="T181" s="61"/>
      <c r="U181" s="61"/>
      <c r="V181">
        <f t="shared" si="2"/>
        <v>0</v>
      </c>
    </row>
    <row r="182" spans="3:22">
      <c r="C182" s="41">
        <v>257</v>
      </c>
      <c r="D182" s="1">
        <v>270</v>
      </c>
      <c r="E182" s="1">
        <v>800</v>
      </c>
      <c r="F182" s="29"/>
      <c r="G182" s="29"/>
      <c r="H182" s="29"/>
      <c r="I182" s="29"/>
      <c r="J182" s="29"/>
      <c r="K182" s="29"/>
      <c r="O182" s="45">
        <v>194</v>
      </c>
      <c r="P182" s="61"/>
      <c r="Q182" s="61">
        <v>1</v>
      </c>
      <c r="R182" s="61"/>
      <c r="S182" s="61"/>
      <c r="T182" s="61"/>
      <c r="U182" s="61"/>
      <c r="V182">
        <f t="shared" si="2"/>
        <v>1</v>
      </c>
    </row>
    <row r="183" spans="3:22">
      <c r="C183" s="41">
        <v>212</v>
      </c>
      <c r="D183" s="1">
        <v>221</v>
      </c>
      <c r="E183" s="1">
        <v>800</v>
      </c>
      <c r="F183" s="29">
        <v>600</v>
      </c>
      <c r="G183" s="29"/>
      <c r="H183" s="29">
        <v>1600</v>
      </c>
      <c r="I183" s="29">
        <v>800</v>
      </c>
      <c r="J183" s="29"/>
      <c r="K183" s="29"/>
      <c r="O183" s="45">
        <v>196</v>
      </c>
      <c r="P183" s="61"/>
      <c r="Q183" s="61"/>
      <c r="R183" s="61">
        <v>1</v>
      </c>
      <c r="S183" s="61"/>
      <c r="T183" s="61"/>
      <c r="U183" s="61"/>
      <c r="V183">
        <f t="shared" si="2"/>
        <v>1</v>
      </c>
    </row>
    <row r="184" spans="3:22">
      <c r="C184" s="41">
        <v>320</v>
      </c>
      <c r="D184" s="1"/>
      <c r="E184" s="1">
        <v>800</v>
      </c>
      <c r="F184" s="29"/>
      <c r="G184" s="29"/>
      <c r="H184" s="29"/>
      <c r="I184" s="29">
        <v>13200</v>
      </c>
      <c r="J184" s="29"/>
      <c r="K184" s="29"/>
      <c r="O184" s="45">
        <v>197</v>
      </c>
      <c r="P184" s="61"/>
      <c r="Q184" s="61"/>
      <c r="R184" s="61"/>
      <c r="S184" s="61"/>
      <c r="T184" s="61"/>
      <c r="U184" s="61"/>
      <c r="V184">
        <f t="shared" si="2"/>
        <v>0</v>
      </c>
    </row>
    <row r="185" spans="3:22">
      <c r="C185" s="41">
        <v>186</v>
      </c>
      <c r="D185" s="1">
        <v>194</v>
      </c>
      <c r="E185" s="1">
        <v>800</v>
      </c>
      <c r="F185" s="29"/>
      <c r="G185" s="29"/>
      <c r="H185" s="29"/>
      <c r="I185" s="29">
        <v>5000</v>
      </c>
      <c r="J185" s="29"/>
      <c r="K185" s="29"/>
      <c r="O185" s="45">
        <v>198</v>
      </c>
      <c r="P185" s="61"/>
      <c r="Q185" s="61"/>
      <c r="R185" s="61">
        <v>1</v>
      </c>
      <c r="S185" s="61"/>
      <c r="T185" s="61">
        <v>1</v>
      </c>
      <c r="U185" s="61"/>
      <c r="V185">
        <f t="shared" si="2"/>
        <v>2</v>
      </c>
    </row>
    <row r="186" spans="3:22">
      <c r="C186" s="41">
        <v>187</v>
      </c>
      <c r="D186" s="1">
        <v>195</v>
      </c>
      <c r="E186" s="1">
        <v>800</v>
      </c>
      <c r="F186" s="29"/>
      <c r="G186" s="29"/>
      <c r="H186" s="29"/>
      <c r="I186" s="29">
        <v>5000</v>
      </c>
      <c r="J186" s="29"/>
      <c r="K186" s="29"/>
      <c r="O186" s="45">
        <v>199</v>
      </c>
      <c r="P186" s="61"/>
      <c r="Q186" s="61"/>
      <c r="R186" s="61"/>
      <c r="S186" s="61"/>
      <c r="T186" s="61"/>
      <c r="U186" s="61"/>
      <c r="V186">
        <f t="shared" si="2"/>
        <v>0</v>
      </c>
    </row>
    <row r="187" spans="3:22">
      <c r="C187" s="41">
        <v>211</v>
      </c>
      <c r="D187" s="1">
        <v>220</v>
      </c>
      <c r="E187" s="1">
        <v>800</v>
      </c>
      <c r="F187" s="29"/>
      <c r="G187" s="29"/>
      <c r="H187" s="29"/>
      <c r="I187" s="29"/>
      <c r="J187" s="29"/>
      <c r="K187" s="29"/>
      <c r="O187" s="45">
        <v>201</v>
      </c>
      <c r="P187" s="61">
        <v>1</v>
      </c>
      <c r="Q187" s="61"/>
      <c r="R187" s="61"/>
      <c r="S187" s="61"/>
      <c r="T187" s="61">
        <v>1</v>
      </c>
      <c r="U187" s="61"/>
      <c r="V187">
        <f t="shared" si="2"/>
        <v>2</v>
      </c>
    </row>
    <row r="188" spans="3:22">
      <c r="C188" s="41">
        <v>242</v>
      </c>
      <c r="D188" s="1">
        <v>253</v>
      </c>
      <c r="E188" s="1">
        <v>800</v>
      </c>
      <c r="F188" s="29"/>
      <c r="G188" s="29"/>
      <c r="H188" s="29"/>
      <c r="I188" s="29"/>
      <c r="J188" s="29"/>
      <c r="K188" s="29"/>
      <c r="O188" s="45">
        <v>202</v>
      </c>
      <c r="P188" s="61"/>
      <c r="Q188" s="61"/>
      <c r="R188" s="61"/>
      <c r="S188" s="61"/>
      <c r="T188" s="61"/>
      <c r="U188" s="61"/>
      <c r="V188">
        <f t="shared" si="2"/>
        <v>0</v>
      </c>
    </row>
    <row r="189" spans="3:22">
      <c r="C189" s="41">
        <v>218</v>
      </c>
      <c r="D189" s="10">
        <v>227</v>
      </c>
      <c r="E189" s="10">
        <v>800</v>
      </c>
      <c r="F189" s="29"/>
      <c r="G189" s="29"/>
      <c r="H189" s="29">
        <v>1000</v>
      </c>
      <c r="I189" s="29"/>
      <c r="J189" s="29"/>
      <c r="K189" s="29">
        <v>5000</v>
      </c>
      <c r="O189" s="45">
        <v>203</v>
      </c>
      <c r="P189" s="61">
        <v>1</v>
      </c>
      <c r="Q189" s="61"/>
      <c r="R189" s="61"/>
      <c r="S189" s="61"/>
      <c r="T189" s="61">
        <v>1</v>
      </c>
      <c r="U189" s="61"/>
      <c r="V189">
        <f t="shared" si="2"/>
        <v>2</v>
      </c>
    </row>
    <row r="190" spans="3:22">
      <c r="C190" s="41">
        <v>120</v>
      </c>
      <c r="D190" s="1">
        <v>125</v>
      </c>
      <c r="E190" s="1">
        <v>800</v>
      </c>
      <c r="F190" s="29">
        <v>5000</v>
      </c>
      <c r="G190" s="29">
        <v>6600</v>
      </c>
      <c r="H190" s="29">
        <v>2000</v>
      </c>
      <c r="I190" s="29"/>
      <c r="J190" s="29"/>
      <c r="K190" s="29">
        <v>1200</v>
      </c>
      <c r="O190" s="45">
        <v>204</v>
      </c>
      <c r="P190" s="61"/>
      <c r="Q190" s="61"/>
      <c r="R190" s="61"/>
      <c r="S190" s="61"/>
      <c r="T190" s="61"/>
      <c r="U190" s="61"/>
      <c r="V190">
        <f t="shared" si="2"/>
        <v>0</v>
      </c>
    </row>
    <row r="191" spans="3:22">
      <c r="C191" s="41">
        <v>287</v>
      </c>
      <c r="D191" s="1">
        <v>299</v>
      </c>
      <c r="E191" s="1">
        <v>800</v>
      </c>
      <c r="F191" s="29"/>
      <c r="G191" s="29"/>
      <c r="H191" s="29"/>
      <c r="I191" s="29"/>
      <c r="J191" s="29"/>
      <c r="K191" s="29"/>
      <c r="O191" s="45">
        <v>205</v>
      </c>
      <c r="P191" s="61"/>
      <c r="Q191" s="61"/>
      <c r="R191" s="61"/>
      <c r="S191" s="61"/>
      <c r="T191" s="61"/>
      <c r="U191" s="61"/>
      <c r="V191">
        <f t="shared" si="2"/>
        <v>0</v>
      </c>
    </row>
    <row r="192" spans="3:22">
      <c r="C192" s="41">
        <v>170</v>
      </c>
      <c r="D192" s="1">
        <v>178</v>
      </c>
      <c r="E192" s="1"/>
      <c r="F192" s="29">
        <v>2400</v>
      </c>
      <c r="G192" s="29"/>
      <c r="H192" s="29">
        <v>2400</v>
      </c>
      <c r="I192" s="29"/>
      <c r="J192" s="29"/>
      <c r="K192" s="29">
        <v>2400</v>
      </c>
      <c r="O192" s="45">
        <v>206</v>
      </c>
      <c r="P192" s="61"/>
      <c r="Q192" s="61"/>
      <c r="R192" s="61"/>
      <c r="S192" s="61"/>
      <c r="T192" s="61"/>
      <c r="U192" s="61"/>
      <c r="V192">
        <f t="shared" si="2"/>
        <v>0</v>
      </c>
    </row>
    <row r="193" spans="3:22">
      <c r="C193" s="41">
        <v>170</v>
      </c>
      <c r="D193" s="1">
        <v>179</v>
      </c>
      <c r="E193" s="1">
        <v>800</v>
      </c>
      <c r="F193" s="29"/>
      <c r="G193" s="29"/>
      <c r="H193" s="29"/>
      <c r="I193" s="29"/>
      <c r="J193" s="29"/>
      <c r="K193" s="29"/>
      <c r="O193" s="45">
        <v>207</v>
      </c>
      <c r="P193" s="61"/>
      <c r="Q193" s="61"/>
      <c r="R193" s="61"/>
      <c r="S193" s="61"/>
      <c r="T193" s="61"/>
      <c r="U193" s="61"/>
      <c r="V193">
        <f t="shared" si="2"/>
        <v>0</v>
      </c>
    </row>
    <row r="194" spans="3:22">
      <c r="C194" s="41">
        <v>290</v>
      </c>
      <c r="D194" s="1">
        <v>303</v>
      </c>
      <c r="E194" s="1">
        <v>800</v>
      </c>
      <c r="F194" s="29"/>
      <c r="G194" s="29"/>
      <c r="H194" s="29"/>
      <c r="I194" s="29"/>
      <c r="J194" s="29">
        <v>5000</v>
      </c>
      <c r="K194" s="29"/>
      <c r="O194" s="45">
        <v>208</v>
      </c>
      <c r="P194" s="61"/>
      <c r="Q194" s="61"/>
      <c r="R194" s="61"/>
      <c r="S194" s="61"/>
      <c r="T194" s="61"/>
      <c r="U194" s="61"/>
      <c r="V194">
        <f t="shared" si="2"/>
        <v>0</v>
      </c>
    </row>
    <row r="195" spans="3:22">
      <c r="C195" s="41">
        <v>81</v>
      </c>
      <c r="D195" s="1">
        <v>86</v>
      </c>
      <c r="E195" s="1">
        <v>800</v>
      </c>
      <c r="F195" s="29"/>
      <c r="G195" s="29"/>
      <c r="H195" s="29">
        <v>3200</v>
      </c>
      <c r="I195" s="29"/>
      <c r="J195" s="29"/>
      <c r="K195" s="29"/>
      <c r="O195" s="45">
        <v>209</v>
      </c>
      <c r="P195" s="61"/>
      <c r="Q195" s="61"/>
      <c r="R195" s="61"/>
      <c r="S195" s="61"/>
      <c r="T195" s="61">
        <v>1</v>
      </c>
      <c r="U195" s="61">
        <v>1</v>
      </c>
      <c r="V195">
        <f t="shared" si="2"/>
        <v>2</v>
      </c>
    </row>
    <row r="196" spans="3:22">
      <c r="C196" s="41">
        <v>31</v>
      </c>
      <c r="D196" s="1">
        <v>31</v>
      </c>
      <c r="E196" s="1">
        <v>800</v>
      </c>
      <c r="F196" s="29"/>
      <c r="G196" s="29"/>
      <c r="H196" s="29"/>
      <c r="I196" s="29">
        <v>2400</v>
      </c>
      <c r="J196" s="29">
        <v>2400</v>
      </c>
      <c r="K196" s="29"/>
      <c r="O196" s="45">
        <v>210</v>
      </c>
      <c r="P196" s="61"/>
      <c r="Q196" s="61"/>
      <c r="R196" s="61"/>
      <c r="S196" s="61"/>
      <c r="T196" s="61"/>
      <c r="U196" s="61"/>
      <c r="V196">
        <f t="shared" ref="V196:V259" si="3">COUNTA(P196:U196)</f>
        <v>0</v>
      </c>
    </row>
    <row r="197" spans="3:22">
      <c r="C197" s="41">
        <v>104</v>
      </c>
      <c r="D197" s="1">
        <v>109</v>
      </c>
      <c r="E197" s="1">
        <v>800</v>
      </c>
      <c r="F197" s="29"/>
      <c r="G197" s="29"/>
      <c r="H197" s="29"/>
      <c r="I197" s="29"/>
      <c r="J197" s="29"/>
      <c r="K197" s="29"/>
      <c r="O197" s="45">
        <v>211</v>
      </c>
      <c r="P197" s="61"/>
      <c r="Q197" s="61"/>
      <c r="R197" s="61"/>
      <c r="S197" s="61"/>
      <c r="T197" s="61"/>
      <c r="U197" s="61"/>
      <c r="V197">
        <f t="shared" si="3"/>
        <v>0</v>
      </c>
    </row>
    <row r="198" spans="3:22">
      <c r="C198" s="41">
        <v>85</v>
      </c>
      <c r="D198" s="1">
        <v>90</v>
      </c>
      <c r="E198" s="1">
        <v>800</v>
      </c>
      <c r="F198" s="29"/>
      <c r="G198" s="29"/>
      <c r="H198" s="29"/>
      <c r="I198" s="29">
        <v>4800</v>
      </c>
      <c r="J198" s="29"/>
      <c r="K198" s="29"/>
      <c r="O198" s="45">
        <v>212</v>
      </c>
      <c r="P198" s="61">
        <v>1</v>
      </c>
      <c r="Q198" s="61"/>
      <c r="R198" s="61">
        <v>1</v>
      </c>
      <c r="S198" s="61">
        <v>1</v>
      </c>
      <c r="T198" s="61"/>
      <c r="U198" s="61"/>
      <c r="V198">
        <f t="shared" si="3"/>
        <v>3</v>
      </c>
    </row>
    <row r="199" spans="3:22">
      <c r="C199" s="41">
        <v>300</v>
      </c>
      <c r="D199" s="1">
        <v>315</v>
      </c>
      <c r="E199" s="1">
        <v>800</v>
      </c>
      <c r="F199" s="29"/>
      <c r="G199" s="29"/>
      <c r="H199" s="29"/>
      <c r="I199" s="29"/>
      <c r="J199" s="29"/>
      <c r="K199" s="29"/>
      <c r="O199" s="45">
        <v>213</v>
      </c>
      <c r="P199" s="61"/>
      <c r="Q199" s="61"/>
      <c r="R199" s="61"/>
      <c r="S199" s="61"/>
      <c r="T199" s="61"/>
      <c r="U199" s="61"/>
      <c r="V199">
        <f t="shared" si="3"/>
        <v>0</v>
      </c>
    </row>
    <row r="200" spans="3:22">
      <c r="C200" s="41">
        <v>47</v>
      </c>
      <c r="D200" s="1">
        <v>47</v>
      </c>
      <c r="E200" s="1">
        <v>800</v>
      </c>
      <c r="F200" s="29"/>
      <c r="G200" s="29"/>
      <c r="H200" s="29"/>
      <c r="I200" s="29"/>
      <c r="J200" s="29"/>
      <c r="K200" s="29"/>
      <c r="O200" s="45">
        <v>214</v>
      </c>
      <c r="P200" s="61"/>
      <c r="Q200" s="61">
        <v>1</v>
      </c>
      <c r="R200" s="61"/>
      <c r="S200" s="61"/>
      <c r="T200" s="61"/>
      <c r="U200" s="61">
        <v>1</v>
      </c>
      <c r="V200">
        <f t="shared" si="3"/>
        <v>2</v>
      </c>
    </row>
    <row r="201" spans="3:22">
      <c r="C201" s="41">
        <v>282</v>
      </c>
      <c r="D201" s="1">
        <v>294</v>
      </c>
      <c r="E201" s="1">
        <v>800</v>
      </c>
      <c r="F201" s="29"/>
      <c r="G201" s="29"/>
      <c r="H201" s="29"/>
      <c r="I201" s="29"/>
      <c r="J201" s="29"/>
      <c r="K201" s="29"/>
      <c r="O201" s="45">
        <v>215</v>
      </c>
      <c r="P201" s="61"/>
      <c r="Q201" s="61">
        <v>1</v>
      </c>
      <c r="R201" s="61"/>
      <c r="S201" s="61"/>
      <c r="T201" s="61"/>
      <c r="U201" s="61"/>
      <c r="V201">
        <f t="shared" si="3"/>
        <v>1</v>
      </c>
    </row>
    <row r="202" spans="3:22">
      <c r="C202" s="41">
        <v>204</v>
      </c>
      <c r="D202" s="1">
        <v>214</v>
      </c>
      <c r="E202" s="1">
        <v>800</v>
      </c>
      <c r="F202" s="29"/>
      <c r="G202" s="29"/>
      <c r="H202" s="29"/>
      <c r="I202" s="29"/>
      <c r="J202" s="29"/>
      <c r="K202" s="29"/>
      <c r="O202" s="45">
        <v>216</v>
      </c>
      <c r="P202" s="61"/>
      <c r="Q202" s="61">
        <v>1</v>
      </c>
      <c r="R202" s="61"/>
      <c r="S202" s="61"/>
      <c r="T202" s="61"/>
      <c r="U202" s="61"/>
      <c r="V202">
        <f t="shared" si="3"/>
        <v>1</v>
      </c>
    </row>
    <row r="203" spans="3:22">
      <c r="C203" s="41">
        <v>291</v>
      </c>
      <c r="D203" s="1">
        <v>304</v>
      </c>
      <c r="E203" s="1">
        <v>800</v>
      </c>
      <c r="F203" s="29"/>
      <c r="G203" s="29"/>
      <c r="H203" s="29"/>
      <c r="I203" s="29"/>
      <c r="J203" s="29"/>
      <c r="K203" s="29"/>
      <c r="O203" s="45">
        <v>218</v>
      </c>
      <c r="P203" s="61"/>
      <c r="Q203" s="61"/>
      <c r="R203" s="61">
        <v>1</v>
      </c>
      <c r="S203" s="61"/>
      <c r="T203" s="61"/>
      <c r="U203" s="61">
        <v>1</v>
      </c>
      <c r="V203">
        <f t="shared" si="3"/>
        <v>2</v>
      </c>
    </row>
    <row r="204" spans="3:22">
      <c r="C204" s="41">
        <v>89</v>
      </c>
      <c r="D204" s="1">
        <v>94</v>
      </c>
      <c r="E204" s="1">
        <v>800</v>
      </c>
      <c r="F204" s="29"/>
      <c r="G204" s="29"/>
      <c r="H204" s="29"/>
      <c r="I204" s="29"/>
      <c r="J204" s="29"/>
      <c r="K204" s="29"/>
      <c r="O204" s="45">
        <v>219</v>
      </c>
      <c r="P204" s="61"/>
      <c r="Q204" s="61"/>
      <c r="R204" s="61">
        <v>1</v>
      </c>
      <c r="S204" s="61"/>
      <c r="T204" s="61"/>
      <c r="U204" s="61">
        <v>1</v>
      </c>
      <c r="V204">
        <f t="shared" si="3"/>
        <v>2</v>
      </c>
    </row>
    <row r="205" spans="3:22">
      <c r="C205" s="41">
        <v>26</v>
      </c>
      <c r="D205" s="1">
        <v>26</v>
      </c>
      <c r="E205" s="1">
        <v>800</v>
      </c>
      <c r="F205" s="29"/>
      <c r="G205" s="29"/>
      <c r="H205" s="29"/>
      <c r="I205" s="29"/>
      <c r="J205" s="29"/>
      <c r="K205" s="29"/>
      <c r="O205" s="45">
        <v>220</v>
      </c>
      <c r="P205" s="61"/>
      <c r="Q205" s="61"/>
      <c r="R205" s="61"/>
      <c r="S205" s="61"/>
      <c r="T205" s="61"/>
      <c r="U205" s="61"/>
      <c r="V205">
        <f t="shared" si="3"/>
        <v>0</v>
      </c>
    </row>
    <row r="206" spans="3:22">
      <c r="C206" s="41">
        <v>71</v>
      </c>
      <c r="D206" s="1">
        <v>77</v>
      </c>
      <c r="E206" s="1">
        <v>800</v>
      </c>
      <c r="F206" s="29"/>
      <c r="G206" s="29"/>
      <c r="H206" s="29"/>
      <c r="I206" s="29"/>
      <c r="J206" s="29"/>
      <c r="K206" s="29"/>
      <c r="O206" s="45">
        <v>221</v>
      </c>
      <c r="P206" s="61">
        <v>1</v>
      </c>
      <c r="Q206" s="61"/>
      <c r="R206" s="61"/>
      <c r="S206" s="61"/>
      <c r="T206" s="61"/>
      <c r="U206" s="61"/>
      <c r="V206">
        <f t="shared" si="3"/>
        <v>1</v>
      </c>
    </row>
    <row r="207" spans="3:22">
      <c r="C207" s="41">
        <v>6</v>
      </c>
      <c r="D207" s="1">
        <v>6</v>
      </c>
      <c r="E207" s="1">
        <v>800</v>
      </c>
      <c r="F207" s="29"/>
      <c r="G207" s="29"/>
      <c r="H207" s="29"/>
      <c r="I207" s="29"/>
      <c r="J207" s="29">
        <v>4000</v>
      </c>
      <c r="K207" s="29"/>
      <c r="O207" s="45">
        <v>222</v>
      </c>
      <c r="P207" s="61"/>
      <c r="Q207" s="61">
        <v>1</v>
      </c>
      <c r="R207" s="61"/>
      <c r="S207" s="61"/>
      <c r="T207" s="61">
        <v>1</v>
      </c>
      <c r="U207" s="61"/>
      <c r="V207">
        <f t="shared" si="3"/>
        <v>2</v>
      </c>
    </row>
    <row r="208" spans="3:22">
      <c r="C208" s="41">
        <v>80</v>
      </c>
      <c r="D208" s="1">
        <v>85</v>
      </c>
      <c r="E208" s="1">
        <v>800</v>
      </c>
      <c r="F208" s="29"/>
      <c r="G208" s="29"/>
      <c r="H208" s="29"/>
      <c r="I208" s="29"/>
      <c r="J208" s="29"/>
      <c r="K208" s="29">
        <v>4000</v>
      </c>
      <c r="O208" s="45">
        <v>223</v>
      </c>
      <c r="P208" s="61"/>
      <c r="Q208" s="61"/>
      <c r="R208" s="61"/>
      <c r="S208" s="61"/>
      <c r="T208" s="61"/>
      <c r="U208" s="61"/>
      <c r="V208">
        <f t="shared" si="3"/>
        <v>0</v>
      </c>
    </row>
    <row r="209" spans="3:22">
      <c r="C209" s="41">
        <v>201</v>
      </c>
      <c r="D209" s="1">
        <v>209</v>
      </c>
      <c r="E209" s="1">
        <v>800</v>
      </c>
      <c r="F209" s="29">
        <v>4000</v>
      </c>
      <c r="G209" s="29"/>
      <c r="H209" s="29"/>
      <c r="I209" s="29"/>
      <c r="J209" s="29">
        <v>3200</v>
      </c>
      <c r="K209" s="29"/>
      <c r="O209" s="45">
        <v>224</v>
      </c>
      <c r="P209" s="61"/>
      <c r="Q209" s="61"/>
      <c r="R209" s="61"/>
      <c r="S209" s="61"/>
      <c r="T209" s="61"/>
      <c r="U209" s="61"/>
      <c r="V209">
        <f t="shared" si="3"/>
        <v>0</v>
      </c>
    </row>
    <row r="210" spans="3:22">
      <c r="C210" s="41">
        <v>147</v>
      </c>
      <c r="D210" s="1">
        <v>155</v>
      </c>
      <c r="E210" s="1">
        <v>800</v>
      </c>
      <c r="F210" s="29"/>
      <c r="G210" s="29"/>
      <c r="H210" s="29"/>
      <c r="I210" s="29"/>
      <c r="J210" s="29"/>
      <c r="K210" s="29"/>
      <c r="O210" s="45">
        <v>225</v>
      </c>
      <c r="P210" s="61"/>
      <c r="Q210" s="61"/>
      <c r="R210" s="61"/>
      <c r="S210" s="61"/>
      <c r="T210" s="61"/>
      <c r="U210" s="61"/>
      <c r="V210">
        <f t="shared" si="3"/>
        <v>0</v>
      </c>
    </row>
    <row r="211" spans="3:22">
      <c r="C211" s="41">
        <v>29</v>
      </c>
      <c r="D211" s="1">
        <v>29</v>
      </c>
      <c r="E211" s="1">
        <v>800</v>
      </c>
      <c r="F211" s="29"/>
      <c r="G211" s="29"/>
      <c r="H211" s="29"/>
      <c r="I211" s="29"/>
      <c r="J211" s="29"/>
      <c r="K211" s="29"/>
      <c r="O211" s="45">
        <v>226</v>
      </c>
      <c r="P211" s="61"/>
      <c r="Q211" s="61"/>
      <c r="R211" s="61"/>
      <c r="S211" s="61"/>
      <c r="T211" s="61"/>
      <c r="U211" s="61"/>
      <c r="V211">
        <f t="shared" si="3"/>
        <v>0</v>
      </c>
    </row>
    <row r="212" spans="3:22">
      <c r="C212" s="41">
        <v>33</v>
      </c>
      <c r="D212" s="1">
        <v>33</v>
      </c>
      <c r="E212" s="1">
        <v>800</v>
      </c>
      <c r="F212" s="29"/>
      <c r="G212" s="29"/>
      <c r="H212" s="29"/>
      <c r="I212" s="29"/>
      <c r="J212" s="29">
        <v>10050</v>
      </c>
      <c r="K212" s="29"/>
      <c r="O212" s="45">
        <v>227</v>
      </c>
      <c r="P212" s="61"/>
      <c r="Q212" s="61">
        <v>1</v>
      </c>
      <c r="R212" s="61">
        <v>1</v>
      </c>
      <c r="S212" s="61"/>
      <c r="T212" s="61"/>
      <c r="U212" s="61"/>
      <c r="V212">
        <f t="shared" si="3"/>
        <v>2</v>
      </c>
    </row>
    <row r="213" spans="3:22">
      <c r="C213" s="41">
        <v>169</v>
      </c>
      <c r="D213" s="1">
        <v>177</v>
      </c>
      <c r="E213" s="1">
        <v>800</v>
      </c>
      <c r="F213" s="29"/>
      <c r="G213" s="29"/>
      <c r="H213" s="29">
        <v>5400</v>
      </c>
      <c r="I213" s="29"/>
      <c r="J213" s="29">
        <v>2400</v>
      </c>
      <c r="K213" s="29"/>
      <c r="O213" s="45">
        <v>228</v>
      </c>
      <c r="P213" s="61"/>
      <c r="Q213" s="61"/>
      <c r="R213" s="61"/>
      <c r="S213" s="61"/>
      <c r="T213" s="61"/>
      <c r="U213" s="61"/>
      <c r="V213">
        <f t="shared" si="3"/>
        <v>0</v>
      </c>
    </row>
    <row r="214" spans="3:22">
      <c r="C214" s="41">
        <v>185</v>
      </c>
      <c r="D214" s="1">
        <v>193</v>
      </c>
      <c r="E214" s="1">
        <v>800</v>
      </c>
      <c r="F214" s="29"/>
      <c r="G214" s="29"/>
      <c r="H214" s="29"/>
      <c r="I214" s="29"/>
      <c r="J214" s="29"/>
      <c r="K214" s="29"/>
      <c r="O214" s="45">
        <v>229</v>
      </c>
      <c r="P214" s="61"/>
      <c r="Q214" s="61"/>
      <c r="R214" s="61"/>
      <c r="S214" s="61"/>
      <c r="T214" s="61"/>
      <c r="U214" s="61"/>
      <c r="V214">
        <f t="shared" si="3"/>
        <v>0</v>
      </c>
    </row>
    <row r="215" spans="3:22">
      <c r="C215" s="41">
        <v>176</v>
      </c>
      <c r="D215" s="1">
        <v>184</v>
      </c>
      <c r="E215" s="1">
        <v>800</v>
      </c>
      <c r="F215" s="29">
        <v>5000</v>
      </c>
      <c r="G215" s="29">
        <v>3000</v>
      </c>
      <c r="H215" s="29"/>
      <c r="I215" s="29"/>
      <c r="J215" s="29">
        <v>3000</v>
      </c>
      <c r="K215" s="29">
        <v>3500</v>
      </c>
      <c r="O215" s="45">
        <v>230</v>
      </c>
      <c r="P215" s="61"/>
      <c r="Q215" s="61"/>
      <c r="R215" s="61"/>
      <c r="S215" s="61"/>
      <c r="T215" s="61">
        <v>1</v>
      </c>
      <c r="U215" s="61"/>
      <c r="V215">
        <f t="shared" si="3"/>
        <v>1</v>
      </c>
    </row>
    <row r="216" spans="3:22">
      <c r="C216" s="41">
        <v>307</v>
      </c>
      <c r="D216" s="1">
        <v>322</v>
      </c>
      <c r="E216" s="1">
        <v>800</v>
      </c>
      <c r="F216" s="29"/>
      <c r="G216" s="29"/>
      <c r="H216" s="29"/>
      <c r="I216" s="29"/>
      <c r="J216" s="29">
        <v>8000</v>
      </c>
      <c r="K216" s="29"/>
      <c r="O216" s="45">
        <v>231</v>
      </c>
      <c r="P216" s="61"/>
      <c r="Q216" s="61">
        <v>1</v>
      </c>
      <c r="R216" s="61"/>
      <c r="S216" s="61">
        <v>1</v>
      </c>
      <c r="T216" s="61"/>
      <c r="U216" s="61"/>
      <c r="V216">
        <f t="shared" si="3"/>
        <v>2</v>
      </c>
    </row>
    <row r="217" spans="3:22">
      <c r="C217" s="41">
        <v>177</v>
      </c>
      <c r="D217" s="1">
        <v>185</v>
      </c>
      <c r="E217" s="1">
        <v>800</v>
      </c>
      <c r="F217" s="29"/>
      <c r="G217" s="29"/>
      <c r="H217" s="29"/>
      <c r="I217" s="29"/>
      <c r="J217" s="29"/>
      <c r="K217" s="29"/>
      <c r="O217" s="45">
        <v>232</v>
      </c>
      <c r="P217" s="61"/>
      <c r="Q217" s="61"/>
      <c r="R217" s="61"/>
      <c r="S217" s="61"/>
      <c r="T217" s="61"/>
      <c r="U217" s="61"/>
      <c r="V217">
        <f t="shared" si="3"/>
        <v>0</v>
      </c>
    </row>
    <row r="218" spans="3:22">
      <c r="C218" s="41">
        <v>160</v>
      </c>
      <c r="D218" s="1">
        <v>168</v>
      </c>
      <c r="E218" s="1">
        <v>800</v>
      </c>
      <c r="F218" s="29"/>
      <c r="G218" s="29"/>
      <c r="H218" s="29"/>
      <c r="I218" s="29"/>
      <c r="J218" s="29"/>
      <c r="K218" s="29"/>
      <c r="O218" s="45">
        <v>233</v>
      </c>
      <c r="P218" s="61"/>
      <c r="Q218" s="61"/>
      <c r="R218" s="61"/>
      <c r="S218" s="61"/>
      <c r="T218" s="61"/>
      <c r="U218" s="61">
        <v>1</v>
      </c>
      <c r="V218">
        <f t="shared" si="3"/>
        <v>1</v>
      </c>
    </row>
    <row r="219" spans="3:22">
      <c r="C219" s="41">
        <v>53</v>
      </c>
      <c r="D219" s="1">
        <v>55</v>
      </c>
      <c r="E219" s="1">
        <v>800</v>
      </c>
      <c r="F219" s="29"/>
      <c r="G219" s="29"/>
      <c r="H219" s="29"/>
      <c r="I219" s="29"/>
      <c r="J219" s="29"/>
      <c r="K219" s="29"/>
      <c r="O219" s="45">
        <v>234</v>
      </c>
      <c r="P219" s="61"/>
      <c r="Q219" s="61">
        <v>1</v>
      </c>
      <c r="R219" s="61"/>
      <c r="S219" s="61"/>
      <c r="T219" s="61"/>
      <c r="U219" s="61"/>
      <c r="V219">
        <f t="shared" si="3"/>
        <v>1</v>
      </c>
    </row>
    <row r="220" spans="3:22">
      <c r="C220" s="41">
        <v>102</v>
      </c>
      <c r="D220" s="1">
        <v>107</v>
      </c>
      <c r="E220" s="1">
        <v>800</v>
      </c>
      <c r="F220" s="29">
        <v>800</v>
      </c>
      <c r="G220" s="29">
        <v>800</v>
      </c>
      <c r="H220" s="29">
        <v>800</v>
      </c>
      <c r="I220" s="29">
        <v>800</v>
      </c>
      <c r="J220" s="29"/>
      <c r="K220" s="29">
        <v>800</v>
      </c>
      <c r="O220" s="45">
        <v>236</v>
      </c>
      <c r="P220" s="61"/>
      <c r="Q220" s="61"/>
      <c r="R220" s="61"/>
      <c r="S220" s="61"/>
      <c r="T220" s="61">
        <v>1</v>
      </c>
      <c r="U220" s="61"/>
      <c r="V220">
        <f t="shared" si="3"/>
        <v>1</v>
      </c>
    </row>
    <row r="221" spans="3:22">
      <c r="C221" s="41">
        <v>174</v>
      </c>
      <c r="D221" s="1">
        <v>182</v>
      </c>
      <c r="E221" s="1">
        <v>800</v>
      </c>
      <c r="F221" s="29">
        <v>1000</v>
      </c>
      <c r="G221" s="29"/>
      <c r="H221" s="29"/>
      <c r="I221" s="29"/>
      <c r="J221" s="29">
        <v>3000</v>
      </c>
      <c r="K221" s="29"/>
      <c r="O221" s="45">
        <v>237</v>
      </c>
      <c r="P221" s="61">
        <v>1</v>
      </c>
      <c r="Q221" s="61"/>
      <c r="R221" s="61">
        <v>1</v>
      </c>
      <c r="S221" s="61"/>
      <c r="T221" s="61"/>
      <c r="U221" s="61"/>
      <c r="V221">
        <f t="shared" si="3"/>
        <v>2</v>
      </c>
    </row>
    <row r="222" spans="3:22">
      <c r="C222" s="41">
        <v>165</v>
      </c>
      <c r="D222" s="1">
        <v>173</v>
      </c>
      <c r="E222" s="1">
        <v>800</v>
      </c>
      <c r="F222" s="29"/>
      <c r="G222" s="29"/>
      <c r="H222" s="29"/>
      <c r="I222" s="29"/>
      <c r="J222" s="29"/>
      <c r="K222" s="29"/>
      <c r="O222" s="45">
        <v>238</v>
      </c>
      <c r="P222" s="61"/>
      <c r="Q222" s="61"/>
      <c r="R222" s="61"/>
      <c r="S222" s="61"/>
      <c r="T222" s="61"/>
      <c r="U222" s="61"/>
      <c r="V222">
        <f t="shared" si="3"/>
        <v>0</v>
      </c>
    </row>
    <row r="223" spans="3:22">
      <c r="C223" s="41">
        <v>251</v>
      </c>
      <c r="D223" s="1">
        <v>262</v>
      </c>
      <c r="E223" s="1">
        <v>800</v>
      </c>
      <c r="F223" s="29"/>
      <c r="G223" s="29"/>
      <c r="H223" s="29"/>
      <c r="I223" s="29"/>
      <c r="J223" s="29"/>
      <c r="K223" s="29"/>
      <c r="O223" s="45">
        <v>239</v>
      </c>
      <c r="P223" s="61"/>
      <c r="Q223" s="61"/>
      <c r="R223" s="61"/>
      <c r="S223" s="61"/>
      <c r="T223" s="61"/>
      <c r="U223" s="61"/>
      <c r="V223">
        <f t="shared" si="3"/>
        <v>0</v>
      </c>
    </row>
    <row r="224" spans="3:22">
      <c r="C224" s="41">
        <v>315</v>
      </c>
      <c r="D224" s="1" t="s">
        <v>210</v>
      </c>
      <c r="E224" s="1">
        <v>800</v>
      </c>
      <c r="F224" s="29"/>
      <c r="G224" s="29"/>
      <c r="H224" s="29"/>
      <c r="I224" s="29"/>
      <c r="J224" s="29"/>
      <c r="K224" s="29"/>
      <c r="O224" s="45">
        <v>240</v>
      </c>
      <c r="P224" s="61"/>
      <c r="Q224" s="61"/>
      <c r="R224" s="61"/>
      <c r="S224" s="61"/>
      <c r="T224" s="61"/>
      <c r="U224" s="61"/>
      <c r="V224">
        <f t="shared" si="3"/>
        <v>0</v>
      </c>
    </row>
    <row r="225" spans="3:22">
      <c r="C225" s="41">
        <v>312</v>
      </c>
      <c r="D225" s="1" t="s">
        <v>212</v>
      </c>
      <c r="E225" s="1">
        <v>800</v>
      </c>
      <c r="F225" s="29">
        <v>2000</v>
      </c>
      <c r="G225" s="29"/>
      <c r="H225" s="29"/>
      <c r="I225" s="29">
        <v>2000</v>
      </c>
      <c r="J225" s="29"/>
      <c r="K225" s="29">
        <v>2000</v>
      </c>
      <c r="O225" s="45">
        <v>241</v>
      </c>
      <c r="P225" s="61">
        <v>1</v>
      </c>
      <c r="Q225" s="61">
        <v>1</v>
      </c>
      <c r="R225" s="61">
        <v>1</v>
      </c>
      <c r="S225" s="61"/>
      <c r="T225" s="61"/>
      <c r="U225" s="61">
        <v>1</v>
      </c>
      <c r="V225">
        <f t="shared" si="3"/>
        <v>4</v>
      </c>
    </row>
    <row r="226" spans="3:22">
      <c r="C226" s="41">
        <v>314</v>
      </c>
      <c r="D226" s="1" t="s">
        <v>214</v>
      </c>
      <c r="E226" s="1">
        <v>800</v>
      </c>
      <c r="F226" s="29"/>
      <c r="G226" s="29"/>
      <c r="H226" s="29"/>
      <c r="I226" s="29"/>
      <c r="J226" s="29"/>
      <c r="K226" s="29"/>
      <c r="O226" s="45">
        <v>242</v>
      </c>
      <c r="P226" s="61"/>
      <c r="Q226" s="61"/>
      <c r="R226" s="61"/>
      <c r="S226" s="61"/>
      <c r="T226" s="61"/>
      <c r="U226" s="61"/>
      <c r="V226">
        <f t="shared" si="3"/>
        <v>0</v>
      </c>
    </row>
    <row r="227" spans="3:22">
      <c r="C227" s="41" t="e">
        <v>#N/A</v>
      </c>
      <c r="D227" s="1">
        <v>203</v>
      </c>
      <c r="E227" s="1">
        <v>800</v>
      </c>
      <c r="F227" s="29"/>
      <c r="G227" s="29"/>
      <c r="H227" s="29"/>
      <c r="I227" s="29"/>
      <c r="J227" s="29"/>
      <c r="K227" s="29">
        <v>4000</v>
      </c>
      <c r="O227" s="45">
        <v>243</v>
      </c>
      <c r="P227" s="61">
        <v>1</v>
      </c>
      <c r="Q227" s="61">
        <v>1</v>
      </c>
      <c r="R227" s="61"/>
      <c r="S227" s="61"/>
      <c r="T227" s="61"/>
      <c r="U227" s="61">
        <v>1</v>
      </c>
      <c r="V227">
        <f t="shared" si="3"/>
        <v>3</v>
      </c>
    </row>
    <row r="228" spans="3:22">
      <c r="C228" s="41">
        <v>144</v>
      </c>
      <c r="D228" s="1">
        <v>152</v>
      </c>
      <c r="E228" s="1"/>
      <c r="F228" s="29"/>
      <c r="G228" s="29"/>
      <c r="H228" s="29"/>
      <c r="I228" s="29"/>
      <c r="J228" s="29"/>
      <c r="K228" s="29"/>
      <c r="O228" s="45">
        <v>245</v>
      </c>
      <c r="P228" s="61"/>
      <c r="Q228" s="61"/>
      <c r="R228" s="61"/>
      <c r="S228" s="61"/>
      <c r="T228" s="61"/>
      <c r="U228" s="61">
        <v>1</v>
      </c>
      <c r="V228">
        <f t="shared" si="3"/>
        <v>1</v>
      </c>
    </row>
    <row r="229" spans="3:22">
      <c r="C229" s="41">
        <v>144</v>
      </c>
      <c r="D229" s="1">
        <v>153</v>
      </c>
      <c r="E229" s="1">
        <v>800</v>
      </c>
      <c r="F229" s="29"/>
      <c r="G229" s="29"/>
      <c r="H229" s="29"/>
      <c r="I229" s="29"/>
      <c r="J229" s="29"/>
      <c r="K229" s="29"/>
      <c r="O229" s="45">
        <v>247</v>
      </c>
      <c r="P229" s="61"/>
      <c r="Q229" s="61"/>
      <c r="R229" s="61"/>
      <c r="S229" s="61"/>
      <c r="T229" s="61"/>
      <c r="U229" s="61"/>
      <c r="V229">
        <f t="shared" si="3"/>
        <v>0</v>
      </c>
    </row>
    <row r="230" spans="3:22">
      <c r="C230" s="41">
        <v>74</v>
      </c>
      <c r="D230" s="1">
        <v>80</v>
      </c>
      <c r="E230" s="1"/>
      <c r="F230" s="29">
        <v>6000</v>
      </c>
      <c r="G230" s="29"/>
      <c r="H230" s="29"/>
      <c r="I230" s="29"/>
      <c r="J230" s="29">
        <v>2400</v>
      </c>
      <c r="K230" s="29"/>
      <c r="O230" s="45">
        <v>248</v>
      </c>
      <c r="P230" s="61"/>
      <c r="Q230" s="61"/>
      <c r="R230" s="61"/>
      <c r="S230" s="61"/>
      <c r="T230" s="61"/>
      <c r="U230" s="61">
        <v>1</v>
      </c>
      <c r="V230">
        <f t="shared" si="3"/>
        <v>1</v>
      </c>
    </row>
    <row r="231" spans="3:22">
      <c r="C231" s="41">
        <v>74</v>
      </c>
      <c r="D231" s="1">
        <v>81</v>
      </c>
      <c r="E231" s="1">
        <v>800</v>
      </c>
      <c r="F231" s="29"/>
      <c r="G231" s="29"/>
      <c r="H231" s="29"/>
      <c r="I231" s="29"/>
      <c r="J231" s="29"/>
      <c r="K231" s="29"/>
      <c r="O231" s="45">
        <v>249</v>
      </c>
      <c r="P231" s="61"/>
      <c r="Q231" s="61"/>
      <c r="R231" s="61"/>
      <c r="S231" s="61"/>
      <c r="T231" s="61"/>
      <c r="U231" s="61"/>
      <c r="V231">
        <f t="shared" si="3"/>
        <v>0</v>
      </c>
    </row>
    <row r="232" spans="3:22">
      <c r="C232" s="41">
        <v>68</v>
      </c>
      <c r="D232" s="1">
        <v>70</v>
      </c>
      <c r="E232" s="1">
        <v>800</v>
      </c>
      <c r="F232" s="29"/>
      <c r="G232" s="29">
        <v>1600</v>
      </c>
      <c r="H232" s="29">
        <v>800</v>
      </c>
      <c r="I232" s="29"/>
      <c r="J232" s="29">
        <v>800</v>
      </c>
      <c r="K232" s="29">
        <v>800</v>
      </c>
      <c r="O232" s="45">
        <v>250</v>
      </c>
      <c r="P232" s="61"/>
      <c r="Q232" s="61"/>
      <c r="R232" s="61">
        <v>1</v>
      </c>
      <c r="S232" s="61">
        <v>1</v>
      </c>
      <c r="T232" s="61">
        <v>1</v>
      </c>
      <c r="U232" s="61"/>
      <c r="V232">
        <f t="shared" si="3"/>
        <v>3</v>
      </c>
    </row>
    <row r="233" spans="3:22">
      <c r="C233" s="41">
        <v>224</v>
      </c>
      <c r="D233" s="1">
        <v>233</v>
      </c>
      <c r="E233" s="1">
        <v>800</v>
      </c>
      <c r="F233" s="29"/>
      <c r="G233" s="29"/>
      <c r="H233" s="29"/>
      <c r="I233" s="29"/>
      <c r="J233" s="29"/>
      <c r="K233" s="29"/>
      <c r="O233" s="45">
        <v>251</v>
      </c>
      <c r="P233" s="61"/>
      <c r="Q233" s="61"/>
      <c r="R233" s="61"/>
      <c r="S233" s="61"/>
      <c r="T233" s="61"/>
      <c r="U233" s="61"/>
      <c r="V233">
        <f t="shared" si="3"/>
        <v>0</v>
      </c>
    </row>
    <row r="234" spans="3:22">
      <c r="C234" s="41">
        <v>134</v>
      </c>
      <c r="D234" s="1">
        <v>141</v>
      </c>
      <c r="E234" s="1">
        <v>800</v>
      </c>
      <c r="F234" s="29">
        <v>12000</v>
      </c>
      <c r="G234" s="29">
        <v>4800</v>
      </c>
      <c r="H234" s="29"/>
      <c r="I234" s="29"/>
      <c r="J234" s="29"/>
      <c r="K234" s="29"/>
      <c r="O234" s="45">
        <v>252</v>
      </c>
      <c r="P234" s="61"/>
      <c r="Q234" s="61">
        <v>1</v>
      </c>
      <c r="R234" s="61">
        <v>1</v>
      </c>
      <c r="S234" s="61"/>
      <c r="T234" s="61">
        <v>1</v>
      </c>
      <c r="U234" s="61"/>
      <c r="V234">
        <f t="shared" si="3"/>
        <v>3</v>
      </c>
    </row>
    <row r="235" spans="3:22">
      <c r="C235" s="41">
        <v>267</v>
      </c>
      <c r="D235" s="1">
        <v>280</v>
      </c>
      <c r="E235" s="1">
        <v>800</v>
      </c>
      <c r="F235" s="29"/>
      <c r="G235" s="29">
        <v>4000</v>
      </c>
      <c r="H235" s="29">
        <v>2000</v>
      </c>
      <c r="I235" s="29">
        <v>2000</v>
      </c>
      <c r="J235" s="29"/>
      <c r="K235" s="29"/>
      <c r="O235" s="45">
        <v>254</v>
      </c>
      <c r="P235" s="61"/>
      <c r="Q235" s="61"/>
      <c r="R235" s="61"/>
      <c r="S235" s="61"/>
      <c r="T235" s="61"/>
      <c r="U235" s="61"/>
      <c r="V235">
        <f t="shared" si="3"/>
        <v>0</v>
      </c>
    </row>
    <row r="236" spans="3:22">
      <c r="C236" s="41">
        <v>258</v>
      </c>
      <c r="D236" s="1">
        <v>271</v>
      </c>
      <c r="E236" s="1">
        <v>800</v>
      </c>
      <c r="F236" s="29"/>
      <c r="G236" s="29"/>
      <c r="H236" s="29"/>
      <c r="I236" s="29"/>
      <c r="J236" s="29"/>
      <c r="K236" s="29">
        <v>4800</v>
      </c>
      <c r="O236" s="45">
        <v>255</v>
      </c>
      <c r="P236" s="61"/>
      <c r="Q236" s="61"/>
      <c r="R236" s="61">
        <v>1</v>
      </c>
      <c r="S236" s="61"/>
      <c r="T236" s="61">
        <v>1</v>
      </c>
      <c r="U236" s="61"/>
      <c r="V236">
        <f t="shared" si="3"/>
        <v>2</v>
      </c>
    </row>
    <row r="237" spans="3:22">
      <c r="C237" s="41">
        <v>299</v>
      </c>
      <c r="D237" s="1">
        <v>314</v>
      </c>
      <c r="E237" s="1">
        <v>800</v>
      </c>
      <c r="F237" s="29"/>
      <c r="G237" s="29"/>
      <c r="H237" s="29"/>
      <c r="I237" s="29"/>
      <c r="J237" s="29"/>
      <c r="K237" s="29"/>
      <c r="O237" s="45">
        <v>256</v>
      </c>
      <c r="P237" s="61"/>
      <c r="Q237" s="61"/>
      <c r="R237" s="61"/>
      <c r="S237" s="61"/>
      <c r="T237" s="61"/>
      <c r="U237" s="61"/>
      <c r="V237">
        <f t="shared" si="3"/>
        <v>0</v>
      </c>
    </row>
    <row r="238" spans="3:22">
      <c r="C238" s="41">
        <v>210</v>
      </c>
      <c r="D238" s="1">
        <v>219</v>
      </c>
      <c r="E238" s="1">
        <v>800</v>
      </c>
      <c r="F238" s="29"/>
      <c r="G238" s="29"/>
      <c r="H238" s="29"/>
      <c r="I238" s="29"/>
      <c r="J238" s="29"/>
      <c r="K238" s="29"/>
      <c r="O238" s="45">
        <v>257</v>
      </c>
      <c r="P238" s="61"/>
      <c r="Q238" s="61"/>
      <c r="R238" s="61"/>
      <c r="S238" s="61"/>
      <c r="T238" s="61"/>
      <c r="U238" s="61"/>
      <c r="V238">
        <f t="shared" si="3"/>
        <v>0</v>
      </c>
    </row>
    <row r="239" spans="3:22">
      <c r="C239" s="41">
        <v>239</v>
      </c>
      <c r="D239" s="1">
        <v>250</v>
      </c>
      <c r="E239" s="1">
        <v>800</v>
      </c>
      <c r="F239" s="29"/>
      <c r="G239" s="29"/>
      <c r="H239" s="29"/>
      <c r="I239" s="29"/>
      <c r="J239" s="29"/>
      <c r="K239" s="29"/>
      <c r="O239" s="45">
        <v>258</v>
      </c>
      <c r="P239" s="61"/>
      <c r="Q239" s="61"/>
      <c r="R239" s="61"/>
      <c r="S239" s="61"/>
      <c r="T239" s="61"/>
      <c r="U239" s="61">
        <v>1</v>
      </c>
      <c r="V239">
        <f t="shared" si="3"/>
        <v>1</v>
      </c>
    </row>
    <row r="240" spans="3:22">
      <c r="C240" s="41">
        <v>238</v>
      </c>
      <c r="D240" s="1">
        <v>249</v>
      </c>
      <c r="E240" s="1">
        <v>800</v>
      </c>
      <c r="F240" s="29"/>
      <c r="G240" s="29"/>
      <c r="H240" s="29"/>
      <c r="I240" s="29"/>
      <c r="J240" s="29"/>
      <c r="K240" s="29"/>
      <c r="O240" s="45">
        <v>259</v>
      </c>
      <c r="P240" s="61"/>
      <c r="Q240" s="61"/>
      <c r="R240" s="61"/>
      <c r="S240" s="61"/>
      <c r="T240" s="61"/>
      <c r="U240" s="61"/>
      <c r="V240">
        <f t="shared" si="3"/>
        <v>0</v>
      </c>
    </row>
    <row r="241" spans="3:22">
      <c r="C241" s="41">
        <v>297</v>
      </c>
      <c r="D241" s="1">
        <v>312</v>
      </c>
      <c r="E241" s="1">
        <v>800</v>
      </c>
      <c r="F241" s="29"/>
      <c r="G241" s="29"/>
      <c r="H241" s="29"/>
      <c r="I241" s="29"/>
      <c r="J241" s="29"/>
      <c r="K241" s="29"/>
      <c r="O241" s="45">
        <v>260</v>
      </c>
      <c r="P241" s="61"/>
      <c r="Q241" s="61">
        <v>1</v>
      </c>
      <c r="R241" s="61"/>
      <c r="S241" s="61"/>
      <c r="T241" s="61">
        <v>1</v>
      </c>
      <c r="U241" s="61">
        <v>1</v>
      </c>
      <c r="V241">
        <f t="shared" si="3"/>
        <v>3</v>
      </c>
    </row>
    <row r="242" spans="3:22">
      <c r="C242" s="41">
        <v>128</v>
      </c>
      <c r="D242" s="1">
        <v>135</v>
      </c>
      <c r="E242" s="1">
        <v>800</v>
      </c>
      <c r="F242" s="29">
        <v>4000</v>
      </c>
      <c r="G242" s="29"/>
      <c r="H242" s="29"/>
      <c r="I242" s="29"/>
      <c r="J242" s="29"/>
      <c r="K242" s="29"/>
      <c r="O242" s="45">
        <v>261</v>
      </c>
      <c r="P242" s="61">
        <v>1</v>
      </c>
      <c r="Q242" s="61"/>
      <c r="R242" s="61"/>
      <c r="S242" s="61">
        <v>1</v>
      </c>
      <c r="T242" s="61"/>
      <c r="U242" s="61"/>
      <c r="V242">
        <f t="shared" si="3"/>
        <v>2</v>
      </c>
    </row>
    <row r="243" spans="3:22">
      <c r="C243" s="41">
        <v>67</v>
      </c>
      <c r="D243" s="1">
        <v>69</v>
      </c>
      <c r="E243" s="1">
        <v>800</v>
      </c>
      <c r="F243" s="29"/>
      <c r="G243" s="29"/>
      <c r="H243" s="29"/>
      <c r="I243" s="29"/>
      <c r="J243" s="29"/>
      <c r="K243" s="29"/>
      <c r="O243" s="45">
        <v>263</v>
      </c>
      <c r="P243" s="61"/>
      <c r="Q243" s="61">
        <v>1</v>
      </c>
      <c r="R243" s="61">
        <v>1</v>
      </c>
      <c r="S243" s="61"/>
      <c r="T243" s="61"/>
      <c r="U243" s="61"/>
      <c r="V243">
        <f t="shared" si="3"/>
        <v>2</v>
      </c>
    </row>
    <row r="244" spans="3:22">
      <c r="C244" s="41">
        <v>278</v>
      </c>
      <c r="D244" s="1">
        <v>290</v>
      </c>
      <c r="E244" s="1">
        <v>800</v>
      </c>
      <c r="F244" s="29"/>
      <c r="G244" s="29"/>
      <c r="H244" s="29"/>
      <c r="I244" s="29"/>
      <c r="J244" s="29"/>
      <c r="K244" s="29"/>
      <c r="O244" s="45">
        <v>264</v>
      </c>
      <c r="P244" s="61">
        <v>1</v>
      </c>
      <c r="Q244" s="61"/>
      <c r="R244" s="61">
        <v>1</v>
      </c>
      <c r="S244" s="61"/>
      <c r="T244" s="61"/>
      <c r="U244" s="61"/>
      <c r="V244">
        <f t="shared" si="3"/>
        <v>2</v>
      </c>
    </row>
    <row r="245" spans="3:22">
      <c r="C245" s="41">
        <v>280</v>
      </c>
      <c r="D245" s="1">
        <v>292</v>
      </c>
      <c r="E245" s="1">
        <v>800</v>
      </c>
      <c r="F245" s="29"/>
      <c r="G245" s="29"/>
      <c r="H245" s="29"/>
      <c r="I245" s="29"/>
      <c r="J245" s="29"/>
      <c r="K245" s="29"/>
      <c r="O245" s="45">
        <v>265</v>
      </c>
      <c r="P245" s="61"/>
      <c r="Q245" s="61"/>
      <c r="R245" s="61">
        <v>1</v>
      </c>
      <c r="S245" s="61"/>
      <c r="T245" s="61"/>
      <c r="U245" s="61"/>
      <c r="V245">
        <f t="shared" si="3"/>
        <v>1</v>
      </c>
    </row>
    <row r="246" spans="3:22">
      <c r="C246" s="41">
        <v>215</v>
      </c>
      <c r="D246" s="1">
        <v>224</v>
      </c>
      <c r="E246" s="1">
        <v>800</v>
      </c>
      <c r="F246" s="29"/>
      <c r="G246" s="29">
        <v>7000</v>
      </c>
      <c r="H246" s="29"/>
      <c r="I246" s="29"/>
      <c r="J246" s="29"/>
      <c r="K246" s="29"/>
      <c r="O246" s="45">
        <v>266</v>
      </c>
      <c r="P246" s="61"/>
      <c r="Q246" s="61"/>
      <c r="R246" s="61"/>
      <c r="S246" s="61"/>
      <c r="T246" s="61"/>
      <c r="U246" s="61"/>
      <c r="V246">
        <f t="shared" si="3"/>
        <v>0</v>
      </c>
    </row>
    <row r="247" spans="3:22">
      <c r="C247" s="41">
        <v>241</v>
      </c>
      <c r="D247" s="1">
        <v>252</v>
      </c>
      <c r="E247" s="1">
        <v>800</v>
      </c>
      <c r="F247" s="29">
        <v>3000</v>
      </c>
      <c r="G247" s="29">
        <v>800</v>
      </c>
      <c r="H247" s="29">
        <v>800</v>
      </c>
      <c r="I247" s="29"/>
      <c r="J247" s="29"/>
      <c r="K247" s="29">
        <v>2400</v>
      </c>
      <c r="O247" s="45">
        <v>267</v>
      </c>
      <c r="P247" s="61"/>
      <c r="Q247" s="61">
        <v>1</v>
      </c>
      <c r="R247" s="61">
        <v>1</v>
      </c>
      <c r="S247" s="61">
        <v>1</v>
      </c>
      <c r="T247" s="61"/>
      <c r="U247" s="61"/>
      <c r="V247">
        <f t="shared" si="3"/>
        <v>3</v>
      </c>
    </row>
    <row r="248" spans="3:22">
      <c r="C248" s="41">
        <v>161</v>
      </c>
      <c r="D248" s="1">
        <v>169</v>
      </c>
      <c r="E248" s="1">
        <v>800</v>
      </c>
      <c r="F248" s="29"/>
      <c r="G248" s="29"/>
      <c r="H248" s="29"/>
      <c r="I248" s="29"/>
      <c r="J248" s="29"/>
      <c r="K248" s="29"/>
      <c r="O248" s="45">
        <v>268</v>
      </c>
      <c r="P248" s="61">
        <v>1</v>
      </c>
      <c r="Q248" s="61"/>
      <c r="R248" s="61"/>
      <c r="S248" s="61">
        <v>1</v>
      </c>
      <c r="T248" s="61"/>
      <c r="U248" s="61">
        <v>1</v>
      </c>
      <c r="V248">
        <f t="shared" si="3"/>
        <v>3</v>
      </c>
    </row>
    <row r="249" spans="3:22">
      <c r="C249" s="41">
        <v>272</v>
      </c>
      <c r="D249" s="1">
        <v>285</v>
      </c>
      <c r="E249" s="1">
        <v>800</v>
      </c>
      <c r="F249" s="29"/>
      <c r="G249" s="29"/>
      <c r="H249" s="29"/>
      <c r="I249" s="29"/>
      <c r="J249" s="29"/>
      <c r="K249" s="29"/>
      <c r="O249" s="45">
        <v>269</v>
      </c>
      <c r="P249" s="61"/>
      <c r="Q249" s="61"/>
      <c r="R249" s="61"/>
      <c r="S249" s="61"/>
      <c r="T249" s="61"/>
      <c r="U249" s="61"/>
      <c r="V249">
        <f t="shared" si="3"/>
        <v>0</v>
      </c>
    </row>
    <row r="250" spans="3:22">
      <c r="C250" s="41">
        <v>19</v>
      </c>
      <c r="D250" s="1">
        <v>19</v>
      </c>
      <c r="E250" s="1">
        <v>800</v>
      </c>
      <c r="F250" s="29"/>
      <c r="G250" s="29"/>
      <c r="H250" s="29"/>
      <c r="I250" s="29"/>
      <c r="J250" s="29"/>
      <c r="K250" s="29">
        <v>4000</v>
      </c>
      <c r="O250" s="45">
        <v>270</v>
      </c>
      <c r="P250" s="61"/>
      <c r="Q250" s="61"/>
      <c r="R250" s="61"/>
      <c r="S250" s="61"/>
      <c r="T250" s="61"/>
      <c r="U250" s="61"/>
      <c r="V250">
        <f t="shared" si="3"/>
        <v>0</v>
      </c>
    </row>
    <row r="251" spans="3:22">
      <c r="C251" s="41">
        <v>310</v>
      </c>
      <c r="D251" s="1" t="s">
        <v>238</v>
      </c>
      <c r="E251" s="1">
        <v>800</v>
      </c>
      <c r="F251" s="29">
        <v>5000</v>
      </c>
      <c r="G251" s="29"/>
      <c r="H251" s="29">
        <v>5000</v>
      </c>
      <c r="I251" s="29">
        <v>4950</v>
      </c>
      <c r="J251" s="29">
        <v>5000</v>
      </c>
      <c r="K251" s="29"/>
      <c r="O251" s="45">
        <v>271</v>
      </c>
      <c r="P251" s="61"/>
      <c r="Q251" s="61"/>
      <c r="R251" s="61"/>
      <c r="S251" s="61"/>
      <c r="T251" s="61"/>
      <c r="U251" s="61">
        <v>1</v>
      </c>
      <c r="V251">
        <f t="shared" si="3"/>
        <v>1</v>
      </c>
    </row>
    <row r="252" spans="3:22">
      <c r="C252" s="41">
        <v>205</v>
      </c>
      <c r="D252" s="1">
        <v>215</v>
      </c>
      <c r="E252" s="1">
        <v>800</v>
      </c>
      <c r="F252" s="29"/>
      <c r="G252" s="29"/>
      <c r="H252" s="29"/>
      <c r="I252" s="29"/>
      <c r="J252" s="29"/>
      <c r="K252" s="29"/>
      <c r="O252" s="45">
        <v>272</v>
      </c>
      <c r="P252" s="61"/>
      <c r="Q252" s="61"/>
      <c r="R252" s="61"/>
      <c r="S252" s="61"/>
      <c r="T252" s="61"/>
      <c r="U252" s="61"/>
      <c r="V252">
        <f t="shared" si="3"/>
        <v>0</v>
      </c>
    </row>
    <row r="253" spans="3:22">
      <c r="C253" s="41">
        <v>107</v>
      </c>
      <c r="D253" s="1">
        <v>112</v>
      </c>
      <c r="E253" s="1">
        <v>800</v>
      </c>
      <c r="F253" s="29"/>
      <c r="G253" s="29">
        <v>2000</v>
      </c>
      <c r="H253" s="29">
        <v>3600</v>
      </c>
      <c r="I253" s="29">
        <v>1600</v>
      </c>
      <c r="J253" s="29"/>
      <c r="K253" s="29">
        <v>800</v>
      </c>
      <c r="O253" s="45">
        <v>273</v>
      </c>
      <c r="P253" s="61"/>
      <c r="Q253" s="61"/>
      <c r="R253" s="61"/>
      <c r="S253" s="61"/>
      <c r="T253" s="61"/>
      <c r="U253" s="61">
        <v>1</v>
      </c>
      <c r="V253">
        <f t="shared" si="3"/>
        <v>1</v>
      </c>
    </row>
    <row r="254" spans="3:22">
      <c r="C254" s="41">
        <v>48</v>
      </c>
      <c r="D254" s="1">
        <v>48</v>
      </c>
      <c r="E254" s="1">
        <v>800</v>
      </c>
      <c r="F254" s="29"/>
      <c r="G254" s="29"/>
      <c r="H254" s="29"/>
      <c r="I254" s="29"/>
      <c r="J254" s="29"/>
      <c r="K254" s="29"/>
      <c r="O254" s="45">
        <v>274</v>
      </c>
      <c r="P254" s="61"/>
      <c r="Q254" s="61"/>
      <c r="R254" s="61">
        <v>1</v>
      </c>
      <c r="S254" s="61"/>
      <c r="T254" s="61"/>
      <c r="U254" s="61">
        <v>1</v>
      </c>
      <c r="V254">
        <f t="shared" si="3"/>
        <v>2</v>
      </c>
    </row>
    <row r="255" spans="3:22">
      <c r="C255" s="41">
        <v>237</v>
      </c>
      <c r="D255" s="1">
        <v>248</v>
      </c>
      <c r="E255" s="1">
        <v>800</v>
      </c>
      <c r="F255" s="29">
        <v>31000</v>
      </c>
      <c r="G255" s="29"/>
      <c r="H255" s="29">
        <v>2000</v>
      </c>
      <c r="I255" s="29"/>
      <c r="J255" s="29"/>
      <c r="K255" s="29"/>
      <c r="O255" s="45">
        <v>275</v>
      </c>
      <c r="P255" s="61"/>
      <c r="Q255" s="61"/>
      <c r="R255" s="61"/>
      <c r="S255" s="61"/>
      <c r="T255" s="61"/>
      <c r="U255" s="61">
        <v>1</v>
      </c>
      <c r="V255">
        <f t="shared" si="3"/>
        <v>1</v>
      </c>
    </row>
    <row r="256" spans="3:22">
      <c r="C256" s="41">
        <v>263</v>
      </c>
      <c r="D256" s="1">
        <v>276</v>
      </c>
      <c r="E256" s="1">
        <v>800</v>
      </c>
      <c r="F256" s="29"/>
      <c r="G256" s="29">
        <v>2600</v>
      </c>
      <c r="H256" s="29">
        <v>800</v>
      </c>
      <c r="I256" s="29"/>
      <c r="J256" s="29"/>
      <c r="K256" s="29"/>
      <c r="O256" s="45">
        <v>276</v>
      </c>
      <c r="P256" s="61"/>
      <c r="Q256" s="61"/>
      <c r="R256" s="61"/>
      <c r="S256" s="61"/>
      <c r="T256" s="61"/>
      <c r="U256" s="61">
        <v>1</v>
      </c>
      <c r="V256">
        <f t="shared" si="3"/>
        <v>1</v>
      </c>
    </row>
    <row r="257" spans="3:22">
      <c r="C257" s="41">
        <v>100</v>
      </c>
      <c r="D257" s="1">
        <v>105</v>
      </c>
      <c r="E257" s="1">
        <v>800</v>
      </c>
      <c r="F257" s="29">
        <v>5050.3</v>
      </c>
      <c r="G257" s="29"/>
      <c r="H257" s="29"/>
      <c r="I257" s="29"/>
      <c r="J257" s="29"/>
      <c r="K257" s="29"/>
      <c r="O257" s="45">
        <v>277</v>
      </c>
      <c r="P257" s="61"/>
      <c r="Q257" s="61"/>
      <c r="R257" s="61"/>
      <c r="S257" s="61"/>
      <c r="T257" s="61"/>
      <c r="U257" s="61"/>
      <c r="V257">
        <f t="shared" si="3"/>
        <v>0</v>
      </c>
    </row>
    <row r="258" spans="3:22">
      <c r="C258" s="41">
        <v>131</v>
      </c>
      <c r="D258" s="1">
        <v>138</v>
      </c>
      <c r="E258" s="1">
        <v>800</v>
      </c>
      <c r="F258" s="29"/>
      <c r="G258" s="29"/>
      <c r="H258" s="29"/>
      <c r="I258" s="29">
        <v>14400</v>
      </c>
      <c r="J258" s="29"/>
      <c r="K258" s="29"/>
      <c r="O258" s="45">
        <v>278</v>
      </c>
      <c r="P258" s="61"/>
      <c r="Q258" s="61"/>
      <c r="R258" s="61"/>
      <c r="S258" s="61"/>
      <c r="T258" s="61"/>
      <c r="U258" s="61"/>
      <c r="V258">
        <f t="shared" si="3"/>
        <v>0</v>
      </c>
    </row>
    <row r="259" spans="3:22">
      <c r="C259" s="41">
        <v>183</v>
      </c>
      <c r="D259" s="1">
        <v>191</v>
      </c>
      <c r="E259" s="1">
        <v>800</v>
      </c>
      <c r="F259" s="29">
        <v>20000</v>
      </c>
      <c r="G259" s="29"/>
      <c r="H259" s="29"/>
      <c r="I259" s="29"/>
      <c r="J259" s="29"/>
      <c r="K259" s="29"/>
      <c r="O259" s="45">
        <v>279</v>
      </c>
      <c r="P259" s="61"/>
      <c r="Q259" s="61"/>
      <c r="R259" s="61"/>
      <c r="S259" s="61"/>
      <c r="T259" s="61"/>
      <c r="U259" s="61"/>
      <c r="V259">
        <f t="shared" si="3"/>
        <v>0</v>
      </c>
    </row>
    <row r="260" spans="3:22">
      <c r="C260" s="41">
        <v>183</v>
      </c>
      <c r="D260" s="1">
        <v>192</v>
      </c>
      <c r="E260" s="1"/>
      <c r="F260" s="29"/>
      <c r="G260" s="29"/>
      <c r="H260" s="29"/>
      <c r="I260" s="29"/>
      <c r="J260" s="29"/>
      <c r="K260" s="29"/>
      <c r="O260" s="45">
        <v>280</v>
      </c>
      <c r="P260" s="61"/>
      <c r="Q260" s="61"/>
      <c r="R260" s="61"/>
      <c r="S260" s="61"/>
      <c r="T260" s="61"/>
      <c r="U260" s="61"/>
      <c r="V260">
        <f t="shared" ref="V260:V298" si="4">COUNTA(P260:U260)</f>
        <v>0</v>
      </c>
    </row>
    <row r="261" spans="3:22">
      <c r="C261" s="41">
        <v>21</v>
      </c>
      <c r="D261" s="1">
        <v>21</v>
      </c>
      <c r="E261" s="1">
        <v>800</v>
      </c>
      <c r="F261" s="29"/>
      <c r="G261" s="29"/>
      <c r="H261" s="29"/>
      <c r="I261" s="29"/>
      <c r="J261" s="29"/>
      <c r="K261" s="29"/>
      <c r="O261" s="45">
        <v>281</v>
      </c>
      <c r="P261" s="61"/>
      <c r="Q261" s="61"/>
      <c r="R261" s="61"/>
      <c r="S261" s="61"/>
      <c r="T261" s="61"/>
      <c r="U261" s="61"/>
      <c r="V261">
        <f t="shared" si="4"/>
        <v>0</v>
      </c>
    </row>
    <row r="262" spans="3:22">
      <c r="C262" s="41">
        <v>298</v>
      </c>
      <c r="D262" s="1">
        <v>313</v>
      </c>
      <c r="E262" s="1">
        <v>800</v>
      </c>
      <c r="F262" s="29"/>
      <c r="G262" s="29">
        <v>4800</v>
      </c>
      <c r="H262" s="29"/>
      <c r="I262" s="29"/>
      <c r="J262" s="29"/>
      <c r="K262" s="29"/>
      <c r="O262" s="45">
        <v>282</v>
      </c>
      <c r="P262" s="61"/>
      <c r="Q262" s="61"/>
      <c r="R262" s="61"/>
      <c r="S262" s="61"/>
      <c r="T262" s="61"/>
      <c r="U262" s="61"/>
      <c r="V262">
        <f t="shared" si="4"/>
        <v>0</v>
      </c>
    </row>
    <row r="263" spans="3:22">
      <c r="C263" s="41">
        <v>91</v>
      </c>
      <c r="D263" s="1">
        <v>96</v>
      </c>
      <c r="E263" s="1">
        <v>800</v>
      </c>
      <c r="F263" s="29"/>
      <c r="G263" s="29"/>
      <c r="H263" s="29"/>
      <c r="I263" s="29"/>
      <c r="J263" s="29"/>
      <c r="K263" s="29"/>
      <c r="O263" s="45">
        <v>284</v>
      </c>
      <c r="P263" s="61"/>
      <c r="Q263" s="61"/>
      <c r="R263" s="61">
        <v>1</v>
      </c>
      <c r="S263" s="61"/>
      <c r="T263" s="61"/>
      <c r="U263" s="61"/>
      <c r="V263">
        <f t="shared" si="4"/>
        <v>1</v>
      </c>
    </row>
    <row r="264" spans="3:22">
      <c r="C264" s="41">
        <v>54</v>
      </c>
      <c r="D264" s="1">
        <v>56</v>
      </c>
      <c r="E264" s="1">
        <v>800</v>
      </c>
      <c r="F264" s="29"/>
      <c r="G264" s="29"/>
      <c r="H264" s="29"/>
      <c r="I264" s="29"/>
      <c r="J264" s="29"/>
      <c r="K264" s="29"/>
      <c r="O264" s="45">
        <v>285</v>
      </c>
      <c r="P264" s="61"/>
      <c r="Q264" s="61">
        <v>1</v>
      </c>
      <c r="R264" s="61"/>
      <c r="S264" s="61"/>
      <c r="T264" s="61"/>
      <c r="U264" s="61">
        <v>1</v>
      </c>
      <c r="V264">
        <f t="shared" si="4"/>
        <v>2</v>
      </c>
    </row>
    <row r="265" spans="3:22">
      <c r="C265" s="41">
        <v>317</v>
      </c>
      <c r="D265" s="1" t="s">
        <v>252</v>
      </c>
      <c r="E265" s="1">
        <v>800</v>
      </c>
      <c r="F265" s="29"/>
      <c r="G265" s="29"/>
      <c r="H265" s="29"/>
      <c r="I265" s="29"/>
      <c r="J265" s="29"/>
      <c r="K265" s="29"/>
      <c r="O265" s="45">
        <v>286</v>
      </c>
      <c r="P265" s="61"/>
      <c r="Q265" s="61">
        <v>1</v>
      </c>
      <c r="R265" s="61"/>
      <c r="S265" s="61"/>
      <c r="T265" s="61"/>
      <c r="U265" s="61">
        <v>1</v>
      </c>
      <c r="V265">
        <f t="shared" si="4"/>
        <v>2</v>
      </c>
    </row>
    <row r="266" spans="3:22">
      <c r="C266" s="41">
        <v>268</v>
      </c>
      <c r="D266" s="1">
        <v>281</v>
      </c>
      <c r="E266" s="1">
        <v>800</v>
      </c>
      <c r="F266" s="29">
        <v>3000</v>
      </c>
      <c r="G266" s="29"/>
      <c r="H266" s="29"/>
      <c r="I266" s="29">
        <v>3000</v>
      </c>
      <c r="J266" s="29"/>
      <c r="K266" s="29">
        <v>3000</v>
      </c>
      <c r="O266" s="45">
        <v>287</v>
      </c>
      <c r="P266" s="61"/>
      <c r="Q266" s="61"/>
      <c r="R266" s="61"/>
      <c r="S266" s="61"/>
      <c r="T266" s="61"/>
      <c r="U266" s="61"/>
      <c r="V266">
        <f t="shared" si="4"/>
        <v>0</v>
      </c>
    </row>
    <row r="267" spans="3:22">
      <c r="C267" s="41">
        <v>172</v>
      </c>
      <c r="D267" s="1">
        <v>180</v>
      </c>
      <c r="E267" s="1">
        <v>800</v>
      </c>
      <c r="F267" s="29"/>
      <c r="G267" s="29"/>
      <c r="H267" s="29"/>
      <c r="I267" s="29"/>
      <c r="J267" s="29"/>
      <c r="K267" s="29"/>
      <c r="O267" s="45">
        <v>288</v>
      </c>
      <c r="P267" s="61"/>
      <c r="Q267" s="61"/>
      <c r="R267" s="61"/>
      <c r="S267" s="61"/>
      <c r="T267" s="61"/>
      <c r="U267" s="61"/>
      <c r="V267">
        <f t="shared" si="4"/>
        <v>0</v>
      </c>
    </row>
    <row r="268" spans="3:22">
      <c r="C268" s="41">
        <v>116</v>
      </c>
      <c r="D268" s="1">
        <v>121</v>
      </c>
      <c r="E268" s="1">
        <v>800</v>
      </c>
      <c r="F268" s="29"/>
      <c r="G268" s="29"/>
      <c r="H268" s="29">
        <v>10000</v>
      </c>
      <c r="I268" s="29"/>
      <c r="J268" s="29"/>
      <c r="K268" s="29"/>
      <c r="O268" s="45">
        <v>289</v>
      </c>
      <c r="P268" s="61"/>
      <c r="Q268" s="61"/>
      <c r="R268" s="61"/>
      <c r="S268" s="61"/>
      <c r="T268" s="61"/>
      <c r="U268" s="61"/>
      <c r="V268">
        <f t="shared" si="4"/>
        <v>0</v>
      </c>
    </row>
    <row r="269" spans="3:22">
      <c r="C269" s="41">
        <v>57</v>
      </c>
      <c r="D269" s="1">
        <v>59</v>
      </c>
      <c r="E269" s="1">
        <v>800</v>
      </c>
      <c r="F269" s="29"/>
      <c r="G269" s="29"/>
      <c r="H269" s="29"/>
      <c r="I269" s="29"/>
      <c r="J269" s="29"/>
      <c r="K269" s="29"/>
      <c r="O269" s="45">
        <v>290</v>
      </c>
      <c r="P269" s="61"/>
      <c r="Q269" s="61"/>
      <c r="R269" s="61"/>
      <c r="S269" s="61"/>
      <c r="T269" s="61">
        <v>1</v>
      </c>
      <c r="U269" s="61"/>
      <c r="V269">
        <f t="shared" si="4"/>
        <v>1</v>
      </c>
    </row>
    <row r="270" spans="3:22">
      <c r="C270" s="41">
        <v>46</v>
      </c>
      <c r="D270" s="1">
        <v>46</v>
      </c>
      <c r="E270" s="1">
        <v>800</v>
      </c>
      <c r="F270" s="29"/>
      <c r="G270" s="29"/>
      <c r="H270" s="29"/>
      <c r="I270" s="29"/>
      <c r="J270" s="29"/>
      <c r="K270" s="29"/>
      <c r="O270" s="45">
        <v>291</v>
      </c>
      <c r="P270" s="61"/>
      <c r="Q270" s="61"/>
      <c r="R270" s="61"/>
      <c r="S270" s="61"/>
      <c r="T270" s="61"/>
      <c r="U270" s="61"/>
      <c r="V270">
        <f t="shared" si="4"/>
        <v>0</v>
      </c>
    </row>
    <row r="271" spans="3:22">
      <c r="C271" s="41">
        <v>73</v>
      </c>
      <c r="D271" s="1">
        <v>79</v>
      </c>
      <c r="E271" s="1">
        <v>800</v>
      </c>
      <c r="F271" s="29"/>
      <c r="G271" s="29"/>
      <c r="H271" s="29"/>
      <c r="I271" s="29"/>
      <c r="J271" s="29"/>
      <c r="K271" s="29"/>
      <c r="O271" s="45">
        <v>292</v>
      </c>
      <c r="P271" s="61"/>
      <c r="Q271" s="61"/>
      <c r="R271" s="61"/>
      <c r="S271" s="61"/>
      <c r="T271" s="61"/>
      <c r="U271" s="61"/>
      <c r="V271">
        <f t="shared" si="4"/>
        <v>0</v>
      </c>
    </row>
    <row r="272" spans="3:22">
      <c r="C272" s="41">
        <v>162</v>
      </c>
      <c r="D272" s="1">
        <v>170</v>
      </c>
      <c r="E272" s="1">
        <v>800</v>
      </c>
      <c r="F272" s="29"/>
      <c r="G272" s="29"/>
      <c r="H272" s="29"/>
      <c r="I272" s="29"/>
      <c r="J272" s="29">
        <v>12000</v>
      </c>
      <c r="K272" s="29"/>
      <c r="O272" s="45">
        <v>293</v>
      </c>
      <c r="P272" s="61"/>
      <c r="Q272" s="61"/>
      <c r="R272" s="61"/>
      <c r="S272" s="61"/>
      <c r="T272" s="61"/>
      <c r="U272" s="61"/>
      <c r="V272">
        <f t="shared" si="4"/>
        <v>0</v>
      </c>
    </row>
    <row r="273" spans="3:22">
      <c r="C273" s="41">
        <v>252</v>
      </c>
      <c r="D273" s="1">
        <v>263</v>
      </c>
      <c r="E273" s="1">
        <v>800</v>
      </c>
      <c r="F273" s="29"/>
      <c r="G273" s="29">
        <v>800</v>
      </c>
      <c r="H273" s="29">
        <v>1600</v>
      </c>
      <c r="I273" s="29"/>
      <c r="J273" s="29">
        <v>1600</v>
      </c>
      <c r="K273" s="29"/>
      <c r="O273" s="45">
        <v>294</v>
      </c>
      <c r="P273" s="61">
        <v>1</v>
      </c>
      <c r="Q273" s="61"/>
      <c r="R273" s="61"/>
      <c r="S273" s="61"/>
      <c r="T273" s="61"/>
      <c r="U273" s="61"/>
      <c r="V273">
        <f t="shared" si="4"/>
        <v>1</v>
      </c>
    </row>
    <row r="274" spans="3:22">
      <c r="C274" s="41">
        <v>252</v>
      </c>
      <c r="D274" s="1">
        <v>264</v>
      </c>
      <c r="E274" s="1"/>
      <c r="F274" s="29"/>
      <c r="G274" s="29"/>
      <c r="H274" s="29"/>
      <c r="I274" s="29"/>
      <c r="J274" s="29"/>
      <c r="K274" s="29"/>
      <c r="O274" s="45">
        <v>295</v>
      </c>
      <c r="P274" s="61"/>
      <c r="Q274" s="61"/>
      <c r="R274" s="61"/>
      <c r="S274" s="61"/>
      <c r="T274" s="61"/>
      <c r="U274" s="61"/>
      <c r="V274">
        <f t="shared" si="4"/>
        <v>0</v>
      </c>
    </row>
    <row r="275" spans="3:22">
      <c r="C275" s="41">
        <v>45</v>
      </c>
      <c r="D275" s="1">
        <v>45</v>
      </c>
      <c r="E275" s="1">
        <v>800</v>
      </c>
      <c r="F275" s="29">
        <v>800</v>
      </c>
      <c r="G275" s="29">
        <v>800</v>
      </c>
      <c r="H275" s="29">
        <v>800</v>
      </c>
      <c r="I275" s="29">
        <v>800</v>
      </c>
      <c r="J275" s="29">
        <v>800</v>
      </c>
      <c r="K275" s="29">
        <v>800</v>
      </c>
      <c r="O275" s="45">
        <v>296</v>
      </c>
      <c r="P275" s="61"/>
      <c r="Q275" s="61"/>
      <c r="R275" s="61"/>
      <c r="S275" s="61"/>
      <c r="T275" s="61"/>
      <c r="U275" s="61"/>
      <c r="V275">
        <f t="shared" si="4"/>
        <v>0</v>
      </c>
    </row>
    <row r="276" spans="3:22">
      <c r="C276" s="41">
        <v>319</v>
      </c>
      <c r="D276" s="1" t="s">
        <v>263</v>
      </c>
      <c r="E276" s="1">
        <v>800</v>
      </c>
      <c r="F276" s="29"/>
      <c r="G276" s="29">
        <v>2000</v>
      </c>
      <c r="H276" s="29"/>
      <c r="I276" s="29">
        <v>4000</v>
      </c>
      <c r="J276" s="29">
        <v>4000</v>
      </c>
      <c r="K276" s="29"/>
      <c r="O276" s="45">
        <v>297</v>
      </c>
      <c r="P276" s="61"/>
      <c r="Q276" s="61"/>
      <c r="R276" s="61"/>
      <c r="S276" s="61"/>
      <c r="T276" s="61"/>
      <c r="U276" s="61"/>
      <c r="V276">
        <f t="shared" si="4"/>
        <v>0</v>
      </c>
    </row>
    <row r="277" spans="3:22">
      <c r="C277" s="41">
        <v>93</v>
      </c>
      <c r="D277" s="1">
        <v>98</v>
      </c>
      <c r="E277" s="1">
        <v>800</v>
      </c>
      <c r="F277" s="29"/>
      <c r="G277" s="29"/>
      <c r="H277" s="29"/>
      <c r="I277" s="29"/>
      <c r="J277" s="29"/>
      <c r="K277" s="29"/>
      <c r="O277" s="45">
        <v>298</v>
      </c>
      <c r="P277" s="61"/>
      <c r="Q277" s="61">
        <v>1</v>
      </c>
      <c r="R277" s="61"/>
      <c r="S277" s="61"/>
      <c r="T277" s="61"/>
      <c r="U277" s="61"/>
      <c r="V277">
        <f t="shared" si="4"/>
        <v>1</v>
      </c>
    </row>
    <row r="278" spans="3:22">
      <c r="C278" s="41">
        <v>255</v>
      </c>
      <c r="D278" s="1">
        <v>268</v>
      </c>
      <c r="E278" s="1">
        <v>800</v>
      </c>
      <c r="F278" s="29"/>
      <c r="G278" s="29"/>
      <c r="H278" s="29">
        <v>3200</v>
      </c>
      <c r="I278" s="29"/>
      <c r="J278" s="29">
        <v>3200</v>
      </c>
      <c r="K278" s="29"/>
      <c r="O278" s="45">
        <v>299</v>
      </c>
      <c r="P278" s="61"/>
      <c r="Q278" s="61"/>
      <c r="R278" s="61"/>
      <c r="S278" s="61"/>
      <c r="T278" s="61"/>
      <c r="U278" s="61"/>
      <c r="V278">
        <f t="shared" si="4"/>
        <v>0</v>
      </c>
    </row>
    <row r="279" spans="3:22">
      <c r="C279" s="41">
        <v>167</v>
      </c>
      <c r="D279" s="1">
        <v>175</v>
      </c>
      <c r="E279" s="1">
        <v>800</v>
      </c>
      <c r="F279" s="29"/>
      <c r="G279" s="29"/>
      <c r="H279" s="29"/>
      <c r="I279" s="29"/>
      <c r="J279" s="29"/>
      <c r="K279" s="29"/>
      <c r="O279" s="45">
        <v>300</v>
      </c>
      <c r="P279" s="61"/>
      <c r="Q279" s="61"/>
      <c r="R279" s="61"/>
      <c r="S279" s="61"/>
      <c r="T279" s="61"/>
      <c r="U279" s="61"/>
      <c r="V279">
        <f t="shared" si="4"/>
        <v>0</v>
      </c>
    </row>
    <row r="280" spans="3:22">
      <c r="C280" s="41">
        <v>99</v>
      </c>
      <c r="D280" s="1">
        <v>104</v>
      </c>
      <c r="E280" s="1">
        <v>800</v>
      </c>
      <c r="F280" s="29"/>
      <c r="G280" s="29"/>
      <c r="H280" s="29"/>
      <c r="I280" s="29"/>
      <c r="J280" s="29"/>
      <c r="K280" s="29"/>
      <c r="O280" s="45">
        <v>301</v>
      </c>
      <c r="P280" s="61"/>
      <c r="Q280" s="61"/>
      <c r="R280" s="61"/>
      <c r="S280" s="61"/>
      <c r="T280" s="61"/>
      <c r="U280" s="61"/>
      <c r="V280">
        <f t="shared" si="4"/>
        <v>0</v>
      </c>
    </row>
    <row r="281" spans="3:22">
      <c r="C281" s="41">
        <v>146</v>
      </c>
      <c r="D281" s="1">
        <v>154</v>
      </c>
      <c r="E281" s="1">
        <v>800</v>
      </c>
      <c r="F281" s="29"/>
      <c r="G281" s="29"/>
      <c r="H281" s="29"/>
      <c r="I281" s="29"/>
      <c r="J281" s="29"/>
      <c r="K281" s="29">
        <v>26000</v>
      </c>
      <c r="O281" s="45">
        <v>302</v>
      </c>
      <c r="P281" s="61"/>
      <c r="Q281" s="61"/>
      <c r="R281" s="61"/>
      <c r="S281" s="61"/>
      <c r="T281" s="61"/>
      <c r="U281" s="61"/>
      <c r="V281">
        <f t="shared" si="4"/>
        <v>0</v>
      </c>
    </row>
    <row r="282" spans="3:22">
      <c r="C282" s="41">
        <v>29</v>
      </c>
      <c r="D282" s="1">
        <v>29</v>
      </c>
      <c r="E282" s="1">
        <v>800</v>
      </c>
      <c r="F282" s="29">
        <v>9000</v>
      </c>
      <c r="G282" s="29">
        <v>1600</v>
      </c>
      <c r="H282" s="29">
        <v>800</v>
      </c>
      <c r="I282" s="29">
        <v>1600</v>
      </c>
      <c r="J282" s="29"/>
      <c r="K282" s="29"/>
      <c r="O282" s="45">
        <v>303</v>
      </c>
      <c r="P282" s="61"/>
      <c r="Q282" s="61"/>
      <c r="R282" s="61"/>
      <c r="S282" s="61"/>
      <c r="T282" s="61"/>
      <c r="U282" s="61"/>
      <c r="V282">
        <f t="shared" si="4"/>
        <v>0</v>
      </c>
    </row>
    <row r="283" spans="3:22">
      <c r="C283" s="41">
        <v>28</v>
      </c>
      <c r="D283" s="1">
        <v>28</v>
      </c>
      <c r="E283" s="1">
        <v>800</v>
      </c>
      <c r="F283" s="29"/>
      <c r="G283" s="29">
        <v>4000</v>
      </c>
      <c r="H283" s="29"/>
      <c r="I283" s="29">
        <v>2400</v>
      </c>
      <c r="J283" s="29"/>
      <c r="K283" s="29"/>
      <c r="O283" s="45">
        <v>305</v>
      </c>
      <c r="P283" s="61"/>
      <c r="Q283" s="61"/>
      <c r="R283" s="61"/>
      <c r="S283" s="61"/>
      <c r="T283" s="61"/>
      <c r="U283" s="61"/>
      <c r="V283">
        <f t="shared" si="4"/>
        <v>0</v>
      </c>
    </row>
    <row r="284" spans="3:22">
      <c r="C284" s="41">
        <v>27</v>
      </c>
      <c r="D284" s="1">
        <v>27</v>
      </c>
      <c r="E284" s="1">
        <v>800</v>
      </c>
      <c r="F284" s="29"/>
      <c r="G284" s="29"/>
      <c r="H284" s="29"/>
      <c r="I284" s="29"/>
      <c r="J284" s="29"/>
      <c r="K284" s="29"/>
      <c r="O284" s="45">
        <v>306</v>
      </c>
      <c r="P284" s="61"/>
      <c r="Q284" s="61"/>
      <c r="R284" s="61"/>
      <c r="S284" s="61"/>
      <c r="T284" s="61"/>
      <c r="U284" s="61"/>
      <c r="V284">
        <f t="shared" si="4"/>
        <v>0</v>
      </c>
    </row>
    <row r="285" spans="3:22">
      <c r="C285" s="41">
        <v>135</v>
      </c>
      <c r="D285" s="4">
        <v>142</v>
      </c>
      <c r="E285" s="4">
        <v>800</v>
      </c>
      <c r="F285" s="29"/>
      <c r="G285" s="29"/>
      <c r="H285" s="29">
        <v>8000</v>
      </c>
      <c r="I285" s="29"/>
      <c r="J285" s="29"/>
      <c r="K285" s="29">
        <v>21000</v>
      </c>
      <c r="O285" s="45">
        <v>307</v>
      </c>
      <c r="P285" s="61"/>
      <c r="Q285" s="61"/>
      <c r="R285" s="61"/>
      <c r="S285" s="61"/>
      <c r="T285" s="61">
        <v>1</v>
      </c>
      <c r="U285" s="61"/>
      <c r="V285">
        <f t="shared" si="4"/>
        <v>1</v>
      </c>
    </row>
    <row r="286" spans="3:22">
      <c r="C286" s="41">
        <v>135</v>
      </c>
      <c r="D286" s="4">
        <v>143</v>
      </c>
      <c r="E286" s="4"/>
      <c r="F286" s="29"/>
      <c r="G286" s="29"/>
      <c r="H286" s="29"/>
      <c r="I286" s="29"/>
      <c r="J286" s="29"/>
      <c r="K286" s="29"/>
      <c r="O286" s="45">
        <v>308</v>
      </c>
      <c r="P286" s="61"/>
      <c r="Q286" s="61"/>
      <c r="R286" s="61"/>
      <c r="S286" s="61"/>
      <c r="T286" s="61"/>
      <c r="U286" s="61"/>
      <c r="V286">
        <f t="shared" si="4"/>
        <v>0</v>
      </c>
    </row>
    <row r="287" spans="3:22">
      <c r="C287" s="41">
        <v>135</v>
      </c>
      <c r="D287" s="4" t="s">
        <v>274</v>
      </c>
      <c r="E287" s="4"/>
      <c r="F287" s="29"/>
      <c r="G287" s="29"/>
      <c r="H287" s="29"/>
      <c r="I287" s="29"/>
      <c r="J287" s="29"/>
      <c r="K287" s="29"/>
      <c r="O287" s="45">
        <v>309</v>
      </c>
      <c r="P287" s="61"/>
      <c r="Q287" s="61"/>
      <c r="R287" s="61"/>
      <c r="S287" s="61"/>
      <c r="T287" s="61"/>
      <c r="U287" s="61"/>
      <c r="V287">
        <f t="shared" si="4"/>
        <v>0</v>
      </c>
    </row>
    <row r="288" spans="3:22">
      <c r="C288" s="41">
        <v>59</v>
      </c>
      <c r="D288" s="1">
        <v>61</v>
      </c>
      <c r="E288" s="1">
        <v>800</v>
      </c>
      <c r="F288" s="29">
        <v>2400</v>
      </c>
      <c r="G288" s="29"/>
      <c r="H288" s="29"/>
      <c r="I288" s="29"/>
      <c r="J288" s="29"/>
      <c r="K288" s="29"/>
      <c r="O288" s="45">
        <v>310</v>
      </c>
      <c r="P288" s="61">
        <v>1</v>
      </c>
      <c r="Q288" s="61"/>
      <c r="R288" s="61">
        <v>1</v>
      </c>
      <c r="S288" s="61">
        <v>1</v>
      </c>
      <c r="T288" s="61">
        <v>1</v>
      </c>
      <c r="U288" s="61"/>
      <c r="V288">
        <f t="shared" si="4"/>
        <v>4</v>
      </c>
    </row>
    <row r="289" spans="3:22">
      <c r="C289" s="41">
        <v>60</v>
      </c>
      <c r="D289" s="1">
        <v>62</v>
      </c>
      <c r="E289" s="1">
        <v>800</v>
      </c>
      <c r="F289" s="29"/>
      <c r="G289" s="29"/>
      <c r="H289" s="29"/>
      <c r="I289" s="29"/>
      <c r="J289" s="29"/>
      <c r="K289" s="29"/>
      <c r="O289" s="45">
        <v>312</v>
      </c>
      <c r="P289" s="61">
        <v>1</v>
      </c>
      <c r="Q289" s="61"/>
      <c r="R289" s="61"/>
      <c r="S289" s="61">
        <v>1</v>
      </c>
      <c r="T289" s="61"/>
      <c r="U289" s="61">
        <v>1</v>
      </c>
      <c r="V289">
        <f t="shared" si="4"/>
        <v>3</v>
      </c>
    </row>
    <row r="290" spans="3:22">
      <c r="C290" s="41">
        <v>248</v>
      </c>
      <c r="D290" s="1">
        <v>259</v>
      </c>
      <c r="E290" s="1">
        <v>800</v>
      </c>
      <c r="F290" s="29"/>
      <c r="G290" s="29"/>
      <c r="H290" s="29"/>
      <c r="I290" s="29"/>
      <c r="J290" s="29"/>
      <c r="K290" s="29">
        <v>1700</v>
      </c>
      <c r="O290" s="45">
        <v>314</v>
      </c>
      <c r="P290" s="61"/>
      <c r="Q290" s="61"/>
      <c r="R290" s="61"/>
      <c r="S290" s="61"/>
      <c r="T290" s="61"/>
      <c r="U290" s="61"/>
      <c r="V290">
        <f t="shared" si="4"/>
        <v>0</v>
      </c>
    </row>
    <row r="291" spans="3:22">
      <c r="C291" s="41">
        <v>247</v>
      </c>
      <c r="D291" s="1">
        <v>258</v>
      </c>
      <c r="E291" s="1">
        <v>800</v>
      </c>
      <c r="F291" s="29"/>
      <c r="G291" s="29"/>
      <c r="H291" s="29"/>
      <c r="I291" s="29"/>
      <c r="J291" s="29"/>
      <c r="K291" s="29"/>
      <c r="O291" s="45">
        <v>315</v>
      </c>
      <c r="P291" s="61"/>
      <c r="Q291" s="61"/>
      <c r="R291" s="61"/>
      <c r="S291" s="61"/>
      <c r="T291" s="61"/>
      <c r="U291" s="61"/>
      <c r="V291">
        <f t="shared" si="4"/>
        <v>0</v>
      </c>
    </row>
    <row r="292" spans="3:22">
      <c r="C292" s="41">
        <v>103</v>
      </c>
      <c r="D292" s="1">
        <v>108</v>
      </c>
      <c r="E292" s="1">
        <v>800</v>
      </c>
      <c r="F292" s="29">
        <v>6000</v>
      </c>
      <c r="G292" s="29"/>
      <c r="H292" s="29">
        <v>6000</v>
      </c>
      <c r="I292" s="29"/>
      <c r="J292" s="29"/>
      <c r="K292" s="29"/>
      <c r="O292" s="45">
        <v>316</v>
      </c>
      <c r="P292" s="61">
        <v>1</v>
      </c>
      <c r="Q292" s="61"/>
      <c r="R292" s="61"/>
      <c r="S292" s="61"/>
      <c r="T292" s="61"/>
      <c r="U292" s="61"/>
      <c r="V292">
        <f t="shared" si="4"/>
        <v>1</v>
      </c>
    </row>
    <row r="293" spans="3:22">
      <c r="C293" s="41">
        <v>275</v>
      </c>
      <c r="D293" s="1">
        <v>288</v>
      </c>
      <c r="E293" s="1">
        <v>800</v>
      </c>
      <c r="F293" s="29"/>
      <c r="G293" s="29"/>
      <c r="H293" s="29"/>
      <c r="I293" s="29"/>
      <c r="J293" s="29"/>
      <c r="K293" s="29">
        <v>16000</v>
      </c>
      <c r="O293" s="45">
        <v>317</v>
      </c>
      <c r="P293" s="61"/>
      <c r="Q293" s="61"/>
      <c r="R293" s="61"/>
      <c r="S293" s="61"/>
      <c r="T293" s="61"/>
      <c r="U293" s="61"/>
      <c r="V293">
        <f t="shared" si="4"/>
        <v>0</v>
      </c>
    </row>
    <row r="294" spans="3:22">
      <c r="C294" s="41">
        <v>22</v>
      </c>
      <c r="D294" s="1">
        <v>22</v>
      </c>
      <c r="E294" s="1">
        <v>800</v>
      </c>
      <c r="F294" s="29"/>
      <c r="G294" s="29"/>
      <c r="H294" s="29"/>
      <c r="I294" s="29"/>
      <c r="J294" s="29"/>
      <c r="K294" s="29"/>
      <c r="O294" s="45">
        <v>318</v>
      </c>
      <c r="P294" s="61"/>
      <c r="Q294" s="61">
        <v>1</v>
      </c>
      <c r="R294" s="61"/>
      <c r="S294" s="61">
        <v>1</v>
      </c>
      <c r="T294" s="61"/>
      <c r="U294" s="61"/>
      <c r="V294">
        <f t="shared" si="4"/>
        <v>2</v>
      </c>
    </row>
    <row r="295" spans="3:22">
      <c r="C295" s="41">
        <v>20</v>
      </c>
      <c r="D295" s="1">
        <v>20</v>
      </c>
      <c r="E295" s="1">
        <v>800</v>
      </c>
      <c r="F295" s="29"/>
      <c r="G295" s="29"/>
      <c r="H295" s="29"/>
      <c r="I295" s="29"/>
      <c r="J295" s="29"/>
      <c r="K295" s="29"/>
      <c r="O295" s="45">
        <v>319</v>
      </c>
      <c r="P295" s="61"/>
      <c r="Q295" s="61">
        <v>1</v>
      </c>
      <c r="R295" s="61"/>
      <c r="S295" s="61">
        <v>1</v>
      </c>
      <c r="T295" s="61">
        <v>1</v>
      </c>
      <c r="U295" s="61"/>
      <c r="V295">
        <f t="shared" si="4"/>
        <v>3</v>
      </c>
    </row>
    <row r="296" spans="3:22">
      <c r="C296" s="41">
        <v>233</v>
      </c>
      <c r="D296" s="1">
        <v>242</v>
      </c>
      <c r="E296" s="1">
        <v>800</v>
      </c>
      <c r="F296" s="29"/>
      <c r="G296" s="29"/>
      <c r="H296" s="29"/>
      <c r="I296" s="29"/>
      <c r="J296" s="29"/>
      <c r="K296" s="29">
        <v>7000</v>
      </c>
      <c r="O296" s="45">
        <v>320</v>
      </c>
      <c r="P296" s="61"/>
      <c r="Q296" s="61"/>
      <c r="R296" s="61"/>
      <c r="S296" s="61">
        <v>1</v>
      </c>
      <c r="T296" s="61"/>
      <c r="U296" s="61"/>
      <c r="V296">
        <f t="shared" si="4"/>
        <v>1</v>
      </c>
    </row>
    <row r="297" spans="3:22">
      <c r="C297" s="41">
        <v>256</v>
      </c>
      <c r="D297" s="1">
        <v>269</v>
      </c>
      <c r="E297" s="1">
        <v>800</v>
      </c>
      <c r="F297" s="29"/>
      <c r="G297" s="29"/>
      <c r="H297" s="29"/>
      <c r="I297" s="29"/>
      <c r="J297" s="29"/>
      <c r="K297" s="29"/>
      <c r="O297" s="45" t="s">
        <v>680</v>
      </c>
      <c r="P297" s="61"/>
      <c r="Q297" s="61"/>
      <c r="R297" s="61"/>
      <c r="S297" s="61"/>
      <c r="T297" s="61"/>
      <c r="U297" s="61">
        <v>1</v>
      </c>
      <c r="V297">
        <f t="shared" si="4"/>
        <v>1</v>
      </c>
    </row>
    <row r="298" spans="3:22">
      <c r="C298" s="41">
        <v>113</v>
      </c>
      <c r="D298" s="1">
        <v>118</v>
      </c>
      <c r="E298" s="1">
        <v>800</v>
      </c>
      <c r="F298" s="29">
        <v>6000</v>
      </c>
      <c r="G298" s="29"/>
      <c r="H298" s="29"/>
      <c r="I298" s="29"/>
      <c r="J298" s="29"/>
      <c r="K298" s="29"/>
      <c r="O298" s="45" t="s">
        <v>619</v>
      </c>
      <c r="P298" s="61">
        <v>44</v>
      </c>
      <c r="Q298" s="61">
        <v>52</v>
      </c>
      <c r="R298" s="61">
        <v>50</v>
      </c>
      <c r="S298" s="61">
        <v>38</v>
      </c>
      <c r="T298" s="61">
        <v>43</v>
      </c>
      <c r="U298" s="61">
        <v>64</v>
      </c>
      <c r="V298">
        <f t="shared" si="4"/>
        <v>6</v>
      </c>
    </row>
    <row r="299" spans="3:22">
      <c r="C299" s="41">
        <v>113</v>
      </c>
      <c r="D299" s="1">
        <v>120</v>
      </c>
      <c r="E299" s="1"/>
      <c r="F299" s="29"/>
      <c r="G299" s="29"/>
      <c r="H299" s="29"/>
      <c r="I299" s="29"/>
      <c r="J299" s="29"/>
      <c r="K299" s="29"/>
    </row>
    <row r="300" spans="3:22">
      <c r="C300" s="41">
        <v>113</v>
      </c>
      <c r="D300" s="1">
        <v>116</v>
      </c>
      <c r="E300" s="1"/>
      <c r="F300" s="29"/>
      <c r="G300" s="29"/>
      <c r="H300" s="29"/>
      <c r="I300" s="29">
        <v>3000</v>
      </c>
      <c r="J300" s="29"/>
      <c r="K300" s="29">
        <v>3000</v>
      </c>
    </row>
    <row r="301" spans="3:22">
      <c r="C301" s="41">
        <v>180</v>
      </c>
      <c r="D301" s="1">
        <v>188</v>
      </c>
      <c r="E301" s="1">
        <v>800</v>
      </c>
      <c r="F301" s="29"/>
      <c r="G301" s="29"/>
      <c r="H301" s="29"/>
      <c r="I301" s="29"/>
      <c r="J301" s="29">
        <v>4800</v>
      </c>
      <c r="K301" s="29"/>
    </row>
    <row r="302" spans="3:22">
      <c r="C302" s="41">
        <v>2</v>
      </c>
      <c r="D302" s="1">
        <v>2</v>
      </c>
      <c r="E302" s="1">
        <v>800</v>
      </c>
      <c r="F302" s="29"/>
      <c r="G302" s="29"/>
      <c r="H302" s="29"/>
      <c r="I302" s="29"/>
      <c r="J302" s="29"/>
      <c r="K302" s="29"/>
    </row>
    <row r="303" spans="3:22">
      <c r="C303" s="41">
        <v>23</v>
      </c>
      <c r="D303" s="1">
        <v>23</v>
      </c>
      <c r="E303" s="1">
        <v>800</v>
      </c>
      <c r="F303" s="29">
        <v>11600</v>
      </c>
      <c r="G303" s="29"/>
      <c r="H303" s="29"/>
      <c r="I303" s="29"/>
      <c r="J303" s="29"/>
      <c r="K303" s="29"/>
    </row>
    <row r="304" spans="3:22">
      <c r="C304" s="41">
        <v>168</v>
      </c>
      <c r="D304" s="1">
        <v>176</v>
      </c>
      <c r="E304" s="1">
        <v>800</v>
      </c>
      <c r="F304" s="29"/>
      <c r="G304" s="29">
        <v>2000</v>
      </c>
      <c r="H304" s="29"/>
      <c r="I304" s="29">
        <v>2000</v>
      </c>
      <c r="J304" s="29">
        <v>2000</v>
      </c>
      <c r="K304" s="29"/>
    </row>
    <row r="305" spans="3:11">
      <c r="C305" s="41">
        <v>84</v>
      </c>
      <c r="D305" s="1">
        <v>89</v>
      </c>
      <c r="E305" s="1">
        <v>800</v>
      </c>
      <c r="F305" s="29"/>
      <c r="G305" s="29"/>
      <c r="H305" s="29"/>
      <c r="I305" s="29"/>
      <c r="J305" s="29"/>
      <c r="K305" s="29">
        <v>4800</v>
      </c>
    </row>
    <row r="306" spans="3:11">
      <c r="C306" s="41">
        <v>88</v>
      </c>
      <c r="D306" s="1">
        <v>97</v>
      </c>
      <c r="E306" s="1">
        <v>800</v>
      </c>
      <c r="F306" s="29">
        <v>8000</v>
      </c>
      <c r="G306" s="29"/>
      <c r="H306" s="29"/>
      <c r="I306" s="29"/>
      <c r="J306" s="29"/>
      <c r="K306" s="29"/>
    </row>
    <row r="307" spans="3:11">
      <c r="C307" s="41">
        <v>88</v>
      </c>
      <c r="D307" s="1">
        <v>93</v>
      </c>
      <c r="E307" s="1">
        <v>800</v>
      </c>
      <c r="F307" s="29"/>
      <c r="G307" s="29"/>
      <c r="H307" s="29"/>
      <c r="I307" s="29"/>
      <c r="J307" s="29"/>
      <c r="K307" s="29"/>
    </row>
    <row r="308" spans="3:11">
      <c r="C308" s="41">
        <v>78</v>
      </c>
      <c r="D308" s="1">
        <v>83</v>
      </c>
      <c r="E308" s="1">
        <v>800</v>
      </c>
      <c r="F308" s="29"/>
      <c r="G308" s="29"/>
      <c r="H308" s="29"/>
      <c r="I308" s="29"/>
      <c r="J308" s="29"/>
      <c r="K308" s="29"/>
    </row>
    <row r="309" spans="3:11">
      <c r="C309" s="41">
        <v>77</v>
      </c>
      <c r="D309" s="1">
        <v>83</v>
      </c>
      <c r="E309" s="1">
        <v>800</v>
      </c>
      <c r="F309" s="29"/>
      <c r="G309" s="29"/>
      <c r="H309" s="29"/>
      <c r="I309" s="29"/>
      <c r="J309" s="29"/>
      <c r="K309" s="29"/>
    </row>
    <row r="310" spans="3:11">
      <c r="C310" s="41">
        <v>306</v>
      </c>
      <c r="D310" s="1">
        <v>321</v>
      </c>
      <c r="E310" s="1">
        <v>800</v>
      </c>
      <c r="F310" s="29"/>
      <c r="G310" s="29"/>
      <c r="H310" s="29"/>
      <c r="I310" s="29"/>
      <c r="J310" s="29"/>
      <c r="K310" s="29"/>
    </row>
    <row r="311" spans="3:11">
      <c r="C311" s="41">
        <v>182</v>
      </c>
      <c r="D311" s="1">
        <v>190</v>
      </c>
      <c r="E311" s="1">
        <v>800</v>
      </c>
      <c r="F311" s="29"/>
      <c r="G311" s="29"/>
      <c r="H311" s="29"/>
      <c r="I311" s="29"/>
      <c r="J311" s="29">
        <v>9200</v>
      </c>
      <c r="K311" s="29"/>
    </row>
    <row r="312" spans="3:11">
      <c r="C312" s="41">
        <v>95</v>
      </c>
      <c r="D312" s="1">
        <v>100</v>
      </c>
      <c r="E312" s="1">
        <v>800</v>
      </c>
      <c r="F312" s="29"/>
      <c r="G312" s="29"/>
      <c r="H312" s="29"/>
      <c r="I312" s="29"/>
      <c r="J312" s="29"/>
      <c r="K312" s="29">
        <v>9000</v>
      </c>
    </row>
    <row r="313" spans="3:11">
      <c r="C313" s="41">
        <v>108</v>
      </c>
      <c r="D313" s="1">
        <v>113</v>
      </c>
      <c r="E313" s="1">
        <v>800</v>
      </c>
      <c r="F313" s="29"/>
      <c r="G313" s="29">
        <v>4000</v>
      </c>
      <c r="H313" s="29">
        <v>2400</v>
      </c>
      <c r="I313" s="29"/>
      <c r="J313" s="29"/>
      <c r="K313" s="29">
        <v>2400</v>
      </c>
    </row>
    <row r="314" spans="3:11">
      <c r="C314" s="41">
        <v>41</v>
      </c>
      <c r="D314" s="1">
        <v>41</v>
      </c>
      <c r="E314" s="1">
        <v>800</v>
      </c>
      <c r="F314" s="29"/>
      <c r="G314" s="29"/>
      <c r="H314" s="29"/>
      <c r="I314" s="29"/>
      <c r="J314" s="29"/>
      <c r="K314" s="29"/>
    </row>
    <row r="315" spans="3:11">
      <c r="C315" s="41">
        <v>152</v>
      </c>
      <c r="D315" s="1">
        <v>160</v>
      </c>
      <c r="E315" s="1">
        <v>800</v>
      </c>
      <c r="F315" s="29"/>
      <c r="G315" s="29"/>
      <c r="H315" s="29"/>
      <c r="I315" s="29"/>
      <c r="J315" s="29"/>
      <c r="K315" s="29"/>
    </row>
    <row r="316" spans="3:11">
      <c r="C316" s="41">
        <v>227</v>
      </c>
      <c r="D316" s="1">
        <v>236</v>
      </c>
      <c r="E316" s="1">
        <v>800</v>
      </c>
      <c r="F316" s="29"/>
      <c r="G316" s="29">
        <v>3800</v>
      </c>
      <c r="H316" s="29">
        <v>4800</v>
      </c>
      <c r="I316" s="29"/>
      <c r="J316" s="29"/>
      <c r="K316" s="29"/>
    </row>
    <row r="317" spans="3:11">
      <c r="C317" s="41">
        <v>15</v>
      </c>
      <c r="D317" s="1">
        <v>15</v>
      </c>
      <c r="E317" s="1">
        <v>800</v>
      </c>
      <c r="F317" s="29"/>
      <c r="G317" s="29">
        <v>4000</v>
      </c>
      <c r="H317" s="29"/>
      <c r="I317" s="29"/>
      <c r="J317" s="29"/>
      <c r="K317" s="29">
        <v>4800</v>
      </c>
    </row>
    <row r="318" spans="3:11">
      <c r="C318" s="41">
        <v>240</v>
      </c>
      <c r="D318" s="1">
        <v>251</v>
      </c>
      <c r="E318" s="1">
        <v>800</v>
      </c>
      <c r="F318" s="29"/>
      <c r="G318" s="29"/>
      <c r="H318" s="29"/>
      <c r="I318" s="29"/>
      <c r="J318" s="29"/>
      <c r="K318" s="29"/>
    </row>
    <row r="319" spans="3:11">
      <c r="C319" s="41">
        <v>10</v>
      </c>
      <c r="D319" s="1">
        <v>10</v>
      </c>
      <c r="E319" s="1">
        <v>800</v>
      </c>
      <c r="F319" s="29"/>
      <c r="G319" s="29"/>
      <c r="H319" s="29"/>
      <c r="I319" s="29"/>
      <c r="J319" s="29"/>
      <c r="K319" s="29"/>
    </row>
    <row r="320" spans="3:11">
      <c r="C320" s="41">
        <v>55</v>
      </c>
      <c r="D320" s="1">
        <v>57</v>
      </c>
      <c r="E320" s="1">
        <v>800</v>
      </c>
      <c r="F320" s="29"/>
      <c r="G320" s="29"/>
      <c r="H320" s="29">
        <v>3200</v>
      </c>
      <c r="I320" s="29"/>
      <c r="J320" s="29"/>
      <c r="K320" s="29"/>
    </row>
    <row r="321" spans="3:11">
      <c r="C321" s="41">
        <v>309</v>
      </c>
      <c r="D321" s="1">
        <v>324</v>
      </c>
      <c r="E321" s="1">
        <v>800</v>
      </c>
      <c r="F321" s="29"/>
      <c r="G321" s="29"/>
      <c r="H321" s="29"/>
      <c r="I321" s="29"/>
      <c r="J321" s="29"/>
      <c r="K321" s="29"/>
    </row>
    <row r="322" spans="3:11">
      <c r="C322" s="41">
        <v>17</v>
      </c>
      <c r="D322" s="1">
        <v>17</v>
      </c>
      <c r="E322" s="1">
        <v>800</v>
      </c>
      <c r="F322" s="29">
        <v>3000</v>
      </c>
      <c r="G322" s="29"/>
      <c r="H322" s="29">
        <v>2000</v>
      </c>
      <c r="I322" s="29"/>
      <c r="J322" s="29"/>
      <c r="K322" s="29">
        <v>2000</v>
      </c>
    </row>
    <row r="323" spans="3:11">
      <c r="C323" s="41">
        <v>40</v>
      </c>
      <c r="D323" s="1">
        <v>40</v>
      </c>
      <c r="E323" s="1">
        <v>800</v>
      </c>
      <c r="F323" s="29"/>
      <c r="G323" s="29"/>
      <c r="H323" s="29"/>
      <c r="I323" s="29"/>
      <c r="J323" s="29"/>
      <c r="K323" s="29"/>
    </row>
    <row r="327" spans="3:11">
      <c r="C327" s="44" t="s">
        <v>639</v>
      </c>
      <c r="D327" t="s">
        <v>638</v>
      </c>
    </row>
    <row r="329" spans="3:11">
      <c r="C329" s="44" t="s">
        <v>617</v>
      </c>
      <c r="D329" t="s">
        <v>687</v>
      </c>
    </row>
    <row r="330" spans="3:11">
      <c r="C330">
        <v>29</v>
      </c>
      <c r="D330" s="61">
        <v>2</v>
      </c>
    </row>
    <row r="331" spans="3:11">
      <c r="C331">
        <v>88</v>
      </c>
      <c r="D331" s="61">
        <v>2</v>
      </c>
    </row>
    <row r="332" spans="3:11">
      <c r="C332">
        <v>282</v>
      </c>
      <c r="D332" s="61">
        <v>1</v>
      </c>
    </row>
    <row r="333" spans="3:11">
      <c r="C333">
        <v>212</v>
      </c>
      <c r="D333" s="61">
        <v>1</v>
      </c>
    </row>
    <row r="334" spans="3:11">
      <c r="C334">
        <v>173</v>
      </c>
      <c r="D334" s="61">
        <v>1</v>
      </c>
    </row>
    <row r="335" spans="3:11">
      <c r="C335">
        <v>4</v>
      </c>
      <c r="D335" s="61">
        <v>1</v>
      </c>
    </row>
    <row r="336" spans="3:11">
      <c r="C336">
        <v>248</v>
      </c>
      <c r="D336" s="61">
        <v>1</v>
      </c>
    </row>
    <row r="337" spans="3:4">
      <c r="C337">
        <v>5</v>
      </c>
      <c r="D337" s="61">
        <v>1</v>
      </c>
    </row>
    <row r="338" spans="3:4">
      <c r="C338">
        <v>318</v>
      </c>
      <c r="D338" s="61">
        <v>1</v>
      </c>
    </row>
    <row r="339" spans="3:4">
      <c r="C339">
        <v>6</v>
      </c>
      <c r="D339" s="61">
        <v>1</v>
      </c>
    </row>
    <row r="340" spans="3:4">
      <c r="C340">
        <v>194</v>
      </c>
      <c r="D340" s="61">
        <v>1</v>
      </c>
    </row>
    <row r="341" spans="3:4">
      <c r="C341">
        <v>7</v>
      </c>
      <c r="D341" s="61">
        <v>1</v>
      </c>
    </row>
    <row r="342" spans="3:4">
      <c r="C342">
        <v>229</v>
      </c>
      <c r="D342" s="61">
        <v>1</v>
      </c>
    </row>
    <row r="343" spans="3:4">
      <c r="C343">
        <v>8</v>
      </c>
      <c r="D343" s="61">
        <v>1</v>
      </c>
    </row>
    <row r="344" spans="3:4">
      <c r="C344">
        <v>266</v>
      </c>
      <c r="D344" s="61">
        <v>1</v>
      </c>
    </row>
    <row r="345" spans="3:4">
      <c r="C345">
        <v>9</v>
      </c>
      <c r="D345" s="61">
        <v>1</v>
      </c>
    </row>
    <row r="346" spans="3:4">
      <c r="C346">
        <v>299</v>
      </c>
      <c r="D346" s="61">
        <v>1</v>
      </c>
    </row>
    <row r="347" spans="3:4">
      <c r="C347">
        <v>10</v>
      </c>
      <c r="D347" s="61">
        <v>1</v>
      </c>
    </row>
    <row r="348" spans="3:4">
      <c r="C348">
        <v>164</v>
      </c>
      <c r="D348" s="61">
        <v>1</v>
      </c>
    </row>
    <row r="349" spans="3:4">
      <c r="C349">
        <v>11</v>
      </c>
      <c r="D349" s="61">
        <v>1</v>
      </c>
    </row>
    <row r="350" spans="3:4">
      <c r="C350">
        <v>182</v>
      </c>
      <c r="D350" s="61">
        <v>1</v>
      </c>
    </row>
    <row r="351" spans="3:4">
      <c r="C351">
        <v>12</v>
      </c>
      <c r="D351" s="61">
        <v>1</v>
      </c>
    </row>
    <row r="352" spans="3:4">
      <c r="C352">
        <v>204</v>
      </c>
      <c r="D352" s="61">
        <v>1</v>
      </c>
    </row>
    <row r="353" spans="3:4">
      <c r="C353">
        <v>13</v>
      </c>
      <c r="D353" s="61">
        <v>1</v>
      </c>
    </row>
    <row r="354" spans="3:4">
      <c r="C354">
        <v>221</v>
      </c>
      <c r="D354" s="61">
        <v>1</v>
      </c>
    </row>
    <row r="355" spans="3:4">
      <c r="C355">
        <v>15</v>
      </c>
      <c r="D355" s="61">
        <v>1</v>
      </c>
    </row>
    <row r="356" spans="3:4">
      <c r="C356">
        <v>238</v>
      </c>
      <c r="D356" s="61">
        <v>1</v>
      </c>
    </row>
    <row r="357" spans="3:4">
      <c r="C357">
        <v>16</v>
      </c>
      <c r="D357" s="61">
        <v>1</v>
      </c>
    </row>
    <row r="358" spans="3:4">
      <c r="C358">
        <v>257</v>
      </c>
      <c r="D358" s="61">
        <v>1</v>
      </c>
    </row>
    <row r="359" spans="3:4">
      <c r="C359">
        <v>17</v>
      </c>
      <c r="D359" s="61">
        <v>1</v>
      </c>
    </row>
    <row r="360" spans="3:4">
      <c r="C360">
        <v>274</v>
      </c>
      <c r="D360" s="61">
        <v>1</v>
      </c>
    </row>
    <row r="361" spans="3:4">
      <c r="C361">
        <v>18</v>
      </c>
      <c r="D361" s="61">
        <v>1</v>
      </c>
    </row>
    <row r="362" spans="3:4">
      <c r="C362">
        <v>291</v>
      </c>
      <c r="D362" s="61">
        <v>1</v>
      </c>
    </row>
    <row r="363" spans="3:4">
      <c r="C363">
        <v>19</v>
      </c>
      <c r="D363" s="61">
        <v>1</v>
      </c>
    </row>
    <row r="364" spans="3:4">
      <c r="C364">
        <v>308</v>
      </c>
      <c r="D364" s="61">
        <v>1</v>
      </c>
    </row>
    <row r="365" spans="3:4">
      <c r="C365">
        <v>20</v>
      </c>
      <c r="D365" s="61">
        <v>1</v>
      </c>
    </row>
    <row r="366" spans="3:4">
      <c r="C366">
        <v>160</v>
      </c>
      <c r="D366" s="61">
        <v>1</v>
      </c>
    </row>
    <row r="367" spans="3:4">
      <c r="C367">
        <v>21</v>
      </c>
      <c r="D367" s="61">
        <v>1</v>
      </c>
    </row>
    <row r="368" spans="3:4">
      <c r="C368">
        <v>168</v>
      </c>
      <c r="D368" s="61">
        <v>1</v>
      </c>
    </row>
    <row r="369" spans="3:4">
      <c r="C369">
        <v>22</v>
      </c>
      <c r="D369" s="61">
        <v>1</v>
      </c>
    </row>
    <row r="370" spans="3:4">
      <c r="C370">
        <v>177</v>
      </c>
      <c r="D370" s="61">
        <v>1</v>
      </c>
    </row>
    <row r="371" spans="3:4">
      <c r="C371">
        <v>23</v>
      </c>
      <c r="D371" s="61">
        <v>1</v>
      </c>
    </row>
    <row r="372" spans="3:4">
      <c r="C372">
        <v>190</v>
      </c>
      <c r="D372" s="61">
        <v>1</v>
      </c>
    </row>
    <row r="373" spans="3:4">
      <c r="C373">
        <v>24</v>
      </c>
      <c r="D373" s="61">
        <v>1</v>
      </c>
    </row>
    <row r="374" spans="3:4">
      <c r="C374">
        <v>199</v>
      </c>
      <c r="D374" s="61">
        <v>1</v>
      </c>
    </row>
    <row r="375" spans="3:4">
      <c r="C375">
        <v>25</v>
      </c>
      <c r="D375" s="61">
        <v>1</v>
      </c>
    </row>
    <row r="376" spans="3:4">
      <c r="C376">
        <v>208</v>
      </c>
      <c r="D376" s="61">
        <v>1</v>
      </c>
    </row>
    <row r="377" spans="3:4">
      <c r="C377">
        <v>26</v>
      </c>
      <c r="D377" s="61">
        <v>1</v>
      </c>
    </row>
    <row r="378" spans="3:4">
      <c r="C378">
        <v>216</v>
      </c>
      <c r="D378" s="61">
        <v>1</v>
      </c>
    </row>
    <row r="379" spans="3:4">
      <c r="C379">
        <v>27</v>
      </c>
      <c r="D379" s="61">
        <v>1</v>
      </c>
    </row>
    <row r="380" spans="3:4">
      <c r="C380">
        <v>225</v>
      </c>
      <c r="D380" s="61">
        <v>1</v>
      </c>
    </row>
    <row r="381" spans="3:4">
      <c r="C381">
        <v>28</v>
      </c>
      <c r="D381" s="61">
        <v>1</v>
      </c>
    </row>
    <row r="382" spans="3:4">
      <c r="C382">
        <v>233</v>
      </c>
      <c r="D382" s="61">
        <v>1</v>
      </c>
    </row>
    <row r="383" spans="3:4">
      <c r="C383">
        <v>2</v>
      </c>
      <c r="D383" s="61">
        <v>1</v>
      </c>
    </row>
    <row r="384" spans="3:4">
      <c r="C384">
        <v>242</v>
      </c>
      <c r="D384" s="61">
        <v>1</v>
      </c>
    </row>
    <row r="385" spans="3:4">
      <c r="C385">
        <v>30</v>
      </c>
      <c r="D385" s="61">
        <v>1</v>
      </c>
    </row>
    <row r="386" spans="3:4">
      <c r="C386">
        <v>252</v>
      </c>
      <c r="D386" s="61">
        <v>1</v>
      </c>
    </row>
    <row r="387" spans="3:4">
      <c r="C387">
        <v>31</v>
      </c>
      <c r="D387" s="61">
        <v>1</v>
      </c>
    </row>
    <row r="388" spans="3:4">
      <c r="C388">
        <v>261</v>
      </c>
      <c r="D388" s="61">
        <v>1</v>
      </c>
    </row>
    <row r="389" spans="3:4">
      <c r="C389">
        <v>32</v>
      </c>
      <c r="D389" s="61">
        <v>1</v>
      </c>
    </row>
    <row r="390" spans="3:4">
      <c r="C390">
        <v>270</v>
      </c>
      <c r="D390" s="61">
        <v>1</v>
      </c>
    </row>
    <row r="391" spans="3:4">
      <c r="C391">
        <v>33</v>
      </c>
      <c r="D391" s="61">
        <v>1</v>
      </c>
    </row>
    <row r="392" spans="3:4">
      <c r="C392">
        <v>278</v>
      </c>
      <c r="D392" s="61">
        <v>1</v>
      </c>
    </row>
    <row r="393" spans="3:4">
      <c r="C393">
        <v>34</v>
      </c>
      <c r="D393" s="61">
        <v>1</v>
      </c>
    </row>
    <row r="394" spans="3:4">
      <c r="C394">
        <v>287</v>
      </c>
      <c r="D394" s="61">
        <v>1</v>
      </c>
    </row>
    <row r="395" spans="3:4">
      <c r="C395">
        <v>35</v>
      </c>
      <c r="D395" s="61">
        <v>1</v>
      </c>
    </row>
    <row r="396" spans="3:4">
      <c r="C396">
        <v>295</v>
      </c>
      <c r="D396" s="61">
        <v>1</v>
      </c>
    </row>
    <row r="397" spans="3:4">
      <c r="C397">
        <v>36</v>
      </c>
      <c r="D397" s="61">
        <v>1</v>
      </c>
    </row>
    <row r="398" spans="3:4">
      <c r="C398">
        <v>303</v>
      </c>
      <c r="D398" s="61">
        <v>1</v>
      </c>
    </row>
    <row r="399" spans="3:4">
      <c r="C399">
        <v>37</v>
      </c>
      <c r="D399" s="61">
        <v>1</v>
      </c>
    </row>
    <row r="400" spans="3:4">
      <c r="C400">
        <v>314</v>
      </c>
      <c r="D400" s="61">
        <v>1</v>
      </c>
    </row>
    <row r="401" spans="3:4">
      <c r="C401">
        <v>38</v>
      </c>
      <c r="D401" s="61">
        <v>1</v>
      </c>
    </row>
    <row r="402" spans="3:4">
      <c r="C402">
        <v>1</v>
      </c>
      <c r="D402" s="61">
        <v>1</v>
      </c>
    </row>
    <row r="403" spans="3:4">
      <c r="C403">
        <v>39</v>
      </c>
      <c r="D403" s="61">
        <v>1</v>
      </c>
    </row>
    <row r="404" spans="3:4">
      <c r="C404">
        <v>162</v>
      </c>
      <c r="D404" s="61">
        <v>1</v>
      </c>
    </row>
    <row r="405" spans="3:4">
      <c r="C405">
        <v>40</v>
      </c>
      <c r="D405" s="61">
        <v>1</v>
      </c>
    </row>
    <row r="406" spans="3:4">
      <c r="C406">
        <v>166</v>
      </c>
      <c r="D406" s="61">
        <v>1</v>
      </c>
    </row>
    <row r="407" spans="3:4">
      <c r="C407">
        <v>41</v>
      </c>
      <c r="D407" s="61">
        <v>1</v>
      </c>
    </row>
    <row r="408" spans="3:4">
      <c r="C408">
        <v>170</v>
      </c>
      <c r="D408" s="61">
        <v>1</v>
      </c>
    </row>
    <row r="409" spans="3:4">
      <c r="C409">
        <v>42</v>
      </c>
      <c r="D409" s="61">
        <v>1</v>
      </c>
    </row>
    <row r="410" spans="3:4">
      <c r="C410">
        <v>175</v>
      </c>
      <c r="D410" s="61">
        <v>1</v>
      </c>
    </row>
    <row r="411" spans="3:4">
      <c r="C411">
        <v>43</v>
      </c>
      <c r="D411" s="61">
        <v>1</v>
      </c>
    </row>
    <row r="412" spans="3:4">
      <c r="C412">
        <v>180</v>
      </c>
      <c r="D412" s="61">
        <v>1</v>
      </c>
    </row>
    <row r="413" spans="3:4">
      <c r="C413">
        <v>44</v>
      </c>
      <c r="D413" s="61">
        <v>1</v>
      </c>
    </row>
    <row r="414" spans="3:4">
      <c r="C414">
        <v>187</v>
      </c>
      <c r="D414" s="61">
        <v>1</v>
      </c>
    </row>
    <row r="415" spans="3:4">
      <c r="C415">
        <v>45</v>
      </c>
      <c r="D415" s="61">
        <v>1</v>
      </c>
    </row>
    <row r="416" spans="3:4">
      <c r="C416">
        <v>192</v>
      </c>
      <c r="D416" s="61">
        <v>1</v>
      </c>
    </row>
    <row r="417" spans="3:4">
      <c r="C417">
        <v>46</v>
      </c>
      <c r="D417" s="61">
        <v>1</v>
      </c>
    </row>
    <row r="418" spans="3:4">
      <c r="C418">
        <v>197</v>
      </c>
      <c r="D418" s="61">
        <v>1</v>
      </c>
    </row>
    <row r="419" spans="3:4">
      <c r="C419">
        <v>47</v>
      </c>
      <c r="D419" s="61">
        <v>1</v>
      </c>
    </row>
    <row r="420" spans="3:4">
      <c r="C420">
        <v>202</v>
      </c>
      <c r="D420" s="61">
        <v>1</v>
      </c>
    </row>
    <row r="421" spans="3:4">
      <c r="C421">
        <v>48</v>
      </c>
      <c r="D421" s="61">
        <v>1</v>
      </c>
    </row>
    <row r="422" spans="3:4">
      <c r="C422">
        <v>206</v>
      </c>
      <c r="D422" s="61">
        <v>1</v>
      </c>
    </row>
    <row r="423" spans="3:4">
      <c r="C423">
        <v>49</v>
      </c>
      <c r="D423" s="61">
        <v>1</v>
      </c>
    </row>
    <row r="424" spans="3:4">
      <c r="C424">
        <v>210</v>
      </c>
      <c r="D424" s="61">
        <v>1</v>
      </c>
    </row>
    <row r="425" spans="3:4">
      <c r="C425">
        <v>50</v>
      </c>
      <c r="D425" s="61">
        <v>1</v>
      </c>
    </row>
    <row r="426" spans="3:4">
      <c r="C426">
        <v>214</v>
      </c>
      <c r="D426" s="61">
        <v>1</v>
      </c>
    </row>
    <row r="427" spans="3:4">
      <c r="C427">
        <v>51</v>
      </c>
      <c r="D427" s="61">
        <v>1</v>
      </c>
    </row>
    <row r="428" spans="3:4">
      <c r="C428">
        <v>219</v>
      </c>
      <c r="D428" s="61">
        <v>1</v>
      </c>
    </row>
    <row r="429" spans="3:4">
      <c r="C429">
        <v>52</v>
      </c>
      <c r="D429" s="61">
        <v>1</v>
      </c>
    </row>
    <row r="430" spans="3:4">
      <c r="C430">
        <v>223</v>
      </c>
      <c r="D430" s="61">
        <v>1</v>
      </c>
    </row>
    <row r="431" spans="3:4">
      <c r="C431">
        <v>53</v>
      </c>
      <c r="D431" s="61">
        <v>1</v>
      </c>
    </row>
    <row r="432" spans="3:4">
      <c r="C432">
        <v>227</v>
      </c>
      <c r="D432" s="61">
        <v>1</v>
      </c>
    </row>
    <row r="433" spans="3:4">
      <c r="C433">
        <v>54</v>
      </c>
      <c r="D433" s="61">
        <v>1</v>
      </c>
    </row>
    <row r="434" spans="3:4">
      <c r="C434">
        <v>231</v>
      </c>
      <c r="D434" s="61">
        <v>1</v>
      </c>
    </row>
    <row r="435" spans="3:4">
      <c r="C435">
        <v>55</v>
      </c>
      <c r="D435" s="61">
        <v>1</v>
      </c>
    </row>
    <row r="436" spans="3:4">
      <c r="C436">
        <v>236</v>
      </c>
      <c r="D436" s="61">
        <v>1</v>
      </c>
    </row>
    <row r="437" spans="3:4">
      <c r="C437">
        <v>56</v>
      </c>
      <c r="D437" s="61">
        <v>1</v>
      </c>
    </row>
    <row r="438" spans="3:4">
      <c r="C438">
        <v>240</v>
      </c>
      <c r="D438" s="61">
        <v>1</v>
      </c>
    </row>
    <row r="439" spans="3:4">
      <c r="C439">
        <v>57</v>
      </c>
      <c r="D439" s="61">
        <v>1</v>
      </c>
    </row>
    <row r="440" spans="3:4">
      <c r="C440">
        <v>245</v>
      </c>
      <c r="D440" s="61">
        <v>1</v>
      </c>
    </row>
    <row r="441" spans="3:4">
      <c r="C441">
        <v>58</v>
      </c>
      <c r="D441" s="61">
        <v>1</v>
      </c>
    </row>
    <row r="442" spans="3:4">
      <c r="C442">
        <v>250</v>
      </c>
      <c r="D442" s="61">
        <v>1</v>
      </c>
    </row>
    <row r="443" spans="3:4">
      <c r="C443">
        <v>59</v>
      </c>
      <c r="D443" s="61">
        <v>1</v>
      </c>
    </row>
    <row r="444" spans="3:4">
      <c r="C444">
        <v>255</v>
      </c>
      <c r="D444" s="61">
        <v>1</v>
      </c>
    </row>
    <row r="445" spans="3:4">
      <c r="C445">
        <v>60</v>
      </c>
      <c r="D445" s="61">
        <v>1</v>
      </c>
    </row>
    <row r="446" spans="3:4">
      <c r="C446">
        <v>259</v>
      </c>
      <c r="D446" s="61">
        <v>1</v>
      </c>
    </row>
    <row r="447" spans="3:4">
      <c r="C447">
        <v>61</v>
      </c>
      <c r="D447" s="61">
        <v>1</v>
      </c>
    </row>
    <row r="448" spans="3:4">
      <c r="C448">
        <v>264</v>
      </c>
      <c r="D448" s="61">
        <v>1</v>
      </c>
    </row>
    <row r="449" spans="3:4">
      <c r="C449">
        <v>62</v>
      </c>
      <c r="D449" s="61">
        <v>1</v>
      </c>
    </row>
    <row r="450" spans="3:4">
      <c r="C450">
        <v>268</v>
      </c>
      <c r="D450" s="61">
        <v>1</v>
      </c>
    </row>
    <row r="451" spans="3:4">
      <c r="C451">
        <v>63</v>
      </c>
      <c r="D451" s="61">
        <v>1</v>
      </c>
    </row>
    <row r="452" spans="3:4">
      <c r="C452">
        <v>272</v>
      </c>
      <c r="D452" s="61">
        <v>1</v>
      </c>
    </row>
    <row r="453" spans="3:4">
      <c r="C453">
        <v>64</v>
      </c>
      <c r="D453" s="61">
        <v>1</v>
      </c>
    </row>
    <row r="454" spans="3:4">
      <c r="C454">
        <v>276</v>
      </c>
      <c r="D454" s="61">
        <v>1</v>
      </c>
    </row>
    <row r="455" spans="3:4">
      <c r="C455">
        <v>65</v>
      </c>
      <c r="D455" s="61">
        <v>1</v>
      </c>
    </row>
    <row r="456" spans="3:4">
      <c r="C456">
        <v>280</v>
      </c>
      <c r="D456" s="61">
        <v>1</v>
      </c>
    </row>
    <row r="457" spans="3:4">
      <c r="C457">
        <v>66</v>
      </c>
      <c r="D457" s="61">
        <v>1</v>
      </c>
    </row>
    <row r="458" spans="3:4">
      <c r="C458">
        <v>285</v>
      </c>
      <c r="D458" s="61">
        <v>1</v>
      </c>
    </row>
    <row r="459" spans="3:4">
      <c r="C459">
        <v>67</v>
      </c>
      <c r="D459" s="61">
        <v>1</v>
      </c>
    </row>
    <row r="460" spans="3:4">
      <c r="C460">
        <v>289</v>
      </c>
      <c r="D460" s="61">
        <v>1</v>
      </c>
    </row>
    <row r="461" spans="3:4">
      <c r="C461">
        <v>68</v>
      </c>
      <c r="D461" s="61">
        <v>1</v>
      </c>
    </row>
    <row r="462" spans="3:4">
      <c r="C462">
        <v>293</v>
      </c>
      <c r="D462" s="61">
        <v>1</v>
      </c>
    </row>
    <row r="463" spans="3:4">
      <c r="C463">
        <v>69</v>
      </c>
      <c r="D463" s="61">
        <v>1</v>
      </c>
    </row>
    <row r="464" spans="3:4">
      <c r="C464">
        <v>297</v>
      </c>
      <c r="D464" s="61">
        <v>1</v>
      </c>
    </row>
    <row r="465" spans="3:4">
      <c r="C465">
        <v>71</v>
      </c>
      <c r="D465" s="61">
        <v>1</v>
      </c>
    </row>
    <row r="466" spans="3:4">
      <c r="C466">
        <v>301</v>
      </c>
      <c r="D466" s="61">
        <v>1</v>
      </c>
    </row>
    <row r="467" spans="3:4">
      <c r="C467">
        <v>72</v>
      </c>
      <c r="D467" s="61">
        <v>1</v>
      </c>
    </row>
    <row r="468" spans="3:4">
      <c r="C468">
        <v>306</v>
      </c>
      <c r="D468" s="61">
        <v>1</v>
      </c>
    </row>
    <row r="469" spans="3:4">
      <c r="C469">
        <v>73</v>
      </c>
      <c r="D469" s="61">
        <v>1</v>
      </c>
    </row>
    <row r="470" spans="3:4">
      <c r="C470">
        <v>310</v>
      </c>
      <c r="D470" s="61">
        <v>1</v>
      </c>
    </row>
    <row r="471" spans="3:4">
      <c r="C471">
        <v>74</v>
      </c>
      <c r="D471" s="61">
        <v>1</v>
      </c>
    </row>
    <row r="472" spans="3:4">
      <c r="C472">
        <v>316</v>
      </c>
      <c r="D472" s="61">
        <v>1</v>
      </c>
    </row>
    <row r="473" spans="3:4">
      <c r="C473">
        <v>76</v>
      </c>
      <c r="D473" s="61">
        <v>1</v>
      </c>
    </row>
    <row r="474" spans="3:4">
      <c r="C474">
        <v>320</v>
      </c>
      <c r="D474" s="61">
        <v>1</v>
      </c>
    </row>
    <row r="475" spans="3:4">
      <c r="C475">
        <v>77</v>
      </c>
      <c r="D475" s="61">
        <v>1</v>
      </c>
    </row>
    <row r="476" spans="3:4">
      <c r="C476">
        <v>159</v>
      </c>
      <c r="D476" s="61">
        <v>1</v>
      </c>
    </row>
    <row r="477" spans="3:4">
      <c r="C477">
        <v>78</v>
      </c>
      <c r="D477" s="61">
        <v>1</v>
      </c>
    </row>
    <row r="478" spans="3:4">
      <c r="C478">
        <v>161</v>
      </c>
      <c r="D478" s="61">
        <v>1</v>
      </c>
    </row>
    <row r="479" spans="3:4">
      <c r="C479">
        <v>79</v>
      </c>
      <c r="D479" s="61">
        <v>1</v>
      </c>
    </row>
    <row r="480" spans="3:4">
      <c r="C480">
        <v>163</v>
      </c>
      <c r="D480" s="61">
        <v>1</v>
      </c>
    </row>
    <row r="481" spans="3:4">
      <c r="C481">
        <v>80</v>
      </c>
      <c r="D481" s="61">
        <v>1</v>
      </c>
    </row>
    <row r="482" spans="3:4">
      <c r="C482">
        <v>165</v>
      </c>
      <c r="D482" s="61">
        <v>1</v>
      </c>
    </row>
    <row r="483" spans="3:4">
      <c r="C483">
        <v>81</v>
      </c>
      <c r="D483" s="61">
        <v>1</v>
      </c>
    </row>
    <row r="484" spans="3:4">
      <c r="C484">
        <v>167</v>
      </c>
      <c r="D484" s="61">
        <v>1</v>
      </c>
    </row>
    <row r="485" spans="3:4">
      <c r="C485">
        <v>82</v>
      </c>
      <c r="D485" s="61">
        <v>1</v>
      </c>
    </row>
    <row r="486" spans="3:4">
      <c r="C486">
        <v>169</v>
      </c>
      <c r="D486" s="61">
        <v>1</v>
      </c>
    </row>
    <row r="487" spans="3:4">
      <c r="C487">
        <v>83</v>
      </c>
      <c r="D487" s="61">
        <v>1</v>
      </c>
    </row>
    <row r="488" spans="3:4">
      <c r="C488">
        <v>172</v>
      </c>
      <c r="D488" s="61">
        <v>1</v>
      </c>
    </row>
    <row r="489" spans="3:4">
      <c r="C489">
        <v>84</v>
      </c>
      <c r="D489" s="61">
        <v>1</v>
      </c>
    </row>
    <row r="490" spans="3:4">
      <c r="C490">
        <v>174</v>
      </c>
      <c r="D490" s="61">
        <v>1</v>
      </c>
    </row>
    <row r="491" spans="3:4">
      <c r="C491">
        <v>85</v>
      </c>
      <c r="D491" s="61">
        <v>1</v>
      </c>
    </row>
    <row r="492" spans="3:4">
      <c r="C492">
        <v>176</v>
      </c>
      <c r="D492" s="61">
        <v>1</v>
      </c>
    </row>
    <row r="493" spans="3:4">
      <c r="C493">
        <v>86</v>
      </c>
      <c r="D493" s="61">
        <v>1</v>
      </c>
    </row>
    <row r="494" spans="3:4">
      <c r="C494">
        <v>178</v>
      </c>
      <c r="D494" s="61">
        <v>1</v>
      </c>
    </row>
    <row r="495" spans="3:4">
      <c r="C495">
        <v>87</v>
      </c>
      <c r="D495" s="61">
        <v>1</v>
      </c>
    </row>
    <row r="496" spans="3:4">
      <c r="C496">
        <v>181</v>
      </c>
      <c r="D496" s="61">
        <v>1</v>
      </c>
    </row>
    <row r="497" spans="3:4">
      <c r="C497">
        <v>183</v>
      </c>
      <c r="D497" s="61">
        <v>1</v>
      </c>
    </row>
    <row r="498" spans="3:4">
      <c r="C498">
        <v>3</v>
      </c>
      <c r="D498" s="61">
        <v>1</v>
      </c>
    </row>
    <row r="499" spans="3:4">
      <c r="C499">
        <v>185</v>
      </c>
      <c r="D499" s="61">
        <v>1</v>
      </c>
    </row>
    <row r="500" spans="3:4">
      <c r="C500">
        <v>186</v>
      </c>
      <c r="D500" s="61">
        <v>1</v>
      </c>
    </row>
    <row r="501" spans="3:4">
      <c r="C501">
        <v>89</v>
      </c>
      <c r="D501" s="61">
        <v>1</v>
      </c>
    </row>
    <row r="502" spans="3:4">
      <c r="C502">
        <v>188</v>
      </c>
      <c r="D502" s="61">
        <v>1</v>
      </c>
    </row>
    <row r="503" spans="3:4">
      <c r="C503">
        <v>90</v>
      </c>
      <c r="D503" s="61">
        <v>1</v>
      </c>
    </row>
    <row r="504" spans="3:4">
      <c r="C504">
        <v>191</v>
      </c>
      <c r="D504" s="61">
        <v>1</v>
      </c>
    </row>
    <row r="505" spans="3:4">
      <c r="C505">
        <v>91</v>
      </c>
      <c r="D505" s="61">
        <v>1</v>
      </c>
    </row>
    <row r="506" spans="3:4">
      <c r="C506">
        <v>193</v>
      </c>
      <c r="D506" s="61">
        <v>1</v>
      </c>
    </row>
    <row r="507" spans="3:4">
      <c r="C507">
        <v>93</v>
      </c>
      <c r="D507" s="61">
        <v>1</v>
      </c>
    </row>
    <row r="508" spans="3:4">
      <c r="C508">
        <v>196</v>
      </c>
      <c r="D508" s="61">
        <v>1</v>
      </c>
    </row>
    <row r="509" spans="3:4">
      <c r="C509">
        <v>94</v>
      </c>
      <c r="D509" s="61">
        <v>1</v>
      </c>
    </row>
    <row r="510" spans="3:4">
      <c r="C510">
        <v>198</v>
      </c>
      <c r="D510" s="61">
        <v>1</v>
      </c>
    </row>
    <row r="511" spans="3:4">
      <c r="C511">
        <v>95</v>
      </c>
      <c r="D511" s="61">
        <v>1</v>
      </c>
    </row>
    <row r="512" spans="3:4">
      <c r="C512">
        <v>201</v>
      </c>
      <c r="D512" s="61">
        <v>1</v>
      </c>
    </row>
    <row r="513" spans="3:4">
      <c r="C513">
        <v>96</v>
      </c>
      <c r="D513" s="61">
        <v>1</v>
      </c>
    </row>
    <row r="514" spans="3:4">
      <c r="C514">
        <v>203</v>
      </c>
      <c r="D514" s="61">
        <v>1</v>
      </c>
    </row>
    <row r="515" spans="3:4">
      <c r="C515">
        <v>98</v>
      </c>
      <c r="D515" s="61">
        <v>1</v>
      </c>
    </row>
    <row r="516" spans="3:4">
      <c r="C516">
        <v>205</v>
      </c>
      <c r="D516" s="61">
        <v>1</v>
      </c>
    </row>
    <row r="517" spans="3:4">
      <c r="C517">
        <v>99</v>
      </c>
      <c r="D517" s="61">
        <v>1</v>
      </c>
    </row>
    <row r="518" spans="3:4">
      <c r="C518">
        <v>207</v>
      </c>
      <c r="D518" s="61">
        <v>1</v>
      </c>
    </row>
    <row r="519" spans="3:4">
      <c r="C519">
        <v>100</v>
      </c>
      <c r="D519" s="61">
        <v>1</v>
      </c>
    </row>
    <row r="520" spans="3:4">
      <c r="C520">
        <v>209</v>
      </c>
      <c r="D520" s="61">
        <v>1</v>
      </c>
    </row>
    <row r="521" spans="3:4">
      <c r="C521">
        <v>101</v>
      </c>
      <c r="D521" s="61">
        <v>1</v>
      </c>
    </row>
    <row r="522" spans="3:4">
      <c r="C522">
        <v>211</v>
      </c>
      <c r="D522" s="61">
        <v>1</v>
      </c>
    </row>
    <row r="523" spans="3:4">
      <c r="C523">
        <v>102</v>
      </c>
      <c r="D523" s="61">
        <v>1</v>
      </c>
    </row>
    <row r="524" spans="3:4">
      <c r="C524">
        <v>213</v>
      </c>
      <c r="D524" s="61">
        <v>1</v>
      </c>
    </row>
    <row r="525" spans="3:4">
      <c r="C525">
        <v>103</v>
      </c>
      <c r="D525" s="61">
        <v>1</v>
      </c>
    </row>
    <row r="526" spans="3:4">
      <c r="C526">
        <v>215</v>
      </c>
      <c r="D526" s="61">
        <v>1</v>
      </c>
    </row>
    <row r="527" spans="3:4">
      <c r="C527">
        <v>104</v>
      </c>
      <c r="D527" s="61">
        <v>1</v>
      </c>
    </row>
    <row r="528" spans="3:4">
      <c r="C528">
        <v>218</v>
      </c>
      <c r="D528" s="61">
        <v>1</v>
      </c>
    </row>
    <row r="529" spans="3:4">
      <c r="C529">
        <v>105</v>
      </c>
      <c r="D529" s="61">
        <v>1</v>
      </c>
    </row>
    <row r="530" spans="3:4">
      <c r="C530">
        <v>220</v>
      </c>
      <c r="D530" s="61">
        <v>1</v>
      </c>
    </row>
    <row r="531" spans="3:4">
      <c r="C531">
        <v>106</v>
      </c>
      <c r="D531" s="61">
        <v>1</v>
      </c>
    </row>
    <row r="532" spans="3:4">
      <c r="C532">
        <v>222</v>
      </c>
      <c r="D532" s="61">
        <v>1</v>
      </c>
    </row>
    <row r="533" spans="3:4">
      <c r="C533">
        <v>107</v>
      </c>
      <c r="D533" s="61">
        <v>1</v>
      </c>
    </row>
    <row r="534" spans="3:4">
      <c r="C534">
        <v>224</v>
      </c>
      <c r="D534" s="61">
        <v>1</v>
      </c>
    </row>
    <row r="535" spans="3:4">
      <c r="C535">
        <v>108</v>
      </c>
      <c r="D535" s="61">
        <v>1</v>
      </c>
    </row>
    <row r="536" spans="3:4">
      <c r="C536">
        <v>226</v>
      </c>
      <c r="D536" s="61">
        <v>1</v>
      </c>
    </row>
    <row r="537" spans="3:4">
      <c r="C537">
        <v>109</v>
      </c>
      <c r="D537" s="61">
        <v>1</v>
      </c>
    </row>
    <row r="538" spans="3:4">
      <c r="C538">
        <v>228</v>
      </c>
      <c r="D538" s="61">
        <v>1</v>
      </c>
    </row>
    <row r="539" spans="3:4">
      <c r="C539">
        <v>110</v>
      </c>
      <c r="D539" s="61">
        <v>1</v>
      </c>
    </row>
    <row r="540" spans="3:4">
      <c r="C540">
        <v>230</v>
      </c>
      <c r="D540" s="61">
        <v>1</v>
      </c>
    </row>
    <row r="541" spans="3:4">
      <c r="C541">
        <v>112</v>
      </c>
      <c r="D541" s="61">
        <v>1</v>
      </c>
    </row>
    <row r="542" spans="3:4">
      <c r="C542">
        <v>232</v>
      </c>
      <c r="D542" s="61">
        <v>1</v>
      </c>
    </row>
    <row r="543" spans="3:4">
      <c r="C543">
        <v>113</v>
      </c>
      <c r="D543" s="61">
        <v>1</v>
      </c>
    </row>
    <row r="544" spans="3:4">
      <c r="C544">
        <v>234</v>
      </c>
      <c r="D544" s="61">
        <v>1</v>
      </c>
    </row>
    <row r="545" spans="3:4">
      <c r="C545">
        <v>114</v>
      </c>
      <c r="D545" s="61">
        <v>1</v>
      </c>
    </row>
    <row r="546" spans="3:4">
      <c r="C546">
        <v>237</v>
      </c>
      <c r="D546" s="61">
        <v>1</v>
      </c>
    </row>
    <row r="547" spans="3:4">
      <c r="C547">
        <v>116</v>
      </c>
      <c r="D547" s="61">
        <v>1</v>
      </c>
    </row>
    <row r="548" spans="3:4">
      <c r="C548">
        <v>239</v>
      </c>
      <c r="D548" s="61">
        <v>1</v>
      </c>
    </row>
    <row r="549" spans="3:4">
      <c r="C549">
        <v>117</v>
      </c>
      <c r="D549" s="61">
        <v>1</v>
      </c>
    </row>
    <row r="550" spans="3:4">
      <c r="C550">
        <v>241</v>
      </c>
      <c r="D550" s="61">
        <v>1</v>
      </c>
    </row>
    <row r="551" spans="3:4">
      <c r="C551">
        <v>118</v>
      </c>
      <c r="D551" s="61">
        <v>1</v>
      </c>
    </row>
    <row r="552" spans="3:4">
      <c r="C552">
        <v>243</v>
      </c>
      <c r="D552" s="61">
        <v>1</v>
      </c>
    </row>
    <row r="553" spans="3:4">
      <c r="C553">
        <v>119</v>
      </c>
      <c r="D553" s="61">
        <v>1</v>
      </c>
    </row>
    <row r="554" spans="3:4">
      <c r="C554">
        <v>247</v>
      </c>
      <c r="D554" s="61">
        <v>1</v>
      </c>
    </row>
    <row r="555" spans="3:4">
      <c r="C555">
        <v>120</v>
      </c>
      <c r="D555" s="61">
        <v>1</v>
      </c>
    </row>
    <row r="556" spans="3:4">
      <c r="C556">
        <v>249</v>
      </c>
      <c r="D556" s="61">
        <v>1</v>
      </c>
    </row>
    <row r="557" spans="3:4">
      <c r="C557">
        <v>121</v>
      </c>
      <c r="D557" s="61">
        <v>1</v>
      </c>
    </row>
    <row r="558" spans="3:4">
      <c r="C558">
        <v>251</v>
      </c>
      <c r="D558" s="61">
        <v>1</v>
      </c>
    </row>
    <row r="559" spans="3:4">
      <c r="C559">
        <v>122</v>
      </c>
      <c r="D559" s="61">
        <v>1</v>
      </c>
    </row>
    <row r="560" spans="3:4">
      <c r="C560">
        <v>254</v>
      </c>
      <c r="D560" s="61">
        <v>1</v>
      </c>
    </row>
    <row r="561" spans="3:4">
      <c r="C561">
        <v>123</v>
      </c>
      <c r="D561" s="61">
        <v>1</v>
      </c>
    </row>
    <row r="562" spans="3:4">
      <c r="C562">
        <v>256</v>
      </c>
      <c r="D562" s="61">
        <v>1</v>
      </c>
    </row>
    <row r="563" spans="3:4">
      <c r="C563">
        <v>124</v>
      </c>
      <c r="D563" s="61">
        <v>1</v>
      </c>
    </row>
    <row r="564" spans="3:4">
      <c r="C564">
        <v>258</v>
      </c>
      <c r="D564" s="61">
        <v>1</v>
      </c>
    </row>
    <row r="565" spans="3:4">
      <c r="C565">
        <v>125</v>
      </c>
      <c r="D565" s="61">
        <v>1</v>
      </c>
    </row>
    <row r="566" spans="3:4">
      <c r="C566">
        <v>260</v>
      </c>
      <c r="D566" s="61">
        <v>1</v>
      </c>
    </row>
    <row r="567" spans="3:4">
      <c r="C567">
        <v>126</v>
      </c>
      <c r="D567" s="61">
        <v>1</v>
      </c>
    </row>
    <row r="568" spans="3:4">
      <c r="C568">
        <v>263</v>
      </c>
      <c r="D568" s="61">
        <v>1</v>
      </c>
    </row>
    <row r="569" spans="3:4">
      <c r="C569">
        <v>127</v>
      </c>
      <c r="D569" s="61">
        <v>1</v>
      </c>
    </row>
    <row r="570" spans="3:4">
      <c r="C570">
        <v>265</v>
      </c>
      <c r="D570" s="61">
        <v>1</v>
      </c>
    </row>
    <row r="571" spans="3:4">
      <c r="C571">
        <v>128</v>
      </c>
      <c r="D571" s="61">
        <v>1</v>
      </c>
    </row>
    <row r="572" spans="3:4">
      <c r="C572">
        <v>267</v>
      </c>
      <c r="D572" s="61">
        <v>1</v>
      </c>
    </row>
    <row r="573" spans="3:4">
      <c r="C573">
        <v>129</v>
      </c>
      <c r="D573" s="61">
        <v>1</v>
      </c>
    </row>
    <row r="574" spans="3:4">
      <c r="C574">
        <v>269</v>
      </c>
      <c r="D574" s="61">
        <v>1</v>
      </c>
    </row>
    <row r="575" spans="3:4">
      <c r="C575">
        <v>130</v>
      </c>
      <c r="D575" s="61">
        <v>1</v>
      </c>
    </row>
    <row r="576" spans="3:4">
      <c r="C576">
        <v>271</v>
      </c>
      <c r="D576" s="61">
        <v>1</v>
      </c>
    </row>
    <row r="577" spans="3:4">
      <c r="C577">
        <v>131</v>
      </c>
      <c r="D577" s="61">
        <v>1</v>
      </c>
    </row>
    <row r="578" spans="3:4">
      <c r="C578">
        <v>273</v>
      </c>
      <c r="D578" s="61">
        <v>1</v>
      </c>
    </row>
    <row r="579" spans="3:4">
      <c r="C579">
        <v>132</v>
      </c>
      <c r="D579" s="61">
        <v>1</v>
      </c>
    </row>
    <row r="580" spans="3:4">
      <c r="C580">
        <v>275</v>
      </c>
      <c r="D580" s="61">
        <v>1</v>
      </c>
    </row>
    <row r="581" spans="3:4">
      <c r="C581">
        <v>133</v>
      </c>
      <c r="D581" s="61">
        <v>1</v>
      </c>
    </row>
    <row r="582" spans="3:4">
      <c r="C582">
        <v>277</v>
      </c>
      <c r="D582" s="61">
        <v>1</v>
      </c>
    </row>
    <row r="583" spans="3:4">
      <c r="C583">
        <v>134</v>
      </c>
      <c r="D583" s="61">
        <v>1</v>
      </c>
    </row>
    <row r="584" spans="3:4">
      <c r="C584">
        <v>279</v>
      </c>
      <c r="D584" s="61">
        <v>1</v>
      </c>
    </row>
    <row r="585" spans="3:4">
      <c r="C585">
        <v>135</v>
      </c>
      <c r="D585" s="61">
        <v>1</v>
      </c>
    </row>
    <row r="586" spans="3:4">
      <c r="C586">
        <v>281</v>
      </c>
      <c r="D586" s="61">
        <v>1</v>
      </c>
    </row>
    <row r="587" spans="3:4">
      <c r="C587">
        <v>136</v>
      </c>
      <c r="D587" s="61">
        <v>1</v>
      </c>
    </row>
    <row r="588" spans="3:4">
      <c r="C588">
        <v>284</v>
      </c>
      <c r="D588" s="61">
        <v>1</v>
      </c>
    </row>
    <row r="589" spans="3:4">
      <c r="C589">
        <v>137</v>
      </c>
      <c r="D589" s="61">
        <v>1</v>
      </c>
    </row>
    <row r="590" spans="3:4">
      <c r="C590">
        <v>286</v>
      </c>
      <c r="D590" s="61">
        <v>1</v>
      </c>
    </row>
    <row r="591" spans="3:4">
      <c r="C591">
        <v>138</v>
      </c>
      <c r="D591" s="61">
        <v>1</v>
      </c>
    </row>
    <row r="592" spans="3:4">
      <c r="C592">
        <v>288</v>
      </c>
      <c r="D592" s="61">
        <v>1</v>
      </c>
    </row>
    <row r="593" spans="3:4">
      <c r="C593">
        <v>139</v>
      </c>
      <c r="D593" s="61">
        <v>1</v>
      </c>
    </row>
    <row r="594" spans="3:4">
      <c r="C594">
        <v>290</v>
      </c>
      <c r="D594" s="61">
        <v>1</v>
      </c>
    </row>
    <row r="595" spans="3:4">
      <c r="C595">
        <v>142</v>
      </c>
      <c r="D595" s="61">
        <v>1</v>
      </c>
    </row>
    <row r="596" spans="3:4">
      <c r="C596">
        <v>292</v>
      </c>
      <c r="D596" s="61">
        <v>1</v>
      </c>
    </row>
    <row r="597" spans="3:4">
      <c r="C597">
        <v>143</v>
      </c>
      <c r="D597" s="61">
        <v>1</v>
      </c>
    </row>
    <row r="598" spans="3:4">
      <c r="C598">
        <v>294</v>
      </c>
      <c r="D598" s="61">
        <v>1</v>
      </c>
    </row>
    <row r="599" spans="3:4">
      <c r="C599">
        <v>144</v>
      </c>
      <c r="D599" s="61">
        <v>1</v>
      </c>
    </row>
    <row r="600" spans="3:4">
      <c r="C600">
        <v>296</v>
      </c>
      <c r="D600" s="61">
        <v>1</v>
      </c>
    </row>
    <row r="601" spans="3:4">
      <c r="C601">
        <v>146</v>
      </c>
      <c r="D601" s="61">
        <v>1</v>
      </c>
    </row>
    <row r="602" spans="3:4">
      <c r="C602">
        <v>298</v>
      </c>
      <c r="D602" s="61">
        <v>1</v>
      </c>
    </row>
    <row r="603" spans="3:4">
      <c r="C603">
        <v>147</v>
      </c>
      <c r="D603" s="61">
        <v>1</v>
      </c>
    </row>
    <row r="604" spans="3:4">
      <c r="C604">
        <v>300</v>
      </c>
      <c r="D604" s="61">
        <v>1</v>
      </c>
    </row>
    <row r="605" spans="3:4">
      <c r="C605">
        <v>148</v>
      </c>
      <c r="D605" s="61">
        <v>1</v>
      </c>
    </row>
    <row r="606" spans="3:4">
      <c r="C606">
        <v>302</v>
      </c>
      <c r="D606" s="61">
        <v>1</v>
      </c>
    </row>
    <row r="607" spans="3:4">
      <c r="C607">
        <v>149</v>
      </c>
      <c r="D607" s="61">
        <v>1</v>
      </c>
    </row>
    <row r="608" spans="3:4">
      <c r="C608">
        <v>305</v>
      </c>
      <c r="D608" s="61">
        <v>1</v>
      </c>
    </row>
    <row r="609" spans="3:4">
      <c r="C609">
        <v>150</v>
      </c>
      <c r="D609" s="61">
        <v>1</v>
      </c>
    </row>
    <row r="610" spans="3:4">
      <c r="C610">
        <v>307</v>
      </c>
      <c r="D610" s="61">
        <v>1</v>
      </c>
    </row>
    <row r="611" spans="3:4">
      <c r="C611">
        <v>151</v>
      </c>
      <c r="D611" s="61">
        <v>1</v>
      </c>
    </row>
    <row r="612" spans="3:4">
      <c r="C612">
        <v>309</v>
      </c>
      <c r="D612" s="61">
        <v>1</v>
      </c>
    </row>
    <row r="613" spans="3:4">
      <c r="C613">
        <v>152</v>
      </c>
      <c r="D613" s="61">
        <v>1</v>
      </c>
    </row>
    <row r="614" spans="3:4">
      <c r="C614">
        <v>312</v>
      </c>
      <c r="D614" s="61">
        <v>1</v>
      </c>
    </row>
    <row r="615" spans="3:4">
      <c r="C615">
        <v>153</v>
      </c>
      <c r="D615" s="61">
        <v>1</v>
      </c>
    </row>
    <row r="616" spans="3:4">
      <c r="C616">
        <v>315</v>
      </c>
      <c r="D616" s="61">
        <v>1</v>
      </c>
    </row>
    <row r="617" spans="3:4">
      <c r="C617">
        <v>154</v>
      </c>
      <c r="D617" s="61">
        <v>1</v>
      </c>
    </row>
    <row r="618" spans="3:4">
      <c r="C618">
        <v>317</v>
      </c>
      <c r="D618" s="61">
        <v>1</v>
      </c>
    </row>
    <row r="619" spans="3:4">
      <c r="C619">
        <v>155</v>
      </c>
      <c r="D619" s="61">
        <v>1</v>
      </c>
    </row>
    <row r="620" spans="3:4">
      <c r="C620">
        <v>319</v>
      </c>
      <c r="D620" s="61">
        <v>1</v>
      </c>
    </row>
    <row r="621" spans="3:4">
      <c r="C621">
        <v>156</v>
      </c>
      <c r="D621" s="61">
        <v>1</v>
      </c>
    </row>
    <row r="622" spans="3:4">
      <c r="C622" t="s">
        <v>680</v>
      </c>
      <c r="D622" s="61">
        <v>1</v>
      </c>
    </row>
    <row r="623" spans="3:4">
      <c r="C623">
        <v>157</v>
      </c>
      <c r="D623" s="61">
        <v>1</v>
      </c>
    </row>
    <row r="624" spans="3:4">
      <c r="C624">
        <v>158</v>
      </c>
      <c r="D624" s="61">
        <v>1</v>
      </c>
    </row>
    <row r="625" spans="3:4">
      <c r="C625" t="s">
        <v>619</v>
      </c>
      <c r="D625" s="61">
        <v>297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рабочая таблица</vt:lpstr>
      <vt:lpstr>На что стоит обратить внимание</vt:lpstr>
      <vt:lpstr>план на 2016</vt:lpstr>
      <vt:lpstr>членские взносы</vt:lpstr>
      <vt:lpstr>баланс</vt:lpstr>
      <vt:lpstr>data</vt:lpstr>
      <vt:lpstr>справочник</vt:lpstr>
      <vt:lpstr>Лист6</vt:lpstr>
    </vt:vector>
  </TitlesOfParts>
  <Company>АКБ "Русславбанк"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Лапшин С.Н.</dc:creator>
  <cp:lastModifiedBy>valeev arthur</cp:lastModifiedBy>
  <dcterms:created xsi:type="dcterms:W3CDTF">2016-07-18T16:19:30Z</dcterms:created>
  <dcterms:modified xsi:type="dcterms:W3CDTF">2019-02-21T12:27:04Z</dcterms:modified>
</cp:coreProperties>
</file>