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95" windowWidth="19440" windowHeight="8085" tabRatio="829"/>
  </bookViews>
  <sheets>
    <sheet name="идеал" sheetId="3" r:id="rId1"/>
    <sheet name="среднее" sheetId="7" r:id="rId2"/>
    <sheet name="совсем всё плохо" sheetId="6" r:id="rId3"/>
  </sheets>
  <calcPr calcId="145621" concurrentCalc="0"/>
</workbook>
</file>

<file path=xl/calcChain.xml><?xml version="1.0" encoding="utf-8"?>
<calcChain xmlns="http://schemas.openxmlformats.org/spreadsheetml/2006/main">
  <c r="J8" i="3" l="1"/>
  <c r="D11" i="7"/>
  <c r="E11" i="7"/>
  <c r="F11" i="7"/>
  <c r="G11" i="7"/>
  <c r="H11" i="7"/>
  <c r="D12" i="7"/>
  <c r="E12" i="7"/>
  <c r="F12" i="7"/>
  <c r="G12" i="7"/>
  <c r="H12" i="7"/>
  <c r="D13" i="7"/>
  <c r="E13" i="7"/>
  <c r="F13" i="7"/>
  <c r="G13" i="7"/>
  <c r="H13" i="7"/>
  <c r="F14" i="7"/>
  <c r="H14" i="7"/>
  <c r="D15" i="7"/>
  <c r="E15" i="7"/>
  <c r="F15" i="7"/>
  <c r="G15" i="7"/>
  <c r="H15" i="7"/>
  <c r="D16" i="7"/>
  <c r="E16" i="7"/>
  <c r="F16" i="7"/>
  <c r="G16" i="7"/>
  <c r="H16" i="7"/>
  <c r="F17" i="7"/>
  <c r="H17" i="7"/>
  <c r="G18" i="7"/>
  <c r="H18" i="7"/>
  <c r="D19" i="7"/>
  <c r="E19" i="7"/>
  <c r="F19" i="7"/>
  <c r="G19" i="7"/>
  <c r="H19" i="7"/>
  <c r="D20" i="7"/>
  <c r="E20" i="7"/>
  <c r="F20" i="7"/>
  <c r="G20" i="7"/>
  <c r="H20" i="7"/>
  <c r="H21" i="7"/>
  <c r="H22" i="7"/>
  <c r="E23" i="7"/>
  <c r="G23" i="7"/>
  <c r="H23" i="7"/>
  <c r="H24" i="7"/>
  <c r="H25" i="7"/>
  <c r="F26" i="7"/>
  <c r="H26" i="7"/>
  <c r="D27" i="7"/>
  <c r="G27" i="7"/>
  <c r="H27" i="7"/>
  <c r="D28" i="7"/>
  <c r="E28" i="7"/>
  <c r="F28" i="7"/>
  <c r="G28" i="7"/>
  <c r="H28" i="7"/>
  <c r="D29" i="7"/>
  <c r="E29" i="7"/>
  <c r="F29" i="7"/>
  <c r="G29" i="7"/>
  <c r="H29" i="7"/>
  <c r="G8" i="7"/>
  <c r="F8" i="7"/>
  <c r="E8" i="7"/>
  <c r="D8" i="7"/>
  <c r="G8" i="3"/>
  <c r="F8" i="3"/>
  <c r="E8" i="3"/>
  <c r="G7" i="3"/>
  <c r="G6" i="3"/>
  <c r="F7" i="3"/>
  <c r="F6" i="3"/>
  <c r="E7" i="3"/>
  <c r="E6" i="3"/>
  <c r="F26" i="3"/>
  <c r="F17" i="3"/>
  <c r="F14" i="6"/>
  <c r="F14" i="3"/>
  <c r="D10" i="7"/>
  <c r="G18" i="6"/>
  <c r="H18" i="6"/>
  <c r="G7" i="7"/>
  <c r="G6" i="7"/>
  <c r="F7" i="7"/>
  <c r="F6" i="7"/>
  <c r="E7" i="7"/>
  <c r="E6" i="7"/>
  <c r="D7" i="7"/>
  <c r="D6" i="7"/>
  <c r="D10" i="3"/>
  <c r="D11" i="3"/>
  <c r="D12" i="3"/>
  <c r="D13" i="3"/>
  <c r="D15" i="3"/>
  <c r="D16" i="3"/>
  <c r="D19" i="3"/>
  <c r="D20" i="3"/>
  <c r="D27" i="3"/>
  <c r="D28" i="3"/>
  <c r="D29" i="3"/>
  <c r="D9" i="3"/>
  <c r="E10" i="3"/>
  <c r="E11" i="3"/>
  <c r="E12" i="3"/>
  <c r="E13" i="3"/>
  <c r="E15" i="3"/>
  <c r="E16" i="3"/>
  <c r="E19" i="3"/>
  <c r="E20" i="3"/>
  <c r="E22" i="3"/>
  <c r="E23" i="3"/>
  <c r="E24" i="3"/>
  <c r="E25" i="3"/>
  <c r="E28" i="3"/>
  <c r="E29" i="3"/>
  <c r="E9" i="3"/>
  <c r="D27" i="6"/>
  <c r="G27" i="3"/>
  <c r="D7" i="3"/>
  <c r="D6" i="3"/>
  <c r="G18" i="3"/>
  <c r="F25" i="3"/>
  <c r="H27" i="6"/>
  <c r="H27" i="3"/>
  <c r="H8" i="7"/>
  <c r="H8" i="6"/>
  <c r="H21" i="6"/>
  <c r="H22" i="6"/>
  <c r="H23" i="6"/>
  <c r="H24" i="6"/>
  <c r="H25" i="6"/>
  <c r="H26" i="6"/>
  <c r="H28" i="6"/>
  <c r="H29" i="6"/>
  <c r="D8" i="3"/>
  <c r="E5" i="3"/>
  <c r="F5" i="3"/>
  <c r="G5" i="3"/>
  <c r="F10" i="3"/>
  <c r="F11" i="3"/>
  <c r="F12" i="3"/>
  <c r="F13" i="3"/>
  <c r="F15" i="3"/>
  <c r="F16" i="3"/>
  <c r="F19" i="3"/>
  <c r="F20" i="3"/>
  <c r="F28" i="3"/>
  <c r="F29" i="3"/>
  <c r="G10" i="3"/>
  <c r="G11" i="3"/>
  <c r="G12" i="3"/>
  <c r="G13" i="3"/>
  <c r="G15" i="3"/>
  <c r="G16" i="3"/>
  <c r="G19" i="3"/>
  <c r="G20" i="3"/>
  <c r="G28" i="3"/>
  <c r="G29" i="3"/>
  <c r="G9" i="3"/>
  <c r="H22" i="3"/>
  <c r="H23" i="3"/>
  <c r="H24" i="3"/>
  <c r="H25" i="3"/>
  <c r="H19" i="6"/>
  <c r="E12" i="6"/>
  <c r="F12" i="6"/>
  <c r="G12" i="6"/>
  <c r="E13" i="6"/>
  <c r="F13" i="6"/>
  <c r="G13" i="6"/>
  <c r="D13" i="6"/>
  <c r="D12" i="6"/>
  <c r="H20" i="6"/>
  <c r="H17" i="6"/>
  <c r="H16" i="6"/>
  <c r="H15" i="6"/>
  <c r="H14" i="6"/>
  <c r="G11" i="6"/>
  <c r="F11" i="6"/>
  <c r="E11" i="6"/>
  <c r="D11" i="6"/>
  <c r="G10" i="6"/>
  <c r="F10" i="6"/>
  <c r="E10" i="6"/>
  <c r="D10" i="6"/>
  <c r="G9" i="6"/>
  <c r="G8" i="6"/>
  <c r="F8" i="6"/>
  <c r="F5" i="6"/>
  <c r="E8" i="6"/>
  <c r="E5" i="6"/>
  <c r="D8" i="6"/>
  <c r="D5" i="6"/>
  <c r="H7" i="6"/>
  <c r="H6" i="6"/>
  <c r="G5" i="6"/>
  <c r="E10" i="7"/>
  <c r="F10" i="7"/>
  <c r="G10" i="7"/>
  <c r="H12" i="6"/>
  <c r="H10" i="6"/>
  <c r="H11" i="6"/>
  <c r="F9" i="6"/>
  <c r="H13" i="6"/>
  <c r="E9" i="6"/>
  <c r="H5" i="6"/>
  <c r="D9" i="6"/>
  <c r="H10" i="7"/>
  <c r="H29" i="3"/>
  <c r="H28" i="3"/>
  <c r="H26" i="3"/>
  <c r="H21" i="3"/>
  <c r="H9" i="6"/>
  <c r="H30" i="6"/>
  <c r="E9" i="7"/>
  <c r="G9" i="7"/>
  <c r="D9" i="7"/>
  <c r="H6" i="7"/>
  <c r="H7" i="7"/>
  <c r="F9" i="7"/>
  <c r="H20" i="3"/>
  <c r="H19" i="3"/>
  <c r="G5" i="7"/>
  <c r="E5" i="7"/>
  <c r="F5" i="7"/>
  <c r="H9" i="7"/>
  <c r="H13" i="3"/>
  <c r="H15" i="3"/>
  <c r="H16" i="3"/>
  <c r="H18" i="3"/>
  <c r="H17" i="3"/>
  <c r="H11" i="3"/>
  <c r="H10" i="3"/>
  <c r="H12" i="3"/>
  <c r="D5" i="7"/>
  <c r="H5" i="7"/>
  <c r="H30" i="7"/>
  <c r="H8" i="3"/>
  <c r="H7" i="3"/>
  <c r="H6" i="3"/>
  <c r="D5" i="3"/>
  <c r="H5" i="3"/>
  <c r="F9" i="3"/>
  <c r="H9" i="3"/>
  <c r="H30" i="3"/>
  <c r="H33" i="3"/>
  <c r="H14" i="3"/>
</calcChain>
</file>

<file path=xl/sharedStrings.xml><?xml version="1.0" encoding="utf-8"?>
<sst xmlns="http://schemas.openxmlformats.org/spreadsheetml/2006/main" count="202" uniqueCount="96">
  <si>
    <t>№ п/п</t>
  </si>
  <si>
    <t>Наименование показателей</t>
  </si>
  <si>
    <t>Утверждаю на год, тыс. руб.</t>
  </si>
  <si>
    <t>В том числе по кварталам</t>
  </si>
  <si>
    <t>I</t>
  </si>
  <si>
    <t>II</t>
  </si>
  <si>
    <t>III</t>
  </si>
  <si>
    <t>IV</t>
  </si>
  <si>
    <t>I. Остаток на начало года</t>
  </si>
  <si>
    <t>II. Доходы, всего</t>
  </si>
  <si>
    <t>Членские взносы</t>
  </si>
  <si>
    <t>III. Расходы, всего</t>
  </si>
  <si>
    <t>Взносы в социальные фонды с заработной платы</t>
  </si>
  <si>
    <t>Командированные расходы</t>
  </si>
  <si>
    <t>Административные расходы</t>
  </si>
  <si>
    <t>Прочие расходы</t>
  </si>
  <si>
    <t>Резерв непредвиденных расходов</t>
  </si>
  <si>
    <t>IV. Остаток на конец года</t>
  </si>
  <si>
    <t>Руководитель организации _______________________________ “___” ____________200__г.</t>
  </si>
  <si>
    <t>(подпись) (расшифровка подписи)</t>
  </si>
  <si>
    <t>Главный бухгалтер _______________________________ “___” ____________200__г.</t>
  </si>
  <si>
    <t>Расходы по освещению посёлка</t>
  </si>
  <si>
    <t>Хозяйственные расходы</t>
  </si>
  <si>
    <t>Расходы на ремонт дорог</t>
  </si>
  <si>
    <t>Установка видеонаблюдения</t>
  </si>
  <si>
    <t>канцелярия, средства</t>
  </si>
  <si>
    <t>Просчитать количество перекрёстков с расчётом количества камер. Стоимость одной камеры + установка + жесткий диск (длинна записи 1 месяц =18000р.)</t>
  </si>
  <si>
    <t>Закрытие периметра посёлка забором</t>
  </si>
  <si>
    <t>Закрытие периметра посёлка система СКУД + Ремонт забора</t>
  </si>
  <si>
    <t>Возврат долгов по ЧВ</t>
  </si>
  <si>
    <t>Возврат долгов по ЭЭ</t>
  </si>
  <si>
    <t>Долг Электричество</t>
  </si>
  <si>
    <t>Долг ЧВ</t>
  </si>
  <si>
    <t>Год</t>
  </si>
  <si>
    <t>На 01/09/17</t>
  </si>
  <si>
    <t>2 суд</t>
  </si>
  <si>
    <t>3 суд</t>
  </si>
  <si>
    <t>Проигранный суд Мосэнергосбыта 2</t>
  </si>
  <si>
    <t>Проигранный суд Мосэнергосбыта 3</t>
  </si>
  <si>
    <t>Зароботная плата</t>
  </si>
  <si>
    <t xml:space="preserve">Стоимость </t>
  </si>
  <si>
    <t>Экологический сбор</t>
  </si>
  <si>
    <t>При условии возврата 50% долгов</t>
  </si>
  <si>
    <t>Поступление 50% членских взносов</t>
  </si>
  <si>
    <t>При условии возврата 100% долгов</t>
  </si>
  <si>
    <t>Поступление 100% членских взносов</t>
  </si>
  <si>
    <t>В месяц в среднем 8 000р.</t>
  </si>
  <si>
    <t>Налог на землю который будет в 2018 году</t>
  </si>
  <si>
    <t>по МРОТ (13750р.) - 3 человека</t>
  </si>
  <si>
    <t>ПФР, НДФЛ, мед, соц,  страх - 3 человека</t>
  </si>
  <si>
    <t>по МРОТ (13750р.) - 4 человека</t>
  </si>
  <si>
    <t>ПФР, НДФЛ, мед, соц,  страх - 4 человека</t>
  </si>
  <si>
    <t>Проезд, ГСМ - 2 человека</t>
  </si>
  <si>
    <t>запланировано в месяц</t>
  </si>
  <si>
    <t>на всякий случай заложить в бюджет</t>
  </si>
  <si>
    <t>неизменные параметры</t>
  </si>
  <si>
    <t>стоимость 3 калиток с системой СКУД</t>
  </si>
  <si>
    <t>стоимость 2 калиток с системой СКУД</t>
  </si>
  <si>
    <t>При условии возврата 0% долгов</t>
  </si>
  <si>
    <t>по МРОТ (13750р.) - 2 человека</t>
  </si>
  <si>
    <t>ПФР, НДФЛ, мед, соц,  страх - 2 человека</t>
  </si>
  <si>
    <t>канцелярия, средства (нет)</t>
  </si>
  <si>
    <t>Проезд, ГСМ - 1 человека (нет)</t>
  </si>
  <si>
    <t>запланировано в месяц (нет)</t>
  </si>
  <si>
    <t>Просчитать количество перекрёстков с расчётом количества камер. Стоимость одной камеры + установка + жесткий диск (длинна записи 1 месяц =18000р.) (нет)</t>
  </si>
  <si>
    <t>измерить длинну непокрытого забором периметра (нет)</t>
  </si>
  <si>
    <t>стоимость 2 калиток с системой СКУД (нет)</t>
  </si>
  <si>
    <t>на всякий случай заложить в бюджет (нет)</t>
  </si>
  <si>
    <t>на всякий случай заложить в бюджет 50%</t>
  </si>
  <si>
    <t>Просчитать количество перекрёстков с расчётом количества камер. Стоимость одной камеры + установка + жесткий диск (длинна записи 1 месяц =18000р.) 2 камеры в квартал</t>
  </si>
  <si>
    <t>канцелярия, средства 50%</t>
  </si>
  <si>
    <t>запланировано в месяц 50%</t>
  </si>
  <si>
    <t>Проезд, ГСМ - 2 человека 50%</t>
  </si>
  <si>
    <t>Борьба с борщевиком</t>
  </si>
  <si>
    <t>Улучщение освещения посёлка</t>
  </si>
  <si>
    <t>длинна непокрытого забором периметра</t>
  </si>
  <si>
    <t>Благоустройство территории на въезде</t>
  </si>
  <si>
    <t>Установка мусорного контейнера закрытого типа</t>
  </si>
  <si>
    <t>Цена одного фонаря с установкой - 8 фонарей</t>
  </si>
  <si>
    <t>земля, газон, деревья</t>
  </si>
  <si>
    <t>трактора + раундат</t>
  </si>
  <si>
    <t>Закрытие периметра посёлка, система СКУД + Ремонт забора</t>
  </si>
  <si>
    <t>земля, газон, деревья (нет)</t>
  </si>
  <si>
    <t>трактора + раундат (нет)</t>
  </si>
  <si>
    <t>Цена одного фонаря с установкой (нет)</t>
  </si>
  <si>
    <t>Цена одного фонаря с установкой - 4 фонарей</t>
  </si>
  <si>
    <t>Идеальный вариант развития посёлка</t>
  </si>
  <si>
    <t>Примечание</t>
  </si>
  <si>
    <t>Средний вариант развития посёлка</t>
  </si>
  <si>
    <t>Не реальный, апокалептический сценарий</t>
  </si>
  <si>
    <t>Чистка дорог зимой</t>
  </si>
  <si>
    <t>стоимость одной чистки</t>
  </si>
  <si>
    <t>стоимость 8 чисток</t>
  </si>
  <si>
    <t>стоимость 12 чисток</t>
  </si>
  <si>
    <t>Контейнер + система СКУД</t>
  </si>
  <si>
    <t>Контейнер + система СКУД (нет)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</si>
</sst>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3" fontId="0" fillId="0" borderId="0" xfId="1" applyFon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43" fontId="0" fillId="0" borderId="11" xfId="1" applyFont="1" applyBorder="1"/>
    <xf numFmtId="43" fontId="0" fillId="0" borderId="12" xfId="1" applyFont="1" applyBorder="1"/>
    <xf numFmtId="43" fontId="2" fillId="0" borderId="10" xfId="1" applyFont="1" applyFill="1" applyBorder="1" applyAlignment="1">
      <alignment vertical="center" wrapText="1"/>
    </xf>
    <xf numFmtId="43" fontId="0" fillId="0" borderId="9" xfId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3" fontId="2" fillId="0" borderId="16" xfId="0" applyNumberFormat="1" applyFont="1" applyBorder="1" applyAlignment="1">
      <alignment vertical="center" wrapText="1"/>
    </xf>
    <xf numFmtId="43" fontId="2" fillId="0" borderId="16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3" fontId="3" fillId="0" borderId="16" xfId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3" fontId="3" fillId="0" borderId="16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3" fontId="0" fillId="3" borderId="22" xfId="1" applyFont="1" applyFill="1" applyBorder="1"/>
    <xf numFmtId="0" fontId="0" fillId="0" borderId="1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43" fontId="2" fillId="0" borderId="19" xfId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43" fontId="4" fillId="0" borderId="1" xfId="1" applyFont="1" applyBorder="1"/>
    <xf numFmtId="43" fontId="4" fillId="0" borderId="20" xfId="1" applyFont="1" applyBorder="1"/>
    <xf numFmtId="0" fontId="4" fillId="0" borderId="8" xfId="0" applyFont="1" applyBorder="1" applyAlignment="1">
      <alignment vertical="center" wrapText="1"/>
    </xf>
    <xf numFmtId="0" fontId="4" fillId="0" borderId="8" xfId="0" applyFont="1" applyBorder="1"/>
    <xf numFmtId="43" fontId="4" fillId="0" borderId="21" xfId="1" applyFont="1" applyBorder="1"/>
    <xf numFmtId="0" fontId="4" fillId="0" borderId="8" xfId="0" applyFont="1" applyBorder="1" applyAlignment="1">
      <alignment wrapText="1"/>
    </xf>
    <xf numFmtId="43" fontId="4" fillId="0" borderId="8" xfId="1" applyFont="1" applyBorder="1"/>
    <xf numFmtId="0" fontId="0" fillId="0" borderId="4" xfId="0" applyFont="1" applyBorder="1" applyAlignment="1">
      <alignment wrapText="1"/>
    </xf>
    <xf numFmtId="43" fontId="0" fillId="0" borderId="10" xfId="1" applyFont="1" applyBorder="1"/>
    <xf numFmtId="0" fontId="0" fillId="0" borderId="7" xfId="0" applyFont="1" applyBorder="1" applyAlignment="1">
      <alignment wrapText="1"/>
    </xf>
    <xf numFmtId="43" fontId="0" fillId="2" borderId="25" xfId="1" applyFont="1" applyFill="1" applyBorder="1"/>
    <xf numFmtId="43" fontId="0" fillId="0" borderId="0" xfId="1" applyFont="1" applyAlignment="1">
      <alignment wrapText="1"/>
    </xf>
    <xf numFmtId="43" fontId="0" fillId="0" borderId="11" xfId="1" applyFont="1" applyBorder="1" applyAlignment="1">
      <alignment wrapText="1"/>
    </xf>
    <xf numFmtId="0" fontId="0" fillId="0" borderId="0" xfId="0" applyAlignment="1">
      <alignment horizontal="center" wrapText="1"/>
    </xf>
    <xf numFmtId="43" fontId="0" fillId="2" borderId="2" xfId="1" applyFont="1" applyFill="1" applyBorder="1" applyAlignment="1">
      <alignment wrapText="1"/>
    </xf>
    <xf numFmtId="43" fontId="0" fillId="6" borderId="0" xfId="1" applyFont="1" applyFill="1" applyAlignment="1">
      <alignment wrapText="1"/>
    </xf>
    <xf numFmtId="0" fontId="0" fillId="5" borderId="0" xfId="0" applyFill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43" fontId="2" fillId="0" borderId="1" xfId="1" applyFont="1" applyFill="1" applyBorder="1" applyAlignment="1">
      <alignment vertical="center" wrapText="1"/>
    </xf>
    <xf numFmtId="43" fontId="0" fillId="0" borderId="1" xfId="1" applyFont="1" applyBorder="1" applyAlignment="1">
      <alignment wrapText="1"/>
    </xf>
    <xf numFmtId="0" fontId="0" fillId="0" borderId="26" xfId="0" applyBorder="1" applyAlignment="1">
      <alignment wrapText="1"/>
    </xf>
    <xf numFmtId="0" fontId="0" fillId="4" borderId="26" xfId="0" applyFill="1" applyBorder="1" applyAlignment="1">
      <alignment wrapText="1"/>
    </xf>
    <xf numFmtId="0" fontId="0" fillId="6" borderId="26" xfId="0" applyFill="1" applyBorder="1" applyAlignment="1">
      <alignment wrapText="1"/>
    </xf>
    <xf numFmtId="0" fontId="0" fillId="0" borderId="7" xfId="0" applyBorder="1" applyAlignment="1">
      <alignment wrapText="1"/>
    </xf>
    <xf numFmtId="43" fontId="0" fillId="0" borderId="12" xfId="1" applyFont="1" applyBorder="1" applyAlignment="1">
      <alignment wrapText="1"/>
    </xf>
    <xf numFmtId="43" fontId="0" fillId="0" borderId="11" xfId="1" applyFont="1" applyBorder="1" applyAlignment="1">
      <alignment vertical="center" wrapText="1"/>
    </xf>
    <xf numFmtId="43" fontId="0" fillId="0" borderId="12" xfId="1" applyFont="1" applyBorder="1" applyAlignment="1">
      <alignment vertical="center" wrapText="1"/>
    </xf>
    <xf numFmtId="43" fontId="0" fillId="0" borderId="27" xfId="1" applyFont="1" applyBorder="1" applyAlignment="1">
      <alignment vertical="center" wrapText="1"/>
    </xf>
    <xf numFmtId="43" fontId="0" fillId="3" borderId="2" xfId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3" fontId="0" fillId="0" borderId="7" xfId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4" borderId="11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0" borderId="28" xfId="0" applyBorder="1" applyAlignment="1">
      <alignment wrapText="1"/>
    </xf>
    <xf numFmtId="43" fontId="2" fillId="0" borderId="22" xfId="0" applyNumberFormat="1" applyFont="1" applyBorder="1" applyAlignment="1">
      <alignment vertical="center" wrapText="1"/>
    </xf>
    <xf numFmtId="43" fontId="2" fillId="0" borderId="22" xfId="1" applyFont="1" applyBorder="1" applyAlignment="1">
      <alignment vertical="center" wrapText="1"/>
    </xf>
    <xf numFmtId="43" fontId="2" fillId="3" borderId="22" xfId="0" applyNumberFormat="1" applyFont="1" applyFill="1" applyBorder="1" applyAlignment="1">
      <alignment vertical="center" wrapText="1"/>
    </xf>
    <xf numFmtId="43" fontId="2" fillId="3" borderId="16" xfId="1" applyFont="1" applyFill="1" applyBorder="1" applyAlignment="1">
      <alignment vertical="center" wrapText="1"/>
    </xf>
    <xf numFmtId="43" fontId="0" fillId="0" borderId="0" xfId="0" applyNumberFormat="1" applyFont="1"/>
    <xf numFmtId="43" fontId="6" fillId="0" borderId="1" xfId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H30" sqref="H30"/>
    </sheetView>
  </sheetViews>
  <sheetFormatPr defaultColWidth="27" defaultRowHeight="15" x14ac:dyDescent="0.25"/>
  <cols>
    <col min="1" max="1" width="19.28515625" style="19" customWidth="1"/>
    <col min="2" max="2" width="45.7109375" style="18" customWidth="1"/>
    <col min="3" max="3" width="29.140625" style="19" hidden="1" customWidth="1"/>
    <col min="4" max="5" width="14" style="19" bestFit="1" customWidth="1"/>
    <col min="6" max="6" width="14.5703125" style="19" bestFit="1" customWidth="1"/>
    <col min="7" max="7" width="14" style="19" bestFit="1" customWidth="1"/>
    <col min="8" max="8" width="19.7109375" style="4" bestFit="1" customWidth="1"/>
    <col min="9" max="9" width="57.85546875" style="18" bestFit="1" customWidth="1"/>
    <col min="10" max="10" width="14.5703125" style="4" bestFit="1" customWidth="1"/>
    <col min="11" max="16384" width="27" style="19"/>
  </cols>
  <sheetData>
    <row r="1" spans="1:15" ht="19.5" thickBot="1" x14ac:dyDescent="0.35">
      <c r="A1" s="85" t="s">
        <v>86</v>
      </c>
      <c r="B1" s="86"/>
      <c r="C1" s="86"/>
      <c r="D1" s="86"/>
      <c r="E1" s="86"/>
      <c r="F1" s="86"/>
      <c r="G1" s="86"/>
      <c r="H1" s="86"/>
      <c r="I1" s="87"/>
      <c r="J1" s="88"/>
    </row>
    <row r="2" spans="1:15" ht="15.75" x14ac:dyDescent="0.25">
      <c r="A2" s="93" t="s">
        <v>0</v>
      </c>
      <c r="B2" s="91" t="s">
        <v>1</v>
      </c>
      <c r="C2" s="91" t="s">
        <v>2</v>
      </c>
      <c r="D2" s="91" t="s">
        <v>3</v>
      </c>
      <c r="E2" s="91"/>
      <c r="F2" s="91"/>
      <c r="G2" s="91"/>
      <c r="H2" s="36" t="s">
        <v>33</v>
      </c>
      <c r="I2" s="37" t="s">
        <v>87</v>
      </c>
      <c r="J2" s="38" t="s">
        <v>40</v>
      </c>
    </row>
    <row r="3" spans="1:15" ht="15.75" x14ac:dyDescent="0.25">
      <c r="A3" s="94"/>
      <c r="B3" s="95"/>
      <c r="C3" s="95"/>
      <c r="D3" s="16" t="s">
        <v>4</v>
      </c>
      <c r="E3" s="16" t="s">
        <v>5</v>
      </c>
      <c r="F3" s="16" t="s">
        <v>6</v>
      </c>
      <c r="G3" s="16" t="s">
        <v>7</v>
      </c>
      <c r="H3" s="39"/>
      <c r="I3" s="37"/>
      <c r="J3" s="38"/>
    </row>
    <row r="4" spans="1:15" ht="16.5" thickBot="1" x14ac:dyDescent="0.3">
      <c r="A4" s="96" t="s">
        <v>8</v>
      </c>
      <c r="B4" s="97"/>
      <c r="C4" s="40"/>
      <c r="D4" s="41"/>
      <c r="E4" s="41"/>
      <c r="F4" s="41"/>
      <c r="G4" s="41"/>
      <c r="H4" s="42"/>
      <c r="I4" s="43"/>
      <c r="J4" s="44"/>
    </row>
    <row r="5" spans="1:15" ht="16.5" thickBot="1" x14ac:dyDescent="0.3">
      <c r="A5" s="89" t="s">
        <v>9</v>
      </c>
      <c r="B5" s="90"/>
      <c r="C5" s="21"/>
      <c r="D5" s="22">
        <f>SUM(D6:D8)</f>
        <v>1345049.8058250002</v>
      </c>
      <c r="E5" s="22">
        <f>SUM(E6:E8)</f>
        <v>1787349.676375</v>
      </c>
      <c r="F5" s="22">
        <f>SUM(F6:F8)</f>
        <v>2008499.6116500003</v>
      </c>
      <c r="G5" s="22">
        <f>SUM(G6:G8)</f>
        <v>2008499.6116500003</v>
      </c>
      <c r="H5" s="33">
        <f>SUM(D5:G5)</f>
        <v>7149398.7055000011</v>
      </c>
      <c r="I5" s="45"/>
      <c r="J5" s="46"/>
    </row>
    <row r="6" spans="1:15" x14ac:dyDescent="0.25">
      <c r="A6" s="23">
        <v>1</v>
      </c>
      <c r="B6" s="24" t="s">
        <v>30</v>
      </c>
      <c r="C6" s="25"/>
      <c r="D6" s="12">
        <f>J6*15/100</f>
        <v>64558.790325000009</v>
      </c>
      <c r="E6" s="12">
        <f>J6*25/100</f>
        <v>107597.98387500001</v>
      </c>
      <c r="F6" s="12">
        <f>J6*60/2/100</f>
        <v>129117.58065000002</v>
      </c>
      <c r="G6" s="12">
        <f>J6*60/2/100</f>
        <v>129117.58065000002</v>
      </c>
      <c r="H6" s="12">
        <f>SUM(D6:G6)</f>
        <v>430391.93550000002</v>
      </c>
      <c r="I6" s="34" t="s">
        <v>44</v>
      </c>
      <c r="J6" s="9">
        <v>430391.93550000002</v>
      </c>
    </row>
    <row r="7" spans="1:15" x14ac:dyDescent="0.25">
      <c r="A7" s="26">
        <v>2</v>
      </c>
      <c r="B7" s="20" t="s">
        <v>29</v>
      </c>
      <c r="C7" s="27"/>
      <c r="D7" s="12">
        <f>J7*15/100</f>
        <v>598891.0155000001</v>
      </c>
      <c r="E7" s="12">
        <f t="shared" ref="E7" si="0">J7*25/100</f>
        <v>998151.69250000012</v>
      </c>
      <c r="F7" s="12">
        <f t="shared" ref="F7" si="1">J7*60/2/100</f>
        <v>1197782.0310000002</v>
      </c>
      <c r="G7" s="12">
        <f t="shared" ref="G7" si="2">J7*60/2/100</f>
        <v>1197782.0310000002</v>
      </c>
      <c r="H7" s="12">
        <f t="shared" ref="H7:H8" si="3">SUM(D7:G7)</f>
        <v>3992606.7700000005</v>
      </c>
      <c r="I7" s="34" t="s">
        <v>44</v>
      </c>
      <c r="J7" s="9">
        <v>3992606.7700000005</v>
      </c>
    </row>
    <row r="8" spans="1:15" ht="15.75" thickBot="1" x14ac:dyDescent="0.3">
      <c r="A8" s="28">
        <v>3</v>
      </c>
      <c r="B8" s="29" t="s">
        <v>10</v>
      </c>
      <c r="C8" s="30"/>
      <c r="D8" s="12">
        <f>$J$8/4</f>
        <v>681600</v>
      </c>
      <c r="E8" s="12">
        <f>$J$8/4</f>
        <v>681600</v>
      </c>
      <c r="F8" s="12">
        <f>$J$8/4</f>
        <v>681600</v>
      </c>
      <c r="G8" s="12">
        <f>$J$8/4</f>
        <v>681600</v>
      </c>
      <c r="H8" s="12">
        <f t="shared" si="3"/>
        <v>2726400</v>
      </c>
      <c r="I8" s="47" t="s">
        <v>45</v>
      </c>
      <c r="J8" s="10">
        <f>800*284*12</f>
        <v>2726400</v>
      </c>
    </row>
    <row r="9" spans="1:15" ht="16.5" thickBot="1" x14ac:dyDescent="0.3">
      <c r="A9" s="89" t="s">
        <v>11</v>
      </c>
      <c r="B9" s="90"/>
      <c r="C9" s="21"/>
      <c r="D9" s="31">
        <f>SUM(D10:D29)</f>
        <v>1008331.8625</v>
      </c>
      <c r="E9" s="31">
        <f>SUM(E10:E29)</f>
        <v>1232331.8625</v>
      </c>
      <c r="F9" s="31">
        <f>SUM(F10:F29)</f>
        <v>1657981.8625</v>
      </c>
      <c r="G9" s="31">
        <f>SUM(G10:G29)</f>
        <v>1246331.8625</v>
      </c>
      <c r="H9" s="33">
        <f>SUM(D9:G9)</f>
        <v>5144977.45</v>
      </c>
      <c r="I9" s="45"/>
      <c r="J9" s="46"/>
    </row>
    <row r="10" spans="1:15" x14ac:dyDescent="0.25">
      <c r="A10" s="26">
        <v>1</v>
      </c>
      <c r="B10" s="24" t="s">
        <v>37</v>
      </c>
      <c r="C10" s="25"/>
      <c r="D10" s="12">
        <f>$J$10/4</f>
        <v>245202.85750000001</v>
      </c>
      <c r="E10" s="12">
        <f t="shared" ref="E10:G10" si="4">$J$10/4</f>
        <v>245202.85750000001</v>
      </c>
      <c r="F10" s="12">
        <f t="shared" si="4"/>
        <v>245202.85750000001</v>
      </c>
      <c r="G10" s="12">
        <f t="shared" si="4"/>
        <v>245202.85750000001</v>
      </c>
      <c r="H10" s="12">
        <f t="shared" ref="H10:H16" si="5">SUM(D10:G10)</f>
        <v>980811.43</v>
      </c>
      <c r="I10" s="35" t="s">
        <v>35</v>
      </c>
      <c r="J10" s="9">
        <v>980811.43</v>
      </c>
    </row>
    <row r="11" spans="1:15" x14ac:dyDescent="0.25">
      <c r="A11" s="26">
        <v>2</v>
      </c>
      <c r="B11" s="20" t="s">
        <v>38</v>
      </c>
      <c r="C11" s="27"/>
      <c r="D11" s="12">
        <f>$J$11/4</f>
        <v>257299.005</v>
      </c>
      <c r="E11" s="12">
        <f t="shared" ref="E11:G11" si="6">$J$11/4</f>
        <v>257299.005</v>
      </c>
      <c r="F11" s="12">
        <f t="shared" si="6"/>
        <v>257299.005</v>
      </c>
      <c r="G11" s="12">
        <f t="shared" si="6"/>
        <v>257299.005</v>
      </c>
      <c r="H11" s="12">
        <f t="shared" si="5"/>
        <v>1029196.02</v>
      </c>
      <c r="I11" s="35" t="s">
        <v>36</v>
      </c>
      <c r="J11" s="9">
        <v>1029196.02</v>
      </c>
    </row>
    <row r="12" spans="1:15" x14ac:dyDescent="0.25">
      <c r="A12" s="26">
        <v>3</v>
      </c>
      <c r="B12" s="20" t="s">
        <v>39</v>
      </c>
      <c r="C12" s="27"/>
      <c r="D12" s="12">
        <f>$J$12*4*3</f>
        <v>143550</v>
      </c>
      <c r="E12" s="12">
        <f>$J$12*4*3</f>
        <v>143550</v>
      </c>
      <c r="F12" s="12">
        <f>$J$12*4*3</f>
        <v>143550</v>
      </c>
      <c r="G12" s="12">
        <f>$J$12*4*3</f>
        <v>143550</v>
      </c>
      <c r="H12" s="12">
        <f t="shared" si="5"/>
        <v>574200</v>
      </c>
      <c r="I12" s="34" t="s">
        <v>50</v>
      </c>
      <c r="J12" s="9">
        <v>11962.5</v>
      </c>
    </row>
    <row r="13" spans="1:15" ht="30" x14ac:dyDescent="0.25">
      <c r="A13" s="26">
        <v>4</v>
      </c>
      <c r="B13" s="20" t="s">
        <v>12</v>
      </c>
      <c r="C13" s="27"/>
      <c r="D13" s="12">
        <f>$J$13*4*3</f>
        <v>71280</v>
      </c>
      <c r="E13" s="12">
        <f t="shared" ref="E13:G13" si="7">$J$13*4*3</f>
        <v>71280</v>
      </c>
      <c r="F13" s="12">
        <f t="shared" si="7"/>
        <v>71280</v>
      </c>
      <c r="G13" s="12">
        <f t="shared" si="7"/>
        <v>71280</v>
      </c>
      <c r="H13" s="12">
        <f t="shared" si="5"/>
        <v>285120</v>
      </c>
      <c r="I13" s="34" t="s">
        <v>51</v>
      </c>
      <c r="J13" s="9">
        <v>5940</v>
      </c>
      <c r="N13" s="92" t="s">
        <v>34</v>
      </c>
      <c r="O13" s="92"/>
    </row>
    <row r="14" spans="1:15" x14ac:dyDescent="0.25">
      <c r="A14" s="26">
        <v>5</v>
      </c>
      <c r="B14" s="20" t="s">
        <v>41</v>
      </c>
      <c r="C14" s="27"/>
      <c r="D14" s="12">
        <v>0</v>
      </c>
      <c r="E14" s="12">
        <v>0</v>
      </c>
      <c r="F14" s="12">
        <f>J14</f>
        <v>41650</v>
      </c>
      <c r="G14" s="12">
        <v>0</v>
      </c>
      <c r="H14" s="12">
        <f>SUM(D14:G14)</f>
        <v>41650</v>
      </c>
      <c r="I14" s="35" t="s">
        <v>41</v>
      </c>
      <c r="J14" s="7">
        <v>41650</v>
      </c>
      <c r="N14" s="32"/>
      <c r="O14" s="32"/>
    </row>
    <row r="15" spans="1:15" x14ac:dyDescent="0.25">
      <c r="A15" s="26">
        <v>6</v>
      </c>
      <c r="B15" s="20" t="s">
        <v>13</v>
      </c>
      <c r="C15" s="27"/>
      <c r="D15" s="12">
        <f>$J$15*2*3</f>
        <v>6000</v>
      </c>
      <c r="E15" s="12">
        <f>$J$15*2*3</f>
        <v>6000</v>
      </c>
      <c r="F15" s="12">
        <f>$J$15*2*3</f>
        <v>6000</v>
      </c>
      <c r="G15" s="12">
        <f>$J$15*2*3</f>
        <v>6000</v>
      </c>
      <c r="H15" s="12">
        <f t="shared" si="5"/>
        <v>24000</v>
      </c>
      <c r="I15" s="34" t="s">
        <v>52</v>
      </c>
      <c r="J15" s="9">
        <v>1000</v>
      </c>
    </row>
    <row r="16" spans="1:15" x14ac:dyDescent="0.25">
      <c r="A16" s="26">
        <v>7</v>
      </c>
      <c r="B16" s="20" t="s">
        <v>21</v>
      </c>
      <c r="C16" s="27"/>
      <c r="D16" s="12">
        <f>$J$16*3</f>
        <v>24000</v>
      </c>
      <c r="E16" s="12">
        <f>$J$16*3</f>
        <v>24000</v>
      </c>
      <c r="F16" s="12">
        <f>$J$16*3</f>
        <v>24000</v>
      </c>
      <c r="G16" s="12">
        <f>$J$16*3</f>
        <v>24000</v>
      </c>
      <c r="H16" s="12">
        <f t="shared" si="5"/>
        <v>96000</v>
      </c>
      <c r="I16" s="35" t="s">
        <v>46</v>
      </c>
      <c r="J16" s="9">
        <v>8000</v>
      </c>
    </row>
    <row r="17" spans="1:10" x14ac:dyDescent="0.25">
      <c r="A17" s="26">
        <v>9</v>
      </c>
      <c r="B17" s="20" t="s">
        <v>23</v>
      </c>
      <c r="C17" s="27"/>
      <c r="D17" s="12">
        <v>0</v>
      </c>
      <c r="E17" s="12">
        <v>0</v>
      </c>
      <c r="F17" s="12">
        <f>J17*12</f>
        <v>600000</v>
      </c>
      <c r="G17" s="12">
        <v>0</v>
      </c>
      <c r="H17" s="12">
        <f>SUM(D17:G17)</f>
        <v>600000</v>
      </c>
      <c r="I17" s="34" t="s">
        <v>53</v>
      </c>
      <c r="J17" s="9">
        <v>50000</v>
      </c>
    </row>
    <row r="18" spans="1:10" x14ac:dyDescent="0.25">
      <c r="A18" s="26">
        <v>10</v>
      </c>
      <c r="B18" s="20" t="s">
        <v>14</v>
      </c>
      <c r="C18" s="27"/>
      <c r="D18" s="12">
        <v>0</v>
      </c>
      <c r="E18" s="12">
        <v>0</v>
      </c>
      <c r="F18" s="12">
        <v>0</v>
      </c>
      <c r="G18" s="12">
        <f>J18</f>
        <v>238000</v>
      </c>
      <c r="H18" s="12">
        <f>SUM(D18:G18)</f>
        <v>238000</v>
      </c>
      <c r="I18" s="35" t="s">
        <v>47</v>
      </c>
      <c r="J18" s="9">
        <v>238000</v>
      </c>
    </row>
    <row r="19" spans="1:10" x14ac:dyDescent="0.25">
      <c r="A19" s="26">
        <v>11</v>
      </c>
      <c r="B19" s="20" t="s">
        <v>22</v>
      </c>
      <c r="C19" s="27"/>
      <c r="D19" s="12">
        <f>$J$19*3</f>
        <v>3000</v>
      </c>
      <c r="E19" s="12">
        <f>$J$19*3</f>
        <v>3000</v>
      </c>
      <c r="F19" s="12">
        <f>$J$19*3</f>
        <v>3000</v>
      </c>
      <c r="G19" s="12">
        <f>$J$19*3</f>
        <v>3000</v>
      </c>
      <c r="H19" s="12">
        <f t="shared" ref="H19:H29" si="8">SUM(D19:G19)</f>
        <v>12000</v>
      </c>
      <c r="I19" s="34" t="s">
        <v>25</v>
      </c>
      <c r="J19" s="9">
        <v>1000</v>
      </c>
    </row>
    <row r="20" spans="1:10" ht="45" x14ac:dyDescent="0.25">
      <c r="A20" s="26">
        <v>12</v>
      </c>
      <c r="B20" s="20" t="s">
        <v>24</v>
      </c>
      <c r="C20" s="27"/>
      <c r="D20" s="12">
        <f>$J$20*4</f>
        <v>72000</v>
      </c>
      <c r="E20" s="12">
        <f t="shared" ref="E20:G20" si="9">$J$20*4</f>
        <v>72000</v>
      </c>
      <c r="F20" s="12">
        <f t="shared" si="9"/>
        <v>72000</v>
      </c>
      <c r="G20" s="12">
        <f t="shared" si="9"/>
        <v>72000</v>
      </c>
      <c r="H20" s="12">
        <f t="shared" si="8"/>
        <v>288000</v>
      </c>
      <c r="I20" s="34" t="s">
        <v>26</v>
      </c>
      <c r="J20" s="9">
        <v>18000</v>
      </c>
    </row>
    <row r="21" spans="1:10" x14ac:dyDescent="0.25">
      <c r="A21" s="26">
        <v>13</v>
      </c>
      <c r="B21" s="20" t="s">
        <v>27</v>
      </c>
      <c r="C21" s="27"/>
      <c r="D21" s="12">
        <v>0</v>
      </c>
      <c r="E21" s="12">
        <v>100000</v>
      </c>
      <c r="F21" s="12">
        <v>0</v>
      </c>
      <c r="G21" s="12">
        <v>0</v>
      </c>
      <c r="H21" s="12">
        <f t="shared" si="8"/>
        <v>100000</v>
      </c>
      <c r="I21" s="35" t="s">
        <v>75</v>
      </c>
      <c r="J21" s="9">
        <v>100000</v>
      </c>
    </row>
    <row r="22" spans="1:10" x14ac:dyDescent="0.25">
      <c r="A22" s="26">
        <v>14</v>
      </c>
      <c r="B22" s="20" t="s">
        <v>74</v>
      </c>
      <c r="C22" s="27"/>
      <c r="D22" s="12">
        <v>0</v>
      </c>
      <c r="E22" s="12">
        <f>J22*8</f>
        <v>40000</v>
      </c>
      <c r="F22" s="12">
        <v>0</v>
      </c>
      <c r="G22" s="12">
        <v>0</v>
      </c>
      <c r="H22" s="12">
        <f t="shared" si="8"/>
        <v>40000</v>
      </c>
      <c r="I22" s="34" t="s">
        <v>78</v>
      </c>
      <c r="J22" s="9">
        <v>5000</v>
      </c>
    </row>
    <row r="23" spans="1:10" x14ac:dyDescent="0.25">
      <c r="A23" s="26">
        <v>15</v>
      </c>
      <c r="B23" s="20" t="s">
        <v>76</v>
      </c>
      <c r="C23" s="27"/>
      <c r="D23" s="12">
        <v>0</v>
      </c>
      <c r="E23" s="12">
        <f>J23</f>
        <v>60000</v>
      </c>
      <c r="F23" s="12">
        <v>0</v>
      </c>
      <c r="G23" s="12">
        <v>0</v>
      </c>
      <c r="H23" s="12">
        <f t="shared" si="8"/>
        <v>60000</v>
      </c>
      <c r="I23" s="35" t="s">
        <v>79</v>
      </c>
      <c r="J23" s="9">
        <v>60000</v>
      </c>
    </row>
    <row r="24" spans="1:10" ht="30" x14ac:dyDescent="0.25">
      <c r="A24" s="26">
        <v>16</v>
      </c>
      <c r="B24" s="20" t="s">
        <v>77</v>
      </c>
      <c r="C24" s="27"/>
      <c r="D24" s="12">
        <v>0</v>
      </c>
      <c r="E24" s="12">
        <f>J24</f>
        <v>70000</v>
      </c>
      <c r="F24" s="12">
        <v>0</v>
      </c>
      <c r="G24" s="12">
        <v>0</v>
      </c>
      <c r="H24" s="12">
        <f t="shared" si="8"/>
        <v>70000</v>
      </c>
      <c r="I24" s="35" t="s">
        <v>94</v>
      </c>
      <c r="J24" s="9">
        <v>70000</v>
      </c>
    </row>
    <row r="25" spans="1:10" x14ac:dyDescent="0.25">
      <c r="A25" s="26">
        <v>17</v>
      </c>
      <c r="B25" s="20" t="s">
        <v>73</v>
      </c>
      <c r="C25" s="27"/>
      <c r="D25" s="12">
        <v>0</v>
      </c>
      <c r="E25" s="12">
        <f>J25</f>
        <v>50000</v>
      </c>
      <c r="F25" s="12">
        <f>J25</f>
        <v>50000</v>
      </c>
      <c r="G25" s="12">
        <v>0</v>
      </c>
      <c r="H25" s="12">
        <f t="shared" si="8"/>
        <v>100000</v>
      </c>
      <c r="I25" s="35" t="s">
        <v>80</v>
      </c>
      <c r="J25" s="9">
        <v>50000</v>
      </c>
    </row>
    <row r="26" spans="1:10" ht="30" x14ac:dyDescent="0.25">
      <c r="A26" s="26">
        <v>18</v>
      </c>
      <c r="B26" s="20" t="s">
        <v>81</v>
      </c>
      <c r="C26" s="27"/>
      <c r="D26" s="12">
        <v>0</v>
      </c>
      <c r="E26" s="12">
        <v>0</v>
      </c>
      <c r="F26" s="12">
        <f>J26*3</f>
        <v>54000</v>
      </c>
      <c r="G26" s="12">
        <v>0</v>
      </c>
      <c r="H26" s="12">
        <f t="shared" si="8"/>
        <v>54000</v>
      </c>
      <c r="I26" s="34" t="s">
        <v>56</v>
      </c>
      <c r="J26" s="9">
        <v>18000</v>
      </c>
    </row>
    <row r="27" spans="1:10" x14ac:dyDescent="0.25">
      <c r="A27" s="26">
        <v>19</v>
      </c>
      <c r="B27" s="20" t="s">
        <v>90</v>
      </c>
      <c r="C27" s="27"/>
      <c r="D27" s="12">
        <f>J27*12</f>
        <v>96000</v>
      </c>
      <c r="E27" s="12">
        <v>0</v>
      </c>
      <c r="F27" s="12">
        <v>0</v>
      </c>
      <c r="G27" s="12">
        <f>J27*12</f>
        <v>96000</v>
      </c>
      <c r="H27" s="12">
        <f>J27*12</f>
        <v>96000</v>
      </c>
      <c r="I27" s="34" t="s">
        <v>91</v>
      </c>
      <c r="J27" s="9">
        <v>8000</v>
      </c>
    </row>
    <row r="28" spans="1:10" x14ac:dyDescent="0.25">
      <c r="A28" s="26">
        <v>20</v>
      </c>
      <c r="B28" s="20" t="s">
        <v>15</v>
      </c>
      <c r="C28" s="27"/>
      <c r="D28" s="12">
        <f>$J$28*3</f>
        <v>30000</v>
      </c>
      <c r="E28" s="12">
        <f t="shared" ref="E28:G28" si="10">$J$28*3</f>
        <v>30000</v>
      </c>
      <c r="F28" s="12">
        <f t="shared" si="10"/>
        <v>30000</v>
      </c>
      <c r="G28" s="12">
        <f t="shared" si="10"/>
        <v>30000</v>
      </c>
      <c r="H28" s="12">
        <f t="shared" si="8"/>
        <v>120000</v>
      </c>
      <c r="I28" s="34" t="s">
        <v>54</v>
      </c>
      <c r="J28" s="9">
        <v>10000</v>
      </c>
    </row>
    <row r="29" spans="1:10" ht="15.75" thickBot="1" x14ac:dyDescent="0.3">
      <c r="A29" s="28">
        <v>21</v>
      </c>
      <c r="B29" s="29" t="s">
        <v>16</v>
      </c>
      <c r="C29" s="30"/>
      <c r="D29" s="12">
        <f>$J$29*3</f>
        <v>60000</v>
      </c>
      <c r="E29" s="12">
        <f t="shared" ref="E29:G29" si="11">$J$29*3</f>
        <v>60000</v>
      </c>
      <c r="F29" s="12">
        <f t="shared" si="11"/>
        <v>60000</v>
      </c>
      <c r="G29" s="12">
        <f t="shared" si="11"/>
        <v>60000</v>
      </c>
      <c r="H29" s="12">
        <f t="shared" si="8"/>
        <v>240000</v>
      </c>
      <c r="I29" s="47" t="s">
        <v>54</v>
      </c>
      <c r="J29" s="10">
        <v>20000</v>
      </c>
    </row>
    <row r="30" spans="1:10" ht="16.5" thickBot="1" x14ac:dyDescent="0.3">
      <c r="A30" s="91" t="s">
        <v>17</v>
      </c>
      <c r="B30" s="91"/>
      <c r="C30" s="25"/>
      <c r="H30" s="48">
        <f>H5-H9</f>
        <v>2004421.2555000009</v>
      </c>
    </row>
    <row r="31" spans="1:10" x14ac:dyDescent="0.25">
      <c r="H31" s="19"/>
    </row>
    <row r="32" spans="1:10" x14ac:dyDescent="0.25">
      <c r="H32" s="82">
        <v>500000</v>
      </c>
    </row>
    <row r="33" spans="1:10" x14ac:dyDescent="0.25">
      <c r="H33" s="4">
        <f>H30-H32</f>
        <v>1504421.2555000009</v>
      </c>
    </row>
    <row r="34" spans="1:10" x14ac:dyDescent="0.25">
      <c r="A34" s="19" t="s">
        <v>18</v>
      </c>
      <c r="F34" s="84" t="s">
        <v>34</v>
      </c>
      <c r="G34" s="84"/>
    </row>
    <row r="35" spans="1:10" x14ac:dyDescent="0.25">
      <c r="F35" s="17" t="s">
        <v>36</v>
      </c>
      <c r="G35" s="17" t="s">
        <v>35</v>
      </c>
    </row>
    <row r="36" spans="1:10" x14ac:dyDescent="0.25">
      <c r="A36" s="19" t="s">
        <v>19</v>
      </c>
      <c r="F36" s="54">
        <v>1029196.02</v>
      </c>
      <c r="G36" s="54">
        <v>980811.43</v>
      </c>
      <c r="H36" s="19"/>
      <c r="I36" s="19"/>
      <c r="J36" s="19"/>
    </row>
    <row r="37" spans="1:10" x14ac:dyDescent="0.25">
      <c r="F37" s="17"/>
      <c r="G37" s="17"/>
      <c r="H37" s="19"/>
      <c r="I37" s="19"/>
      <c r="J37" s="19"/>
    </row>
    <row r="38" spans="1:10" x14ac:dyDescent="0.25">
      <c r="A38" s="19" t="s">
        <v>20</v>
      </c>
      <c r="F38" s="17"/>
      <c r="G38" s="17"/>
      <c r="H38" s="19"/>
      <c r="I38" s="19"/>
      <c r="J38" s="19"/>
    </row>
    <row r="39" spans="1:10" ht="45" x14ac:dyDescent="0.25">
      <c r="F39" s="17" t="s">
        <v>31</v>
      </c>
      <c r="G39" s="17" t="s">
        <v>32</v>
      </c>
      <c r="H39" s="19"/>
    </row>
    <row r="40" spans="1:10" x14ac:dyDescent="0.25">
      <c r="A40" s="19" t="s">
        <v>19</v>
      </c>
      <c r="F40" s="54">
        <v>430391.93550000002</v>
      </c>
      <c r="G40" s="54">
        <v>3992606.7700000005</v>
      </c>
    </row>
    <row r="41" spans="1:10" x14ac:dyDescent="0.25">
      <c r="G41" s="18"/>
      <c r="I41" s="19"/>
      <c r="J41" s="19"/>
    </row>
    <row r="42" spans="1:10" x14ac:dyDescent="0.25">
      <c r="G42" s="18"/>
      <c r="I42" s="19"/>
      <c r="J42" s="19"/>
    </row>
  </sheetData>
  <mergeCells count="11">
    <mergeCell ref="F34:G34"/>
    <mergeCell ref="A1:J1"/>
    <mergeCell ref="A9:B9"/>
    <mergeCell ref="A30:B30"/>
    <mergeCell ref="N13:O13"/>
    <mergeCell ref="A2:A3"/>
    <mergeCell ref="B2:B3"/>
    <mergeCell ref="C2:C3"/>
    <mergeCell ref="D2:G2"/>
    <mergeCell ref="A4:B4"/>
    <mergeCell ref="A5:B5"/>
  </mergeCells>
  <pageMargins left="0.7" right="0.7" top="0.75" bottom="0.75" header="0.3" footer="0.3"/>
  <pageSetup paperSize="9" orientation="landscape" verticalDpi="0" r:id="rId1"/>
  <ignoredErrors>
    <ignoredError sqref="E22 H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H30" sqref="H30"/>
    </sheetView>
  </sheetViews>
  <sheetFormatPr defaultColWidth="58.85546875" defaultRowHeight="15" x14ac:dyDescent="0.25"/>
  <cols>
    <col min="1" max="1" width="18.7109375" style="17" customWidth="1"/>
    <col min="2" max="2" width="55.42578125" style="17" bestFit="1" customWidth="1"/>
    <col min="3" max="3" width="29.140625" style="17" hidden="1" customWidth="1"/>
    <col min="4" max="4" width="13.7109375" style="17" bestFit="1" customWidth="1"/>
    <col min="5" max="5" width="19.7109375" style="17" bestFit="1" customWidth="1"/>
    <col min="6" max="6" width="15.28515625" style="17" bestFit="1" customWidth="1"/>
    <col min="7" max="7" width="15.5703125" style="17" customWidth="1"/>
    <col min="8" max="8" width="24.28515625" style="49" bestFit="1" customWidth="1"/>
    <col min="9" max="9" width="57.85546875" style="17" bestFit="1" customWidth="1"/>
    <col min="10" max="10" width="58.85546875" style="49"/>
    <col min="11" max="16384" width="58.85546875" style="17"/>
  </cols>
  <sheetData>
    <row r="1" spans="1:11" ht="19.5" thickBot="1" x14ac:dyDescent="0.35">
      <c r="A1" s="100" t="s">
        <v>88</v>
      </c>
      <c r="B1" s="100"/>
      <c r="C1" s="100"/>
      <c r="D1" s="100"/>
      <c r="E1" s="100"/>
      <c r="F1" s="100"/>
      <c r="G1" s="100"/>
      <c r="H1" s="100"/>
      <c r="I1" s="59"/>
    </row>
    <row r="2" spans="1:11" ht="15.75" x14ac:dyDescent="0.25">
      <c r="A2" s="98" t="s">
        <v>0</v>
      </c>
      <c r="B2" s="99" t="s">
        <v>1</v>
      </c>
      <c r="C2" s="99" t="s">
        <v>2</v>
      </c>
      <c r="D2" s="99" t="s">
        <v>3</v>
      </c>
      <c r="E2" s="99"/>
      <c r="F2" s="99"/>
      <c r="G2" s="99"/>
      <c r="H2" s="11" t="s">
        <v>33</v>
      </c>
      <c r="I2" s="62"/>
      <c r="J2" s="17"/>
    </row>
    <row r="3" spans="1:11" ht="15.75" x14ac:dyDescent="0.25">
      <c r="A3" s="94"/>
      <c r="B3" s="95"/>
      <c r="C3" s="95"/>
      <c r="D3" s="58" t="s">
        <v>4</v>
      </c>
      <c r="E3" s="58" t="s">
        <v>5</v>
      </c>
      <c r="F3" s="58" t="s">
        <v>6</v>
      </c>
      <c r="G3" s="58" t="s">
        <v>7</v>
      </c>
      <c r="H3" s="50"/>
      <c r="I3" s="62"/>
      <c r="J3" s="17"/>
    </row>
    <row r="4" spans="1:11" ht="16.5" thickBot="1" x14ac:dyDescent="0.3">
      <c r="A4" s="101" t="s">
        <v>8</v>
      </c>
      <c r="B4" s="102"/>
      <c r="C4" s="2"/>
      <c r="D4" s="65"/>
      <c r="E4" s="65"/>
      <c r="F4" s="65"/>
      <c r="G4" s="65"/>
      <c r="H4" s="66"/>
      <c r="I4" s="62"/>
      <c r="J4" s="17"/>
    </row>
    <row r="5" spans="1:11" ht="16.5" thickBot="1" x14ac:dyDescent="0.3">
      <c r="A5" s="89" t="s">
        <v>9</v>
      </c>
      <c r="B5" s="90"/>
      <c r="C5" s="13"/>
      <c r="D5" s="15">
        <f>SUM(D6:D8)</f>
        <v>786124.90291250008</v>
      </c>
      <c r="E5" s="15">
        <f>SUM(E6:E8)</f>
        <v>896699.87055000011</v>
      </c>
      <c r="F5" s="15">
        <f>SUM(F6:F8)</f>
        <v>1173137.2896437501</v>
      </c>
      <c r="G5" s="15">
        <f>SUM(G6:G8)</f>
        <v>1173137.2896437501</v>
      </c>
      <c r="H5" s="70">
        <f>SUM(D5:G5)</f>
        <v>4029099.3527500001</v>
      </c>
      <c r="I5" s="62"/>
      <c r="J5" s="17"/>
    </row>
    <row r="6" spans="1:11" ht="15.75" x14ac:dyDescent="0.25">
      <c r="A6" s="56">
        <v>1</v>
      </c>
      <c r="B6" s="55" t="s">
        <v>30</v>
      </c>
      <c r="C6" s="3"/>
      <c r="D6" s="12">
        <f>идеал!$J6/2*15/100</f>
        <v>32279.395162500005</v>
      </c>
      <c r="E6" s="12">
        <f>идеал!$J6/2*20/100</f>
        <v>43039.193550000004</v>
      </c>
      <c r="F6" s="12">
        <f>идеал!$J6/4*65/100</f>
        <v>69938.689518750005</v>
      </c>
      <c r="G6" s="12">
        <f>идеал!$J6/4*65/100</f>
        <v>69938.689518750005</v>
      </c>
      <c r="H6" s="69">
        <f>SUM(D6:G6)</f>
        <v>215195.96775000001</v>
      </c>
      <c r="I6" s="62" t="s">
        <v>42</v>
      </c>
      <c r="J6" s="17"/>
    </row>
    <row r="7" spans="1:11" ht="15.75" x14ac:dyDescent="0.25">
      <c r="A7" s="57">
        <v>2</v>
      </c>
      <c r="B7" s="58" t="s">
        <v>29</v>
      </c>
      <c r="C7" s="1"/>
      <c r="D7" s="12">
        <f>идеал!$J7/2*15/100</f>
        <v>299445.50775000005</v>
      </c>
      <c r="E7" s="12">
        <f>идеал!$J7/2*20/100</f>
        <v>399260.67700000003</v>
      </c>
      <c r="F7" s="12">
        <f>идеал!$J7/4*65/100</f>
        <v>648798.60012500011</v>
      </c>
      <c r="G7" s="12">
        <f>идеал!$J7/4*65/100</f>
        <v>648798.60012500011</v>
      </c>
      <c r="H7" s="67">
        <f t="shared" ref="H7" si="0">SUM(D7:G7)</f>
        <v>1996303.3850000002</v>
      </c>
      <c r="I7" s="62" t="s">
        <v>42</v>
      </c>
      <c r="J7" s="17"/>
    </row>
    <row r="8" spans="1:11" ht="16.5" thickBot="1" x14ac:dyDescent="0.3">
      <c r="A8" s="5">
        <v>3</v>
      </c>
      <c r="B8" s="6" t="s">
        <v>10</v>
      </c>
      <c r="C8" s="2"/>
      <c r="D8" s="12">
        <f>идеал!$J$8/2/3</f>
        <v>454400</v>
      </c>
      <c r="E8" s="12">
        <f>идеал!$J$8/2/3</f>
        <v>454400</v>
      </c>
      <c r="F8" s="12">
        <f>идеал!$J$8/2/3</f>
        <v>454400</v>
      </c>
      <c r="G8" s="12">
        <f>идеал!$J$8/2/3</f>
        <v>454400</v>
      </c>
      <c r="H8" s="68">
        <f>идеал!J8/2</f>
        <v>1363200</v>
      </c>
      <c r="I8" s="62" t="s">
        <v>43</v>
      </c>
      <c r="J8" s="17"/>
    </row>
    <row r="9" spans="1:11" ht="16.5" thickBot="1" x14ac:dyDescent="0.3">
      <c r="A9" s="89" t="s">
        <v>11</v>
      </c>
      <c r="B9" s="90"/>
      <c r="C9" s="13"/>
      <c r="D9" s="14">
        <f>SUM(D10:D29)</f>
        <v>821124.36250000005</v>
      </c>
      <c r="E9" s="14">
        <f>SUM(E10:E29)</f>
        <v>833124.36250000005</v>
      </c>
      <c r="F9" s="14">
        <f>SUM(F10:F29)</f>
        <v>1150774.3625</v>
      </c>
      <c r="G9" s="14">
        <f>SUM(G10:G29)</f>
        <v>1119124.3625</v>
      </c>
      <c r="H9" s="70">
        <f>SUM(D9:G9)</f>
        <v>3924147.45</v>
      </c>
      <c r="I9" s="62"/>
      <c r="J9" s="17"/>
    </row>
    <row r="10" spans="1:11" ht="15.75" x14ac:dyDescent="0.25">
      <c r="A10" s="56">
        <v>1</v>
      </c>
      <c r="B10" s="55" t="s">
        <v>37</v>
      </c>
      <c r="C10" s="3"/>
      <c r="D10" s="12">
        <f>идеал!$J10/4</f>
        <v>245202.85750000001</v>
      </c>
      <c r="E10" s="12">
        <f>идеал!$J$10/4</f>
        <v>245202.85750000001</v>
      </c>
      <c r="F10" s="12">
        <f>идеал!$J$10/4</f>
        <v>245202.85750000001</v>
      </c>
      <c r="G10" s="12">
        <f>идеал!$J$10/4</f>
        <v>245202.85750000001</v>
      </c>
      <c r="H10" s="69">
        <f t="shared" ref="H10:H29" si="1">SUM(D10:G10)</f>
        <v>980811.43</v>
      </c>
      <c r="I10" s="63" t="s">
        <v>35</v>
      </c>
      <c r="J10" s="17"/>
    </row>
    <row r="11" spans="1:11" ht="15.75" x14ac:dyDescent="0.25">
      <c r="A11" s="57">
        <v>2</v>
      </c>
      <c r="B11" s="58" t="s">
        <v>38</v>
      </c>
      <c r="C11" s="1"/>
      <c r="D11" s="7">
        <f>идеал!$J$11/4</f>
        <v>257299.005</v>
      </c>
      <c r="E11" s="7">
        <f>идеал!$J$11/4</f>
        <v>257299.005</v>
      </c>
      <c r="F11" s="7">
        <f>идеал!$J$11/4</f>
        <v>257299.005</v>
      </c>
      <c r="G11" s="7">
        <f>идеал!$J$11/4</f>
        <v>257299.005</v>
      </c>
      <c r="H11" s="69">
        <f t="shared" si="1"/>
        <v>1029196.02</v>
      </c>
      <c r="I11" s="63" t="s">
        <v>36</v>
      </c>
      <c r="J11" s="17"/>
    </row>
    <row r="12" spans="1:11" ht="15.75" x14ac:dyDescent="0.25">
      <c r="A12" s="57">
        <v>3</v>
      </c>
      <c r="B12" s="58" t="s">
        <v>39</v>
      </c>
      <c r="C12" s="1"/>
      <c r="D12" s="7">
        <f>идеал!$J$12*3*3</f>
        <v>107662.5</v>
      </c>
      <c r="E12" s="7">
        <f>идеал!$J$12*3*3</f>
        <v>107662.5</v>
      </c>
      <c r="F12" s="7">
        <f>идеал!$J$12*3*3</f>
        <v>107662.5</v>
      </c>
      <c r="G12" s="7">
        <f>идеал!$J$12*3*3</f>
        <v>107662.5</v>
      </c>
      <c r="H12" s="69">
        <f t="shared" si="1"/>
        <v>430650</v>
      </c>
      <c r="I12" s="62" t="s">
        <v>48</v>
      </c>
      <c r="J12" s="17"/>
    </row>
    <row r="13" spans="1:11" ht="15.75" x14ac:dyDescent="0.25">
      <c r="A13" s="57">
        <v>4</v>
      </c>
      <c r="B13" s="58" t="s">
        <v>12</v>
      </c>
      <c r="C13" s="1"/>
      <c r="D13" s="7">
        <f>идеал!$J$13*3*3</f>
        <v>53460</v>
      </c>
      <c r="E13" s="7">
        <f>идеал!$J$13*3*3</f>
        <v>53460</v>
      </c>
      <c r="F13" s="7">
        <f>идеал!$J$13*3*3</f>
        <v>53460</v>
      </c>
      <c r="G13" s="7">
        <f>идеал!$J$13*3*3</f>
        <v>53460</v>
      </c>
      <c r="H13" s="69">
        <f t="shared" si="1"/>
        <v>213840</v>
      </c>
      <c r="I13" s="62" t="s">
        <v>49</v>
      </c>
    </row>
    <row r="14" spans="1:11" ht="15.75" x14ac:dyDescent="0.25">
      <c r="A14" s="57">
        <v>5</v>
      </c>
      <c r="B14" s="58" t="s">
        <v>41</v>
      </c>
      <c r="C14" s="1"/>
      <c r="D14" s="7">
        <v>0</v>
      </c>
      <c r="E14" s="7">
        <v>0</v>
      </c>
      <c r="F14" s="7">
        <f>идеал!J14</f>
        <v>41650</v>
      </c>
      <c r="G14" s="7">
        <v>0</v>
      </c>
      <c r="H14" s="69">
        <f t="shared" si="1"/>
        <v>41650</v>
      </c>
      <c r="I14" s="63" t="s">
        <v>41</v>
      </c>
      <c r="J14" s="51"/>
      <c r="K14" s="51"/>
    </row>
    <row r="15" spans="1:11" ht="15.75" x14ac:dyDescent="0.25">
      <c r="A15" s="57">
        <v>6</v>
      </c>
      <c r="B15" s="58" t="s">
        <v>13</v>
      </c>
      <c r="C15" s="1"/>
      <c r="D15" s="7">
        <f>идеал!$J$15/2*2*3</f>
        <v>3000</v>
      </c>
      <c r="E15" s="7">
        <f>идеал!$J$15/2*2*3</f>
        <v>3000</v>
      </c>
      <c r="F15" s="7">
        <f>идеал!$J$15/2*2*3</f>
        <v>3000</v>
      </c>
      <c r="G15" s="7">
        <f>идеал!$J$15/2*2*3</f>
        <v>3000</v>
      </c>
      <c r="H15" s="69">
        <f t="shared" si="1"/>
        <v>12000</v>
      </c>
      <c r="I15" s="62" t="s">
        <v>72</v>
      </c>
      <c r="J15" s="17"/>
    </row>
    <row r="16" spans="1:11" ht="15.75" x14ac:dyDescent="0.25">
      <c r="A16" s="57">
        <v>7</v>
      </c>
      <c r="B16" s="58" t="s">
        <v>21</v>
      </c>
      <c r="C16" s="1"/>
      <c r="D16" s="7">
        <f>идеал!$J$16*3</f>
        <v>24000</v>
      </c>
      <c r="E16" s="7">
        <f>идеал!$J$16*3</f>
        <v>24000</v>
      </c>
      <c r="F16" s="7">
        <f>идеал!$J$16*3</f>
        <v>24000</v>
      </c>
      <c r="G16" s="7">
        <f>идеал!$J$16*3</f>
        <v>24000</v>
      </c>
      <c r="H16" s="69">
        <f t="shared" si="1"/>
        <v>96000</v>
      </c>
      <c r="I16" s="63" t="s">
        <v>46</v>
      </c>
      <c r="J16" s="17"/>
    </row>
    <row r="17" spans="1:10" ht="15.75" x14ac:dyDescent="0.25">
      <c r="A17" s="57">
        <v>9</v>
      </c>
      <c r="B17" s="58" t="s">
        <v>23</v>
      </c>
      <c r="C17" s="1"/>
      <c r="D17" s="7">
        <v>0</v>
      </c>
      <c r="E17" s="7">
        <v>0</v>
      </c>
      <c r="F17" s="7">
        <f>идеал!J17*6</f>
        <v>300000</v>
      </c>
      <c r="G17" s="7">
        <v>0</v>
      </c>
      <c r="H17" s="69">
        <f t="shared" si="1"/>
        <v>300000</v>
      </c>
      <c r="I17" s="62" t="s">
        <v>71</v>
      </c>
      <c r="J17" s="17"/>
    </row>
    <row r="18" spans="1:10" ht="15.75" x14ac:dyDescent="0.25">
      <c r="A18" s="57">
        <v>10</v>
      </c>
      <c r="B18" s="58" t="s">
        <v>14</v>
      </c>
      <c r="C18" s="1"/>
      <c r="D18" s="7">
        <v>0</v>
      </c>
      <c r="E18" s="7">
        <v>0</v>
      </c>
      <c r="F18" s="7">
        <v>0</v>
      </c>
      <c r="G18" s="7">
        <f>идеал!J18</f>
        <v>238000</v>
      </c>
      <c r="H18" s="69">
        <f t="shared" si="1"/>
        <v>238000</v>
      </c>
      <c r="I18" s="63" t="s">
        <v>47</v>
      </c>
      <c r="J18" s="17"/>
    </row>
    <row r="19" spans="1:10" ht="15.75" x14ac:dyDescent="0.25">
      <c r="A19" s="57">
        <v>11</v>
      </c>
      <c r="B19" s="58" t="s">
        <v>22</v>
      </c>
      <c r="C19" s="1"/>
      <c r="D19" s="7">
        <f>идеал!$J$19/2*3</f>
        <v>1500</v>
      </c>
      <c r="E19" s="7">
        <f>идеал!$J$19/2*3</f>
        <v>1500</v>
      </c>
      <c r="F19" s="7">
        <f>идеал!$J$19/2*3</f>
        <v>1500</v>
      </c>
      <c r="G19" s="7">
        <f>идеал!$J$19/2*3</f>
        <v>1500</v>
      </c>
      <c r="H19" s="69">
        <f t="shared" si="1"/>
        <v>6000</v>
      </c>
      <c r="I19" s="62" t="s">
        <v>70</v>
      </c>
      <c r="J19" s="17"/>
    </row>
    <row r="20" spans="1:10" ht="45" x14ac:dyDescent="0.25">
      <c r="A20" s="57">
        <v>12</v>
      </c>
      <c r="B20" s="58" t="s">
        <v>24</v>
      </c>
      <c r="C20" s="1"/>
      <c r="D20" s="7">
        <f>идеал!$J$20*2</f>
        <v>36000</v>
      </c>
      <c r="E20" s="7">
        <f>идеал!$J$20*2</f>
        <v>36000</v>
      </c>
      <c r="F20" s="7">
        <f>идеал!$J$20*2</f>
        <v>36000</v>
      </c>
      <c r="G20" s="7">
        <f>идеал!$J$20*2</f>
        <v>36000</v>
      </c>
      <c r="H20" s="69">
        <f t="shared" si="1"/>
        <v>144000</v>
      </c>
      <c r="I20" s="62" t="s">
        <v>69</v>
      </c>
      <c r="J20" s="17"/>
    </row>
    <row r="21" spans="1:10" ht="15.75" x14ac:dyDescent="0.25">
      <c r="A21" s="57">
        <v>13</v>
      </c>
      <c r="B21" s="58" t="s">
        <v>27</v>
      </c>
      <c r="C21" s="1"/>
      <c r="D21" s="7">
        <v>0</v>
      </c>
      <c r="E21" s="83">
        <v>0</v>
      </c>
      <c r="F21" s="7">
        <v>0</v>
      </c>
      <c r="G21" s="7">
        <v>0</v>
      </c>
      <c r="H21" s="69">
        <f t="shared" si="1"/>
        <v>0</v>
      </c>
      <c r="I21" s="62" t="s">
        <v>65</v>
      </c>
      <c r="J21" s="17"/>
    </row>
    <row r="22" spans="1:10" ht="15.75" x14ac:dyDescent="0.25">
      <c r="A22" s="57">
        <v>14</v>
      </c>
      <c r="B22" s="58" t="s">
        <v>74</v>
      </c>
      <c r="C22" s="1"/>
      <c r="D22" s="7">
        <v>0</v>
      </c>
      <c r="E22" s="7">
        <v>0</v>
      </c>
      <c r="F22" s="7">
        <v>0</v>
      </c>
      <c r="G22" s="7">
        <v>0</v>
      </c>
      <c r="H22" s="69">
        <f t="shared" si="1"/>
        <v>0</v>
      </c>
      <c r="I22" s="62" t="s">
        <v>85</v>
      </c>
      <c r="J22" s="17"/>
    </row>
    <row r="23" spans="1:10" ht="15.75" x14ac:dyDescent="0.25">
      <c r="A23" s="57">
        <v>15</v>
      </c>
      <c r="B23" s="58" t="s">
        <v>76</v>
      </c>
      <c r="C23" s="1"/>
      <c r="D23" s="7">
        <v>0</v>
      </c>
      <c r="E23" s="7">
        <f>идеал!J23</f>
        <v>60000</v>
      </c>
      <c r="F23" s="7">
        <v>0</v>
      </c>
      <c r="G23" s="7">
        <f>идеал!J23</f>
        <v>60000</v>
      </c>
      <c r="H23" s="69">
        <f t="shared" si="1"/>
        <v>120000</v>
      </c>
      <c r="I23" s="64" t="s">
        <v>79</v>
      </c>
      <c r="J23" s="17"/>
    </row>
    <row r="24" spans="1:10" ht="15.75" x14ac:dyDescent="0.25">
      <c r="A24" s="57">
        <v>16</v>
      </c>
      <c r="B24" s="58" t="s">
        <v>77</v>
      </c>
      <c r="C24" s="1"/>
      <c r="D24" s="7">
        <v>0</v>
      </c>
      <c r="E24" s="7">
        <v>0</v>
      </c>
      <c r="F24" s="7">
        <v>0</v>
      </c>
      <c r="G24" s="7">
        <v>0</v>
      </c>
      <c r="H24" s="69">
        <f t="shared" si="1"/>
        <v>0</v>
      </c>
      <c r="I24" s="35" t="s">
        <v>94</v>
      </c>
      <c r="J24" s="17"/>
    </row>
    <row r="25" spans="1:10" ht="15.75" x14ac:dyDescent="0.25">
      <c r="A25" s="57">
        <v>17</v>
      </c>
      <c r="B25" s="58" t="s">
        <v>73</v>
      </c>
      <c r="C25" s="1"/>
      <c r="D25" s="7">
        <v>0</v>
      </c>
      <c r="E25" s="7">
        <v>0</v>
      </c>
      <c r="F25" s="7">
        <v>0</v>
      </c>
      <c r="G25" s="7">
        <v>0</v>
      </c>
      <c r="H25" s="69">
        <f t="shared" si="1"/>
        <v>0</v>
      </c>
      <c r="I25" s="64" t="s">
        <v>80</v>
      </c>
      <c r="J25" s="17"/>
    </row>
    <row r="26" spans="1:10" ht="31.5" x14ac:dyDescent="0.25">
      <c r="A26" s="57">
        <v>18</v>
      </c>
      <c r="B26" s="58" t="s">
        <v>28</v>
      </c>
      <c r="C26" s="1"/>
      <c r="D26" s="7">
        <v>0</v>
      </c>
      <c r="E26" s="7"/>
      <c r="F26" s="7">
        <f>идеал!J26*2</f>
        <v>36000</v>
      </c>
      <c r="G26" s="7">
        <v>0</v>
      </c>
      <c r="H26" s="69">
        <f t="shared" si="1"/>
        <v>36000</v>
      </c>
      <c r="I26" s="62" t="s">
        <v>57</v>
      </c>
      <c r="J26" s="17"/>
    </row>
    <row r="27" spans="1:10" s="19" customFormat="1" x14ac:dyDescent="0.25">
      <c r="A27" s="26">
        <v>19</v>
      </c>
      <c r="B27" s="20" t="s">
        <v>90</v>
      </c>
      <c r="C27" s="27"/>
      <c r="D27" s="12">
        <f>идеал!J27*6</f>
        <v>48000</v>
      </c>
      <c r="E27" s="12">
        <v>0</v>
      </c>
      <c r="F27" s="12">
        <v>0</v>
      </c>
      <c r="G27" s="12">
        <f>идеал!J27*6</f>
        <v>48000</v>
      </c>
      <c r="H27" s="69">
        <f t="shared" si="1"/>
        <v>96000</v>
      </c>
      <c r="I27" s="34" t="s">
        <v>93</v>
      </c>
      <c r="J27" s="9">
        <v>6000</v>
      </c>
    </row>
    <row r="28" spans="1:10" ht="15.75" x14ac:dyDescent="0.25">
      <c r="A28" s="57">
        <v>19</v>
      </c>
      <c r="B28" s="58" t="s">
        <v>15</v>
      </c>
      <c r="C28" s="1"/>
      <c r="D28" s="7">
        <f>идеал!$J$28/2*3</f>
        <v>15000</v>
      </c>
      <c r="E28" s="7">
        <f>идеал!$J$28/2*3</f>
        <v>15000</v>
      </c>
      <c r="F28" s="7">
        <f>идеал!$J$28/2*3</f>
        <v>15000</v>
      </c>
      <c r="G28" s="7">
        <f>идеал!$J$28/2*3</f>
        <v>15000</v>
      </c>
      <c r="H28" s="69">
        <f t="shared" si="1"/>
        <v>60000</v>
      </c>
      <c r="I28" s="62" t="s">
        <v>68</v>
      </c>
      <c r="J28" s="17"/>
    </row>
    <row r="29" spans="1:10" ht="16.5" thickBot="1" x14ac:dyDescent="0.3">
      <c r="A29" s="5">
        <v>20</v>
      </c>
      <c r="B29" s="6" t="s">
        <v>16</v>
      </c>
      <c r="C29" s="2"/>
      <c r="D29" s="8">
        <f>идеал!$J$29/2*3</f>
        <v>30000</v>
      </c>
      <c r="E29" s="8">
        <f>идеал!$J$29/2*3</f>
        <v>30000</v>
      </c>
      <c r="F29" s="8">
        <f>идеал!$J$29/2*3</f>
        <v>30000</v>
      </c>
      <c r="G29" s="8">
        <f>идеал!$J$29/2*3</f>
        <v>30000</v>
      </c>
      <c r="H29" s="69">
        <f t="shared" si="1"/>
        <v>120000</v>
      </c>
      <c r="I29" s="62" t="s">
        <v>68</v>
      </c>
      <c r="J29" s="17"/>
    </row>
    <row r="30" spans="1:10" ht="16.5" thickBot="1" x14ac:dyDescent="0.3">
      <c r="A30" s="91" t="s">
        <v>17</v>
      </c>
      <c r="B30" s="91"/>
      <c r="C30" s="3"/>
      <c r="H30" s="52">
        <f>H5-H9</f>
        <v>104951.90274999989</v>
      </c>
      <c r="J30" s="17"/>
    </row>
    <row r="31" spans="1:10" x14ac:dyDescent="0.25">
      <c r="I31" s="53" t="s">
        <v>55</v>
      </c>
    </row>
    <row r="34" spans="1:10" ht="21" customHeight="1" x14ac:dyDescent="0.25">
      <c r="A34" s="17" t="s">
        <v>18</v>
      </c>
    </row>
    <row r="36" spans="1:10" ht="45" x14ac:dyDescent="0.25">
      <c r="A36" s="17" t="s">
        <v>19</v>
      </c>
    </row>
    <row r="38" spans="1:10" ht="24.75" customHeight="1" x14ac:dyDescent="0.25">
      <c r="A38" s="17" t="s">
        <v>20</v>
      </c>
    </row>
    <row r="39" spans="1:10" x14ac:dyDescent="0.25">
      <c r="J39" s="17"/>
    </row>
    <row r="40" spans="1:10" ht="45" x14ac:dyDescent="0.25">
      <c r="A40" s="17" t="s">
        <v>19</v>
      </c>
    </row>
  </sheetData>
  <mergeCells count="9">
    <mergeCell ref="A30:B30"/>
    <mergeCell ref="A2:A3"/>
    <mergeCell ref="B2:B3"/>
    <mergeCell ref="C2:C3"/>
    <mergeCell ref="A1:H1"/>
    <mergeCell ref="D2:G2"/>
    <mergeCell ref="A4:B4"/>
    <mergeCell ref="A5:B5"/>
    <mergeCell ref="A9:B9"/>
  </mergeCells>
  <pageMargins left="0.7" right="0.7" top="0.75" bottom="0.75" header="0.3" footer="0.3"/>
  <pageSetup paperSize="9" orientation="landscape" verticalDpi="0" r:id="rId1"/>
  <ignoredErrors>
    <ignoredError sqref="H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H30" sqref="H30"/>
    </sheetView>
  </sheetViews>
  <sheetFormatPr defaultColWidth="34.5703125" defaultRowHeight="15" x14ac:dyDescent="0.25"/>
  <cols>
    <col min="1" max="1" width="3.28515625" style="17" customWidth="1"/>
    <col min="2" max="2" width="34.42578125" style="17" bestFit="1" customWidth="1"/>
    <col min="3" max="3" width="29.140625" style="17" hidden="1" customWidth="1"/>
    <col min="4" max="7" width="13.7109375" style="17" bestFit="1" customWidth="1"/>
    <col min="8" max="8" width="15.42578125" style="49" bestFit="1" customWidth="1"/>
    <col min="9" max="9" width="49.42578125" style="17" bestFit="1" customWidth="1"/>
    <col min="10" max="10" width="34.5703125" style="49"/>
    <col min="11" max="16384" width="34.5703125" style="17"/>
  </cols>
  <sheetData>
    <row r="1" spans="1:11" ht="18.75" x14ac:dyDescent="0.3">
      <c r="A1" s="103" t="s">
        <v>89</v>
      </c>
      <c r="B1" s="104"/>
      <c r="C1" s="104"/>
      <c r="D1" s="104"/>
      <c r="E1" s="104"/>
      <c r="F1" s="104"/>
      <c r="G1" s="104"/>
      <c r="H1" s="104"/>
      <c r="I1" s="71"/>
    </row>
    <row r="2" spans="1:11" ht="15.75" x14ac:dyDescent="0.25">
      <c r="A2" s="94" t="s">
        <v>0</v>
      </c>
      <c r="B2" s="95" t="s">
        <v>1</v>
      </c>
      <c r="C2" s="95" t="s">
        <v>2</v>
      </c>
      <c r="D2" s="95" t="s">
        <v>3</v>
      </c>
      <c r="E2" s="95"/>
      <c r="F2" s="95"/>
      <c r="G2" s="95"/>
      <c r="H2" s="61"/>
      <c r="I2" s="72"/>
      <c r="J2" s="17"/>
    </row>
    <row r="3" spans="1:11" ht="15.75" x14ac:dyDescent="0.25">
      <c r="A3" s="94"/>
      <c r="B3" s="95"/>
      <c r="C3" s="95"/>
      <c r="D3" s="58" t="s">
        <v>4</v>
      </c>
      <c r="E3" s="58" t="s">
        <v>5</v>
      </c>
      <c r="F3" s="58" t="s">
        <v>6</v>
      </c>
      <c r="G3" s="58" t="s">
        <v>7</v>
      </c>
      <c r="H3" s="60" t="s">
        <v>33</v>
      </c>
      <c r="I3" s="72"/>
      <c r="J3" s="17"/>
    </row>
    <row r="4" spans="1:11" ht="16.5" thickBot="1" x14ac:dyDescent="0.3">
      <c r="A4" s="101" t="s">
        <v>8</v>
      </c>
      <c r="B4" s="102"/>
      <c r="C4" s="2"/>
      <c r="D4" s="65"/>
      <c r="E4" s="65"/>
      <c r="F4" s="65"/>
      <c r="G4" s="65"/>
      <c r="H4" s="73"/>
      <c r="I4" s="74"/>
      <c r="J4" s="17"/>
    </row>
    <row r="5" spans="1:11" ht="16.5" thickBot="1" x14ac:dyDescent="0.3">
      <c r="A5" s="89" t="s">
        <v>9</v>
      </c>
      <c r="B5" s="90"/>
      <c r="C5" s="13"/>
      <c r="D5" s="15">
        <f>SUM(D6:D8)</f>
        <v>340800</v>
      </c>
      <c r="E5" s="15">
        <f>SUM(E6:E8)</f>
        <v>340800</v>
      </c>
      <c r="F5" s="15">
        <f>SUM(F6:F8)</f>
        <v>340800</v>
      </c>
      <c r="G5" s="79">
        <f>SUM(G6:G8)</f>
        <v>340800</v>
      </c>
      <c r="H5" s="81">
        <f>SUM(D5:G5)</f>
        <v>1363200</v>
      </c>
      <c r="I5" s="77"/>
      <c r="J5" s="17"/>
    </row>
    <row r="6" spans="1:11" ht="15.75" x14ac:dyDescent="0.25">
      <c r="A6" s="56">
        <v>1</v>
      </c>
      <c r="B6" s="55" t="s">
        <v>30</v>
      </c>
      <c r="C6" s="3"/>
      <c r="D6" s="12">
        <v>0</v>
      </c>
      <c r="E6" s="12">
        <v>0</v>
      </c>
      <c r="F6" s="12">
        <v>0</v>
      </c>
      <c r="G6" s="12">
        <v>0</v>
      </c>
      <c r="H6" s="12">
        <f>SUM(D6:G6)</f>
        <v>0</v>
      </c>
      <c r="I6" s="72" t="s">
        <v>58</v>
      </c>
      <c r="J6" s="17"/>
    </row>
    <row r="7" spans="1:11" ht="15.75" x14ac:dyDescent="0.25">
      <c r="A7" s="57">
        <v>2</v>
      </c>
      <c r="B7" s="58" t="s">
        <v>29</v>
      </c>
      <c r="C7" s="1"/>
      <c r="D7" s="7">
        <v>0</v>
      </c>
      <c r="E7" s="7">
        <v>0</v>
      </c>
      <c r="F7" s="7">
        <v>0</v>
      </c>
      <c r="G7" s="7">
        <v>0</v>
      </c>
      <c r="H7" s="7">
        <f t="shared" ref="H7" si="0">SUM(D7:G7)</f>
        <v>0</v>
      </c>
      <c r="I7" s="72" t="s">
        <v>58</v>
      </c>
      <c r="J7" s="17"/>
    </row>
    <row r="8" spans="1:11" ht="16.5" thickBot="1" x14ac:dyDescent="0.3">
      <c r="A8" s="5">
        <v>3</v>
      </c>
      <c r="B8" s="6" t="s">
        <v>10</v>
      </c>
      <c r="C8" s="2"/>
      <c r="D8" s="8">
        <f>идеал!$J$8/2/4</f>
        <v>340800</v>
      </c>
      <c r="E8" s="8">
        <f>идеал!$J$8/2/4</f>
        <v>340800</v>
      </c>
      <c r="F8" s="8">
        <f>идеал!$J$8/2/4</f>
        <v>340800</v>
      </c>
      <c r="G8" s="8">
        <f>идеал!$J$8/2/4</f>
        <v>340800</v>
      </c>
      <c r="H8" s="8">
        <f>среднее!H8</f>
        <v>1363200</v>
      </c>
      <c r="I8" s="74" t="s">
        <v>43</v>
      </c>
      <c r="J8" s="17"/>
    </row>
    <row r="9" spans="1:11" ht="16.5" thickBot="1" x14ac:dyDescent="0.3">
      <c r="A9" s="89" t="s">
        <v>11</v>
      </c>
      <c r="B9" s="90"/>
      <c r="C9" s="13"/>
      <c r="D9" s="14">
        <f>SUM(D10:D29)</f>
        <v>641916.86250000005</v>
      </c>
      <c r="E9" s="14">
        <f t="shared" ref="E9:G9" si="1">SUM(E10:E29)</f>
        <v>609916.86250000005</v>
      </c>
      <c r="F9" s="14">
        <f t="shared" si="1"/>
        <v>651566.86250000005</v>
      </c>
      <c r="G9" s="78">
        <f t="shared" si="1"/>
        <v>847916.86250000005</v>
      </c>
      <c r="H9" s="80">
        <f>SUM(D9:G9)</f>
        <v>2751317.45</v>
      </c>
      <c r="I9" s="77"/>
      <c r="J9" s="17"/>
    </row>
    <row r="10" spans="1:11" ht="31.5" x14ac:dyDescent="0.25">
      <c r="A10" s="56">
        <v>1</v>
      </c>
      <c r="B10" s="55" t="s">
        <v>37</v>
      </c>
      <c r="C10" s="3"/>
      <c r="D10" s="12">
        <f>идеал!$J$10/4</f>
        <v>245202.85750000001</v>
      </c>
      <c r="E10" s="12">
        <f>идеал!$J$10/4</f>
        <v>245202.85750000001</v>
      </c>
      <c r="F10" s="12">
        <f>идеал!$J$10/4</f>
        <v>245202.85750000001</v>
      </c>
      <c r="G10" s="12">
        <f>идеал!$J$10/4</f>
        <v>245202.85750000001</v>
      </c>
      <c r="H10" s="12">
        <f t="shared" ref="H10:H16" si="2">SUM(D10:G10)</f>
        <v>980811.43</v>
      </c>
      <c r="I10" s="75" t="s">
        <v>35</v>
      </c>
      <c r="J10" s="17"/>
    </row>
    <row r="11" spans="1:11" ht="31.5" x14ac:dyDescent="0.25">
      <c r="A11" s="57">
        <v>2</v>
      </c>
      <c r="B11" s="58" t="s">
        <v>38</v>
      </c>
      <c r="C11" s="1"/>
      <c r="D11" s="7">
        <f>идеал!$J$11/4</f>
        <v>257299.005</v>
      </c>
      <c r="E11" s="7">
        <f>идеал!$J$11/4</f>
        <v>257299.005</v>
      </c>
      <c r="F11" s="7">
        <f>идеал!$J$11/4</f>
        <v>257299.005</v>
      </c>
      <c r="G11" s="7">
        <f>идеал!$J$11/4</f>
        <v>257299.005</v>
      </c>
      <c r="H11" s="7">
        <f t="shared" si="2"/>
        <v>1029196.02</v>
      </c>
      <c r="I11" s="75" t="s">
        <v>36</v>
      </c>
      <c r="J11" s="17"/>
    </row>
    <row r="12" spans="1:11" ht="15.75" x14ac:dyDescent="0.25">
      <c r="A12" s="57">
        <v>3</v>
      </c>
      <c r="B12" s="58" t="s">
        <v>39</v>
      </c>
      <c r="C12" s="1"/>
      <c r="D12" s="7">
        <f>идеал!$J$12*2*3</f>
        <v>71775</v>
      </c>
      <c r="E12" s="7">
        <f>идеал!$J$12*2*3</f>
        <v>71775</v>
      </c>
      <c r="F12" s="7">
        <f>идеал!$J$12*2*3</f>
        <v>71775</v>
      </c>
      <c r="G12" s="7">
        <f>идеал!$J$12*2*3</f>
        <v>71775</v>
      </c>
      <c r="H12" s="7">
        <f t="shared" si="2"/>
        <v>287100</v>
      </c>
      <c r="I12" s="72" t="s">
        <v>59</v>
      </c>
      <c r="J12" s="17"/>
    </row>
    <row r="13" spans="1:11" ht="31.5" x14ac:dyDescent="0.25">
      <c r="A13" s="57">
        <v>4</v>
      </c>
      <c r="B13" s="58" t="s">
        <v>12</v>
      </c>
      <c r="C13" s="1"/>
      <c r="D13" s="7">
        <f>идеал!$J$13*2*3</f>
        <v>35640</v>
      </c>
      <c r="E13" s="7">
        <f>идеал!$J$13*2*3</f>
        <v>35640</v>
      </c>
      <c r="F13" s="7">
        <f>идеал!$J$13*2*3</f>
        <v>35640</v>
      </c>
      <c r="G13" s="7">
        <f>идеал!$J$13*2*3</f>
        <v>35640</v>
      </c>
      <c r="H13" s="7">
        <f t="shared" si="2"/>
        <v>142560</v>
      </c>
      <c r="I13" s="72" t="s">
        <v>60</v>
      </c>
    </row>
    <row r="14" spans="1:11" ht="15.75" x14ac:dyDescent="0.25">
      <c r="A14" s="57">
        <v>5</v>
      </c>
      <c r="B14" s="58" t="s">
        <v>41</v>
      </c>
      <c r="C14" s="1"/>
      <c r="D14" s="7">
        <v>0</v>
      </c>
      <c r="E14" s="7">
        <v>0</v>
      </c>
      <c r="F14" s="7">
        <f>идеал!J14</f>
        <v>41650</v>
      </c>
      <c r="G14" s="7">
        <v>0</v>
      </c>
      <c r="H14" s="7">
        <f>SUM(D14:G14)</f>
        <v>41650</v>
      </c>
      <c r="I14" s="75" t="s">
        <v>41</v>
      </c>
      <c r="J14" s="51"/>
      <c r="K14" s="51"/>
    </row>
    <row r="15" spans="1:11" ht="15.75" x14ac:dyDescent="0.25">
      <c r="A15" s="57">
        <v>6</v>
      </c>
      <c r="B15" s="58" t="s">
        <v>13</v>
      </c>
      <c r="C15" s="1"/>
      <c r="D15" s="7">
        <v>0</v>
      </c>
      <c r="E15" s="7">
        <v>0</v>
      </c>
      <c r="F15" s="7">
        <v>0</v>
      </c>
      <c r="G15" s="7">
        <v>0</v>
      </c>
      <c r="H15" s="7">
        <f>SUM(D15:G15)</f>
        <v>0</v>
      </c>
      <c r="I15" s="72" t="s">
        <v>62</v>
      </c>
      <c r="J15" s="17"/>
    </row>
    <row r="16" spans="1:11" ht="15.75" x14ac:dyDescent="0.25">
      <c r="A16" s="57">
        <v>7</v>
      </c>
      <c r="B16" s="58" t="s">
        <v>21</v>
      </c>
      <c r="C16" s="1"/>
      <c r="D16" s="7">
        <v>0</v>
      </c>
      <c r="E16" s="7">
        <v>0</v>
      </c>
      <c r="F16" s="7">
        <v>0</v>
      </c>
      <c r="G16" s="7">
        <v>0</v>
      </c>
      <c r="H16" s="7">
        <f t="shared" si="2"/>
        <v>0</v>
      </c>
      <c r="I16" s="75" t="s">
        <v>46</v>
      </c>
      <c r="J16" s="17"/>
    </row>
    <row r="17" spans="1:10" ht="15.75" x14ac:dyDescent="0.25">
      <c r="A17" s="57">
        <v>9</v>
      </c>
      <c r="B17" s="58" t="s">
        <v>23</v>
      </c>
      <c r="C17" s="1"/>
      <c r="D17" s="7">
        <v>0</v>
      </c>
      <c r="E17" s="7">
        <v>0</v>
      </c>
      <c r="F17" s="7">
        <v>0</v>
      </c>
      <c r="G17" s="7">
        <v>0</v>
      </c>
      <c r="H17" s="7">
        <f>SUM(D17:G17)</f>
        <v>0</v>
      </c>
      <c r="I17" s="72" t="s">
        <v>63</v>
      </c>
      <c r="J17" s="17"/>
    </row>
    <row r="18" spans="1:10" ht="15.75" x14ac:dyDescent="0.25">
      <c r="A18" s="57">
        <v>10</v>
      </c>
      <c r="B18" s="58" t="s">
        <v>14</v>
      </c>
      <c r="C18" s="1"/>
      <c r="D18" s="7">
        <v>0</v>
      </c>
      <c r="E18" s="7">
        <v>0</v>
      </c>
      <c r="F18" s="7">
        <v>0</v>
      </c>
      <c r="G18" s="7">
        <f>идеал!J18</f>
        <v>238000</v>
      </c>
      <c r="H18" s="7">
        <f>SUM(D18:G18)</f>
        <v>238000</v>
      </c>
      <c r="I18" s="75" t="s">
        <v>47</v>
      </c>
      <c r="J18" s="17"/>
    </row>
    <row r="19" spans="1:10" ht="15.75" x14ac:dyDescent="0.25">
      <c r="A19" s="57">
        <v>11</v>
      </c>
      <c r="B19" s="58" t="s">
        <v>22</v>
      </c>
      <c r="C19" s="1"/>
      <c r="D19" s="7">
        <v>0</v>
      </c>
      <c r="E19" s="7">
        <v>0</v>
      </c>
      <c r="F19" s="7">
        <v>0</v>
      </c>
      <c r="G19" s="7">
        <v>0</v>
      </c>
      <c r="H19" s="61">
        <f t="shared" ref="H19:H20" si="3">SUM(D19:G19)</f>
        <v>0</v>
      </c>
      <c r="I19" s="72" t="s">
        <v>61</v>
      </c>
      <c r="J19" s="17"/>
    </row>
    <row r="20" spans="1:10" ht="60" x14ac:dyDescent="0.25">
      <c r="A20" s="57">
        <v>12</v>
      </c>
      <c r="B20" s="58" t="s">
        <v>24</v>
      </c>
      <c r="C20" s="1"/>
      <c r="D20" s="7">
        <v>0</v>
      </c>
      <c r="E20" s="7">
        <v>0</v>
      </c>
      <c r="F20" s="7">
        <v>0</v>
      </c>
      <c r="G20" s="7">
        <v>0</v>
      </c>
      <c r="H20" s="61">
        <f t="shared" si="3"/>
        <v>0</v>
      </c>
      <c r="I20" s="72" t="s">
        <v>64</v>
      </c>
      <c r="J20" s="17"/>
    </row>
    <row r="21" spans="1:10" ht="31.5" x14ac:dyDescent="0.25">
      <c r="A21" s="57">
        <v>13</v>
      </c>
      <c r="B21" s="58" t="s">
        <v>27</v>
      </c>
      <c r="C21" s="1"/>
      <c r="D21" s="7">
        <v>0</v>
      </c>
      <c r="E21" s="7">
        <v>0</v>
      </c>
      <c r="F21" s="7">
        <v>0</v>
      </c>
      <c r="G21" s="7">
        <v>0</v>
      </c>
      <c r="H21" s="61">
        <f t="shared" ref="H21:H29" si="4">SUM(D21:G21)</f>
        <v>0</v>
      </c>
      <c r="I21" s="72" t="s">
        <v>65</v>
      </c>
      <c r="J21" s="17"/>
    </row>
    <row r="22" spans="1:10" ht="15.75" x14ac:dyDescent="0.25">
      <c r="A22" s="57">
        <v>14</v>
      </c>
      <c r="B22" s="58" t="s">
        <v>74</v>
      </c>
      <c r="C22" s="1"/>
      <c r="D22" s="7">
        <v>0</v>
      </c>
      <c r="E22" s="7">
        <v>0</v>
      </c>
      <c r="F22" s="7">
        <v>0</v>
      </c>
      <c r="G22" s="7">
        <v>0</v>
      </c>
      <c r="H22" s="61">
        <f t="shared" si="4"/>
        <v>0</v>
      </c>
      <c r="I22" s="72" t="s">
        <v>84</v>
      </c>
      <c r="J22" s="17"/>
    </row>
    <row r="23" spans="1:10" ht="31.5" x14ac:dyDescent="0.25">
      <c r="A23" s="57">
        <v>15</v>
      </c>
      <c r="B23" s="58" t="s">
        <v>76</v>
      </c>
      <c r="C23" s="1"/>
      <c r="D23" s="7">
        <v>0</v>
      </c>
      <c r="E23" s="7">
        <v>0</v>
      </c>
      <c r="F23" s="7">
        <v>0</v>
      </c>
      <c r="G23" s="7">
        <v>0</v>
      </c>
      <c r="H23" s="61">
        <f t="shared" si="4"/>
        <v>0</v>
      </c>
      <c r="I23" s="76" t="s">
        <v>82</v>
      </c>
      <c r="J23" s="17"/>
    </row>
    <row r="24" spans="1:10" ht="31.5" x14ac:dyDescent="0.25">
      <c r="A24" s="57">
        <v>16</v>
      </c>
      <c r="B24" s="58" t="s">
        <v>77</v>
      </c>
      <c r="C24" s="1"/>
      <c r="D24" s="7">
        <v>0</v>
      </c>
      <c r="E24" s="7">
        <v>0</v>
      </c>
      <c r="F24" s="7">
        <v>0</v>
      </c>
      <c r="G24" s="7">
        <v>0</v>
      </c>
      <c r="H24" s="61">
        <f t="shared" si="4"/>
        <v>0</v>
      </c>
      <c r="I24" s="35" t="s">
        <v>95</v>
      </c>
      <c r="J24" s="17"/>
    </row>
    <row r="25" spans="1:10" ht="15.75" x14ac:dyDescent="0.25">
      <c r="A25" s="57">
        <v>17</v>
      </c>
      <c r="B25" s="58" t="s">
        <v>73</v>
      </c>
      <c r="C25" s="1"/>
      <c r="D25" s="7">
        <v>0</v>
      </c>
      <c r="E25" s="7">
        <v>0</v>
      </c>
      <c r="F25" s="7">
        <v>0</v>
      </c>
      <c r="G25" s="7">
        <v>0</v>
      </c>
      <c r="H25" s="61">
        <f t="shared" si="4"/>
        <v>0</v>
      </c>
      <c r="I25" s="76" t="s">
        <v>83</v>
      </c>
      <c r="J25" s="17"/>
    </row>
    <row r="26" spans="1:10" ht="31.5" x14ac:dyDescent="0.25">
      <c r="A26" s="57">
        <v>18</v>
      </c>
      <c r="B26" s="58" t="s">
        <v>28</v>
      </c>
      <c r="C26" s="1"/>
      <c r="D26" s="7">
        <v>0</v>
      </c>
      <c r="E26" s="7">
        <v>0</v>
      </c>
      <c r="F26" s="7">
        <v>0</v>
      </c>
      <c r="G26" s="7">
        <v>0</v>
      </c>
      <c r="H26" s="61">
        <f t="shared" si="4"/>
        <v>0</v>
      </c>
      <c r="I26" s="72" t="s">
        <v>66</v>
      </c>
      <c r="J26" s="17"/>
    </row>
    <row r="27" spans="1:10" x14ac:dyDescent="0.25">
      <c r="A27" s="26">
        <v>19</v>
      </c>
      <c r="B27" s="20" t="s">
        <v>90</v>
      </c>
      <c r="C27" s="27"/>
      <c r="D27" s="12">
        <f>идеал!J27*4</f>
        <v>32000</v>
      </c>
      <c r="E27" s="12"/>
      <c r="F27" s="12"/>
      <c r="G27" s="12"/>
      <c r="H27" s="12">
        <f>идеал!J27*4</f>
        <v>32000</v>
      </c>
      <c r="I27" s="34" t="s">
        <v>92</v>
      </c>
      <c r="J27" s="17"/>
    </row>
    <row r="28" spans="1:10" ht="15.75" x14ac:dyDescent="0.25">
      <c r="A28" s="57">
        <v>19</v>
      </c>
      <c r="B28" s="58" t="s">
        <v>15</v>
      </c>
      <c r="C28" s="1"/>
      <c r="D28" s="7">
        <v>0</v>
      </c>
      <c r="E28" s="7">
        <v>0</v>
      </c>
      <c r="F28" s="7">
        <v>0</v>
      </c>
      <c r="G28" s="7">
        <v>0</v>
      </c>
      <c r="H28" s="61">
        <f t="shared" si="4"/>
        <v>0</v>
      </c>
      <c r="I28" s="72" t="s">
        <v>67</v>
      </c>
      <c r="J28" s="17"/>
    </row>
    <row r="29" spans="1:10" ht="32.25" thickBot="1" x14ac:dyDescent="0.3">
      <c r="A29" s="5">
        <v>20</v>
      </c>
      <c r="B29" s="6" t="s">
        <v>16</v>
      </c>
      <c r="C29" s="2"/>
      <c r="D29" s="8">
        <v>0</v>
      </c>
      <c r="E29" s="8">
        <v>0</v>
      </c>
      <c r="F29" s="8">
        <v>0</v>
      </c>
      <c r="G29" s="8">
        <v>0</v>
      </c>
      <c r="H29" s="73">
        <f t="shared" si="4"/>
        <v>0</v>
      </c>
      <c r="I29" s="74" t="s">
        <v>67</v>
      </c>
      <c r="J29" s="17"/>
    </row>
    <row r="30" spans="1:10" ht="16.5" thickBot="1" x14ac:dyDescent="0.3">
      <c r="A30" s="91" t="s">
        <v>17</v>
      </c>
      <c r="B30" s="91"/>
      <c r="C30" s="3"/>
      <c r="H30" s="52">
        <f>H5-H9</f>
        <v>-1388117.4500000002</v>
      </c>
      <c r="J30" s="17"/>
    </row>
    <row r="31" spans="1:10" x14ac:dyDescent="0.25">
      <c r="I31" s="53" t="s">
        <v>55</v>
      </c>
    </row>
    <row r="32" spans="1:10" x14ac:dyDescent="0.25">
      <c r="F32" s="49"/>
      <c r="J32" s="17"/>
    </row>
    <row r="33" spans="1:10" x14ac:dyDescent="0.25">
      <c r="F33" s="49"/>
      <c r="J33" s="17"/>
    </row>
    <row r="34" spans="1:10" ht="409.5" x14ac:dyDescent="0.25">
      <c r="A34" s="17" t="s">
        <v>18</v>
      </c>
      <c r="F34" s="49"/>
      <c r="J34" s="17"/>
    </row>
    <row r="35" spans="1:10" x14ac:dyDescent="0.25">
      <c r="F35" s="49"/>
      <c r="J35" s="17"/>
    </row>
    <row r="36" spans="1:10" ht="255" x14ac:dyDescent="0.25">
      <c r="A36" s="17" t="s">
        <v>19</v>
      </c>
      <c r="F36" s="49"/>
      <c r="J36" s="17"/>
    </row>
    <row r="37" spans="1:10" x14ac:dyDescent="0.25">
      <c r="F37" s="49"/>
      <c r="J37" s="17"/>
    </row>
    <row r="38" spans="1:10" ht="409.5" x14ac:dyDescent="0.25">
      <c r="A38" s="17" t="s">
        <v>20</v>
      </c>
      <c r="F38" s="49"/>
      <c r="J38" s="17"/>
    </row>
    <row r="39" spans="1:10" x14ac:dyDescent="0.25">
      <c r="J39" s="17"/>
    </row>
    <row r="40" spans="1:10" ht="255" x14ac:dyDescent="0.25">
      <c r="A40" s="17" t="s">
        <v>19</v>
      </c>
    </row>
  </sheetData>
  <mergeCells count="9">
    <mergeCell ref="A30:B30"/>
    <mergeCell ref="A2:A3"/>
    <mergeCell ref="B2:B3"/>
    <mergeCell ref="C2:C3"/>
    <mergeCell ref="A1:H1"/>
    <mergeCell ref="D2:G2"/>
    <mergeCell ref="A4:B4"/>
    <mergeCell ref="A5:B5"/>
    <mergeCell ref="A9:B9"/>
  </mergeCells>
  <pageMargins left="0.7" right="0.7" top="0.75" bottom="0.75" header="0.3" footer="0.3"/>
  <pageSetup paperSize="9" orientation="landscape" verticalDpi="0" r:id="rId1"/>
  <ignoredErrors>
    <ignoredError sqref="H8 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идеал</vt:lpstr>
      <vt:lpstr>среднее</vt:lpstr>
      <vt:lpstr>совсем всё плохо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HP</cp:lastModifiedBy>
  <cp:lastPrinted>2017-10-14T15:13:24Z</cp:lastPrinted>
  <dcterms:created xsi:type="dcterms:W3CDTF">2015-12-25T20:22:12Z</dcterms:created>
  <dcterms:modified xsi:type="dcterms:W3CDTF">2017-10-29T17:25:40Z</dcterms:modified>
</cp:coreProperties>
</file>