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Владимир\Desktop\Новая папка\Высокое\"/>
    </mc:Choice>
  </mc:AlternateContent>
  <bookViews>
    <workbookView xWindow="0" yWindow="0" windowWidth="21000" windowHeight="11685" tabRatio="829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N10" i="1" l="1"/>
  <c r="N8" i="1"/>
  <c r="H18" i="1"/>
  <c r="H55" i="1"/>
  <c r="H25" i="1"/>
  <c r="H56" i="1"/>
  <c r="H31" i="1"/>
  <c r="H22" i="1"/>
  <c r="H8" i="1"/>
  <c r="H13" i="1"/>
  <c r="H10" i="1"/>
  <c r="G55" i="1" l="1"/>
  <c r="G22" i="1"/>
  <c r="G31" i="1"/>
  <c r="G20" i="1"/>
  <c r="G25" i="1"/>
  <c r="G53" i="1"/>
  <c r="G27" i="1"/>
  <c r="G18" i="1" s="1"/>
  <c r="G21" i="1"/>
  <c r="G10" i="1" l="1"/>
  <c r="G8" i="1" s="1"/>
  <c r="G13" i="1"/>
  <c r="G4" i="1"/>
  <c r="F33" i="1"/>
  <c r="F25" i="1"/>
  <c r="N25" i="1" s="1"/>
  <c r="F20" i="1"/>
  <c r="F18" i="1" s="1"/>
  <c r="F27" i="1"/>
  <c r="F53" i="1"/>
  <c r="F8" i="1"/>
  <c r="F10" i="1"/>
  <c r="F13" i="1"/>
  <c r="E55" i="1"/>
  <c r="E29" i="1"/>
  <c r="E56" i="1" s="1"/>
  <c r="F4" i="1"/>
  <c r="E20" i="1"/>
  <c r="E16" i="1"/>
  <c r="E15" i="1"/>
  <c r="E12" i="1"/>
  <c r="N12" i="1" s="1"/>
  <c r="E13" i="1"/>
  <c r="E11" i="1"/>
  <c r="E10" i="1" s="1"/>
  <c r="E8" i="1" s="1"/>
  <c r="N53" i="1"/>
  <c r="N52" i="1"/>
  <c r="N51" i="1"/>
  <c r="N50" i="1"/>
  <c r="N48" i="1"/>
  <c r="N46" i="1"/>
  <c r="N45" i="1"/>
  <c r="N41" i="1"/>
  <c r="N37" i="1"/>
  <c r="N32" i="1"/>
  <c r="N26" i="1"/>
  <c r="N14" i="1"/>
  <c r="N19" i="1"/>
  <c r="N23" i="1"/>
  <c r="N24" i="1"/>
  <c r="N28" i="1"/>
  <c r="N30" i="1"/>
  <c r="N34" i="1"/>
  <c r="N38" i="1"/>
  <c r="N39" i="1"/>
  <c r="N42" i="1"/>
  <c r="N43" i="1"/>
  <c r="N44" i="1"/>
  <c r="N47" i="1"/>
  <c r="N49" i="1"/>
  <c r="D13" i="1"/>
  <c r="D10" i="1"/>
  <c r="D8" i="1" s="1"/>
  <c r="E4" i="1"/>
  <c r="D56" i="1"/>
  <c r="D27" i="1"/>
  <c r="N27" i="1" s="1"/>
  <c r="D33" i="1"/>
  <c r="D55" i="1"/>
  <c r="D20" i="1"/>
  <c r="D18" i="1"/>
  <c r="C10" i="1"/>
  <c r="C13" i="1"/>
  <c r="C16" i="1"/>
  <c r="N16" i="1" s="1"/>
  <c r="C8" i="1"/>
  <c r="D4" i="1"/>
  <c r="C55" i="1"/>
  <c r="C22" i="1"/>
  <c r="C27" i="1"/>
  <c r="C33" i="1"/>
  <c r="N33" i="1"/>
  <c r="C25" i="1"/>
  <c r="C20" i="1"/>
  <c r="C18" i="1"/>
  <c r="C4" i="1"/>
  <c r="B4" i="1"/>
  <c r="B55" i="1"/>
  <c r="B15" i="1"/>
  <c r="N15" i="1" s="1"/>
  <c r="B36" i="1"/>
  <c r="N36" i="1"/>
  <c r="B22" i="1"/>
  <c r="N22" i="1" s="1"/>
  <c r="B21" i="1"/>
  <c r="N21" i="1"/>
  <c r="B20" i="1"/>
  <c r="B18" i="1" s="1"/>
  <c r="B11" i="1"/>
  <c r="N11" i="1" s="1"/>
  <c r="B10" i="1"/>
  <c r="C56" i="1"/>
  <c r="B56" i="1" l="1"/>
  <c r="E18" i="1"/>
  <c r="N18" i="1" s="1"/>
  <c r="N20" i="1"/>
  <c r="N29" i="1"/>
  <c r="B13" i="1"/>
  <c r="F56" i="1"/>
  <c r="N13" i="1" l="1"/>
  <c r="B8" i="1"/>
</calcChain>
</file>

<file path=xl/sharedStrings.xml><?xml version="1.0" encoding="utf-8"?>
<sst xmlns="http://schemas.openxmlformats.org/spreadsheetml/2006/main" count="54" uniqueCount="53">
  <si>
    <t>членские взносы</t>
  </si>
  <si>
    <t>возмещение расходов на электроэнергию</t>
  </si>
  <si>
    <t>Поступления, всего</t>
  </si>
  <si>
    <t>Расходы, всего</t>
  </si>
  <si>
    <t>в том числе:</t>
  </si>
  <si>
    <t>заработная плата</t>
  </si>
  <si>
    <t>НДФЛ</t>
  </si>
  <si>
    <t>страховые взносы</t>
  </si>
  <si>
    <t>земельный налог</t>
  </si>
  <si>
    <t>расходы вывоз мусора (ТБО)</t>
  </si>
  <si>
    <t>расходы на оплату электроэнергии</t>
  </si>
  <si>
    <t>расходы на плату за негативное воздействие на окружающую среду</t>
  </si>
  <si>
    <t>НП СЗУ "Высокое"</t>
  </si>
  <si>
    <t>Итого</t>
  </si>
  <si>
    <t>расходы на юридический адрес</t>
  </si>
  <si>
    <t>Комисси банка за РК0</t>
  </si>
  <si>
    <t>расходы на информационное обслуживание по электроэнергии Партнер Энерго</t>
  </si>
  <si>
    <t>расходы на полиграфическую продукцию</t>
  </si>
  <si>
    <t xml:space="preserve">Налог по УСН </t>
  </si>
  <si>
    <t>Охрана</t>
  </si>
  <si>
    <t>членск взносы нал/р</t>
  </si>
  <si>
    <t>Расходы на ремонт шлагбаума</t>
  </si>
  <si>
    <t>Оплата ГСМ</t>
  </si>
  <si>
    <t>Оплата командировочных расходов</t>
  </si>
  <si>
    <t>Корм для собаки</t>
  </si>
  <si>
    <t>членские взносы безнал</t>
  </si>
  <si>
    <t>Оплата услуг юриста</t>
  </si>
  <si>
    <t>Расходы по укладке асфальта</t>
  </si>
  <si>
    <t>возмещение расходов на эл/эн безнал</t>
  </si>
  <si>
    <t>Расходы по аренде клуба г. Высоковск</t>
  </si>
  <si>
    <t>возмещение расх.на э/э нал расч.</t>
  </si>
  <si>
    <t>расходы н/расч</t>
  </si>
  <si>
    <t>расходы б/нал расчет</t>
  </si>
  <si>
    <t xml:space="preserve">Остаток денежных средств на начало периода </t>
  </si>
  <si>
    <t>в т.ч. на расчетном счете:</t>
  </si>
  <si>
    <t>налич./расч</t>
  </si>
  <si>
    <t>Смета доходов и расходов за 2017 год</t>
  </si>
  <si>
    <t>Мосэнергосбыт по решению суда</t>
  </si>
  <si>
    <t>Транспортные услуги/чистка снега/контейнер</t>
  </si>
  <si>
    <t>Почтовые расходы</t>
  </si>
  <si>
    <t>Уборка площадки (КПП,мусор)</t>
  </si>
  <si>
    <t>Закупка поддонов</t>
  </si>
  <si>
    <t>Целевые взносы на рем.шлагбаума</t>
  </si>
  <si>
    <t>Электромонтажные работы (шкаф)</t>
  </si>
  <si>
    <t>Расходы на канцтовары</t>
  </si>
  <si>
    <t>ИФНС по г.Клин(возврат переплаты)</t>
  </si>
  <si>
    <t>Вода на Общ.собрание.</t>
  </si>
  <si>
    <t xml:space="preserve"> Клинский РОСП (суд.расходы .Мосэнергосбыт)</t>
  </si>
  <si>
    <t>Премия охраннику (09.06.2017)</t>
  </si>
  <si>
    <t>Расходы на ремонт дороги</t>
  </si>
  <si>
    <t>Расходы на видеонаблюдение</t>
  </si>
  <si>
    <t>Расходы на интернет(домик КПП)</t>
  </si>
  <si>
    <t>Оплата стройматериалов (Плита OSB)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</si>
</sst>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9]mmmm;@"/>
  </numFmts>
  <fonts count="1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u/>
      <sz val="11"/>
      <color theme="1"/>
      <name val="Arial"/>
      <family val="2"/>
      <charset val="204"/>
    </font>
    <font>
      <b/>
      <u/>
      <sz val="10"/>
      <color theme="1"/>
      <name val="Arial"/>
      <family val="2"/>
      <charset val="204"/>
    </font>
    <font>
      <i/>
      <sz val="9"/>
      <color theme="1"/>
      <name val="Arial"/>
      <family val="2"/>
      <charset val="204"/>
    </font>
    <font>
      <i/>
      <u/>
      <sz val="9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i/>
      <sz val="10"/>
      <color theme="1"/>
      <name val="Arial"/>
      <family val="2"/>
      <charset val="204"/>
    </font>
    <font>
      <b/>
      <i/>
      <u/>
      <sz val="10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/>
    <xf numFmtId="4" fontId="3" fillId="0" borderId="1" xfId="0" applyNumberFormat="1" applyFont="1" applyBorder="1"/>
    <xf numFmtId="0" fontId="4" fillId="0" borderId="0" xfId="0" applyFont="1"/>
    <xf numFmtId="4" fontId="2" fillId="0" borderId="0" xfId="0" applyNumberFormat="1" applyFont="1"/>
    <xf numFmtId="4" fontId="1" fillId="0" borderId="0" xfId="0" applyNumberFormat="1" applyFont="1"/>
    <xf numFmtId="4" fontId="1" fillId="0" borderId="1" xfId="0" applyNumberFormat="1" applyFont="1" applyBorder="1"/>
    <xf numFmtId="0" fontId="5" fillId="0" borderId="1" xfId="0" applyFont="1" applyBorder="1"/>
    <xf numFmtId="4" fontId="5" fillId="0" borderId="1" xfId="0" applyNumberFormat="1" applyFont="1" applyBorder="1"/>
    <xf numFmtId="0" fontId="3" fillId="0" borderId="1" xfId="0" applyFont="1" applyBorder="1"/>
    <xf numFmtId="0" fontId="3" fillId="0" borderId="1" xfId="0" applyFont="1" applyBorder="1" applyAlignment="1">
      <alignment horizontal="left" wrapText="1"/>
    </xf>
    <xf numFmtId="0" fontId="5" fillId="0" borderId="1" xfId="0" applyFont="1" applyBorder="1" applyAlignment="1">
      <alignment wrapText="1"/>
    </xf>
    <xf numFmtId="164" fontId="1" fillId="0" borderId="1" xfId="0" applyNumberFormat="1" applyFont="1" applyBorder="1" applyAlignment="1">
      <alignment horizontal="center"/>
    </xf>
    <xf numFmtId="0" fontId="6" fillId="0" borderId="0" xfId="0" applyFont="1"/>
    <xf numFmtId="0" fontId="7" fillId="0" borderId="0" xfId="0" applyFont="1" applyAlignment="1">
      <alignment wrapText="1"/>
    </xf>
    <xf numFmtId="0" fontId="3" fillId="0" borderId="1" xfId="0" applyFont="1" applyBorder="1" applyAlignment="1">
      <alignment horizontal="left" wrapText="1" indent="2"/>
    </xf>
    <xf numFmtId="4" fontId="7" fillId="0" borderId="2" xfId="0" applyNumberFormat="1" applyFont="1" applyBorder="1" applyAlignment="1">
      <alignment vertical="center"/>
    </xf>
    <xf numFmtId="4" fontId="7" fillId="0" borderId="0" xfId="0" applyNumberFormat="1" applyFont="1" applyAlignment="1">
      <alignment vertical="center"/>
    </xf>
    <xf numFmtId="4" fontId="2" fillId="0" borderId="0" xfId="0" applyNumberFormat="1" applyFont="1" applyFill="1"/>
    <xf numFmtId="4" fontId="1" fillId="0" borderId="0" xfId="0" applyNumberFormat="1" applyFont="1" applyFill="1"/>
    <xf numFmtId="4" fontId="7" fillId="0" borderId="2" xfId="0" applyNumberFormat="1" applyFont="1" applyFill="1" applyBorder="1" applyAlignment="1">
      <alignment vertical="center"/>
    </xf>
    <xf numFmtId="164" fontId="1" fillId="0" borderId="1" xfId="0" applyNumberFormat="1" applyFont="1" applyFill="1" applyBorder="1" applyAlignment="1">
      <alignment horizontal="center"/>
    </xf>
    <xf numFmtId="4" fontId="5" fillId="0" borderId="1" xfId="0" applyNumberFormat="1" applyFont="1" applyFill="1" applyBorder="1"/>
    <xf numFmtId="4" fontId="3" fillId="0" borderId="1" xfId="0" applyNumberFormat="1" applyFont="1" applyFill="1" applyBorder="1"/>
    <xf numFmtId="4" fontId="3" fillId="0" borderId="0" xfId="0" applyNumberFormat="1" applyFont="1" applyFill="1"/>
    <xf numFmtId="0" fontId="8" fillId="0" borderId="1" xfId="0" applyFont="1" applyBorder="1" applyAlignment="1">
      <alignment horizontal="left" wrapText="1"/>
    </xf>
    <xf numFmtId="0" fontId="9" fillId="0" borderId="1" xfId="0" applyFont="1" applyBorder="1" applyAlignment="1">
      <alignment horizontal="left" wrapText="1"/>
    </xf>
    <xf numFmtId="4" fontId="8" fillId="0" borderId="1" xfId="0" applyNumberFormat="1" applyFont="1" applyBorder="1"/>
    <xf numFmtId="4" fontId="8" fillId="0" borderId="1" xfId="0" applyNumberFormat="1" applyFont="1" applyFill="1" applyBorder="1"/>
    <xf numFmtId="4" fontId="7" fillId="0" borderId="0" xfId="0" applyNumberFormat="1" applyFont="1" applyFill="1" applyAlignment="1">
      <alignment vertical="center" wrapText="1"/>
    </xf>
    <xf numFmtId="4" fontId="10" fillId="0" borderId="0" xfId="0" applyNumberFormat="1" applyFont="1" applyFill="1"/>
    <xf numFmtId="4" fontId="7" fillId="0" borderId="0" xfId="0" applyNumberFormat="1" applyFont="1" applyFill="1" applyAlignment="1">
      <alignment vertical="center"/>
    </xf>
    <xf numFmtId="4" fontId="10" fillId="0" borderId="0" xfId="0" applyNumberFormat="1" applyFont="1"/>
    <xf numFmtId="4" fontId="5" fillId="0" borderId="0" xfId="0" applyNumberFormat="1" applyFont="1"/>
    <xf numFmtId="4" fontId="8" fillId="0" borderId="0" xfId="0" applyNumberFormat="1" applyFont="1" applyAlignment="1">
      <alignment horizontal="right"/>
    </xf>
    <xf numFmtId="4" fontId="4" fillId="0" borderId="0" xfId="0" applyNumberFormat="1" applyFont="1"/>
    <xf numFmtId="0" fontId="3" fillId="0" borderId="0" xfId="0" applyFont="1" applyAlignment="1">
      <alignment horizontal="right"/>
    </xf>
    <xf numFmtId="4" fontId="8" fillId="0" borderId="0" xfId="0" applyNumberFormat="1" applyFont="1"/>
    <xf numFmtId="4" fontId="11" fillId="0" borderId="0" xfId="0" applyNumberFormat="1" applyFont="1"/>
    <xf numFmtId="4" fontId="12" fillId="0" borderId="0" xfId="0" applyNumberFormat="1" applyFont="1"/>
    <xf numFmtId="4" fontId="6" fillId="0" borderId="2" xfId="0" applyNumberFormat="1" applyFont="1" applyBorder="1" applyAlignment="1">
      <alignment vertical="center"/>
    </xf>
    <xf numFmtId="4" fontId="11" fillId="0" borderId="0" xfId="0" applyNumberFormat="1" applyFont="1" applyAlignment="1">
      <alignment horizontal="center"/>
    </xf>
    <xf numFmtId="4" fontId="6" fillId="0" borderId="0" xfId="0" applyNumberFormat="1" applyFont="1" applyAlignment="1">
      <alignment horizontal="center" vertical="center"/>
    </xf>
    <xf numFmtId="0" fontId="8" fillId="0" borderId="1" xfId="0" applyFont="1" applyBorder="1" applyAlignment="1">
      <alignment wrapText="1"/>
    </xf>
    <xf numFmtId="4" fontId="11" fillId="0" borderId="0" xfId="0" applyNumberFormat="1" applyFont="1" applyFill="1" applyAlignment="1">
      <alignment horizontal="center"/>
    </xf>
    <xf numFmtId="4" fontId="6" fillId="0" borderId="2" xfId="0" applyNumberFormat="1" applyFont="1" applyFill="1" applyBorder="1" applyAlignment="1">
      <alignment vertical="center"/>
    </xf>
    <xf numFmtId="4" fontId="12" fillId="0" borderId="0" xfId="0" applyNumberFormat="1" applyFont="1" applyFill="1"/>
    <xf numFmtId="4" fontId="8" fillId="0" borderId="0" xfId="0" applyNumberFormat="1" applyFont="1" applyFill="1"/>
    <xf numFmtId="4" fontId="6" fillId="0" borderId="0" xfId="0" applyNumberFormat="1" applyFont="1" applyAlignment="1">
      <alignment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57"/>
  <sheetViews>
    <sheetView tabSelected="1" topLeftCell="B1" workbookViewId="0">
      <selection activeCell="N11" sqref="N11"/>
    </sheetView>
  </sheetViews>
  <sheetFormatPr defaultRowHeight="14.25" x14ac:dyDescent="0.2"/>
  <cols>
    <col min="1" max="1" width="40" style="2" customWidth="1"/>
    <col min="2" max="2" width="15.42578125" style="6" bestFit="1" customWidth="1"/>
    <col min="3" max="3" width="11.85546875" style="6" bestFit="1" customWidth="1"/>
    <col min="4" max="4" width="11.28515625" style="6" bestFit="1" customWidth="1"/>
    <col min="5" max="5" width="11.7109375" style="6" bestFit="1" customWidth="1"/>
    <col min="6" max="6" width="10.7109375" style="20" customWidth="1"/>
    <col min="7" max="7" width="11.140625" style="6" customWidth="1"/>
    <col min="8" max="8" width="11.7109375" style="6" bestFit="1" customWidth="1"/>
    <col min="9" max="9" width="11.28515625" style="6" customWidth="1"/>
    <col min="10" max="13" width="11.28515625" style="20" bestFit="1" customWidth="1"/>
    <col min="14" max="14" width="13.140625" style="6" bestFit="1" customWidth="1"/>
    <col min="15" max="15" width="13.140625" style="2" bestFit="1" customWidth="1"/>
    <col min="16" max="16384" width="9.140625" style="2"/>
  </cols>
  <sheetData>
    <row r="1" spans="1:14" ht="15" x14ac:dyDescent="0.25">
      <c r="A1" s="1" t="s">
        <v>36</v>
      </c>
    </row>
    <row r="2" spans="1:14" s="1" customFormat="1" ht="15" x14ac:dyDescent="0.25">
      <c r="A2" s="1" t="s">
        <v>12</v>
      </c>
      <c r="B2" s="7"/>
      <c r="C2" s="7"/>
      <c r="D2" s="7"/>
      <c r="E2" s="7"/>
      <c r="F2" s="21"/>
      <c r="G2" s="7"/>
      <c r="H2" s="7"/>
      <c r="I2" s="7"/>
      <c r="J2" s="21"/>
      <c r="K2" s="21"/>
      <c r="L2" s="21"/>
      <c r="M2" s="21"/>
      <c r="N2" s="7"/>
    </row>
    <row r="3" spans="1:14" s="1" customFormat="1" ht="15" x14ac:dyDescent="0.25">
      <c r="B3" s="7"/>
      <c r="C3" s="7"/>
      <c r="D3" s="7"/>
      <c r="E3" s="7"/>
      <c r="F3" s="21"/>
      <c r="G3" s="7"/>
      <c r="H3" s="7"/>
      <c r="I3" s="7"/>
      <c r="J3" s="21"/>
      <c r="K3" s="21"/>
      <c r="L3" s="21"/>
      <c r="M3" s="21"/>
      <c r="N3" s="7"/>
    </row>
    <row r="4" spans="1:14" s="1" customFormat="1" ht="24.75" x14ac:dyDescent="0.25">
      <c r="A4" s="16" t="s">
        <v>33</v>
      </c>
      <c r="B4" s="41">
        <f>SUM(B5:B6)</f>
        <v>90549.5</v>
      </c>
      <c r="C4" s="41">
        <f>SUM(C5:C6)</f>
        <v>91471</v>
      </c>
      <c r="D4" s="41">
        <f>SUM(D5:D6)</f>
        <v>29130.19</v>
      </c>
      <c r="E4" s="41">
        <f>E5+E6</f>
        <v>20781.599999999999</v>
      </c>
      <c r="F4" s="48">
        <f>SUM(F5:F6)</f>
        <v>48409</v>
      </c>
      <c r="G4" s="48">
        <f>SUM(G5:G6)</f>
        <v>20013.509999999998</v>
      </c>
      <c r="H4" s="7">
        <v>0</v>
      </c>
      <c r="I4" s="7"/>
      <c r="J4" s="21"/>
      <c r="K4" s="21"/>
      <c r="L4" s="21"/>
      <c r="M4" s="21"/>
      <c r="N4" s="7"/>
    </row>
    <row r="5" spans="1:14" s="1" customFormat="1" ht="15" x14ac:dyDescent="0.25">
      <c r="A5" s="16" t="s">
        <v>34</v>
      </c>
      <c r="B5" s="40">
        <v>88723.5</v>
      </c>
      <c r="C5" s="40">
        <v>63095</v>
      </c>
      <c r="D5" s="40">
        <v>26604.19</v>
      </c>
      <c r="E5" s="43">
        <v>2620.6</v>
      </c>
      <c r="F5" s="46">
        <v>0</v>
      </c>
      <c r="G5" s="40">
        <v>17887.509999999998</v>
      </c>
      <c r="H5" s="7">
        <v>0</v>
      </c>
      <c r="I5" s="7"/>
      <c r="J5" s="21"/>
      <c r="K5" s="21"/>
      <c r="L5" s="21"/>
      <c r="M5" s="21"/>
      <c r="N5" s="7"/>
    </row>
    <row r="6" spans="1:14" s="15" customFormat="1" ht="12" x14ac:dyDescent="0.2">
      <c r="A6" s="16" t="s">
        <v>35</v>
      </c>
      <c r="B6" s="42">
        <v>1826</v>
      </c>
      <c r="C6" s="42">
        <v>28376</v>
      </c>
      <c r="D6" s="42">
        <v>2526</v>
      </c>
      <c r="E6" s="44">
        <v>18161</v>
      </c>
      <c r="F6" s="47">
        <v>48409</v>
      </c>
      <c r="G6" s="50">
        <v>2126</v>
      </c>
      <c r="H6" s="19">
        <v>0</v>
      </c>
      <c r="I6" s="18"/>
      <c r="J6" s="22"/>
      <c r="K6" s="31"/>
      <c r="L6" s="33"/>
      <c r="M6" s="33"/>
      <c r="N6" s="18"/>
    </row>
    <row r="7" spans="1:14" s="1" customFormat="1" ht="15" x14ac:dyDescent="0.25">
      <c r="A7" s="3"/>
      <c r="B7" s="14">
        <v>42005</v>
      </c>
      <c r="C7" s="14">
        <v>42036</v>
      </c>
      <c r="D7" s="14">
        <v>42064</v>
      </c>
      <c r="E7" s="14">
        <v>42095</v>
      </c>
      <c r="F7" s="23">
        <v>42125</v>
      </c>
      <c r="G7" s="14">
        <v>42156</v>
      </c>
      <c r="H7" s="14">
        <v>42186</v>
      </c>
      <c r="I7" s="14">
        <v>42217</v>
      </c>
      <c r="J7" s="23">
        <v>42248</v>
      </c>
      <c r="K7" s="23">
        <v>42278</v>
      </c>
      <c r="L7" s="23">
        <v>42309</v>
      </c>
      <c r="M7" s="23">
        <v>42339</v>
      </c>
      <c r="N7" s="8" t="s">
        <v>13</v>
      </c>
    </row>
    <row r="8" spans="1:14" s="5" customFormat="1" ht="15" x14ac:dyDescent="0.25">
      <c r="A8" s="9" t="s">
        <v>2</v>
      </c>
      <c r="B8" s="10">
        <f>B10+B13+B16</f>
        <v>154800</v>
      </c>
      <c r="C8" s="10">
        <f>C10+C13+C16</f>
        <v>139547.23000000001</v>
      </c>
      <c r="D8" s="10">
        <f>D10+D13+D16</f>
        <v>254623.45</v>
      </c>
      <c r="E8" s="10">
        <f>E10+E13+E16</f>
        <v>273746</v>
      </c>
      <c r="F8" s="24">
        <f>F10+F13+F17</f>
        <v>581250.41999999993</v>
      </c>
      <c r="G8" s="10">
        <f>G10+G13</f>
        <v>203149.41</v>
      </c>
      <c r="H8" s="10">
        <f>H10+H13</f>
        <v>99000</v>
      </c>
      <c r="I8" s="10"/>
      <c r="J8" s="24"/>
      <c r="K8" s="24"/>
      <c r="L8" s="24"/>
      <c r="M8" s="24"/>
      <c r="N8" s="10">
        <f>SUM(B8:M8)</f>
        <v>1706116.5099999998</v>
      </c>
    </row>
    <row r="9" spans="1:14" x14ac:dyDescent="0.2">
      <c r="A9" s="11" t="s">
        <v>4</v>
      </c>
      <c r="B9" s="4"/>
      <c r="C9" s="4"/>
      <c r="D9" s="4"/>
      <c r="E9" s="4"/>
      <c r="F9" s="25"/>
      <c r="G9" s="4"/>
      <c r="H9" s="4"/>
      <c r="I9" s="4"/>
      <c r="J9" s="25"/>
      <c r="K9" s="25"/>
      <c r="L9" s="25"/>
      <c r="M9" s="25"/>
      <c r="N9" s="4"/>
    </row>
    <row r="10" spans="1:14" s="1" customFormat="1" ht="15" x14ac:dyDescent="0.25">
      <c r="A10" s="27" t="s">
        <v>0</v>
      </c>
      <c r="B10" s="29">
        <f t="shared" ref="B10:G10" si="0">SUM(B11:B12)</f>
        <v>124800</v>
      </c>
      <c r="C10" s="29">
        <f t="shared" si="0"/>
        <v>118300</v>
      </c>
      <c r="D10" s="29">
        <f t="shared" si="0"/>
        <v>232707</v>
      </c>
      <c r="E10" s="29">
        <f t="shared" si="0"/>
        <v>245700</v>
      </c>
      <c r="F10" s="30">
        <f t="shared" si="0"/>
        <v>126067</v>
      </c>
      <c r="G10" s="29">
        <f t="shared" si="0"/>
        <v>196600</v>
      </c>
      <c r="H10" s="29">
        <f>SUM(H11:H12)</f>
        <v>98500</v>
      </c>
      <c r="I10" s="29"/>
      <c r="J10" s="30"/>
      <c r="K10" s="30"/>
      <c r="L10" s="30"/>
      <c r="M10" s="30"/>
      <c r="N10" s="29">
        <f>SUM(B10:M10)</f>
        <v>1142674</v>
      </c>
    </row>
    <row r="11" spans="1:14" x14ac:dyDescent="0.2">
      <c r="A11" s="12" t="s">
        <v>25</v>
      </c>
      <c r="B11" s="4">
        <f>800+2400+4000+4800+800+1000+1600+1600+1600+800+3000+9600+1600+6000+1000+2000+800+800+800+800+1600+2400+3000+4800+8000+10000+13000+800+800+1000+5000+800+4000+4000+4800+15000</f>
        <v>124800</v>
      </c>
      <c r="C11" s="4">
        <v>118300</v>
      </c>
      <c r="D11" s="4">
        <v>142100</v>
      </c>
      <c r="E11" s="4">
        <f>800+3000+3200+1000+2000+2400+2400+4800+5000+800+1000+2000+4800+800+1000+5000+2800+4000+2000+2400+800+800+2000+2400+1600+2000+3500+8000+400+1600+1600+4800+3000</f>
        <v>83700</v>
      </c>
      <c r="F11" s="25">
        <v>102500</v>
      </c>
      <c r="G11" s="4">
        <v>115600</v>
      </c>
      <c r="H11" s="4">
        <v>70500</v>
      </c>
      <c r="I11" s="4"/>
      <c r="J11" s="25"/>
      <c r="K11" s="25"/>
      <c r="L11" s="25"/>
      <c r="M11" s="25"/>
      <c r="N11" s="4">
        <f t="shared" ref="N10:N18" si="1">SUM(B11:M11)</f>
        <v>757500</v>
      </c>
    </row>
    <row r="12" spans="1:14" x14ac:dyDescent="0.2">
      <c r="A12" s="12" t="s">
        <v>20</v>
      </c>
      <c r="B12" s="4"/>
      <c r="C12" s="4"/>
      <c r="D12" s="4">
        <v>90607</v>
      </c>
      <c r="E12" s="4">
        <f>3000+16800+800+200+6600+200+4000+13000+4800+10800+4000+5000+800+800+2000+1400+32600+800+15000+14400+25000</f>
        <v>162000</v>
      </c>
      <c r="F12" s="25">
        <v>23567</v>
      </c>
      <c r="G12" s="4">
        <v>81000</v>
      </c>
      <c r="H12" s="4">
        <v>28000</v>
      </c>
      <c r="I12" s="4"/>
      <c r="J12" s="25"/>
      <c r="K12" s="25"/>
      <c r="L12" s="25"/>
      <c r="M12" s="25"/>
      <c r="N12" s="4">
        <f t="shared" si="1"/>
        <v>385174</v>
      </c>
    </row>
    <row r="13" spans="1:14" s="1" customFormat="1" ht="15" x14ac:dyDescent="0.25">
      <c r="A13" s="28" t="s">
        <v>1</v>
      </c>
      <c r="B13" s="29">
        <f t="shared" ref="B13:G13" si="2">SUM(B14:B15)</f>
        <v>30000</v>
      </c>
      <c r="C13" s="29">
        <f t="shared" si="2"/>
        <v>19547.23</v>
      </c>
      <c r="D13" s="29">
        <f t="shared" si="2"/>
        <v>19466.45</v>
      </c>
      <c r="E13" s="29">
        <f t="shared" si="2"/>
        <v>26846</v>
      </c>
      <c r="F13" s="30">
        <f t="shared" si="2"/>
        <v>75883.42</v>
      </c>
      <c r="G13" s="29">
        <f t="shared" si="2"/>
        <v>6549.41</v>
      </c>
      <c r="H13" s="29">
        <f>SUM(H14:H15)</f>
        <v>500</v>
      </c>
      <c r="I13" s="29"/>
      <c r="J13" s="30"/>
      <c r="K13" s="30"/>
      <c r="L13" s="30"/>
      <c r="M13" s="30"/>
      <c r="N13" s="29">
        <f t="shared" si="1"/>
        <v>178792.50999999998</v>
      </c>
    </row>
    <row r="14" spans="1:14" x14ac:dyDescent="0.2">
      <c r="A14" s="12" t="s">
        <v>28</v>
      </c>
      <c r="B14" s="4"/>
      <c r="C14" s="4">
        <v>13547.23</v>
      </c>
      <c r="D14" s="4">
        <v>15318.45</v>
      </c>
      <c r="E14" s="4">
        <v>4568</v>
      </c>
      <c r="F14" s="25">
        <v>75883.42</v>
      </c>
      <c r="G14" s="4">
        <v>5859.41</v>
      </c>
      <c r="H14" s="4"/>
      <c r="I14" s="4"/>
      <c r="J14" s="25"/>
      <c r="K14" s="25"/>
      <c r="L14" s="25"/>
      <c r="M14" s="25"/>
      <c r="N14" s="4">
        <f t="shared" si="1"/>
        <v>115176.51000000001</v>
      </c>
    </row>
    <row r="15" spans="1:14" x14ac:dyDescent="0.2">
      <c r="A15" s="12" t="s">
        <v>30</v>
      </c>
      <c r="B15" s="4">
        <f>30000</f>
        <v>30000</v>
      </c>
      <c r="C15" s="4">
        <v>6000</v>
      </c>
      <c r="D15" s="4">
        <v>4148</v>
      </c>
      <c r="E15" s="4">
        <f>2745+8533+1000+10000</f>
        <v>22278</v>
      </c>
      <c r="F15" s="25"/>
      <c r="G15" s="4">
        <v>690</v>
      </c>
      <c r="H15" s="4">
        <v>500</v>
      </c>
      <c r="I15" s="4"/>
      <c r="J15" s="25"/>
      <c r="K15" s="25"/>
      <c r="L15" s="25"/>
      <c r="M15" s="25"/>
      <c r="N15" s="4">
        <f t="shared" si="1"/>
        <v>63616</v>
      </c>
    </row>
    <row r="16" spans="1:14" x14ac:dyDescent="0.2">
      <c r="A16" s="45" t="s">
        <v>42</v>
      </c>
      <c r="B16" s="29"/>
      <c r="C16" s="29">
        <f>500+500+500+200</f>
        <v>1700</v>
      </c>
      <c r="D16" s="29">
        <v>2450</v>
      </c>
      <c r="E16" s="29">
        <f>150+150+200+200+200+200+100</f>
        <v>1200</v>
      </c>
      <c r="F16" s="25">
        <v>0</v>
      </c>
      <c r="G16" s="4"/>
      <c r="H16" s="4"/>
      <c r="I16" s="4"/>
      <c r="J16" s="25"/>
      <c r="K16" s="25"/>
      <c r="L16" s="25"/>
      <c r="M16" s="25"/>
      <c r="N16" s="4">
        <f t="shared" si="1"/>
        <v>5350</v>
      </c>
    </row>
    <row r="17" spans="1:15" s="1" customFormat="1" ht="15" x14ac:dyDescent="0.25">
      <c r="A17" s="45" t="s">
        <v>45</v>
      </c>
      <c r="B17" s="29"/>
      <c r="C17" s="29"/>
      <c r="D17" s="29"/>
      <c r="E17" s="29"/>
      <c r="F17" s="30">
        <v>379300</v>
      </c>
      <c r="G17" s="29"/>
      <c r="H17" s="29"/>
      <c r="I17" s="29"/>
      <c r="J17" s="30"/>
      <c r="K17" s="30"/>
      <c r="L17" s="30"/>
      <c r="M17" s="30"/>
      <c r="N17" s="29"/>
    </row>
    <row r="18" spans="1:15" s="5" customFormat="1" ht="15" x14ac:dyDescent="0.25">
      <c r="A18" s="13" t="s">
        <v>3</v>
      </c>
      <c r="B18" s="10">
        <f>SUM(B20:B53)</f>
        <v>153878.5</v>
      </c>
      <c r="C18" s="10">
        <f>SUM(C19:C53)</f>
        <v>201888.04</v>
      </c>
      <c r="D18" s="10">
        <f>SUM(D20:D53)</f>
        <v>262872.03999999998</v>
      </c>
      <c r="E18" s="10">
        <f>SUM(E20:E53)</f>
        <v>245118.6</v>
      </c>
      <c r="F18" s="24">
        <f>SUM(SUM(F19:F53))</f>
        <v>609645.90999999992</v>
      </c>
      <c r="G18" s="10">
        <f>SUM(G19:G53)</f>
        <v>216796.92</v>
      </c>
      <c r="H18" s="10">
        <f>SUM(H20:H53)</f>
        <v>109190</v>
      </c>
      <c r="I18" s="10"/>
      <c r="J18" s="24"/>
      <c r="K18" s="24"/>
      <c r="L18" s="24"/>
      <c r="M18" s="24"/>
      <c r="N18" s="10">
        <f t="shared" si="1"/>
        <v>1799390.0099999998</v>
      </c>
      <c r="O18" s="37"/>
    </row>
    <row r="19" spans="1:15" x14ac:dyDescent="0.2">
      <c r="A19" s="17" t="s">
        <v>4</v>
      </c>
      <c r="B19" s="4"/>
      <c r="C19" s="4"/>
      <c r="D19" s="4"/>
      <c r="E19" s="4"/>
      <c r="F19" s="25"/>
      <c r="G19" s="4"/>
      <c r="H19" s="4"/>
      <c r="I19" s="4"/>
      <c r="J19" s="25"/>
      <c r="K19" s="25"/>
      <c r="L19" s="25"/>
      <c r="M19" s="25"/>
      <c r="N19" s="29">
        <f t="shared" ref="N19:N49" si="3">SUM(B19:M19)</f>
        <v>0</v>
      </c>
    </row>
    <row r="20" spans="1:15" x14ac:dyDescent="0.2">
      <c r="A20" s="17" t="s">
        <v>5</v>
      </c>
      <c r="B20" s="4">
        <f>10440+10600+17400</f>
        <v>38440</v>
      </c>
      <c r="C20" s="4">
        <f>10440+10600+21500</f>
        <v>42540</v>
      </c>
      <c r="D20" s="4">
        <f>34090+5000</f>
        <v>39090</v>
      </c>
      <c r="E20" s="4">
        <f>10600+4000+30000+9000</f>
        <v>53600</v>
      </c>
      <c r="F20" s="25">
        <f>10600+10440+1000+13050+17400</f>
        <v>52490</v>
      </c>
      <c r="G20" s="4">
        <f>8700+10600+10440+10440</f>
        <v>40180</v>
      </c>
      <c r="H20" s="4">
        <v>44600</v>
      </c>
      <c r="I20" s="4"/>
      <c r="J20" s="25"/>
      <c r="K20" s="25"/>
      <c r="L20" s="25"/>
      <c r="M20" s="25"/>
      <c r="N20" s="4">
        <f>SUM(B20:M20)</f>
        <v>310940</v>
      </c>
    </row>
    <row r="21" spans="1:15" x14ac:dyDescent="0.2">
      <c r="A21" s="17" t="s">
        <v>6</v>
      </c>
      <c r="B21" s="4">
        <f>5744+650+4350</f>
        <v>10744</v>
      </c>
      <c r="C21" s="4">
        <v>3144</v>
      </c>
      <c r="D21" s="4">
        <v>5094</v>
      </c>
      <c r="E21" s="4"/>
      <c r="F21" s="25"/>
      <c r="G21" s="4">
        <f>2884+1560</f>
        <v>4444</v>
      </c>
      <c r="H21" s="4"/>
      <c r="I21" s="4"/>
      <c r="J21" s="25"/>
      <c r="K21" s="25"/>
      <c r="L21" s="25"/>
      <c r="M21" s="25"/>
      <c r="N21" s="4">
        <f>SUM(B21:M21)</f>
        <v>23426</v>
      </c>
    </row>
    <row r="22" spans="1:15" x14ac:dyDescent="0.2">
      <c r="A22" s="17" t="s">
        <v>7</v>
      </c>
      <c r="B22" s="4">
        <f>9720.5+2254+1282+89</f>
        <v>13345.5</v>
      </c>
      <c r="C22" s="4">
        <f>10+49+145+255+702+1100+1243+5321</f>
        <v>8825</v>
      </c>
      <c r="D22" s="4"/>
      <c r="E22" s="4"/>
      <c r="F22" s="25"/>
      <c r="G22" s="4">
        <f>2400+4000+9200+51.63+167.32+223.68+2416.99+2740.38</f>
        <v>21200</v>
      </c>
      <c r="H22" s="4">
        <f>4104.29+1675.4</f>
        <v>5779.6900000000005</v>
      </c>
      <c r="I22" s="4"/>
      <c r="J22" s="25"/>
      <c r="K22" s="25"/>
      <c r="L22" s="25"/>
      <c r="M22" s="25"/>
      <c r="N22" s="4">
        <f>SUM(B22:M22)</f>
        <v>49150.19</v>
      </c>
    </row>
    <row r="23" spans="1:15" hidden="1" x14ac:dyDescent="0.2">
      <c r="A23" s="17" t="s">
        <v>18</v>
      </c>
      <c r="B23" s="4"/>
      <c r="C23" s="4"/>
      <c r="D23" s="4"/>
      <c r="E23" s="4"/>
      <c r="F23" s="25"/>
      <c r="G23" s="4"/>
      <c r="H23" s="4"/>
      <c r="I23" s="4"/>
      <c r="J23" s="25"/>
      <c r="K23" s="25"/>
      <c r="L23" s="25"/>
      <c r="M23" s="25"/>
      <c r="N23" s="4">
        <f t="shared" si="3"/>
        <v>0</v>
      </c>
    </row>
    <row r="24" spans="1:15" hidden="1" x14ac:dyDescent="0.2">
      <c r="A24" s="17" t="s">
        <v>8</v>
      </c>
      <c r="B24" s="4"/>
      <c r="C24" s="4"/>
      <c r="D24" s="4"/>
      <c r="E24" s="4"/>
      <c r="F24" s="25"/>
      <c r="G24" s="4"/>
      <c r="H24" s="4"/>
      <c r="I24" s="4"/>
      <c r="J24" s="25"/>
      <c r="K24" s="25"/>
      <c r="L24" s="25"/>
      <c r="M24" s="25"/>
      <c r="N24" s="4">
        <f t="shared" si="3"/>
        <v>0</v>
      </c>
    </row>
    <row r="25" spans="1:15" x14ac:dyDescent="0.2">
      <c r="A25" s="17" t="s">
        <v>9</v>
      </c>
      <c r="B25" s="4"/>
      <c r="C25" s="4">
        <f>10218.29+1000</f>
        <v>11218.29</v>
      </c>
      <c r="D25" s="4"/>
      <c r="E25" s="4"/>
      <c r="F25" s="25">
        <f>14000+12000</f>
        <v>26000</v>
      </c>
      <c r="G25" s="4">
        <f>6000+6000+12000</f>
        <v>24000</v>
      </c>
      <c r="H25" s="4">
        <f>14000+12000</f>
        <v>26000</v>
      </c>
      <c r="I25" s="4"/>
      <c r="J25" s="25"/>
      <c r="K25" s="25"/>
      <c r="L25" s="25"/>
      <c r="M25" s="25"/>
      <c r="N25" s="4">
        <f>SUM(B25:M25)</f>
        <v>87218.290000000008</v>
      </c>
    </row>
    <row r="26" spans="1:15" x14ac:dyDescent="0.2">
      <c r="A26" s="17" t="s">
        <v>10</v>
      </c>
      <c r="B26" s="4">
        <v>20000</v>
      </c>
      <c r="C26" s="4"/>
      <c r="D26" s="4"/>
      <c r="E26" s="4"/>
      <c r="F26" s="25"/>
      <c r="G26" s="4"/>
      <c r="H26" s="4"/>
      <c r="I26" s="4"/>
      <c r="J26" s="25"/>
      <c r="K26" s="25"/>
      <c r="L26" s="25"/>
      <c r="M26" s="25"/>
      <c r="N26" s="4">
        <f>SUM(B26:M26)</f>
        <v>20000</v>
      </c>
    </row>
    <row r="27" spans="1:15" x14ac:dyDescent="0.2">
      <c r="A27" s="17" t="s">
        <v>19</v>
      </c>
      <c r="B27" s="4">
        <v>50000</v>
      </c>
      <c r="C27" s="4">
        <f>20000+40000</f>
        <v>60000</v>
      </c>
      <c r="D27" s="4">
        <f>20000+10000+6000</f>
        <v>36000</v>
      </c>
      <c r="E27" s="4">
        <v>70000</v>
      </c>
      <c r="F27" s="25">
        <f>30000+20000</f>
        <v>50000</v>
      </c>
      <c r="G27" s="4">
        <f>20000+20000</f>
        <v>40000</v>
      </c>
      <c r="H27" s="4"/>
      <c r="I27" s="4"/>
      <c r="J27" s="25"/>
      <c r="K27" s="25"/>
      <c r="L27" s="25"/>
      <c r="M27" s="25"/>
      <c r="N27" s="4">
        <f>SUM(B27:M27)</f>
        <v>306000</v>
      </c>
    </row>
    <row r="28" spans="1:15" x14ac:dyDescent="0.2">
      <c r="A28" s="17" t="s">
        <v>50</v>
      </c>
      <c r="B28" s="4"/>
      <c r="C28" s="4"/>
      <c r="D28" s="4"/>
      <c r="E28" s="4"/>
      <c r="F28" s="25"/>
      <c r="G28" s="4"/>
      <c r="H28" s="4">
        <v>6000</v>
      </c>
      <c r="I28" s="4"/>
      <c r="J28" s="25"/>
      <c r="K28" s="25"/>
      <c r="L28" s="25"/>
      <c r="M28" s="25"/>
      <c r="N28" s="4">
        <f t="shared" si="3"/>
        <v>6000</v>
      </c>
    </row>
    <row r="29" spans="1:15" x14ac:dyDescent="0.2">
      <c r="A29" s="17" t="s">
        <v>37</v>
      </c>
      <c r="B29" s="4"/>
      <c r="C29" s="4"/>
      <c r="D29" s="4">
        <v>120068.04</v>
      </c>
      <c r="E29" s="4">
        <f>2620.6+7000+7800+9800+5368+1000+6800+6800+600+6000+15400+2000+6400+3000</f>
        <v>80588.600000000006</v>
      </c>
      <c r="F29" s="25">
        <v>439963.91</v>
      </c>
      <c r="G29" s="4"/>
      <c r="H29" s="4"/>
      <c r="I29" s="4"/>
      <c r="J29" s="25"/>
      <c r="K29" s="25"/>
      <c r="L29" s="25"/>
      <c r="M29" s="25"/>
      <c r="N29" s="4">
        <f>SUM(B29:M29)</f>
        <v>640620.55000000005</v>
      </c>
    </row>
    <row r="30" spans="1:15" ht="25.5" hidden="1" x14ac:dyDescent="0.2">
      <c r="A30" s="17" t="s">
        <v>17</v>
      </c>
      <c r="B30" s="4"/>
      <c r="C30" s="4"/>
      <c r="D30" s="4"/>
      <c r="E30" s="4"/>
      <c r="F30" s="25"/>
      <c r="G30" s="4"/>
      <c r="H30" s="4"/>
      <c r="I30" s="4"/>
      <c r="J30" s="25"/>
      <c r="K30" s="25"/>
      <c r="L30" s="25"/>
      <c r="M30" s="25"/>
      <c r="N30" s="4">
        <f t="shared" si="3"/>
        <v>0</v>
      </c>
    </row>
    <row r="31" spans="1:15" ht="25.5" x14ac:dyDescent="0.2">
      <c r="A31" s="17" t="s">
        <v>47</v>
      </c>
      <c r="B31" s="4"/>
      <c r="C31" s="4"/>
      <c r="D31" s="4"/>
      <c r="E31" s="4"/>
      <c r="F31" s="25"/>
      <c r="G31" s="4">
        <f>3727.92+2000+3600</f>
        <v>9327.92</v>
      </c>
      <c r="H31" s="4">
        <f>20120.31</f>
        <v>20120.310000000001</v>
      </c>
      <c r="I31" s="4"/>
      <c r="J31" s="25"/>
      <c r="K31" s="25"/>
      <c r="L31" s="25"/>
      <c r="M31" s="25"/>
      <c r="N31" s="4"/>
    </row>
    <row r="32" spans="1:15" ht="25.5" x14ac:dyDescent="0.2">
      <c r="A32" s="17" t="s">
        <v>11</v>
      </c>
      <c r="B32" s="4"/>
      <c r="C32" s="4">
        <v>41650</v>
      </c>
      <c r="D32" s="4"/>
      <c r="E32" s="4"/>
      <c r="F32" s="25"/>
      <c r="G32" s="4"/>
      <c r="H32" s="4"/>
      <c r="I32" s="4"/>
      <c r="J32" s="25"/>
      <c r="K32" s="25"/>
      <c r="L32" s="25"/>
      <c r="M32" s="25"/>
      <c r="N32" s="4">
        <f>SUM(B32:M32)</f>
        <v>41650</v>
      </c>
    </row>
    <row r="33" spans="1:29" ht="25.5" x14ac:dyDescent="0.2">
      <c r="A33" s="17" t="s">
        <v>38</v>
      </c>
      <c r="B33" s="4">
        <v>6000</v>
      </c>
      <c r="C33" s="4">
        <f>16960.75+6000</f>
        <v>22960.75</v>
      </c>
      <c r="D33" s="4">
        <f>12000+5500</f>
        <v>17500</v>
      </c>
      <c r="E33" s="4">
        <v>12000</v>
      </c>
      <c r="F33" s="25">
        <f>10000+4500</f>
        <v>14500</v>
      </c>
      <c r="G33" s="4"/>
      <c r="H33" s="4"/>
      <c r="I33" s="4"/>
      <c r="J33" s="25"/>
      <c r="K33" s="25"/>
      <c r="L33" s="25"/>
      <c r="M33" s="25"/>
      <c r="N33" s="4">
        <f t="shared" si="3"/>
        <v>72960.75</v>
      </c>
      <c r="AC33" s="2">
        <v>0</v>
      </c>
    </row>
    <row r="34" spans="1:29" x14ac:dyDescent="0.2">
      <c r="A34" s="17" t="s">
        <v>49</v>
      </c>
      <c r="B34" s="4"/>
      <c r="C34" s="4"/>
      <c r="D34" s="4"/>
      <c r="E34" s="4"/>
      <c r="F34" s="25"/>
      <c r="G34" s="4">
        <v>47000</v>
      </c>
      <c r="H34" s="4"/>
      <c r="I34" s="4"/>
      <c r="J34" s="25"/>
      <c r="K34" s="25"/>
      <c r="L34" s="25"/>
      <c r="M34" s="25"/>
      <c r="N34" s="4">
        <f t="shared" si="3"/>
        <v>47000</v>
      </c>
    </row>
    <row r="35" spans="1:29" x14ac:dyDescent="0.2">
      <c r="A35" s="17" t="s">
        <v>51</v>
      </c>
      <c r="B35" s="4"/>
      <c r="C35" s="4"/>
      <c r="D35" s="4"/>
      <c r="E35" s="4"/>
      <c r="F35" s="25"/>
      <c r="G35" s="4"/>
      <c r="H35" s="4">
        <v>6000</v>
      </c>
      <c r="I35" s="4"/>
      <c r="J35" s="25"/>
      <c r="K35" s="25"/>
      <c r="L35" s="25"/>
      <c r="M35" s="25"/>
      <c r="N35" s="4"/>
    </row>
    <row r="36" spans="1:29" ht="38.25" x14ac:dyDescent="0.2">
      <c r="A36" s="17" t="s">
        <v>16</v>
      </c>
      <c r="B36" s="4">
        <f>3699+5000</f>
        <v>8699</v>
      </c>
      <c r="C36" s="4">
        <v>5000</v>
      </c>
      <c r="D36" s="4">
        <v>5000</v>
      </c>
      <c r="E36" s="4">
        <v>5000</v>
      </c>
      <c r="F36" s="25">
        <v>5000</v>
      </c>
      <c r="G36" s="4"/>
      <c r="H36" s="4"/>
      <c r="I36" s="4"/>
      <c r="J36" s="25"/>
      <c r="K36" s="25"/>
      <c r="L36" s="25"/>
      <c r="M36" s="25"/>
      <c r="N36" s="4">
        <f>SUM(B36:M36)</f>
        <v>28699</v>
      </c>
    </row>
    <row r="37" spans="1:29" x14ac:dyDescent="0.2">
      <c r="A37" s="17" t="s">
        <v>14</v>
      </c>
      <c r="B37" s="4"/>
      <c r="C37" s="4"/>
      <c r="D37" s="4">
        <v>3000</v>
      </c>
      <c r="E37" s="4"/>
      <c r="F37" s="25">
        <v>4500</v>
      </c>
      <c r="G37" s="4"/>
      <c r="H37" s="4"/>
      <c r="I37" s="4"/>
      <c r="J37" s="25"/>
      <c r="K37" s="25"/>
      <c r="L37" s="25"/>
      <c r="M37" s="25"/>
      <c r="N37" s="4">
        <f>SUM(B37:M37)</f>
        <v>7500</v>
      </c>
    </row>
    <row r="38" spans="1:29" ht="17.25" customHeight="1" x14ac:dyDescent="0.2">
      <c r="A38" s="17" t="s">
        <v>48</v>
      </c>
      <c r="B38" s="4"/>
      <c r="C38" s="4"/>
      <c r="D38" s="4"/>
      <c r="E38" s="4"/>
      <c r="F38" s="25"/>
      <c r="G38" s="4">
        <v>1000</v>
      </c>
      <c r="H38" s="4"/>
      <c r="I38" s="4"/>
      <c r="J38" s="25"/>
      <c r="K38" s="25"/>
      <c r="L38" s="25"/>
      <c r="M38" s="25"/>
      <c r="N38" s="4">
        <f t="shared" si="3"/>
        <v>1000</v>
      </c>
    </row>
    <row r="39" spans="1:29" x14ac:dyDescent="0.2">
      <c r="A39" s="17" t="s">
        <v>29</v>
      </c>
      <c r="B39" s="4"/>
      <c r="C39" s="4"/>
      <c r="D39" s="4"/>
      <c r="E39" s="4"/>
      <c r="F39" s="25">
        <v>5000</v>
      </c>
      <c r="G39" s="4"/>
      <c r="H39" s="4"/>
      <c r="I39" s="25"/>
      <c r="J39" s="25"/>
      <c r="K39" s="25"/>
      <c r="L39" s="25"/>
      <c r="M39" s="25"/>
      <c r="N39" s="4">
        <f t="shared" si="3"/>
        <v>5000</v>
      </c>
    </row>
    <row r="40" spans="1:29" x14ac:dyDescent="0.2">
      <c r="A40" s="17" t="s">
        <v>44</v>
      </c>
      <c r="B40" s="4"/>
      <c r="C40" s="4"/>
      <c r="D40" s="4"/>
      <c r="E40" s="4">
        <v>232</v>
      </c>
      <c r="F40" s="25"/>
      <c r="G40" s="4"/>
      <c r="H40" s="4"/>
      <c r="I40" s="25"/>
      <c r="J40" s="25"/>
      <c r="K40" s="25"/>
      <c r="L40" s="25"/>
      <c r="M40" s="25"/>
      <c r="N40" s="4"/>
    </row>
    <row r="41" spans="1:29" x14ac:dyDescent="0.2">
      <c r="A41" s="17" t="s">
        <v>21</v>
      </c>
      <c r="B41" s="4"/>
      <c r="C41" s="4"/>
      <c r="D41" s="4">
        <v>27960</v>
      </c>
      <c r="E41" s="4"/>
      <c r="F41" s="25"/>
      <c r="G41" s="4"/>
      <c r="H41" s="4"/>
      <c r="I41" s="25"/>
      <c r="J41" s="25"/>
      <c r="K41" s="25"/>
      <c r="L41" s="25"/>
      <c r="M41" s="25"/>
      <c r="N41" s="4">
        <f>SUM(B41:M41)</f>
        <v>27960</v>
      </c>
    </row>
    <row r="42" spans="1:29" x14ac:dyDescent="0.2">
      <c r="A42" s="17" t="s">
        <v>46</v>
      </c>
      <c r="B42" s="4"/>
      <c r="C42" s="4"/>
      <c r="D42" s="4"/>
      <c r="E42" s="4"/>
      <c r="F42" s="25">
        <v>500</v>
      </c>
      <c r="G42" s="4"/>
      <c r="H42" s="4"/>
      <c r="I42" s="25"/>
      <c r="J42" s="25"/>
      <c r="K42" s="25"/>
      <c r="L42" s="25"/>
      <c r="M42" s="25"/>
      <c r="N42" s="4">
        <f t="shared" si="3"/>
        <v>500</v>
      </c>
    </row>
    <row r="43" spans="1:29" x14ac:dyDescent="0.2">
      <c r="A43" s="17" t="s">
        <v>26</v>
      </c>
      <c r="B43" s="4"/>
      <c r="C43" s="4"/>
      <c r="D43" s="4"/>
      <c r="E43" s="4">
        <v>10000</v>
      </c>
      <c r="F43" s="25"/>
      <c r="G43" s="4">
        <v>25000</v>
      </c>
      <c r="H43" s="4"/>
      <c r="I43" s="25"/>
      <c r="J43" s="25"/>
      <c r="K43" s="25"/>
      <c r="L43" s="25"/>
      <c r="M43" s="25"/>
      <c r="N43" s="4">
        <f t="shared" si="3"/>
        <v>35000</v>
      </c>
    </row>
    <row r="44" spans="1:29" x14ac:dyDescent="0.2">
      <c r="A44" s="17" t="s">
        <v>43</v>
      </c>
      <c r="B44" s="4"/>
      <c r="C44" s="4"/>
      <c r="D44" s="4"/>
      <c r="E44" s="4">
        <v>7500</v>
      </c>
      <c r="F44" s="25"/>
      <c r="G44" s="4"/>
      <c r="H44" s="4"/>
      <c r="I44" s="25"/>
      <c r="J44" s="25"/>
      <c r="K44" s="25"/>
      <c r="L44" s="25"/>
      <c r="M44" s="25"/>
      <c r="N44" s="4">
        <f t="shared" si="3"/>
        <v>7500</v>
      </c>
    </row>
    <row r="45" spans="1:29" x14ac:dyDescent="0.2">
      <c r="A45" s="17" t="s">
        <v>39</v>
      </c>
      <c r="B45" s="4"/>
      <c r="C45" s="4"/>
      <c r="D45" s="4">
        <v>350</v>
      </c>
      <c r="E45" s="4">
        <v>768</v>
      </c>
      <c r="F45" s="25"/>
      <c r="G45" s="4"/>
      <c r="H45" s="4"/>
      <c r="I45" s="25"/>
      <c r="J45" s="25"/>
      <c r="K45" s="25"/>
      <c r="L45" s="25"/>
      <c r="M45" s="25"/>
      <c r="N45" s="4">
        <f>SUM(B45:M45)</f>
        <v>1118</v>
      </c>
    </row>
    <row r="46" spans="1:29" x14ac:dyDescent="0.2">
      <c r="A46" s="17" t="s">
        <v>22</v>
      </c>
      <c r="B46" s="4">
        <v>2000</v>
      </c>
      <c r="C46" s="4">
        <v>2000</v>
      </c>
      <c r="D46" s="4">
        <v>2000</v>
      </c>
      <c r="E46" s="4">
        <v>2000</v>
      </c>
      <c r="F46" s="25">
        <v>2000</v>
      </c>
      <c r="G46" s="4">
        <v>2000</v>
      </c>
      <c r="H46" s="4"/>
      <c r="I46" s="25"/>
      <c r="J46" s="25"/>
      <c r="K46" s="25"/>
      <c r="L46" s="25"/>
      <c r="M46" s="25"/>
      <c r="N46" s="4">
        <f>SUM(B46:M46)</f>
        <v>12000</v>
      </c>
    </row>
    <row r="47" spans="1:29" x14ac:dyDescent="0.2">
      <c r="A47" s="17" t="s">
        <v>27</v>
      </c>
      <c r="B47" s="4"/>
      <c r="C47" s="4"/>
      <c r="D47" s="4"/>
      <c r="E47" s="4"/>
      <c r="F47" s="25"/>
      <c r="G47" s="4"/>
      <c r="H47" s="4"/>
      <c r="I47" s="25"/>
      <c r="J47" s="25"/>
      <c r="K47" s="25"/>
      <c r="L47" s="25"/>
      <c r="M47" s="25"/>
      <c r="N47" s="4">
        <f t="shared" si="3"/>
        <v>0</v>
      </c>
    </row>
    <row r="48" spans="1:29" x14ac:dyDescent="0.2">
      <c r="A48" s="17" t="s">
        <v>23</v>
      </c>
      <c r="B48" s="4"/>
      <c r="C48" s="4"/>
      <c r="D48" s="4">
        <v>660</v>
      </c>
      <c r="E48" s="4">
        <v>1980</v>
      </c>
      <c r="F48" s="25"/>
      <c r="G48" s="4">
        <v>1000</v>
      </c>
      <c r="H48" s="4"/>
      <c r="I48" s="25"/>
      <c r="J48" s="25"/>
      <c r="K48" s="25"/>
      <c r="L48" s="25"/>
      <c r="M48" s="25"/>
      <c r="N48" s="4">
        <f>SUM(B48:M48)</f>
        <v>3640</v>
      </c>
    </row>
    <row r="49" spans="1:14" x14ac:dyDescent="0.2">
      <c r="A49" s="17" t="s">
        <v>52</v>
      </c>
      <c r="B49" s="4"/>
      <c r="C49" s="4"/>
      <c r="D49" s="4"/>
      <c r="E49" s="4"/>
      <c r="F49" s="25"/>
      <c r="G49" s="4"/>
      <c r="H49" s="4">
        <v>690</v>
      </c>
      <c r="I49" s="25"/>
      <c r="J49" s="25"/>
      <c r="K49" s="25"/>
      <c r="L49" s="25"/>
      <c r="M49" s="25"/>
      <c r="N49" s="4">
        <f t="shared" si="3"/>
        <v>690</v>
      </c>
    </row>
    <row r="50" spans="1:14" x14ac:dyDescent="0.2">
      <c r="A50" s="17" t="s">
        <v>24</v>
      </c>
      <c r="B50" s="4">
        <v>1450</v>
      </c>
      <c r="C50" s="4">
        <v>1350</v>
      </c>
      <c r="D50" s="4">
        <v>1450</v>
      </c>
      <c r="E50" s="4">
        <v>1450</v>
      </c>
      <c r="F50" s="25"/>
      <c r="G50" s="4">
        <v>1450</v>
      </c>
      <c r="H50" s="4"/>
      <c r="I50" s="25"/>
      <c r="J50" s="25"/>
      <c r="K50" s="25"/>
      <c r="L50" s="25"/>
      <c r="M50" s="25"/>
      <c r="N50" s="4">
        <f>SUM(B50:M50)</f>
        <v>7150</v>
      </c>
    </row>
    <row r="51" spans="1:14" x14ac:dyDescent="0.2">
      <c r="A51" s="17" t="s">
        <v>40</v>
      </c>
      <c r="B51" s="4"/>
      <c r="C51" s="4"/>
      <c r="D51" s="4">
        <v>1000</v>
      </c>
      <c r="E51" s="4"/>
      <c r="F51" s="25">
        <v>2400</v>
      </c>
      <c r="G51" s="4"/>
      <c r="H51" s="4"/>
      <c r="I51" s="25"/>
      <c r="J51" s="25"/>
      <c r="K51" s="25"/>
      <c r="L51" s="25"/>
      <c r="M51" s="25"/>
      <c r="N51" s="4">
        <f>SUM(B51:M51)</f>
        <v>3400</v>
      </c>
    </row>
    <row r="52" spans="1:14" x14ac:dyDescent="0.2">
      <c r="A52" s="17" t="s">
        <v>41</v>
      </c>
      <c r="B52" s="4"/>
      <c r="C52" s="4"/>
      <c r="D52" s="4">
        <v>500</v>
      </c>
      <c r="E52" s="4"/>
      <c r="F52" s="25"/>
      <c r="G52" s="4"/>
      <c r="H52" s="4"/>
      <c r="I52" s="25"/>
      <c r="J52" s="25"/>
      <c r="K52" s="25"/>
      <c r="L52" s="25"/>
      <c r="M52" s="25"/>
      <c r="N52" s="4">
        <f>SUM(B52:M52)</f>
        <v>500</v>
      </c>
    </row>
    <row r="53" spans="1:14" x14ac:dyDescent="0.2">
      <c r="A53" s="17" t="s">
        <v>15</v>
      </c>
      <c r="B53" s="4">
        <v>3200</v>
      </c>
      <c r="C53" s="4">
        <v>3200</v>
      </c>
      <c r="D53" s="4">
        <v>3200</v>
      </c>
      <c r="E53" s="4"/>
      <c r="F53" s="25">
        <f>5000+12+90+90+2100</f>
        <v>7292</v>
      </c>
      <c r="G53" s="4">
        <f>12+24+45+12+45+45+12</f>
        <v>195</v>
      </c>
      <c r="H53" s="4"/>
      <c r="I53" s="4"/>
      <c r="J53" s="25"/>
      <c r="K53" s="25"/>
      <c r="L53" s="25"/>
      <c r="M53" s="25"/>
      <c r="N53" s="4">
        <f>SUM(B53:M53)</f>
        <v>17087</v>
      </c>
    </row>
    <row r="54" spans="1:14" x14ac:dyDescent="0.2">
      <c r="K54" s="26"/>
    </row>
    <row r="55" spans="1:14" x14ac:dyDescent="0.2">
      <c r="A55" s="38" t="s">
        <v>31</v>
      </c>
      <c r="B55" s="39">
        <f>B50+B46</f>
        <v>3450</v>
      </c>
      <c r="C55" s="39">
        <f>C50+C46+6000+21500+1000</f>
        <v>31850</v>
      </c>
      <c r="D55" s="39">
        <f>D52+D51+D50+D48+D46+D45+D41+D37+D36+D33+5000+10000+6000</f>
        <v>80420</v>
      </c>
      <c r="E55" s="39">
        <f>SUM(E32:E53)+E27+43000</f>
        <v>153930</v>
      </c>
      <c r="F55" s="49">
        <v>69850</v>
      </c>
      <c r="G55" s="35">
        <f>G50+G48+G46+G43+G38+G34</f>
        <v>77450</v>
      </c>
      <c r="H55" s="36">
        <f>H35+H28+H25+H49</f>
        <v>38690</v>
      </c>
      <c r="I55" s="34"/>
      <c r="J55" s="32"/>
      <c r="K55" s="32"/>
      <c r="L55" s="32"/>
      <c r="M55" s="26"/>
    </row>
    <row r="56" spans="1:14" x14ac:dyDescent="0.2">
      <c r="A56" s="38" t="s">
        <v>32</v>
      </c>
      <c r="B56" s="39">
        <f>B53+B36+B33+B27+B26+B22+B21+B20</f>
        <v>150428.5</v>
      </c>
      <c r="C56" s="39">
        <f>C53+C21+C22+C27+C32+C36+21040+16960.75+10218.29</f>
        <v>170038.04</v>
      </c>
      <c r="D56" s="39">
        <f>D53+D29+D21+34090+20000</f>
        <v>182452.03999999998</v>
      </c>
      <c r="E56" s="39">
        <f>E29+10600</f>
        <v>91188.6</v>
      </c>
      <c r="F56" s="49">
        <f>SUM(F20:F53)</f>
        <v>609645.90999999992</v>
      </c>
      <c r="G56" s="39">
        <v>139346.92000000001</v>
      </c>
      <c r="H56" s="39">
        <f>H31+H22+H20</f>
        <v>70500</v>
      </c>
      <c r="I56" s="34"/>
      <c r="J56" s="32"/>
      <c r="K56" s="32"/>
      <c r="L56" s="32"/>
    </row>
    <row r="57" spans="1:14" x14ac:dyDescent="0.2">
      <c r="F57" s="26"/>
      <c r="H57" s="36"/>
      <c r="I57" s="34"/>
      <c r="J57" s="32"/>
      <c r="K57" s="32"/>
      <c r="L57" s="32"/>
      <c r="M57" s="32"/>
    </row>
  </sheetData>
  <pageMargins left="0.15748031496062992" right="0.27559055118110237" top="0.74803149606299213" bottom="0.74803149606299213" header="0.31496062992125984" footer="0.31496062992125984"/>
  <pageSetup paperSize="9" scale="60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Svetlana</dc:creator>
  <cp:lastModifiedBy>Владимир</cp:lastModifiedBy>
  <cp:lastPrinted>2017-08-14T09:30:47Z</cp:lastPrinted>
  <dcterms:created xsi:type="dcterms:W3CDTF">2015-12-25T20:22:12Z</dcterms:created>
  <dcterms:modified xsi:type="dcterms:W3CDTF">2017-08-14T09:33:14Z</dcterms:modified>
</cp:coreProperties>
</file>