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comments7.xml" ContentType="application/vnd.openxmlformats-officedocument.spreadsheetml.comments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90" windowHeight="4350" firstSheet="3" activeTab="3"/>
  </bookViews>
  <sheets>
    <sheet name="рабочая таблица" sheetId="8" state="hidden" r:id="rId1"/>
    <sheet name="На что стоит обратить внимание" sheetId="20" state="hidden" r:id="rId2"/>
    <sheet name="план на 2016" sheetId="2" state="hidden" r:id="rId3"/>
    <sheet name="членские взносы" sheetId="3" r:id="rId4"/>
    <sheet name="баланс" sheetId="4" state="hidden" r:id="rId5"/>
    <sheet name="data" sheetId="1" state="hidden" r:id="rId6"/>
    <sheet name="справочник" sheetId="6" state="hidden" r:id="rId7"/>
    <sheet name="Лист6" sheetId="12" state="hidden" r:id="rId8"/>
  </sheets>
  <definedNames>
    <definedName name="_xlnm._FilterDatabase" localSheetId="5" hidden="1">data!$A$4:$Y$4</definedName>
    <definedName name="_xlnm._FilterDatabase" localSheetId="4" hidden="1">баланс!$A$3:$Y$326</definedName>
    <definedName name="_xlnm._FilterDatabase" localSheetId="2" hidden="1">'план на 2016'!$A$4:$Z$327</definedName>
    <definedName name="_xlnm._FilterDatabase" localSheetId="0" hidden="1">'рабочая таблица'!$A$6:$R$305</definedName>
    <definedName name="_xlnm._FilterDatabase" localSheetId="6" hidden="1">справочник!$A$1:$AI$281</definedName>
    <definedName name="_xlnm._FilterDatabase" localSheetId="3" hidden="1">'членские взносы'!$A$4:$AE$328</definedName>
    <definedName name="pivot">OFFSET(#REF!,0,0,COUNTA(#REF!),13)</definedName>
  </definedNames>
  <calcPr calcId="125725" refMode="R1C1"/>
  <pivotCaches>
    <pivotCache cacheId="2" r:id="rId9"/>
    <pivotCache cacheId="3" r:id="rId10"/>
  </pivotCaches>
</workbook>
</file>

<file path=xl/calcChain.xml><?xml version="1.0" encoding="utf-8"?>
<calcChain xmlns="http://schemas.openxmlformats.org/spreadsheetml/2006/main">
  <c r="AS220" i="3"/>
  <c r="AS325"/>
  <c r="AP325"/>
  <c r="AS137"/>
  <c r="AS222"/>
  <c r="AS221"/>
  <c r="AS273"/>
  <c r="AS19"/>
  <c r="H137"/>
  <c r="I137" s="1"/>
  <c r="L137" s="1"/>
  <c r="AA137"/>
  <c r="Y137"/>
  <c r="AR66"/>
  <c r="H324"/>
  <c r="I324" s="1"/>
  <c r="L324" s="1"/>
  <c r="AA324"/>
  <c r="Y324"/>
  <c r="H323"/>
  <c r="I323" s="1"/>
  <c r="L323" s="1"/>
  <c r="AA323"/>
  <c r="Y323"/>
  <c r="H322"/>
  <c r="I322" s="1"/>
  <c r="L322" s="1"/>
  <c r="AA322"/>
  <c r="Y322"/>
  <c r="H321"/>
  <c r="I321" s="1"/>
  <c r="L321" s="1"/>
  <c r="AA321"/>
  <c r="Y321"/>
  <c r="I320"/>
  <c r="L320" s="1"/>
  <c r="AA320"/>
  <c r="Y320"/>
  <c r="H319"/>
  <c r="I319" s="1"/>
  <c r="L319" s="1"/>
  <c r="AA319"/>
  <c r="Y319"/>
  <c r="H318"/>
  <c r="I318" s="1"/>
  <c r="L318" s="1"/>
  <c r="AA318"/>
  <c r="Y318"/>
  <c r="H317"/>
  <c r="I317" s="1"/>
  <c r="L317" s="1"/>
  <c r="AA317"/>
  <c r="Y317"/>
  <c r="H316"/>
  <c r="I316" s="1"/>
  <c r="L316" s="1"/>
  <c r="AA316"/>
  <c r="Y316"/>
  <c r="H315"/>
  <c r="I315" s="1"/>
  <c r="L315" s="1"/>
  <c r="AA315"/>
  <c r="Y315"/>
  <c r="H314"/>
  <c r="I314" s="1"/>
  <c r="L314" s="1"/>
  <c r="AA314"/>
  <c r="Y314"/>
  <c r="H313"/>
  <c r="I313" s="1"/>
  <c r="L313" s="1"/>
  <c r="AA313"/>
  <c r="Y313"/>
  <c r="H312"/>
  <c r="I312" s="1"/>
  <c r="L312" s="1"/>
  <c r="AA312"/>
  <c r="Y312"/>
  <c r="H311"/>
  <c r="I311" s="1"/>
  <c r="L311" s="1"/>
  <c r="AA311"/>
  <c r="Y311"/>
  <c r="H310"/>
  <c r="I310" s="1"/>
  <c r="L310" s="1"/>
  <c r="AA310"/>
  <c r="Y310"/>
  <c r="AA309"/>
  <c r="Y309"/>
  <c r="AT307"/>
  <c r="H306"/>
  <c r="I306" s="1"/>
  <c r="L306" s="1"/>
  <c r="AA306"/>
  <c r="Y306"/>
  <c r="H305"/>
  <c r="I305" s="1"/>
  <c r="L305" s="1"/>
  <c r="AA305"/>
  <c r="Y305"/>
  <c r="H304"/>
  <c r="I304" s="1"/>
  <c r="L304" s="1"/>
  <c r="AA304"/>
  <c r="Y304"/>
  <c r="H303"/>
  <c r="I303" s="1"/>
  <c r="L303" s="1"/>
  <c r="AA303"/>
  <c r="Y303"/>
  <c r="H302"/>
  <c r="I302" s="1"/>
  <c r="L302" s="1"/>
  <c r="AA302"/>
  <c r="Y302"/>
  <c r="H300"/>
  <c r="I300" s="1"/>
  <c r="L300" s="1"/>
  <c r="AA300"/>
  <c r="Y300"/>
  <c r="H301"/>
  <c r="I301" s="1"/>
  <c r="L301" s="1"/>
  <c r="AA301"/>
  <c r="Y301"/>
  <c r="AH299"/>
  <c r="AK299" s="1"/>
  <c r="AN299" s="1"/>
  <c r="AQ299" s="1"/>
  <c r="AT299" s="1"/>
  <c r="H298"/>
  <c r="I298" s="1"/>
  <c r="L298" s="1"/>
  <c r="AA298"/>
  <c r="Y298"/>
  <c r="H297"/>
  <c r="I297" s="1"/>
  <c r="L297" s="1"/>
  <c r="AA297"/>
  <c r="Y297"/>
  <c r="H296"/>
  <c r="I296" s="1"/>
  <c r="L296" s="1"/>
  <c r="AA296"/>
  <c r="Y296"/>
  <c r="H295"/>
  <c r="I295" s="1"/>
  <c r="L295" s="1"/>
  <c r="AA295"/>
  <c r="Y295"/>
  <c r="H294"/>
  <c r="I294" s="1"/>
  <c r="L294" s="1"/>
  <c r="AA294"/>
  <c r="Y294"/>
  <c r="H293"/>
  <c r="I293" s="1"/>
  <c r="L293" s="1"/>
  <c r="AA293"/>
  <c r="Y293"/>
  <c r="H292"/>
  <c r="I292" s="1"/>
  <c r="L292" s="1"/>
  <c r="AA292"/>
  <c r="Y292"/>
  <c r="H291"/>
  <c r="I291" s="1"/>
  <c r="L291" s="1"/>
  <c r="AA291"/>
  <c r="Y291"/>
  <c r="H290"/>
  <c r="I290" s="1"/>
  <c r="L290" s="1"/>
  <c r="AA290"/>
  <c r="Y290"/>
  <c r="H289"/>
  <c r="I289" s="1"/>
  <c r="L289" s="1"/>
  <c r="AA289"/>
  <c r="Y289"/>
  <c r="I286"/>
  <c r="L286" s="1"/>
  <c r="AA286"/>
  <c r="Y286"/>
  <c r="I287"/>
  <c r="L287" s="1"/>
  <c r="AA287"/>
  <c r="Y287"/>
  <c r="I288"/>
  <c r="L288" s="1"/>
  <c r="AA288"/>
  <c r="Y288"/>
  <c r="H285"/>
  <c r="I285" s="1"/>
  <c r="L285" s="1"/>
  <c r="AA285"/>
  <c r="Y285"/>
  <c r="H284"/>
  <c r="I284" s="1"/>
  <c r="L284" s="1"/>
  <c r="AA284"/>
  <c r="Y284"/>
  <c r="H283"/>
  <c r="I283" s="1"/>
  <c r="L283" s="1"/>
  <c r="AA283"/>
  <c r="Y283"/>
  <c r="H282"/>
  <c r="I282" s="1"/>
  <c r="L282" s="1"/>
  <c r="AA282"/>
  <c r="Y282"/>
  <c r="H281"/>
  <c r="I281" s="1"/>
  <c r="L281" s="1"/>
  <c r="AA281"/>
  <c r="Y281"/>
  <c r="H280"/>
  <c r="I280" s="1"/>
  <c r="L280" s="1"/>
  <c r="AA280"/>
  <c r="Y280"/>
  <c r="H279"/>
  <c r="I279" s="1"/>
  <c r="L279" s="1"/>
  <c r="AA279"/>
  <c r="Y279"/>
  <c r="H278"/>
  <c r="I278" s="1"/>
  <c r="L278" s="1"/>
  <c r="AA278"/>
  <c r="Y278"/>
  <c r="L277"/>
  <c r="AA277"/>
  <c r="Y277"/>
  <c r="H276"/>
  <c r="I276" s="1"/>
  <c r="L276" s="1"/>
  <c r="AA276"/>
  <c r="Y276"/>
  <c r="H274"/>
  <c r="I274" s="1"/>
  <c r="L274" s="1"/>
  <c r="AA274"/>
  <c r="Y274"/>
  <c r="H275"/>
  <c r="I275" s="1"/>
  <c r="L275" s="1"/>
  <c r="AA275"/>
  <c r="Y275"/>
  <c r="H273"/>
  <c r="I273" s="1"/>
  <c r="L273" s="1"/>
  <c r="AA273"/>
  <c r="Y273"/>
  <c r="H272"/>
  <c r="I272" s="1"/>
  <c r="L272" s="1"/>
  <c r="AA272"/>
  <c r="Y272"/>
  <c r="H271"/>
  <c r="I271" s="1"/>
  <c r="L271" s="1"/>
  <c r="AA271"/>
  <c r="Y271"/>
  <c r="H270"/>
  <c r="I270" s="1"/>
  <c r="L270" s="1"/>
  <c r="AA270"/>
  <c r="Y270"/>
  <c r="H269"/>
  <c r="I269" s="1"/>
  <c r="L269" s="1"/>
  <c r="AA269"/>
  <c r="Y269"/>
  <c r="H268"/>
  <c r="I268" s="1"/>
  <c r="L268" s="1"/>
  <c r="AA268"/>
  <c r="Y268"/>
  <c r="H267"/>
  <c r="I267" s="1"/>
  <c r="L267" s="1"/>
  <c r="AA267"/>
  <c r="Y267"/>
  <c r="L266"/>
  <c r="AA266"/>
  <c r="Y266"/>
  <c r="H265"/>
  <c r="I265" s="1"/>
  <c r="L265" s="1"/>
  <c r="AA265"/>
  <c r="Y265"/>
  <c r="H264"/>
  <c r="I264" s="1"/>
  <c r="L264" s="1"/>
  <c r="AA264"/>
  <c r="Y264"/>
  <c r="H263"/>
  <c r="I263" s="1"/>
  <c r="L263" s="1"/>
  <c r="AA263"/>
  <c r="Y263"/>
  <c r="H262"/>
  <c r="I262" s="1"/>
  <c r="L262" s="1"/>
  <c r="AA262"/>
  <c r="Y262"/>
  <c r="H260"/>
  <c r="I260" s="1"/>
  <c r="L260" s="1"/>
  <c r="AA260"/>
  <c r="Y260"/>
  <c r="H261"/>
  <c r="I261" s="1"/>
  <c r="L261" s="1"/>
  <c r="AA261"/>
  <c r="Y261"/>
  <c r="H259"/>
  <c r="I259" s="1"/>
  <c r="L259" s="1"/>
  <c r="AA259"/>
  <c r="Y259"/>
  <c r="H258"/>
  <c r="I258" s="1"/>
  <c r="L258" s="1"/>
  <c r="AA258"/>
  <c r="Y258"/>
  <c r="H257"/>
  <c r="I257" s="1"/>
  <c r="L257" s="1"/>
  <c r="AA257"/>
  <c r="Y257"/>
  <c r="H256"/>
  <c r="I256" s="1"/>
  <c r="L256" s="1"/>
  <c r="AA256"/>
  <c r="Y256"/>
  <c r="H255"/>
  <c r="I255" s="1"/>
  <c r="L255" s="1"/>
  <c r="AA255"/>
  <c r="Y255"/>
  <c r="H254"/>
  <c r="I254" s="1"/>
  <c r="L254" s="1"/>
  <c r="AA254"/>
  <c r="Y254"/>
  <c r="H253"/>
  <c r="I253" s="1"/>
  <c r="L253" s="1"/>
  <c r="AA253"/>
  <c r="Y253"/>
  <c r="H252"/>
  <c r="I252" s="1"/>
  <c r="L252" s="1"/>
  <c r="AA252"/>
  <c r="Y252"/>
  <c r="H251"/>
  <c r="I251" s="1"/>
  <c r="L251" s="1"/>
  <c r="AA251"/>
  <c r="Y251"/>
  <c r="H250"/>
  <c r="I250" s="1"/>
  <c r="L250" s="1"/>
  <c r="AA250"/>
  <c r="Y250"/>
  <c r="H249"/>
  <c r="I249" s="1"/>
  <c r="L249" s="1"/>
  <c r="AA249"/>
  <c r="Y249"/>
  <c r="H248"/>
  <c r="I248" s="1"/>
  <c r="L248" s="1"/>
  <c r="AA248"/>
  <c r="Y248"/>
  <c r="H247"/>
  <c r="I247" s="1"/>
  <c r="L247" s="1"/>
  <c r="AA247"/>
  <c r="Y247"/>
  <c r="H246"/>
  <c r="I246" s="1"/>
  <c r="L246" s="1"/>
  <c r="AA246"/>
  <c r="Y246"/>
  <c r="I245"/>
  <c r="L245" s="1"/>
  <c r="AA245"/>
  <c r="Y245"/>
  <c r="H244"/>
  <c r="I244" s="1"/>
  <c r="L244" s="1"/>
  <c r="AA244"/>
  <c r="Y244"/>
  <c r="H243"/>
  <c r="I243" s="1"/>
  <c r="L243" s="1"/>
  <c r="AA243"/>
  <c r="Y243"/>
  <c r="H242"/>
  <c r="I242" s="1"/>
  <c r="L242" s="1"/>
  <c r="AA242"/>
  <c r="Y242"/>
  <c r="H241"/>
  <c r="I241" s="1"/>
  <c r="L241" s="1"/>
  <c r="AA241"/>
  <c r="Y241"/>
  <c r="H240"/>
  <c r="I240" s="1"/>
  <c r="L240" s="1"/>
  <c r="AA240"/>
  <c r="Y240"/>
  <c r="H239"/>
  <c r="I239" s="1"/>
  <c r="L239" s="1"/>
  <c r="AA239"/>
  <c r="Y239"/>
  <c r="H238"/>
  <c r="I238" s="1"/>
  <c r="L238" s="1"/>
  <c r="AA238"/>
  <c r="Y238"/>
  <c r="H237"/>
  <c r="I237" s="1"/>
  <c r="L237" s="1"/>
  <c r="AA237"/>
  <c r="Y237"/>
  <c r="H236"/>
  <c r="I236" s="1"/>
  <c r="L236" s="1"/>
  <c r="AA236"/>
  <c r="Y236"/>
  <c r="H235"/>
  <c r="I235" s="1"/>
  <c r="L235" s="1"/>
  <c r="AA235"/>
  <c r="Y235"/>
  <c r="H234"/>
  <c r="I234" s="1"/>
  <c r="L234" s="1"/>
  <c r="AA234"/>
  <c r="Y234"/>
  <c r="H232"/>
  <c r="I232" s="1"/>
  <c r="L232" s="1"/>
  <c r="AA232"/>
  <c r="Y232"/>
  <c r="H233"/>
  <c r="I233" s="1"/>
  <c r="L233" s="1"/>
  <c r="AA233"/>
  <c r="Y233"/>
  <c r="H230"/>
  <c r="I230" s="1"/>
  <c r="L230" s="1"/>
  <c r="AA230"/>
  <c r="Y230"/>
  <c r="H231"/>
  <c r="I231" s="1"/>
  <c r="L231" s="1"/>
  <c r="AA231"/>
  <c r="Y231"/>
  <c r="H229"/>
  <c r="I229" s="1"/>
  <c r="L229" s="1"/>
  <c r="AA229"/>
  <c r="Y229"/>
  <c r="L228"/>
  <c r="AA228"/>
  <c r="Y228"/>
  <c r="L227"/>
  <c r="AA227"/>
  <c r="Y227"/>
  <c r="H226"/>
  <c r="I226" s="1"/>
  <c r="L226" s="1"/>
  <c r="AA226"/>
  <c r="Y226"/>
  <c r="H225"/>
  <c r="I225" s="1"/>
  <c r="L225" s="1"/>
  <c r="AA225"/>
  <c r="Y225"/>
  <c r="I224"/>
  <c r="L224" s="1"/>
  <c r="AA224"/>
  <c r="Y224"/>
  <c r="H223"/>
  <c r="I223" s="1"/>
  <c r="L223" s="1"/>
  <c r="AA223"/>
  <c r="Y223"/>
  <c r="H222"/>
  <c r="I222" s="1"/>
  <c r="L222" s="1"/>
  <c r="AA222"/>
  <c r="Y222"/>
  <c r="H221"/>
  <c r="I221" s="1"/>
  <c r="L221" s="1"/>
  <c r="AA221"/>
  <c r="Y221"/>
  <c r="H220"/>
  <c r="I220" s="1"/>
  <c r="L220" s="1"/>
  <c r="AA220"/>
  <c r="Y220"/>
  <c r="H219"/>
  <c r="I219" s="1"/>
  <c r="L219" s="1"/>
  <c r="AA219"/>
  <c r="Y219"/>
  <c r="H218"/>
  <c r="I218" s="1"/>
  <c r="L218" s="1"/>
  <c r="AA218"/>
  <c r="Y218"/>
  <c r="H217"/>
  <c r="I217" s="1"/>
  <c r="L217" s="1"/>
  <c r="AA217"/>
  <c r="Y217"/>
  <c r="H216"/>
  <c r="I216" s="1"/>
  <c r="L216" s="1"/>
  <c r="AA216"/>
  <c r="Y216"/>
  <c r="H215"/>
  <c r="I215" s="1"/>
  <c r="L215" s="1"/>
  <c r="AA215"/>
  <c r="Y215"/>
  <c r="H214"/>
  <c r="I214" s="1"/>
  <c r="L214" s="1"/>
  <c r="AA214"/>
  <c r="Y214"/>
  <c r="H213"/>
  <c r="I213" s="1"/>
  <c r="L213" s="1"/>
  <c r="AA213"/>
  <c r="Y213"/>
  <c r="H212"/>
  <c r="I212" s="1"/>
  <c r="L212" s="1"/>
  <c r="AA212"/>
  <c r="Y212"/>
  <c r="H211"/>
  <c r="I211" s="1"/>
  <c r="L211" s="1"/>
  <c r="AA211"/>
  <c r="Y211"/>
  <c r="H210"/>
  <c r="I210" s="1"/>
  <c r="L210" s="1"/>
  <c r="AA210"/>
  <c r="Y210"/>
  <c r="H209"/>
  <c r="I209" s="1"/>
  <c r="L209" s="1"/>
  <c r="AA209"/>
  <c r="Y209"/>
  <c r="H208"/>
  <c r="I208" s="1"/>
  <c r="L208" s="1"/>
  <c r="AA208"/>
  <c r="Y208"/>
  <c r="H207"/>
  <c r="I207" s="1"/>
  <c r="L207" s="1"/>
  <c r="AA207"/>
  <c r="Y207"/>
  <c r="I206"/>
  <c r="L206" s="1"/>
  <c r="AA206"/>
  <c r="Y206"/>
  <c r="I205"/>
  <c r="L205" s="1"/>
  <c r="AA205"/>
  <c r="Y205"/>
  <c r="H204"/>
  <c r="I204" s="1"/>
  <c r="L204" s="1"/>
  <c r="AA204"/>
  <c r="Y204"/>
  <c r="H203"/>
  <c r="I203" s="1"/>
  <c r="L203" s="1"/>
  <c r="AA203"/>
  <c r="Y203"/>
  <c r="H202"/>
  <c r="I202" s="1"/>
  <c r="L202" s="1"/>
  <c r="AA202"/>
  <c r="Y202"/>
  <c r="H201"/>
  <c r="I201" s="1"/>
  <c r="L201" s="1"/>
  <c r="AA201"/>
  <c r="Y201"/>
  <c r="H200"/>
  <c r="I200" s="1"/>
  <c r="L200" s="1"/>
  <c r="AA200"/>
  <c r="Y200"/>
  <c r="H199"/>
  <c r="I199" s="1"/>
  <c r="L199" s="1"/>
  <c r="AA199"/>
  <c r="Y199"/>
  <c r="H198"/>
  <c r="I198" s="1"/>
  <c r="L198" s="1"/>
  <c r="AA198"/>
  <c r="Y198"/>
  <c r="H197"/>
  <c r="I197" s="1"/>
  <c r="L197" s="1"/>
  <c r="AA197"/>
  <c r="Y197"/>
  <c r="H195"/>
  <c r="I195" s="1"/>
  <c r="L195" s="1"/>
  <c r="AA195"/>
  <c r="Y195"/>
  <c r="H196"/>
  <c r="I196" s="1"/>
  <c r="L196" s="1"/>
  <c r="AA196"/>
  <c r="Y196"/>
  <c r="H194"/>
  <c r="I194" s="1"/>
  <c r="L194" s="1"/>
  <c r="AA194"/>
  <c r="Y194"/>
  <c r="H193"/>
  <c r="I193" s="1"/>
  <c r="L193" s="1"/>
  <c r="AA193"/>
  <c r="Y193"/>
  <c r="H192"/>
  <c r="I192" s="1"/>
  <c r="L192" s="1"/>
  <c r="AA192"/>
  <c r="Y192"/>
  <c r="H191"/>
  <c r="I191" s="1"/>
  <c r="L191" s="1"/>
  <c r="AA191"/>
  <c r="Y191"/>
  <c r="H190"/>
  <c r="I190" s="1"/>
  <c r="L190" s="1"/>
  <c r="AA190"/>
  <c r="Y190"/>
  <c r="H189"/>
  <c r="I189" s="1"/>
  <c r="L189" s="1"/>
  <c r="AA189"/>
  <c r="Y189"/>
  <c r="H188"/>
  <c r="I188" s="1"/>
  <c r="L188" s="1"/>
  <c r="AA188"/>
  <c r="Y188"/>
  <c r="AA187"/>
  <c r="Y187"/>
  <c r="H186"/>
  <c r="I186" s="1"/>
  <c r="L186" s="1"/>
  <c r="AA186"/>
  <c r="Y186"/>
  <c r="H185"/>
  <c r="I185" s="1"/>
  <c r="L185" s="1"/>
  <c r="AA185"/>
  <c r="Y185"/>
  <c r="I184"/>
  <c r="L184" s="1"/>
  <c r="AA184"/>
  <c r="Y184"/>
  <c r="H183"/>
  <c r="I183" s="1"/>
  <c r="L183" s="1"/>
  <c r="AA183"/>
  <c r="Y183"/>
  <c r="I181"/>
  <c r="L181" s="1"/>
  <c r="AA181"/>
  <c r="Y181"/>
  <c r="I182"/>
  <c r="L182" s="1"/>
  <c r="AA182"/>
  <c r="Y182"/>
  <c r="H180"/>
  <c r="I180" s="1"/>
  <c r="L180" s="1"/>
  <c r="AA180"/>
  <c r="Y180"/>
  <c r="H179"/>
  <c r="I179" s="1"/>
  <c r="L179" s="1"/>
  <c r="AA179"/>
  <c r="Y179"/>
  <c r="H178"/>
  <c r="I178" s="1"/>
  <c r="L178" s="1"/>
  <c r="AA178"/>
  <c r="Y178"/>
  <c r="H177"/>
  <c r="I177" s="1"/>
  <c r="L177" s="1"/>
  <c r="AA177"/>
  <c r="Y177"/>
  <c r="H176"/>
  <c r="I176" s="1"/>
  <c r="L176" s="1"/>
  <c r="AA176"/>
  <c r="Y176"/>
  <c r="H175"/>
  <c r="I175" s="1"/>
  <c r="L175" s="1"/>
  <c r="AA175"/>
  <c r="Y175"/>
  <c r="H174"/>
  <c r="I174" s="1"/>
  <c r="L174" s="1"/>
  <c r="AA174"/>
  <c r="Y174"/>
  <c r="H173"/>
  <c r="I173" s="1"/>
  <c r="L173" s="1"/>
  <c r="AA173"/>
  <c r="Y173"/>
  <c r="H172"/>
  <c r="I172" s="1"/>
  <c r="L172" s="1"/>
  <c r="AA172"/>
  <c r="Y172"/>
  <c r="H171"/>
  <c r="I171" s="1"/>
  <c r="L171" s="1"/>
  <c r="AA171"/>
  <c r="Y171"/>
  <c r="H169"/>
  <c r="I169" s="1"/>
  <c r="L169" s="1"/>
  <c r="AA169"/>
  <c r="Y169"/>
  <c r="H170"/>
  <c r="I170" s="1"/>
  <c r="L170" s="1"/>
  <c r="AA170"/>
  <c r="Y170"/>
  <c r="H168"/>
  <c r="I168" s="1"/>
  <c r="L168" s="1"/>
  <c r="AA168"/>
  <c r="Y168"/>
  <c r="H167"/>
  <c r="I167" s="1"/>
  <c r="L167" s="1"/>
  <c r="AA167"/>
  <c r="Y167"/>
  <c r="H166"/>
  <c r="I166" s="1"/>
  <c r="L166" s="1"/>
  <c r="AA166"/>
  <c r="Y166"/>
  <c r="H164"/>
  <c r="I164" s="1"/>
  <c r="L164" s="1"/>
  <c r="AA164"/>
  <c r="Y164"/>
  <c r="H165"/>
  <c r="I165" s="1"/>
  <c r="L165" s="1"/>
  <c r="AA165"/>
  <c r="Y165"/>
  <c r="H163"/>
  <c r="I163" s="1"/>
  <c r="L163" s="1"/>
  <c r="AA163"/>
  <c r="Y163"/>
  <c r="H160"/>
  <c r="I160" s="1"/>
  <c r="L160" s="1"/>
  <c r="AA160"/>
  <c r="Y160"/>
  <c r="H159"/>
  <c r="I159" s="1"/>
  <c r="L159" s="1"/>
  <c r="AA159"/>
  <c r="Y159"/>
  <c r="H158"/>
  <c r="I158" s="1"/>
  <c r="L158" s="1"/>
  <c r="AA158"/>
  <c r="Y158"/>
  <c r="H157"/>
  <c r="I157" s="1"/>
  <c r="L157" s="1"/>
  <c r="AA157"/>
  <c r="Y157"/>
  <c r="H156"/>
  <c r="I156" s="1"/>
  <c r="L156" s="1"/>
  <c r="AA156"/>
  <c r="Y156"/>
  <c r="H155"/>
  <c r="I155" s="1"/>
  <c r="L155" s="1"/>
  <c r="AA155"/>
  <c r="Y155"/>
  <c r="H153"/>
  <c r="I153" s="1"/>
  <c r="L153" s="1"/>
  <c r="AA153"/>
  <c r="Y153"/>
  <c r="H154"/>
  <c r="I154" s="1"/>
  <c r="L154" s="1"/>
  <c r="AA154"/>
  <c r="Y154"/>
  <c r="H152"/>
  <c r="I152" s="1"/>
  <c r="L152" s="1"/>
  <c r="AA152"/>
  <c r="Y152"/>
  <c r="H151"/>
  <c r="I151" s="1"/>
  <c r="L151" s="1"/>
  <c r="AA151"/>
  <c r="Y151"/>
  <c r="H150"/>
  <c r="I150" s="1"/>
  <c r="L150" s="1"/>
  <c r="AA150"/>
  <c r="Y150"/>
  <c r="H149"/>
  <c r="I149" s="1"/>
  <c r="L149" s="1"/>
  <c r="AA149"/>
  <c r="Y149"/>
  <c r="H148"/>
  <c r="I148" s="1"/>
  <c r="L148" s="1"/>
  <c r="AA148"/>
  <c r="Y148"/>
  <c r="H147"/>
  <c r="I147" s="1"/>
  <c r="L147" s="1"/>
  <c r="AA147"/>
  <c r="Y147"/>
  <c r="H146"/>
  <c r="I146" s="1"/>
  <c r="L146" s="1"/>
  <c r="AA146"/>
  <c r="Y146"/>
  <c r="H145"/>
  <c r="I145" s="1"/>
  <c r="L145" s="1"/>
  <c r="AA145"/>
  <c r="Y145"/>
  <c r="H144"/>
  <c r="I144" s="1"/>
  <c r="L144" s="1"/>
  <c r="AA144"/>
  <c r="Y144"/>
  <c r="H143"/>
  <c r="I143" s="1"/>
  <c r="L143" s="1"/>
  <c r="AA143"/>
  <c r="Y143"/>
  <c r="H142"/>
  <c r="I142" s="1"/>
  <c r="L142" s="1"/>
  <c r="AA142"/>
  <c r="Y142"/>
  <c r="H141"/>
  <c r="I141" s="1"/>
  <c r="L141" s="1"/>
  <c r="AA141"/>
  <c r="Y141"/>
  <c r="H140"/>
  <c r="I140" s="1"/>
  <c r="L140" s="1"/>
  <c r="AA140"/>
  <c r="Y140"/>
  <c r="H139"/>
  <c r="I139" s="1"/>
  <c r="L139" s="1"/>
  <c r="AA139"/>
  <c r="Y139"/>
  <c r="H138"/>
  <c r="I138" s="1"/>
  <c r="L138" s="1"/>
  <c r="AA138"/>
  <c r="Y138"/>
  <c r="H136"/>
  <c r="I136" s="1"/>
  <c r="L136" s="1"/>
  <c r="AA136"/>
  <c r="Y136"/>
  <c r="H135"/>
  <c r="I135" s="1"/>
  <c r="L135" s="1"/>
  <c r="AA135"/>
  <c r="Y135"/>
  <c r="H134"/>
  <c r="I134" s="1"/>
  <c r="L134" s="1"/>
  <c r="AA134"/>
  <c r="Y134"/>
  <c r="H132"/>
  <c r="I132" s="1"/>
  <c r="L132" s="1"/>
  <c r="AA132"/>
  <c r="Y132"/>
  <c r="AA133"/>
  <c r="Y133"/>
  <c r="H131"/>
  <c r="I131" s="1"/>
  <c r="L131" s="1"/>
  <c r="AA131"/>
  <c r="Y131"/>
  <c r="H130"/>
  <c r="I130" s="1"/>
  <c r="L130" s="1"/>
  <c r="AA130"/>
  <c r="Y130"/>
  <c r="H129"/>
  <c r="I129" s="1"/>
  <c r="L129" s="1"/>
  <c r="AA129"/>
  <c r="Y129"/>
  <c r="H128"/>
  <c r="I128" s="1"/>
  <c r="L128" s="1"/>
  <c r="AA128"/>
  <c r="Y128"/>
  <c r="H127"/>
  <c r="I127" s="1"/>
  <c r="L127" s="1"/>
  <c r="AA127"/>
  <c r="Y127"/>
  <c r="H126"/>
  <c r="I126" s="1"/>
  <c r="L126" s="1"/>
  <c r="AA126"/>
  <c r="Y126"/>
  <c r="H125"/>
  <c r="I125" s="1"/>
  <c r="L125" s="1"/>
  <c r="AA125"/>
  <c r="Y125"/>
  <c r="H124"/>
  <c r="I124" s="1"/>
  <c r="L124" s="1"/>
  <c r="AA124"/>
  <c r="Y124"/>
  <c r="H123"/>
  <c r="I123" s="1"/>
  <c r="L123" s="1"/>
  <c r="AA123"/>
  <c r="Y123"/>
  <c r="H122"/>
  <c r="I122" s="1"/>
  <c r="L122" s="1"/>
  <c r="AA122"/>
  <c r="Y122"/>
  <c r="H121"/>
  <c r="I121" s="1"/>
  <c r="L121" s="1"/>
  <c r="AA121"/>
  <c r="Y121"/>
  <c r="I120"/>
  <c r="L120" s="1"/>
  <c r="AA120"/>
  <c r="Y120"/>
  <c r="H119"/>
  <c r="I119" s="1"/>
  <c r="L119" s="1"/>
  <c r="AA119"/>
  <c r="Y119"/>
  <c r="H118"/>
  <c r="I118" s="1"/>
  <c r="L118" s="1"/>
  <c r="AA118"/>
  <c r="Y118"/>
  <c r="H117"/>
  <c r="I117" s="1"/>
  <c r="L117" s="1"/>
  <c r="AA117"/>
  <c r="Y117"/>
  <c r="H116"/>
  <c r="I116" s="1"/>
  <c r="L116" s="1"/>
  <c r="AA116"/>
  <c r="Y116"/>
  <c r="H115"/>
  <c r="I115" s="1"/>
  <c r="L115" s="1"/>
  <c r="AA115"/>
  <c r="Y115"/>
  <c r="H114"/>
  <c r="I114" s="1"/>
  <c r="L114" s="1"/>
  <c r="AA114"/>
  <c r="Y114"/>
  <c r="H113"/>
  <c r="I113" s="1"/>
  <c r="L113" s="1"/>
  <c r="AA113"/>
  <c r="Y113"/>
  <c r="H112"/>
  <c r="I112" s="1"/>
  <c r="L112" s="1"/>
  <c r="AA112"/>
  <c r="Y112"/>
  <c r="H111"/>
  <c r="I111" s="1"/>
  <c r="L111" s="1"/>
  <c r="AA111"/>
  <c r="Y111"/>
  <c r="H110"/>
  <c r="I110" s="1"/>
  <c r="L110" s="1"/>
  <c r="AA110"/>
  <c r="Y110"/>
  <c r="H109"/>
  <c r="I109" s="1"/>
  <c r="L109" s="1"/>
  <c r="AA109"/>
  <c r="Y109"/>
  <c r="H108"/>
  <c r="I108" s="1"/>
  <c r="L108" s="1"/>
  <c r="AA108"/>
  <c r="Y108"/>
  <c r="H107"/>
  <c r="I107" s="1"/>
  <c r="L107" s="1"/>
  <c r="AA107"/>
  <c r="Y107"/>
  <c r="H106"/>
  <c r="I106" s="1"/>
  <c r="L106" s="1"/>
  <c r="AA106"/>
  <c r="Y106"/>
  <c r="H105"/>
  <c r="I105" s="1"/>
  <c r="L105" s="1"/>
  <c r="AA105"/>
  <c r="Y105"/>
  <c r="I104"/>
  <c r="L104" s="1"/>
  <c r="AA104"/>
  <c r="Y104"/>
  <c r="H103"/>
  <c r="I103" s="1"/>
  <c r="L103" s="1"/>
  <c r="AA103"/>
  <c r="Y103"/>
  <c r="H101"/>
  <c r="I101" s="1"/>
  <c r="L101" s="1"/>
  <c r="AA101"/>
  <c r="Y101"/>
  <c r="H102"/>
  <c r="I102" s="1"/>
  <c r="L102" s="1"/>
  <c r="AA102"/>
  <c r="Y102"/>
  <c r="H100"/>
  <c r="I100" s="1"/>
  <c r="L100" s="1"/>
  <c r="AA100"/>
  <c r="Y100"/>
  <c r="H99"/>
  <c r="I99" s="1"/>
  <c r="L99" s="1"/>
  <c r="AA99"/>
  <c r="Y99"/>
  <c r="AA98"/>
  <c r="Y98"/>
  <c r="H97"/>
  <c r="I97" s="1"/>
  <c r="L97" s="1"/>
  <c r="AA97"/>
  <c r="Y97"/>
  <c r="H96"/>
  <c r="I96" s="1"/>
  <c r="L96" s="1"/>
  <c r="AA96"/>
  <c r="Y96"/>
  <c r="H95"/>
  <c r="I95" s="1"/>
  <c r="L95" s="1"/>
  <c r="AA95"/>
  <c r="Y95"/>
  <c r="H94"/>
  <c r="I94" s="1"/>
  <c r="L94" s="1"/>
  <c r="AA94"/>
  <c r="Y94"/>
  <c r="H93"/>
  <c r="I93" s="1"/>
  <c r="L93" s="1"/>
  <c r="AA93"/>
  <c r="Y93"/>
  <c r="H92"/>
  <c r="I92" s="1"/>
  <c r="L92" s="1"/>
  <c r="AA92"/>
  <c r="Y92"/>
  <c r="I91"/>
  <c r="L91" s="1"/>
  <c r="AA91"/>
  <c r="Y91"/>
  <c r="I90"/>
  <c r="L90" s="1"/>
  <c r="AA90"/>
  <c r="Y90"/>
  <c r="H89"/>
  <c r="I89" s="1"/>
  <c r="L89" s="1"/>
  <c r="AA89"/>
  <c r="Y89"/>
  <c r="H88"/>
  <c r="I88" s="1"/>
  <c r="L88" s="1"/>
  <c r="AA88"/>
  <c r="Y88"/>
  <c r="H87"/>
  <c r="I87" s="1"/>
  <c r="L87" s="1"/>
  <c r="AA87"/>
  <c r="Y87"/>
  <c r="H86"/>
  <c r="I86" s="1"/>
  <c r="L86" s="1"/>
  <c r="AA86"/>
  <c r="Y86"/>
  <c r="H85"/>
  <c r="I85" s="1"/>
  <c r="L85" s="1"/>
  <c r="AA85"/>
  <c r="Y85"/>
  <c r="H84"/>
  <c r="I84" s="1"/>
  <c r="L84" s="1"/>
  <c r="AA84"/>
  <c r="Y84"/>
  <c r="H83"/>
  <c r="I83" s="1"/>
  <c r="L83" s="1"/>
  <c r="AA83"/>
  <c r="Y83"/>
  <c r="H82"/>
  <c r="I82" s="1"/>
  <c r="L82" s="1"/>
  <c r="AA82"/>
  <c r="Y82"/>
  <c r="H81"/>
  <c r="I81" s="1"/>
  <c r="L81" s="1"/>
  <c r="AA81"/>
  <c r="Y81"/>
  <c r="H80"/>
  <c r="I80" s="1"/>
  <c r="L80" s="1"/>
  <c r="AA80"/>
  <c r="Y80"/>
  <c r="H79"/>
  <c r="I79" s="1"/>
  <c r="L79" s="1"/>
  <c r="AA79"/>
  <c r="Y79"/>
  <c r="H78"/>
  <c r="I78" s="1"/>
  <c r="L78" s="1"/>
  <c r="AA78"/>
  <c r="Y78"/>
  <c r="H77"/>
  <c r="I77" s="1"/>
  <c r="L77" s="1"/>
  <c r="AA77"/>
  <c r="Y77"/>
  <c r="H76"/>
  <c r="I76" s="1"/>
  <c r="L76" s="1"/>
  <c r="AA76"/>
  <c r="Y76"/>
  <c r="L75"/>
  <c r="AA75"/>
  <c r="Y75"/>
  <c r="H74"/>
  <c r="I74" s="1"/>
  <c r="L74" s="1"/>
  <c r="AA74"/>
  <c r="Y74"/>
  <c r="H73"/>
  <c r="I73" s="1"/>
  <c r="L73" s="1"/>
  <c r="AA73"/>
  <c r="Y73"/>
  <c r="H72"/>
  <c r="I72" s="1"/>
  <c r="L72" s="1"/>
  <c r="AA72"/>
  <c r="Y72"/>
  <c r="H71"/>
  <c r="I71" s="1"/>
  <c r="L71" s="1"/>
  <c r="AA71"/>
  <c r="Y71"/>
  <c r="H70"/>
  <c r="I70" s="1"/>
  <c r="L70" s="1"/>
  <c r="AA70"/>
  <c r="Y70"/>
  <c r="H69"/>
  <c r="I69" s="1"/>
  <c r="L69" s="1"/>
  <c r="AA69"/>
  <c r="Y69"/>
  <c r="H68"/>
  <c r="I68" s="1"/>
  <c r="L68" s="1"/>
  <c r="AA68"/>
  <c r="Y68"/>
  <c r="H67"/>
  <c r="I67" s="1"/>
  <c r="L67" s="1"/>
  <c r="AA67"/>
  <c r="Y67"/>
  <c r="H66"/>
  <c r="I66" s="1"/>
  <c r="L66" s="1"/>
  <c r="AA66"/>
  <c r="Y66"/>
  <c r="H65"/>
  <c r="I65" s="1"/>
  <c r="L65" s="1"/>
  <c r="AA65"/>
  <c r="Y65"/>
  <c r="H64"/>
  <c r="I64" s="1"/>
  <c r="L64" s="1"/>
  <c r="AA64"/>
  <c r="Y64"/>
  <c r="H63"/>
  <c r="I63" s="1"/>
  <c r="L63" s="1"/>
  <c r="AA63"/>
  <c r="Y63"/>
  <c r="H62"/>
  <c r="I62" s="1"/>
  <c r="L62" s="1"/>
  <c r="AA62"/>
  <c r="Y62"/>
  <c r="H61"/>
  <c r="I61" s="1"/>
  <c r="L61" s="1"/>
  <c r="AA61"/>
  <c r="Y61"/>
  <c r="H60"/>
  <c r="I60" s="1"/>
  <c r="L60" s="1"/>
  <c r="AA60"/>
  <c r="Y60"/>
  <c r="H59"/>
  <c r="I59" s="1"/>
  <c r="L59" s="1"/>
  <c r="AA59"/>
  <c r="Y59"/>
  <c r="H58"/>
  <c r="I58" s="1"/>
  <c r="L58" s="1"/>
  <c r="AA58"/>
  <c r="Y58"/>
  <c r="H57"/>
  <c r="I57" s="1"/>
  <c r="L57" s="1"/>
  <c r="AA57"/>
  <c r="Y57"/>
  <c r="H56"/>
  <c r="I56" s="1"/>
  <c r="L56" s="1"/>
  <c r="AA56"/>
  <c r="Y56"/>
  <c r="H55"/>
  <c r="I55" s="1"/>
  <c r="L55" s="1"/>
  <c r="AA55"/>
  <c r="Y55"/>
  <c r="H54"/>
  <c r="I54" s="1"/>
  <c r="L54" s="1"/>
  <c r="AA54"/>
  <c r="Y54"/>
  <c r="H53"/>
  <c r="I53" s="1"/>
  <c r="L53" s="1"/>
  <c r="AA53"/>
  <c r="Y53"/>
  <c r="H52"/>
  <c r="I52" s="1"/>
  <c r="L52" s="1"/>
  <c r="AA52"/>
  <c r="Y52"/>
  <c r="H51"/>
  <c r="I51" s="1"/>
  <c r="L51" s="1"/>
  <c r="AA51"/>
  <c r="Y51"/>
  <c r="H49"/>
  <c r="I49" s="1"/>
  <c r="L49" s="1"/>
  <c r="AA49"/>
  <c r="Y49"/>
  <c r="H50"/>
  <c r="I50" s="1"/>
  <c r="L50" s="1"/>
  <c r="AA50"/>
  <c r="Y50"/>
  <c r="H47"/>
  <c r="I47" s="1"/>
  <c r="L47" s="1"/>
  <c r="AA47"/>
  <c r="Y47"/>
  <c r="H48"/>
  <c r="I48" s="1"/>
  <c r="L48" s="1"/>
  <c r="AA48"/>
  <c r="Y48"/>
  <c r="H45"/>
  <c r="I45" s="1"/>
  <c r="L45" s="1"/>
  <c r="AA45"/>
  <c r="Y45"/>
  <c r="H46"/>
  <c r="I46" s="1"/>
  <c r="L46" s="1"/>
  <c r="AA46"/>
  <c r="Y46"/>
  <c r="H44"/>
  <c r="I44" s="1"/>
  <c r="L44" s="1"/>
  <c r="AA44"/>
  <c r="Y44"/>
  <c r="H43"/>
  <c r="I43" s="1"/>
  <c r="L43" s="1"/>
  <c r="AA43"/>
  <c r="Y43"/>
  <c r="H42"/>
  <c r="I42" s="1"/>
  <c r="L42" s="1"/>
  <c r="AA42"/>
  <c r="Y42"/>
  <c r="H41"/>
  <c r="I41" s="1"/>
  <c r="L41" s="1"/>
  <c r="AA41"/>
  <c r="Y41"/>
  <c r="H40"/>
  <c r="I40" s="1"/>
  <c r="L40" s="1"/>
  <c r="AA40"/>
  <c r="Y40"/>
  <c r="H38"/>
  <c r="I38" s="1"/>
  <c r="L38" s="1"/>
  <c r="AA38"/>
  <c r="Y38"/>
  <c r="H39"/>
  <c r="I39" s="1"/>
  <c r="L39" s="1"/>
  <c r="AA39"/>
  <c r="Y39"/>
  <c r="H37"/>
  <c r="I37" s="1"/>
  <c r="L37" s="1"/>
  <c r="AA37"/>
  <c r="Y37"/>
  <c r="H36"/>
  <c r="I36" s="1"/>
  <c r="L36" s="1"/>
  <c r="AA36"/>
  <c r="Y36"/>
  <c r="H35"/>
  <c r="I35" s="1"/>
  <c r="L35" s="1"/>
  <c r="AA35"/>
  <c r="Y35"/>
  <c r="H34"/>
  <c r="I34" s="1"/>
  <c r="L34" s="1"/>
  <c r="AA34"/>
  <c r="Y34"/>
  <c r="H33"/>
  <c r="I33" s="1"/>
  <c r="L33" s="1"/>
  <c r="AA33"/>
  <c r="Y33"/>
  <c r="H32"/>
  <c r="I32" s="1"/>
  <c r="L32" s="1"/>
  <c r="AA32"/>
  <c r="Y32"/>
  <c r="AA30"/>
  <c r="AA31"/>
  <c r="Y30"/>
  <c r="Y31"/>
  <c r="H29"/>
  <c r="I29" s="1"/>
  <c r="L29" s="1"/>
  <c r="AA29"/>
  <c r="Y29"/>
  <c r="H28"/>
  <c r="I28" s="1"/>
  <c r="L28" s="1"/>
  <c r="AA28"/>
  <c r="Y28"/>
  <c r="H27"/>
  <c r="I27" s="1"/>
  <c r="L27" s="1"/>
  <c r="AA27"/>
  <c r="Y27"/>
  <c r="H26"/>
  <c r="I26" s="1"/>
  <c r="L26" s="1"/>
  <c r="AA26"/>
  <c r="Y26"/>
  <c r="H25"/>
  <c r="I25" s="1"/>
  <c r="L25" s="1"/>
  <c r="AA25"/>
  <c r="Y25"/>
  <c r="H24"/>
  <c r="I24" s="1"/>
  <c r="L24" s="1"/>
  <c r="AA24"/>
  <c r="Y24"/>
  <c r="H23"/>
  <c r="I23" s="1"/>
  <c r="L23" s="1"/>
  <c r="AA23"/>
  <c r="Y23"/>
  <c r="I22"/>
  <c r="L22" s="1"/>
  <c r="AA22"/>
  <c r="Y22"/>
  <c r="H21"/>
  <c r="I21" s="1"/>
  <c r="L21" s="1"/>
  <c r="AA21"/>
  <c r="Y21"/>
  <c r="H20"/>
  <c r="I20" s="1"/>
  <c r="L20" s="1"/>
  <c r="AA20"/>
  <c r="Y20"/>
  <c r="H19"/>
  <c r="I19" s="1"/>
  <c r="L19" s="1"/>
  <c r="AA19"/>
  <c r="Y19"/>
  <c r="I18"/>
  <c r="L18" s="1"/>
  <c r="AA18"/>
  <c r="Y18"/>
  <c r="H16"/>
  <c r="I16" s="1"/>
  <c r="L16" s="1"/>
  <c r="AA16"/>
  <c r="Y16"/>
  <c r="H17"/>
  <c r="I17" s="1"/>
  <c r="L17" s="1"/>
  <c r="AA17"/>
  <c r="Y17"/>
  <c r="H15"/>
  <c r="I15" s="1"/>
  <c r="L15" s="1"/>
  <c r="AA15"/>
  <c r="Y15"/>
  <c r="H14"/>
  <c r="I14" s="1"/>
  <c r="L14" s="1"/>
  <c r="AA14"/>
  <c r="Y14"/>
  <c r="H13"/>
  <c r="I13" s="1"/>
  <c r="L13" s="1"/>
  <c r="AA13"/>
  <c r="Y13"/>
  <c r="H12"/>
  <c r="I12" s="1"/>
  <c r="L12" s="1"/>
  <c r="AA12"/>
  <c r="Y12"/>
  <c r="H11"/>
  <c r="I11" s="1"/>
  <c r="L11" s="1"/>
  <c r="AA11"/>
  <c r="Y11"/>
  <c r="H10"/>
  <c r="I10" s="1"/>
  <c r="L10" s="1"/>
  <c r="AA10"/>
  <c r="Y10"/>
  <c r="H9"/>
  <c r="I9" s="1"/>
  <c r="L9" s="1"/>
  <c r="AA9"/>
  <c r="Y9"/>
  <c r="H8"/>
  <c r="I8" s="1"/>
  <c r="L8" s="1"/>
  <c r="AA8"/>
  <c r="Y8"/>
  <c r="H7"/>
  <c r="I7" s="1"/>
  <c r="L7" s="1"/>
  <c r="AA7"/>
  <c r="Y7"/>
  <c r="H6"/>
  <c r="I6" s="1"/>
  <c r="L6" s="1"/>
  <c r="AA6"/>
  <c r="Y6"/>
  <c r="H5"/>
  <c r="I5" s="1"/>
  <c r="L5" s="1"/>
  <c r="AA5"/>
  <c r="Y5"/>
  <c r="AP174"/>
  <c r="AP66"/>
  <c r="AO66"/>
  <c r="AQ307"/>
  <c r="AM141"/>
  <c r="AM89"/>
  <c r="AM138"/>
  <c r="AM325"/>
  <c r="J324"/>
  <c r="J322"/>
  <c r="J321"/>
  <c r="J319"/>
  <c r="J316"/>
  <c r="J315"/>
  <c r="J314"/>
  <c r="AN307"/>
  <c r="J306"/>
  <c r="J298"/>
  <c r="J295"/>
  <c r="J293"/>
  <c r="J290"/>
  <c r="J289"/>
  <c r="J284"/>
  <c r="J282"/>
  <c r="J279"/>
  <c r="J278"/>
  <c r="J277"/>
  <c r="J276"/>
  <c r="X274"/>
  <c r="J268"/>
  <c r="T260"/>
  <c r="AG257"/>
  <c r="J255"/>
  <c r="AG254"/>
  <c r="J248"/>
  <c r="AJ248"/>
  <c r="J246"/>
  <c r="J239"/>
  <c r="J237"/>
  <c r="J236"/>
  <c r="J234"/>
  <c r="J233"/>
  <c r="J227"/>
  <c r="J226"/>
  <c r="J222"/>
  <c r="J214"/>
  <c r="X212"/>
  <c r="J209"/>
  <c r="J207"/>
  <c r="J201"/>
  <c r="J200"/>
  <c r="J199"/>
  <c r="AG194"/>
  <c r="J180"/>
  <c r="X174"/>
  <c r="AJ174"/>
  <c r="J165"/>
  <c r="J163"/>
  <c r="J160"/>
  <c r="J159"/>
  <c r="J158"/>
  <c r="J157"/>
  <c r="J156"/>
  <c r="J152"/>
  <c r="J150"/>
  <c r="J149"/>
  <c r="J147"/>
  <c r="J141"/>
  <c r="J139"/>
  <c r="X138"/>
  <c r="J137"/>
  <c r="J132"/>
  <c r="J129"/>
  <c r="J126"/>
  <c r="J125"/>
  <c r="J119"/>
  <c r="J114"/>
  <c r="J113"/>
  <c r="J110"/>
  <c r="J108"/>
  <c r="J101"/>
  <c r="AG101"/>
  <c r="J100"/>
  <c r="N95"/>
  <c r="J93"/>
  <c r="J89"/>
  <c r="J88"/>
  <c r="J87"/>
  <c r="J86"/>
  <c r="J84"/>
  <c r="J83"/>
  <c r="J82"/>
  <c r="J77"/>
  <c r="J73"/>
  <c r="J72"/>
  <c r="J70"/>
  <c r="J69"/>
  <c r="J68"/>
  <c r="J67"/>
  <c r="J66"/>
  <c r="X66"/>
  <c r="J63"/>
  <c r="J62"/>
  <c r="J61"/>
  <c r="J60"/>
  <c r="J59"/>
  <c r="J57"/>
  <c r="J56"/>
  <c r="J55"/>
  <c r="J54"/>
  <c r="J53"/>
  <c r="AJ53"/>
  <c r="J51"/>
  <c r="J44"/>
  <c r="J36"/>
  <c r="AJ30"/>
  <c r="J29"/>
  <c r="J24"/>
  <c r="J23"/>
  <c r="J21"/>
  <c r="J15"/>
  <c r="J9"/>
  <c r="J5"/>
  <c r="AJ325"/>
  <c r="AK307"/>
  <c r="AH307"/>
  <c r="AG325"/>
  <c r="AE307"/>
  <c r="AA161"/>
  <c r="AA162"/>
  <c r="AA299"/>
  <c r="AA307"/>
  <c r="AA308"/>
  <c r="AD325"/>
  <c r="P3"/>
  <c r="M3"/>
  <c r="W3"/>
  <c r="W325"/>
  <c r="Y299"/>
  <c r="X325"/>
  <c r="F211" i="6"/>
  <c r="F2"/>
  <c r="V325" i="3"/>
  <c r="V328" s="1"/>
  <c r="J250" i="2"/>
  <c r="D19" i="20"/>
  <c r="AH3" i="6"/>
  <c r="AH4"/>
  <c r="AH5"/>
  <c r="AH6"/>
  <c r="AH7"/>
  <c r="AH8"/>
  <c r="AH9"/>
  <c r="AH10"/>
  <c r="AH11"/>
  <c r="AH12"/>
  <c r="AH13"/>
  <c r="AH14"/>
  <c r="AH15"/>
  <c r="AH16"/>
  <c r="AH2"/>
  <c r="B323"/>
  <c r="B324"/>
  <c r="B325"/>
  <c r="B326"/>
  <c r="B327"/>
  <c r="B328"/>
  <c r="B329"/>
  <c r="B330"/>
  <c r="B331"/>
  <c r="B332"/>
  <c r="B333"/>
  <c r="B334"/>
  <c r="B335"/>
  <c r="B336"/>
  <c r="V4" i="1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3"/>
  <c r="X3" i="3"/>
  <c r="V3"/>
  <c r="U3"/>
  <c r="T3"/>
  <c r="S3"/>
  <c r="R3"/>
  <c r="Q3"/>
  <c r="O3"/>
  <c r="N3"/>
  <c r="N3" i="2"/>
  <c r="O3"/>
  <c r="P3"/>
  <c r="Q3"/>
  <c r="R3"/>
  <c r="S3"/>
  <c r="T3"/>
  <c r="U3"/>
  <c r="V3"/>
  <c r="W3"/>
  <c r="X3"/>
  <c r="M3"/>
  <c r="D9" i="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3"/>
  <c r="C284"/>
  <c r="C285"/>
  <c r="C286"/>
  <c r="C287"/>
  <c r="C288"/>
  <c r="C289"/>
  <c r="C290"/>
  <c r="C291"/>
  <c r="C292"/>
  <c r="C293"/>
  <c r="C294"/>
  <c r="C295"/>
  <c r="C297"/>
  <c r="C298"/>
  <c r="C300"/>
  <c r="C301"/>
  <c r="C302"/>
  <c r="C303"/>
  <c r="C304"/>
  <c r="C305"/>
  <c r="C8"/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B6" i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5"/>
  <c r="B6" i="2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5"/>
  <c r="B6" i="3"/>
  <c r="B7"/>
  <c r="B8"/>
  <c r="B9"/>
  <c r="B10"/>
  <c r="A10" s="1"/>
  <c r="B11"/>
  <c r="B12"/>
  <c r="A12" s="1"/>
  <c r="B13"/>
  <c r="B14"/>
  <c r="A14" s="1"/>
  <c r="B15"/>
  <c r="B16"/>
  <c r="A16" s="1"/>
  <c r="B17"/>
  <c r="B18"/>
  <c r="B19"/>
  <c r="B20"/>
  <c r="A20" s="1"/>
  <c r="B21"/>
  <c r="B22"/>
  <c r="A22" s="1"/>
  <c r="B23"/>
  <c r="B24"/>
  <c r="A24" s="1"/>
  <c r="B25"/>
  <c r="B26"/>
  <c r="A26" s="1"/>
  <c r="B27"/>
  <c r="B28"/>
  <c r="A28" s="1"/>
  <c r="B29"/>
  <c r="B30"/>
  <c r="A30" s="1"/>
  <c r="B31"/>
  <c r="B32"/>
  <c r="A32" s="1"/>
  <c r="B33"/>
  <c r="B34"/>
  <c r="B35"/>
  <c r="B36"/>
  <c r="A36" s="1"/>
  <c r="B37"/>
  <c r="B38"/>
  <c r="A38" s="1"/>
  <c r="B39"/>
  <c r="B40"/>
  <c r="A40" s="1"/>
  <c r="B41"/>
  <c r="B42"/>
  <c r="B43"/>
  <c r="B44"/>
  <c r="A44" s="1"/>
  <c r="B45"/>
  <c r="B46"/>
  <c r="A46" s="1"/>
  <c r="B47"/>
  <c r="B48"/>
  <c r="A48" s="1"/>
  <c r="B49"/>
  <c r="B50"/>
  <c r="A50" s="1"/>
  <c r="B51"/>
  <c r="B52"/>
  <c r="A52" s="1"/>
  <c r="B53"/>
  <c r="B54"/>
  <c r="A54" s="1"/>
  <c r="B55"/>
  <c r="B56"/>
  <c r="B57"/>
  <c r="B58"/>
  <c r="A58" s="1"/>
  <c r="B59"/>
  <c r="B60"/>
  <c r="A60" s="1"/>
  <c r="B61"/>
  <c r="B62"/>
  <c r="A62" s="1"/>
  <c r="B63"/>
  <c r="B64"/>
  <c r="B65"/>
  <c r="B66"/>
  <c r="A66" s="1"/>
  <c r="B67"/>
  <c r="B68"/>
  <c r="A68" s="1"/>
  <c r="B69"/>
  <c r="B70"/>
  <c r="A70" s="1"/>
  <c r="B71"/>
  <c r="B72"/>
  <c r="A72" s="1"/>
  <c r="B73"/>
  <c r="B74"/>
  <c r="A74" s="1"/>
  <c r="B75"/>
  <c r="B76"/>
  <c r="A76" s="1"/>
  <c r="B77"/>
  <c r="B78"/>
  <c r="B79"/>
  <c r="B80"/>
  <c r="A80" s="1"/>
  <c r="B81"/>
  <c r="B82"/>
  <c r="A82" s="1"/>
  <c r="B83"/>
  <c r="B84"/>
  <c r="A84" s="1"/>
  <c r="B85"/>
  <c r="B86"/>
  <c r="B87"/>
  <c r="B88"/>
  <c r="A88" s="1"/>
  <c r="B89"/>
  <c r="B90"/>
  <c r="A90" s="1"/>
  <c r="B91"/>
  <c r="B92"/>
  <c r="A92" s="1"/>
  <c r="B93"/>
  <c r="B94"/>
  <c r="A94" s="1"/>
  <c r="B95"/>
  <c r="B96"/>
  <c r="A96" s="1"/>
  <c r="B97"/>
  <c r="B98"/>
  <c r="A98" s="1"/>
  <c r="B99"/>
  <c r="B100"/>
  <c r="B101"/>
  <c r="B102"/>
  <c r="A102" s="1"/>
  <c r="B103"/>
  <c r="B104"/>
  <c r="A104" s="1"/>
  <c r="B105"/>
  <c r="B106"/>
  <c r="B107"/>
  <c r="B108"/>
  <c r="A108" s="1"/>
  <c r="B109"/>
  <c r="B110"/>
  <c r="A110" s="1"/>
  <c r="B111"/>
  <c r="B112"/>
  <c r="A112" s="1"/>
  <c r="B113"/>
  <c r="B114"/>
  <c r="A114" s="1"/>
  <c r="B115"/>
  <c r="B116"/>
  <c r="A116" s="1"/>
  <c r="B117"/>
  <c r="B118"/>
  <c r="A118" s="1"/>
  <c r="B119"/>
  <c r="B120"/>
  <c r="B121"/>
  <c r="B122"/>
  <c r="A122" s="1"/>
  <c r="B123"/>
  <c r="B124"/>
  <c r="A124" s="1"/>
  <c r="B125"/>
  <c r="B126"/>
  <c r="B127"/>
  <c r="B128"/>
  <c r="B129"/>
  <c r="B130"/>
  <c r="A130" s="1"/>
  <c r="B131"/>
  <c r="B132"/>
  <c r="A132" s="1"/>
  <c r="B133"/>
  <c r="B134"/>
  <c r="B135"/>
  <c r="B136"/>
  <c r="A136" s="1"/>
  <c r="B137"/>
  <c r="B138"/>
  <c r="A138" s="1"/>
  <c r="B139"/>
  <c r="B140"/>
  <c r="A140" s="1"/>
  <c r="B141"/>
  <c r="B142"/>
  <c r="A142" s="1"/>
  <c r="B143"/>
  <c r="B144"/>
  <c r="A144" s="1"/>
  <c r="B145"/>
  <c r="B146"/>
  <c r="A146" s="1"/>
  <c r="B147"/>
  <c r="B148"/>
  <c r="A148" s="1"/>
  <c r="B149"/>
  <c r="B150"/>
  <c r="A150" s="1"/>
  <c r="B151"/>
  <c r="B152"/>
  <c r="B153"/>
  <c r="B154"/>
  <c r="A154" s="1"/>
  <c r="B155"/>
  <c r="B156"/>
  <c r="A156" s="1"/>
  <c r="B157"/>
  <c r="B158"/>
  <c r="B159"/>
  <c r="B160"/>
  <c r="B161"/>
  <c r="B162"/>
  <c r="A162" s="1"/>
  <c r="B163"/>
  <c r="B164"/>
  <c r="A164" s="1"/>
  <c r="B165"/>
  <c r="B166"/>
  <c r="B167"/>
  <c r="B168"/>
  <c r="A168" s="1"/>
  <c r="B169"/>
  <c r="B170"/>
  <c r="A170" s="1"/>
  <c r="B171"/>
  <c r="B172"/>
  <c r="A172" s="1"/>
  <c r="B173"/>
  <c r="B174"/>
  <c r="A174" s="1"/>
  <c r="B175"/>
  <c r="B176"/>
  <c r="A176" s="1"/>
  <c r="B177"/>
  <c r="B178"/>
  <c r="B179"/>
  <c r="B180"/>
  <c r="A180" s="1"/>
  <c r="B181"/>
  <c r="B182"/>
  <c r="A182" s="1"/>
  <c r="B183"/>
  <c r="B184"/>
  <c r="A184" s="1"/>
  <c r="B185"/>
  <c r="B186"/>
  <c r="A186" s="1"/>
  <c r="B187"/>
  <c r="B188"/>
  <c r="B189"/>
  <c r="B190"/>
  <c r="A190" s="1"/>
  <c r="B191"/>
  <c r="B192"/>
  <c r="A192" s="1"/>
  <c r="B193"/>
  <c r="B194"/>
  <c r="B195"/>
  <c r="B196"/>
  <c r="A196" s="1"/>
  <c r="B197"/>
  <c r="B198"/>
  <c r="A198" s="1"/>
  <c r="B199"/>
  <c r="B200"/>
  <c r="A200" s="1"/>
  <c r="B201"/>
  <c r="B202"/>
  <c r="A202" s="1"/>
  <c r="B203"/>
  <c r="B204"/>
  <c r="B205"/>
  <c r="B206"/>
  <c r="A206" s="1"/>
  <c r="B207"/>
  <c r="B208"/>
  <c r="A208" s="1"/>
  <c r="B209"/>
  <c r="B210"/>
  <c r="B211"/>
  <c r="B212"/>
  <c r="A212" s="1"/>
  <c r="B213"/>
  <c r="B214"/>
  <c r="A214" s="1"/>
  <c r="B215"/>
  <c r="B216"/>
  <c r="B217"/>
  <c r="B218"/>
  <c r="A218" s="1"/>
  <c r="B219"/>
  <c r="B220"/>
  <c r="A220" s="1"/>
  <c r="B221"/>
  <c r="B222"/>
  <c r="A222" s="1"/>
  <c r="B223"/>
  <c r="B224"/>
  <c r="A224" s="1"/>
  <c r="B225"/>
  <c r="B226"/>
  <c r="A226" s="1"/>
  <c r="B227"/>
  <c r="B228"/>
  <c r="A228" s="1"/>
  <c r="B229"/>
  <c r="B230"/>
  <c r="A230" s="1"/>
  <c r="B231"/>
  <c r="B232"/>
  <c r="B233"/>
  <c r="B234"/>
  <c r="A234" s="1"/>
  <c r="B235"/>
  <c r="B236"/>
  <c r="A236" s="1"/>
  <c r="B237"/>
  <c r="B238"/>
  <c r="A238" s="1"/>
  <c r="B239"/>
  <c r="B240"/>
  <c r="A240" s="1"/>
  <c r="B241"/>
  <c r="B242"/>
  <c r="A242" s="1"/>
  <c r="B243"/>
  <c r="B244"/>
  <c r="A244" s="1"/>
  <c r="B245"/>
  <c r="A245" s="1"/>
  <c r="B246"/>
  <c r="A246" s="1"/>
  <c r="B247"/>
  <c r="B248"/>
  <c r="A248" s="1"/>
  <c r="B249"/>
  <c r="B250"/>
  <c r="A250" s="1"/>
  <c r="B251"/>
  <c r="B252"/>
  <c r="B253"/>
  <c r="B254"/>
  <c r="A254" s="1"/>
  <c r="B255"/>
  <c r="B256"/>
  <c r="A256" s="1"/>
  <c r="B257"/>
  <c r="B258"/>
  <c r="A258" s="1"/>
  <c r="B259"/>
  <c r="B260"/>
  <c r="A260" s="1"/>
  <c r="B261"/>
  <c r="B262"/>
  <c r="A262" s="1"/>
  <c r="B263"/>
  <c r="B264"/>
  <c r="A264" s="1"/>
  <c r="B265"/>
  <c r="B266"/>
  <c r="A266" s="1"/>
  <c r="B267"/>
  <c r="B268"/>
  <c r="A268" s="1"/>
  <c r="B269"/>
  <c r="B270"/>
  <c r="A270" s="1"/>
  <c r="B271"/>
  <c r="B272"/>
  <c r="A272" s="1"/>
  <c r="B273"/>
  <c r="B274"/>
  <c r="A274" s="1"/>
  <c r="B275"/>
  <c r="B276"/>
  <c r="A276" s="1"/>
  <c r="B277"/>
  <c r="B278"/>
  <c r="A278" s="1"/>
  <c r="B279"/>
  <c r="B280"/>
  <c r="A280" s="1"/>
  <c r="B281"/>
  <c r="B282"/>
  <c r="B283"/>
  <c r="B284"/>
  <c r="B285"/>
  <c r="B286"/>
  <c r="A286" s="1"/>
  <c r="B287"/>
  <c r="B288"/>
  <c r="A288" s="1"/>
  <c r="B289"/>
  <c r="B290"/>
  <c r="A290" s="1"/>
  <c r="B291"/>
  <c r="B292"/>
  <c r="A292" s="1"/>
  <c r="B293"/>
  <c r="B294"/>
  <c r="A294" s="1"/>
  <c r="B295"/>
  <c r="B296"/>
  <c r="A296" s="1"/>
  <c r="B297"/>
  <c r="B298"/>
  <c r="A298" s="1"/>
  <c r="B299"/>
  <c r="B300"/>
  <c r="A300" s="1"/>
  <c r="B301"/>
  <c r="B302"/>
  <c r="A302" s="1"/>
  <c r="B303"/>
  <c r="B304"/>
  <c r="A304" s="1"/>
  <c r="B305"/>
  <c r="B306"/>
  <c r="A306" s="1"/>
  <c r="B307"/>
  <c r="B308"/>
  <c r="A308" s="1"/>
  <c r="B309"/>
  <c r="B310"/>
  <c r="A310" s="1"/>
  <c r="B311"/>
  <c r="B312"/>
  <c r="A312" s="1"/>
  <c r="B313"/>
  <c r="B314"/>
  <c r="A314" s="1"/>
  <c r="B315"/>
  <c r="B316"/>
  <c r="A316" s="1"/>
  <c r="B317"/>
  <c r="B318"/>
  <c r="A318" s="1"/>
  <c r="B319"/>
  <c r="B320"/>
  <c r="A320" s="1"/>
  <c r="B321"/>
  <c r="B322"/>
  <c r="A322" s="1"/>
  <c r="B323"/>
  <c r="B324"/>
  <c r="A324" s="1"/>
  <c r="B5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4"/>
  <c r="B3" i="6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2"/>
  <c r="A247" i="2"/>
  <c r="Z247"/>
  <c r="A301"/>
  <c r="Z301"/>
  <c r="A9" i="1"/>
  <c r="A17"/>
  <c r="A25"/>
  <c r="A37"/>
  <c r="A53"/>
  <c r="A59"/>
  <c r="A69"/>
  <c r="A101"/>
  <c r="A133"/>
  <c r="A149"/>
  <c r="A165"/>
  <c r="A187"/>
  <c r="A203"/>
  <c r="A219"/>
  <c r="A235"/>
  <c r="A251"/>
  <c r="A267"/>
  <c r="A283"/>
  <c r="A299"/>
  <c r="A315"/>
  <c r="A13"/>
  <c r="A21"/>
  <c r="A29"/>
  <c r="A45"/>
  <c r="A85"/>
  <c r="A117"/>
  <c r="A141"/>
  <c r="A157"/>
  <c r="A173"/>
  <c r="A179"/>
  <c r="A195"/>
  <c r="A211"/>
  <c r="A227"/>
  <c r="A243"/>
  <c r="A259"/>
  <c r="A275"/>
  <c r="A291"/>
  <c r="A307"/>
  <c r="A19"/>
  <c r="A43"/>
  <c r="A109"/>
  <c r="A153"/>
  <c r="A199"/>
  <c r="A231"/>
  <c r="A263"/>
  <c r="A295"/>
  <c r="A83" i="2"/>
  <c r="Z83"/>
  <c r="A11" i="1"/>
  <c r="A27"/>
  <c r="A55"/>
  <c r="A77"/>
  <c r="A137"/>
  <c r="A169"/>
  <c r="A183"/>
  <c r="A215"/>
  <c r="A247"/>
  <c r="A279"/>
  <c r="A311"/>
  <c r="A35"/>
  <c r="A61"/>
  <c r="A191"/>
  <c r="A255"/>
  <c r="A27" i="2"/>
  <c r="Z27" s="1"/>
  <c r="A13" i="3"/>
  <c r="A21"/>
  <c r="A29"/>
  <c r="A45"/>
  <c r="A61"/>
  <c r="A77"/>
  <c r="A93"/>
  <c r="A99"/>
  <c r="A105"/>
  <c r="A117"/>
  <c r="A133"/>
  <c r="A149"/>
  <c r="A165"/>
  <c r="A5"/>
  <c r="A15" i="1"/>
  <c r="A125"/>
  <c r="A159"/>
  <c r="A223"/>
  <c r="A287"/>
  <c r="A6" i="2"/>
  <c r="Z6"/>
  <c r="A306"/>
  <c r="Z306"/>
  <c r="A313"/>
  <c r="Z313"/>
  <c r="A9" i="3"/>
  <c r="A17"/>
  <c r="A25"/>
  <c r="A37"/>
  <c r="A53"/>
  <c r="A69"/>
  <c r="A85"/>
  <c r="A109"/>
  <c r="A125"/>
  <c r="A141"/>
  <c r="A157"/>
  <c r="A173"/>
  <c r="A321"/>
  <c r="A47" i="4"/>
  <c r="A207"/>
  <c r="A239" i="1"/>
  <c r="A15" i="3"/>
  <c r="A35"/>
  <c r="A67"/>
  <c r="A137"/>
  <c r="A169"/>
  <c r="A143" i="4"/>
  <c r="A23" i="1"/>
  <c r="A93"/>
  <c r="A175"/>
  <c r="A303"/>
  <c r="A139" i="2"/>
  <c r="Z139"/>
  <c r="A242"/>
  <c r="Z242"/>
  <c r="A7" i="3"/>
  <c r="A23"/>
  <c r="A51"/>
  <c r="A83"/>
  <c r="A97"/>
  <c r="A107"/>
  <c r="A121"/>
  <c r="A153"/>
  <c r="A79" i="4"/>
  <c r="A324"/>
  <c r="A320"/>
  <c r="A316"/>
  <c r="A312"/>
  <c r="A308"/>
  <c r="A304"/>
  <c r="A300"/>
  <c r="A296"/>
  <c r="A292"/>
  <c r="A288"/>
  <c r="A284"/>
  <c r="A280"/>
  <c r="A276"/>
  <c r="A272"/>
  <c r="A268"/>
  <c r="A264"/>
  <c r="A260"/>
  <c r="A256"/>
  <c r="A252"/>
  <c r="A248"/>
  <c r="A244"/>
  <c r="A240"/>
  <c r="A236"/>
  <c r="A232"/>
  <c r="A228"/>
  <c r="A224"/>
  <c r="A220"/>
  <c r="A216"/>
  <c r="A212"/>
  <c r="A208"/>
  <c r="A204"/>
  <c r="A200"/>
  <c r="A196"/>
  <c r="A192"/>
  <c r="A188"/>
  <c r="A184"/>
  <c r="A180"/>
  <c r="A176"/>
  <c r="A172"/>
  <c r="A168"/>
  <c r="A164"/>
  <c r="A160"/>
  <c r="A156"/>
  <c r="A152"/>
  <c r="A148"/>
  <c r="A144"/>
  <c r="A140"/>
  <c r="A136"/>
  <c r="A132"/>
  <c r="A128"/>
  <c r="A124"/>
  <c r="A120"/>
  <c r="A116"/>
  <c r="A112"/>
  <c r="A108"/>
  <c r="A104"/>
  <c r="A100"/>
  <c r="A96"/>
  <c r="A92"/>
  <c r="A88"/>
  <c r="A84"/>
  <c r="A80"/>
  <c r="A76"/>
  <c r="A72"/>
  <c r="A68"/>
  <c r="A64"/>
  <c r="A60"/>
  <c r="A56"/>
  <c r="A52"/>
  <c r="A48"/>
  <c r="A44"/>
  <c r="A40"/>
  <c r="A36"/>
  <c r="A32"/>
  <c r="A28"/>
  <c r="A24"/>
  <c r="A20"/>
  <c r="A16"/>
  <c r="A12"/>
  <c r="A8"/>
  <c r="A271"/>
  <c r="A313" i="3"/>
  <c r="A309"/>
  <c r="A305"/>
  <c r="A301"/>
  <c r="A297"/>
  <c r="A293"/>
  <c r="A289"/>
  <c r="A285"/>
  <c r="A281"/>
  <c r="A277"/>
  <c r="A273"/>
  <c r="A269"/>
  <c r="A265"/>
  <c r="A261"/>
  <c r="A257"/>
  <c r="A253"/>
  <c r="A249"/>
  <c r="A241"/>
  <c r="A211"/>
  <c r="A207"/>
  <c r="A203"/>
  <c r="A199"/>
  <c r="A195"/>
  <c r="A191"/>
  <c r="A187"/>
  <c r="A183"/>
  <c r="A179"/>
  <c r="A175"/>
  <c r="A145"/>
  <c r="A111"/>
  <c r="A89"/>
  <c r="A59"/>
  <c r="A55"/>
  <c r="A11"/>
  <c r="A272" i="1"/>
  <c r="A269"/>
  <c r="A146"/>
  <c r="A143"/>
  <c r="A8"/>
  <c r="A323" i="4"/>
  <c r="A319"/>
  <c r="A315"/>
  <c r="A311"/>
  <c r="A307"/>
  <c r="A303"/>
  <c r="A299"/>
  <c r="A295"/>
  <c r="A111"/>
  <c r="A159" i="3"/>
  <c r="A129"/>
  <c r="A73"/>
  <c r="A43"/>
  <c r="A39"/>
  <c r="A312" i="2"/>
  <c r="Z312"/>
  <c r="A308"/>
  <c r="Z308"/>
  <c r="A208" i="1"/>
  <c r="A205"/>
  <c r="A51"/>
  <c r="A47"/>
  <c r="A4" i="4"/>
  <c r="A322"/>
  <c r="A318"/>
  <c r="A314"/>
  <c r="A310"/>
  <c r="A306"/>
  <c r="A302"/>
  <c r="A298"/>
  <c r="A294"/>
  <c r="A290"/>
  <c r="A286"/>
  <c r="A282"/>
  <c r="A278"/>
  <c r="A274"/>
  <c r="A270"/>
  <c r="A266"/>
  <c r="A262"/>
  <c r="A258"/>
  <c r="A254"/>
  <c r="A250"/>
  <c r="A246"/>
  <c r="A242"/>
  <c r="A238"/>
  <c r="A234"/>
  <c r="A230"/>
  <c r="A226"/>
  <c r="A222"/>
  <c r="A218"/>
  <c r="A214"/>
  <c r="A210"/>
  <c r="A206"/>
  <c r="A202"/>
  <c r="A198"/>
  <c r="A194"/>
  <c r="A190"/>
  <c r="A186"/>
  <c r="A182"/>
  <c r="A178"/>
  <c r="A174"/>
  <c r="A170"/>
  <c r="A166"/>
  <c r="A162"/>
  <c r="A158"/>
  <c r="A154"/>
  <c r="A150"/>
  <c r="A146"/>
  <c r="A142"/>
  <c r="A138"/>
  <c r="A134"/>
  <c r="A130"/>
  <c r="A126"/>
  <c r="A122"/>
  <c r="A118"/>
  <c r="A114"/>
  <c r="A110"/>
  <c r="A106"/>
  <c r="A102"/>
  <c r="A98"/>
  <c r="A94"/>
  <c r="A90"/>
  <c r="A86"/>
  <c r="A82"/>
  <c r="A78"/>
  <c r="A74"/>
  <c r="A70"/>
  <c r="A66"/>
  <c r="A62"/>
  <c r="A58"/>
  <c r="A54"/>
  <c r="A50"/>
  <c r="A46"/>
  <c r="A42"/>
  <c r="A38"/>
  <c r="A34"/>
  <c r="A30"/>
  <c r="A26"/>
  <c r="A22"/>
  <c r="A18"/>
  <c r="A14"/>
  <c r="A10"/>
  <c r="A6"/>
  <c r="A7"/>
  <c r="A311" i="3"/>
  <c r="A307"/>
  <c r="A303"/>
  <c r="A299"/>
  <c r="A295"/>
  <c r="A291"/>
  <c r="A287"/>
  <c r="A283"/>
  <c r="A279"/>
  <c r="A275"/>
  <c r="A271"/>
  <c r="A267"/>
  <c r="A263"/>
  <c r="A259"/>
  <c r="A255"/>
  <c r="A251"/>
  <c r="A247"/>
  <c r="A243"/>
  <c r="A232"/>
  <c r="A216"/>
  <c r="A213"/>
  <c r="A209"/>
  <c r="A205"/>
  <c r="A201"/>
  <c r="A197"/>
  <c r="A193"/>
  <c r="A189"/>
  <c r="A185"/>
  <c r="A181"/>
  <c r="A177"/>
  <c r="A143"/>
  <c r="A113"/>
  <c r="A91"/>
  <c r="A87"/>
  <c r="A57"/>
  <c r="A27"/>
  <c r="A274" i="1"/>
  <c r="A271"/>
  <c r="A148"/>
  <c r="A144"/>
  <c r="A7"/>
  <c r="A325" i="4"/>
  <c r="A321"/>
  <c r="A317"/>
  <c r="A313"/>
  <c r="A161" i="3"/>
  <c r="A127"/>
  <c r="A101"/>
  <c r="A75"/>
  <c r="A71"/>
  <c r="A41"/>
  <c r="A19"/>
  <c r="A310" i="2"/>
  <c r="Z310"/>
  <c r="A210" i="1"/>
  <c r="A207"/>
  <c r="A52"/>
  <c r="A49"/>
  <c r="A309" i="4"/>
  <c r="A305"/>
  <c r="A301"/>
  <c r="A297"/>
  <c r="A293"/>
  <c r="A289"/>
  <c r="A285"/>
  <c r="A281"/>
  <c r="A277"/>
  <c r="A273"/>
  <c r="A269"/>
  <c r="A265"/>
  <c r="A261"/>
  <c r="A257"/>
  <c r="A253"/>
  <c r="A249"/>
  <c r="A245"/>
  <c r="A241"/>
  <c r="A237"/>
  <c r="A233"/>
  <c r="A229"/>
  <c r="A225"/>
  <c r="A221"/>
  <c r="A217"/>
  <c r="A213"/>
  <c r="A209"/>
  <c r="A205"/>
  <c r="A201"/>
  <c r="A197"/>
  <c r="A193"/>
  <c r="A189"/>
  <c r="A185"/>
  <c r="A181"/>
  <c r="A177"/>
  <c r="A173"/>
  <c r="A169"/>
  <c r="A165"/>
  <c r="A161"/>
  <c r="A157"/>
  <c r="A153"/>
  <c r="A149"/>
  <c r="A145"/>
  <c r="A141"/>
  <c r="A137"/>
  <c r="A133"/>
  <c r="A129"/>
  <c r="A125"/>
  <c r="A121"/>
  <c r="A117"/>
  <c r="A113"/>
  <c r="A109"/>
  <c r="A105"/>
  <c r="A101"/>
  <c r="A97"/>
  <c r="A93"/>
  <c r="A89"/>
  <c r="A85"/>
  <c r="A81"/>
  <c r="A77"/>
  <c r="A73"/>
  <c r="A69"/>
  <c r="A65"/>
  <c r="A61"/>
  <c r="A57"/>
  <c r="A53"/>
  <c r="A49"/>
  <c r="A45"/>
  <c r="A41"/>
  <c r="A37"/>
  <c r="A33"/>
  <c r="A29"/>
  <c r="A25"/>
  <c r="A21"/>
  <c r="A17"/>
  <c r="A13"/>
  <c r="A9"/>
  <c r="A5"/>
  <c r="A323" i="3"/>
  <c r="A167"/>
  <c r="A135"/>
  <c r="A79"/>
  <c r="A65"/>
  <c r="A47"/>
  <c r="A33"/>
  <c r="A325" i="2"/>
  <c r="Z325" s="1"/>
  <c r="A321"/>
  <c r="Z321" s="1"/>
  <c r="A317"/>
  <c r="Z317" s="1"/>
  <c r="A305"/>
  <c r="Z305" s="1"/>
  <c r="A297"/>
  <c r="Z297" s="1"/>
  <c r="A293"/>
  <c r="Z293" s="1"/>
  <c r="A289"/>
  <c r="Z289" s="1"/>
  <c r="A285"/>
  <c r="Z285" s="1"/>
  <c r="A281"/>
  <c r="Z281" s="1"/>
  <c r="A277"/>
  <c r="Z277" s="1"/>
  <c r="A273"/>
  <c r="Z273" s="1"/>
  <c r="A269"/>
  <c r="Z269" s="1"/>
  <c r="A265"/>
  <c r="Z265" s="1"/>
  <c r="A261"/>
  <c r="Z261" s="1"/>
  <c r="A257"/>
  <c r="Z257" s="1"/>
  <c r="A253"/>
  <c r="Z253" s="1"/>
  <c r="A249"/>
  <c r="Z249" s="1"/>
  <c r="A245"/>
  <c r="Z245" s="1"/>
  <c r="A238"/>
  <c r="Z238" s="1"/>
  <c r="A234"/>
  <c r="Z234" s="1"/>
  <c r="A230"/>
  <c r="Z230" s="1"/>
  <c r="A226"/>
  <c r="Z226" s="1"/>
  <c r="A222"/>
  <c r="Z222" s="1"/>
  <c r="A218"/>
  <c r="Z218" s="1"/>
  <c r="A214"/>
  <c r="Z214" s="1"/>
  <c r="A210"/>
  <c r="Z210" s="1"/>
  <c r="A206"/>
  <c r="Z206" s="1"/>
  <c r="A202"/>
  <c r="Z202" s="1"/>
  <c r="A198"/>
  <c r="Z198" s="1"/>
  <c r="A194"/>
  <c r="Z194" s="1"/>
  <c r="A190"/>
  <c r="Z190" s="1"/>
  <c r="A186"/>
  <c r="Z186" s="1"/>
  <c r="A182"/>
  <c r="Z182" s="1"/>
  <c r="A178"/>
  <c r="Z178" s="1"/>
  <c r="A174"/>
  <c r="Z174" s="1"/>
  <c r="A170"/>
  <c r="Z170" s="1"/>
  <c r="A166"/>
  <c r="Z166" s="1"/>
  <c r="A162"/>
  <c r="Z162" s="1"/>
  <c r="A158"/>
  <c r="Z158" s="1"/>
  <c r="A154"/>
  <c r="Z154" s="1"/>
  <c r="A150"/>
  <c r="Z150" s="1"/>
  <c r="A146"/>
  <c r="Z146" s="1"/>
  <c r="A142"/>
  <c r="Z142" s="1"/>
  <c r="A135"/>
  <c r="Z135" s="1"/>
  <c r="A131"/>
  <c r="Z131" s="1"/>
  <c r="A127"/>
  <c r="Z127" s="1"/>
  <c r="A123"/>
  <c r="Z123" s="1"/>
  <c r="A119"/>
  <c r="Z119" s="1"/>
  <c r="A115"/>
  <c r="Z115" s="1"/>
  <c r="A111"/>
  <c r="Z111" s="1"/>
  <c r="A107"/>
  <c r="Z107" s="1"/>
  <c r="A103"/>
  <c r="Z103" s="1"/>
  <c r="A99"/>
  <c r="Z99" s="1"/>
  <c r="A95"/>
  <c r="Z95" s="1"/>
  <c r="A91"/>
  <c r="Z91" s="1"/>
  <c r="A87"/>
  <c r="Z87" s="1"/>
  <c r="A306" i="1"/>
  <c r="A240"/>
  <c r="A237"/>
  <c r="A178"/>
  <c r="A100"/>
  <c r="A96"/>
  <c r="A89"/>
  <c r="A291" i="4"/>
  <c r="A287"/>
  <c r="A283"/>
  <c r="A279"/>
  <c r="A275"/>
  <c r="A267"/>
  <c r="A263"/>
  <c r="A259"/>
  <c r="A255"/>
  <c r="A251"/>
  <c r="A247"/>
  <c r="A243"/>
  <c r="A239"/>
  <c r="A235"/>
  <c r="A231"/>
  <c r="A227"/>
  <c r="A223"/>
  <c r="A219"/>
  <c r="A215"/>
  <c r="A211"/>
  <c r="A203"/>
  <c r="A199"/>
  <c r="A195"/>
  <c r="A191"/>
  <c r="A187"/>
  <c r="A183"/>
  <c r="A179"/>
  <c r="A175"/>
  <c r="A171"/>
  <c r="A167"/>
  <c r="A163"/>
  <c r="A159"/>
  <c r="A155"/>
  <c r="A151"/>
  <c r="A147"/>
  <c r="A139"/>
  <c r="A135"/>
  <c r="A131"/>
  <c r="A127"/>
  <c r="A123"/>
  <c r="A119"/>
  <c r="A115"/>
  <c r="A107"/>
  <c r="A103"/>
  <c r="A99"/>
  <c r="A95"/>
  <c r="A91"/>
  <c r="A87"/>
  <c r="A83"/>
  <c r="A75"/>
  <c r="A71"/>
  <c r="A67"/>
  <c r="A63"/>
  <c r="A59"/>
  <c r="A55"/>
  <c r="A51"/>
  <c r="A43"/>
  <c r="A151" i="3"/>
  <c r="A119"/>
  <c r="A95"/>
  <c r="A81"/>
  <c r="A63"/>
  <c r="A49"/>
  <c r="A31"/>
  <c r="A8"/>
  <c r="A5" i="2"/>
  <c r="Z5" s="1"/>
  <c r="A323"/>
  <c r="Z323" s="1"/>
  <c r="A319"/>
  <c r="Z319" s="1"/>
  <c r="A315"/>
  <c r="Z315" s="1"/>
  <c r="A303"/>
  <c r="Z303" s="1"/>
  <c r="A299"/>
  <c r="Z299" s="1"/>
  <c r="A295"/>
  <c r="Z295" s="1"/>
  <c r="A291"/>
  <c r="Z291" s="1"/>
  <c r="A287"/>
  <c r="Z287" s="1"/>
  <c r="A283"/>
  <c r="Z283" s="1"/>
  <c r="A279"/>
  <c r="Z279" s="1"/>
  <c r="A275"/>
  <c r="Z275" s="1"/>
  <c r="A271"/>
  <c r="Z271" s="1"/>
  <c r="Z267"/>
  <c r="A263"/>
  <c r="Z263"/>
  <c r="A259"/>
  <c r="Z259"/>
  <c r="A255"/>
  <c r="Z255"/>
  <c r="A251"/>
  <c r="Z251"/>
  <c r="A243"/>
  <c r="Z243"/>
  <c r="A240"/>
  <c r="Z240"/>
  <c r="A236"/>
  <c r="Z236"/>
  <c r="A232"/>
  <c r="Z232"/>
  <c r="A228"/>
  <c r="Z228"/>
  <c r="A224"/>
  <c r="Z224"/>
  <c r="A220"/>
  <c r="Z220"/>
  <c r="A216"/>
  <c r="Z216"/>
  <c r="A212"/>
  <c r="Z212"/>
  <c r="A208"/>
  <c r="Z208"/>
  <c r="A204"/>
  <c r="Z204"/>
  <c r="A200"/>
  <c r="Z200"/>
  <c r="A196"/>
  <c r="Z196"/>
  <c r="A192"/>
  <c r="Z192"/>
  <c r="A188"/>
  <c r="Z188"/>
  <c r="A184"/>
  <c r="Z184"/>
  <c r="A180"/>
  <c r="Z180"/>
  <c r="A176"/>
  <c r="Z176"/>
  <c r="A172"/>
  <c r="Z172"/>
  <c r="A168"/>
  <c r="Z168"/>
  <c r="A164"/>
  <c r="Z164"/>
  <c r="A160"/>
  <c r="Z160"/>
  <c r="A156"/>
  <c r="Z156"/>
  <c r="A152"/>
  <c r="Z152"/>
  <c r="A148"/>
  <c r="Z148"/>
  <c r="A144"/>
  <c r="Z144"/>
  <c r="A140"/>
  <c r="Z140"/>
  <c r="A137"/>
  <c r="Z137"/>
  <c r="A133"/>
  <c r="Z133"/>
  <c r="A129"/>
  <c r="Z129"/>
  <c r="A125"/>
  <c r="Z125"/>
  <c r="A121"/>
  <c r="Z121"/>
  <c r="A117"/>
  <c r="Z117"/>
  <c r="A113"/>
  <c r="Z113"/>
  <c r="A109"/>
  <c r="Z109"/>
  <c r="A105"/>
  <c r="Z105"/>
  <c r="A101"/>
  <c r="Z101"/>
  <c r="A97"/>
  <c r="Z97"/>
  <c r="A93"/>
  <c r="Z93"/>
  <c r="A89"/>
  <c r="Z89"/>
  <c r="A85"/>
  <c r="Z85"/>
  <c r="A304" i="1"/>
  <c r="A301"/>
  <c r="A242"/>
  <c r="A176"/>
  <c r="A98"/>
  <c r="A94"/>
  <c r="A91"/>
  <c r="A87"/>
  <c r="A24"/>
  <c r="A39" i="4"/>
  <c r="A35"/>
  <c r="A31"/>
  <c r="A27"/>
  <c r="A23"/>
  <c r="A19"/>
  <c r="A15"/>
  <c r="A11"/>
  <c r="A317" i="3"/>
  <c r="A282"/>
  <c r="A239"/>
  <c r="A235"/>
  <c r="A231"/>
  <c r="A227"/>
  <c r="A223"/>
  <c r="A219"/>
  <c r="A215"/>
  <c r="A204"/>
  <c r="A188"/>
  <c r="A166"/>
  <c r="A163"/>
  <c r="A160"/>
  <c r="A147"/>
  <c r="A134"/>
  <c r="A131"/>
  <c r="A128"/>
  <c r="A115"/>
  <c r="A106"/>
  <c r="A103"/>
  <c r="A100"/>
  <c r="A78"/>
  <c r="A56"/>
  <c r="A34"/>
  <c r="A6"/>
  <c r="A324" i="2"/>
  <c r="Z324" s="1"/>
  <c r="A320"/>
  <c r="Z320" s="1"/>
  <c r="A316"/>
  <c r="Z316" s="1"/>
  <c r="A309"/>
  <c r="Z309" s="1"/>
  <c r="A302"/>
  <c r="Z302" s="1"/>
  <c r="A298"/>
  <c r="Z298" s="1"/>
  <c r="A294"/>
  <c r="Z294" s="1"/>
  <c r="A290"/>
  <c r="Z290" s="1"/>
  <c r="A286"/>
  <c r="Z286" s="1"/>
  <c r="A282"/>
  <c r="Z282" s="1"/>
  <c r="A278"/>
  <c r="Z278" s="1"/>
  <c r="A274"/>
  <c r="Z274" s="1"/>
  <c r="A270"/>
  <c r="Z270" s="1"/>
  <c r="A266"/>
  <c r="Z266" s="1"/>
  <c r="A262"/>
  <c r="Z262" s="1"/>
  <c r="A258"/>
  <c r="Z258" s="1"/>
  <c r="A254"/>
  <c r="Z254" s="1"/>
  <c r="A250"/>
  <c r="Z250" s="1"/>
  <c r="A246"/>
  <c r="Z246" s="1"/>
  <c r="A239"/>
  <c r="Z239" s="1"/>
  <c r="A235"/>
  <c r="Z235" s="1"/>
  <c r="A231"/>
  <c r="Z231" s="1"/>
  <c r="A227"/>
  <c r="Z227" s="1"/>
  <c r="A223"/>
  <c r="Z223" s="1"/>
  <c r="A219"/>
  <c r="Z219" s="1"/>
  <c r="A215"/>
  <c r="Z215" s="1"/>
  <c r="A211"/>
  <c r="Z211" s="1"/>
  <c r="A207"/>
  <c r="Z207" s="1"/>
  <c r="A203"/>
  <c r="Z203" s="1"/>
  <c r="A80"/>
  <c r="Z80" s="1"/>
  <c r="A76"/>
  <c r="Z76" s="1"/>
  <c r="A72"/>
  <c r="Z72" s="1"/>
  <c r="A68"/>
  <c r="Z68" s="1"/>
  <c r="A64"/>
  <c r="Z64" s="1"/>
  <c r="A60"/>
  <c r="Z60" s="1"/>
  <c r="A56"/>
  <c r="Z56" s="1"/>
  <c r="A52"/>
  <c r="Z52" s="1"/>
  <c r="A48"/>
  <c r="Z48" s="1"/>
  <c r="A44"/>
  <c r="Z44" s="1"/>
  <c r="A40"/>
  <c r="Z40" s="1"/>
  <c r="A36"/>
  <c r="Z36" s="1"/>
  <c r="A32"/>
  <c r="Z32" s="1"/>
  <c r="A28"/>
  <c r="Z28" s="1"/>
  <c r="A25"/>
  <c r="Z25" s="1"/>
  <c r="A21"/>
  <c r="Z21" s="1"/>
  <c r="A17"/>
  <c r="Z17" s="1"/>
  <c r="A13"/>
  <c r="Z13" s="1"/>
  <c r="A9"/>
  <c r="Z9" s="1"/>
  <c r="A325" i="1"/>
  <c r="A321"/>
  <c r="A317"/>
  <c r="A290"/>
  <c r="A256"/>
  <c r="A253"/>
  <c r="A226"/>
  <c r="A192"/>
  <c r="A189"/>
  <c r="A162"/>
  <c r="A132"/>
  <c r="A128"/>
  <c r="A121"/>
  <c r="A66"/>
  <c r="A62"/>
  <c r="A36"/>
  <c r="A33"/>
  <c r="A319" i="3"/>
  <c r="A315"/>
  <c r="A284"/>
  <c r="A252"/>
  <c r="A237"/>
  <c r="A233"/>
  <c r="A229"/>
  <c r="A225"/>
  <c r="A221"/>
  <c r="A217"/>
  <c r="A210"/>
  <c r="A194"/>
  <c r="A178"/>
  <c r="A171"/>
  <c r="A158"/>
  <c r="A155"/>
  <c r="A152"/>
  <c r="A139"/>
  <c r="A126"/>
  <c r="A123"/>
  <c r="A120"/>
  <c r="A86"/>
  <c r="A64"/>
  <c r="A42"/>
  <c r="A18"/>
  <c r="A326" i="2"/>
  <c r="Z326" s="1"/>
  <c r="A322"/>
  <c r="Z322" s="1"/>
  <c r="A318"/>
  <c r="Z318" s="1"/>
  <c r="A314"/>
  <c r="Z314" s="1"/>
  <c r="A311"/>
  <c r="Z311" s="1"/>
  <c r="A307"/>
  <c r="Z307" s="1"/>
  <c r="A304"/>
  <c r="Z304" s="1"/>
  <c r="A300"/>
  <c r="Z300" s="1"/>
  <c r="A296"/>
  <c r="Z296" s="1"/>
  <c r="A292"/>
  <c r="Z292" s="1"/>
  <c r="A288"/>
  <c r="Z288" s="1"/>
  <c r="A284"/>
  <c r="Z284" s="1"/>
  <c r="A280"/>
  <c r="Z280" s="1"/>
  <c r="A276"/>
  <c r="Z276" s="1"/>
  <c r="A272"/>
  <c r="Z272" s="1"/>
  <c r="A268"/>
  <c r="Z268" s="1"/>
  <c r="A264"/>
  <c r="Z264" s="1"/>
  <c r="A260"/>
  <c r="Z260" s="1"/>
  <c r="A256"/>
  <c r="Z256" s="1"/>
  <c r="A252"/>
  <c r="Z252" s="1"/>
  <c r="A248"/>
  <c r="Z248" s="1"/>
  <c r="A244"/>
  <c r="Z244" s="1"/>
  <c r="A237"/>
  <c r="Z237" s="1"/>
  <c r="A233"/>
  <c r="Z233" s="1"/>
  <c r="A229"/>
  <c r="Z229" s="1"/>
  <c r="A225"/>
  <c r="Z225" s="1"/>
  <c r="A221"/>
  <c r="Z221" s="1"/>
  <c r="A217"/>
  <c r="Z217" s="1"/>
  <c r="A213"/>
  <c r="Z213" s="1"/>
  <c r="A209"/>
  <c r="Z209" s="1"/>
  <c r="A205"/>
  <c r="Z205" s="1"/>
  <c r="A201"/>
  <c r="Z201" s="1"/>
  <c r="A197"/>
  <c r="Z197" s="1"/>
  <c r="A193"/>
  <c r="Z193" s="1"/>
  <c r="A189"/>
  <c r="Z189" s="1"/>
  <c r="A185"/>
  <c r="Z185" s="1"/>
  <c r="A181"/>
  <c r="Z181" s="1"/>
  <c r="A177"/>
  <c r="Z177" s="1"/>
  <c r="A173"/>
  <c r="Z173" s="1"/>
  <c r="A169"/>
  <c r="Z169" s="1"/>
  <c r="A165"/>
  <c r="Z165" s="1"/>
  <c r="A161"/>
  <c r="Z161" s="1"/>
  <c r="A157"/>
  <c r="Z157" s="1"/>
  <c r="A153"/>
  <c r="Z153" s="1"/>
  <c r="A149"/>
  <c r="Z149" s="1"/>
  <c r="A82"/>
  <c r="Z82" s="1"/>
  <c r="A78"/>
  <c r="Z78" s="1"/>
  <c r="A74"/>
  <c r="Z74" s="1"/>
  <c r="A70"/>
  <c r="Z70" s="1"/>
  <c r="A66"/>
  <c r="Z66" s="1"/>
  <c r="A62"/>
  <c r="Z62" s="1"/>
  <c r="A58"/>
  <c r="Z58" s="1"/>
  <c r="A54"/>
  <c r="Z54" s="1"/>
  <c r="A50"/>
  <c r="Z50" s="1"/>
  <c r="A46"/>
  <c r="Z46" s="1"/>
  <c r="A42"/>
  <c r="Z42" s="1"/>
  <c r="A38"/>
  <c r="Z38" s="1"/>
  <c r="A34"/>
  <c r="Z34" s="1"/>
  <c r="A30"/>
  <c r="Z30" s="1"/>
  <c r="A23"/>
  <c r="Z23" s="1"/>
  <c r="A19"/>
  <c r="Z19" s="1"/>
  <c r="A15"/>
  <c r="Z15" s="1"/>
  <c r="A11"/>
  <c r="Z11" s="1"/>
  <c r="A7"/>
  <c r="Z7" s="1"/>
  <c r="A327" i="1"/>
  <c r="A323"/>
  <c r="A319"/>
  <c r="A288"/>
  <c r="A285"/>
  <c r="A258"/>
  <c r="A224"/>
  <c r="A221"/>
  <c r="A194"/>
  <c r="A164"/>
  <c r="A160"/>
  <c r="A130"/>
  <c r="A126"/>
  <c r="A123"/>
  <c r="A119"/>
  <c r="A68"/>
  <c r="A64"/>
  <c r="A31"/>
  <c r="A16"/>
  <c r="A199" i="2"/>
  <c r="Z199"/>
  <c r="A195"/>
  <c r="Z195"/>
  <c r="A191"/>
  <c r="Z191"/>
  <c r="A187"/>
  <c r="Z187"/>
  <c r="A183"/>
  <c r="Z183"/>
  <c r="A179"/>
  <c r="Z179"/>
  <c r="A175"/>
  <c r="Z175"/>
  <c r="A171"/>
  <c r="Z171"/>
  <c r="A167"/>
  <c r="Z167"/>
  <c r="A163"/>
  <c r="Z163"/>
  <c r="A159"/>
  <c r="Z159"/>
  <c r="A155"/>
  <c r="Z155"/>
  <c r="A151"/>
  <c r="Z151"/>
  <c r="A147"/>
  <c r="Z147"/>
  <c r="A143"/>
  <c r="Z143"/>
  <c r="A136"/>
  <c r="Z136"/>
  <c r="A132"/>
  <c r="Z132"/>
  <c r="A128"/>
  <c r="Z128"/>
  <c r="A124"/>
  <c r="Z124"/>
  <c r="A120"/>
  <c r="Z120"/>
  <c r="A116"/>
  <c r="Z116"/>
  <c r="A112"/>
  <c r="Z112"/>
  <c r="A108"/>
  <c r="Z108"/>
  <c r="A104"/>
  <c r="Z104"/>
  <c r="A100"/>
  <c r="Z100"/>
  <c r="A96"/>
  <c r="Z96"/>
  <c r="A92"/>
  <c r="Z92"/>
  <c r="A88"/>
  <c r="Z88"/>
  <c r="A84"/>
  <c r="Z84"/>
  <c r="A81"/>
  <c r="Z81"/>
  <c r="A77"/>
  <c r="Z77"/>
  <c r="A73"/>
  <c r="Z73"/>
  <c r="A69"/>
  <c r="Z69"/>
  <c r="A65"/>
  <c r="Z65"/>
  <c r="A61"/>
  <c r="Z61"/>
  <c r="A57"/>
  <c r="Z57"/>
  <c r="A53"/>
  <c r="Z53"/>
  <c r="A49"/>
  <c r="Z49"/>
  <c r="A45"/>
  <c r="Z45"/>
  <c r="A41"/>
  <c r="Z41"/>
  <c r="A37"/>
  <c r="Z37"/>
  <c r="A33"/>
  <c r="Z33"/>
  <c r="A29"/>
  <c r="Z29"/>
  <c r="A26"/>
  <c r="Z26"/>
  <c r="A22"/>
  <c r="Z22"/>
  <c r="A18"/>
  <c r="Z18"/>
  <c r="A314" i="1"/>
  <c r="A296"/>
  <c r="A293"/>
  <c r="A282"/>
  <c r="A264"/>
  <c r="A261"/>
  <c r="A250"/>
  <c r="A232"/>
  <c r="A229"/>
  <c r="A218"/>
  <c r="A200"/>
  <c r="A197"/>
  <c r="A186"/>
  <c r="A172"/>
  <c r="A154"/>
  <c r="A151"/>
  <c r="A140"/>
  <c r="A114"/>
  <c r="A110"/>
  <c r="A107"/>
  <c r="A103"/>
  <c r="A84"/>
  <c r="A80"/>
  <c r="A73"/>
  <c r="A58"/>
  <c r="A44"/>
  <c r="A41"/>
  <c r="A20"/>
  <c r="A145" i="2"/>
  <c r="Z145"/>
  <c r="A141"/>
  <c r="Z141"/>
  <c r="A138"/>
  <c r="Z138"/>
  <c r="A134"/>
  <c r="Z134"/>
  <c r="A130"/>
  <c r="Z130"/>
  <c r="A126"/>
  <c r="Z126"/>
  <c r="A122"/>
  <c r="Z122"/>
  <c r="A118"/>
  <c r="Z118"/>
  <c r="A114"/>
  <c r="Z114"/>
  <c r="A110"/>
  <c r="Z110"/>
  <c r="A106"/>
  <c r="Z106"/>
  <c r="A102"/>
  <c r="Z102"/>
  <c r="A98"/>
  <c r="Z98"/>
  <c r="A94"/>
  <c r="Z94"/>
  <c r="A90"/>
  <c r="Z90"/>
  <c r="A86"/>
  <c r="Z86"/>
  <c r="A79"/>
  <c r="Z79"/>
  <c r="A75"/>
  <c r="Z75"/>
  <c r="A71"/>
  <c r="Z71"/>
  <c r="A67"/>
  <c r="Z67"/>
  <c r="A63"/>
  <c r="Z63"/>
  <c r="A59"/>
  <c r="Z59"/>
  <c r="A55"/>
  <c r="Z55"/>
  <c r="A51"/>
  <c r="Z51"/>
  <c r="A47"/>
  <c r="Z47"/>
  <c r="A43"/>
  <c r="Z43"/>
  <c r="A39"/>
  <c r="Z39"/>
  <c r="A35"/>
  <c r="Z35"/>
  <c r="A31"/>
  <c r="Z31"/>
  <c r="A24"/>
  <c r="Z24"/>
  <c r="A312" i="1"/>
  <c r="A309"/>
  <c r="A298"/>
  <c r="A280"/>
  <c r="A277"/>
  <c r="A266"/>
  <c r="A248"/>
  <c r="A245"/>
  <c r="A234"/>
  <c r="A216"/>
  <c r="A213"/>
  <c r="A202"/>
  <c r="A184"/>
  <c r="A181"/>
  <c r="A170"/>
  <c r="A167"/>
  <c r="A156"/>
  <c r="A138"/>
  <c r="A135"/>
  <c r="A116"/>
  <c r="A112"/>
  <c r="A105"/>
  <c r="A82"/>
  <c r="A78"/>
  <c r="A75"/>
  <c r="A71"/>
  <c r="A56"/>
  <c r="A39"/>
  <c r="A28"/>
  <c r="A12"/>
  <c r="A20" i="2"/>
  <c r="Z20"/>
  <c r="A16"/>
  <c r="Z16"/>
  <c r="A12"/>
  <c r="Z12"/>
  <c r="A8"/>
  <c r="Z8"/>
  <c r="A5" i="1"/>
  <c r="A324"/>
  <c r="A320"/>
  <c r="A316"/>
  <c r="A313"/>
  <c r="A310"/>
  <c r="A300"/>
  <c r="A297"/>
  <c r="A294"/>
  <c r="A284"/>
  <c r="A281"/>
  <c r="A278"/>
  <c r="A268"/>
  <c r="A265"/>
  <c r="A262"/>
  <c r="A252"/>
  <c r="A249"/>
  <c r="A246"/>
  <c r="A236"/>
  <c r="A233"/>
  <c r="A230"/>
  <c r="A220"/>
  <c r="A217"/>
  <c r="A214"/>
  <c r="A204"/>
  <c r="A201"/>
  <c r="A198"/>
  <c r="A188"/>
  <c r="A185"/>
  <c r="A182"/>
  <c r="A166"/>
  <c r="A163"/>
  <c r="A150"/>
  <c r="A147"/>
  <c r="A134"/>
  <c r="A131"/>
  <c r="A127"/>
  <c r="A124"/>
  <c r="A120"/>
  <c r="A113"/>
  <c r="A106"/>
  <c r="A102"/>
  <c r="A99"/>
  <c r="A95"/>
  <c r="A92"/>
  <c r="A88"/>
  <c r="A81"/>
  <c r="A74"/>
  <c r="A70"/>
  <c r="A67"/>
  <c r="A63"/>
  <c r="A60"/>
  <c r="A57"/>
  <c r="A54"/>
  <c r="A48"/>
  <c r="A42"/>
  <c r="A38"/>
  <c r="A32"/>
  <c r="A26"/>
  <c r="A18"/>
  <c r="A10"/>
  <c r="A14" i="2"/>
  <c r="Z14" s="1"/>
  <c r="A10"/>
  <c r="Z10" s="1"/>
  <c r="A326" i="1"/>
  <c r="A322"/>
  <c r="A318"/>
  <c r="A308"/>
  <c r="A305"/>
  <c r="A302"/>
  <c r="A292"/>
  <c r="A289"/>
  <c r="A286"/>
  <c r="A276"/>
  <c r="A273"/>
  <c r="A270"/>
  <c r="A260"/>
  <c r="A257"/>
  <c r="A254"/>
  <c r="A244"/>
  <c r="A241"/>
  <c r="A238"/>
  <c r="A228"/>
  <c r="A225"/>
  <c r="A222"/>
  <c r="A212"/>
  <c r="A209"/>
  <c r="A206"/>
  <c r="A196"/>
  <c r="A193"/>
  <c r="A190"/>
  <c r="A180"/>
  <c r="A177"/>
  <c r="A174"/>
  <c r="A171"/>
  <c r="A168"/>
  <c r="A161"/>
  <c r="A158"/>
  <c r="A155"/>
  <c r="A152"/>
  <c r="A145"/>
  <c r="A142"/>
  <c r="A139"/>
  <c r="A136"/>
  <c r="A129"/>
  <c r="A122"/>
  <c r="A118"/>
  <c r="A115"/>
  <c r="A111"/>
  <c r="A108"/>
  <c r="A104"/>
  <c r="A97"/>
  <c r="A90"/>
  <c r="A86"/>
  <c r="A83"/>
  <c r="A79"/>
  <c r="A76"/>
  <c r="A72"/>
  <c r="A65"/>
  <c r="A50"/>
  <c r="A46"/>
  <c r="A40"/>
  <c r="A34"/>
  <c r="A30"/>
  <c r="A22"/>
  <c r="A14"/>
  <c r="A6"/>
  <c r="N325" i="3"/>
  <c r="O325"/>
  <c r="P325"/>
  <c r="Q325"/>
  <c r="R325"/>
  <c r="S325"/>
  <c r="T325"/>
  <c r="U325"/>
  <c r="M325"/>
  <c r="AE31"/>
  <c r="Y161"/>
  <c r="Y162"/>
  <c r="Y307"/>
  <c r="Y308"/>
  <c r="M29" i="4"/>
  <c r="N29"/>
  <c r="O29"/>
  <c r="P29"/>
  <c r="Q29"/>
  <c r="R29"/>
  <c r="S29"/>
  <c r="T29"/>
  <c r="U29"/>
  <c r="V29"/>
  <c r="W29"/>
  <c r="X29"/>
  <c r="Y29" s="1"/>
  <c r="M30"/>
  <c r="N30"/>
  <c r="O30"/>
  <c r="P30"/>
  <c r="Q30"/>
  <c r="R30"/>
  <c r="S30"/>
  <c r="T30"/>
  <c r="U30"/>
  <c r="V30"/>
  <c r="W30"/>
  <c r="X30"/>
  <c r="Y30" s="1"/>
  <c r="M132"/>
  <c r="N132"/>
  <c r="O132"/>
  <c r="P132"/>
  <c r="Q132"/>
  <c r="R132"/>
  <c r="S132"/>
  <c r="T132"/>
  <c r="U132"/>
  <c r="V132"/>
  <c r="W132"/>
  <c r="X132"/>
  <c r="Y132" s="1"/>
  <c r="M186"/>
  <c r="N186"/>
  <c r="O186"/>
  <c r="P186"/>
  <c r="Q186"/>
  <c r="R186"/>
  <c r="S186"/>
  <c r="T186"/>
  <c r="U186"/>
  <c r="V186"/>
  <c r="W186"/>
  <c r="X186"/>
  <c r="Y186" s="1"/>
  <c r="M310"/>
  <c r="N310"/>
  <c r="O310"/>
  <c r="P310"/>
  <c r="Q310"/>
  <c r="R310"/>
  <c r="S310"/>
  <c r="T310"/>
  <c r="U310"/>
  <c r="V310"/>
  <c r="W310"/>
  <c r="X310"/>
  <c r="Y310" s="1"/>
  <c r="J325"/>
  <c r="H325"/>
  <c r="I325"/>
  <c r="H324"/>
  <c r="I324"/>
  <c r="L324"/>
  <c r="J323"/>
  <c r="H323"/>
  <c r="I323"/>
  <c r="J322"/>
  <c r="H322"/>
  <c r="I322"/>
  <c r="I321"/>
  <c r="L321"/>
  <c r="J320"/>
  <c r="H320"/>
  <c r="I320"/>
  <c r="H319"/>
  <c r="I319"/>
  <c r="L319"/>
  <c r="H318"/>
  <c r="I318"/>
  <c r="L318"/>
  <c r="J317"/>
  <c r="H317"/>
  <c r="I317"/>
  <c r="J316"/>
  <c r="H316"/>
  <c r="I316"/>
  <c r="J315"/>
  <c r="H315"/>
  <c r="I315"/>
  <c r="H314"/>
  <c r="I314"/>
  <c r="L314"/>
  <c r="H313"/>
  <c r="I313"/>
  <c r="L313"/>
  <c r="H312"/>
  <c r="I312"/>
  <c r="L312"/>
  <c r="H311"/>
  <c r="I311"/>
  <c r="L311"/>
  <c r="H310"/>
  <c r="H309"/>
  <c r="I309"/>
  <c r="L309"/>
  <c r="H308"/>
  <c r="I308"/>
  <c r="L308"/>
  <c r="J307"/>
  <c r="H307"/>
  <c r="I307"/>
  <c r="H306"/>
  <c r="I306"/>
  <c r="L306"/>
  <c r="H305"/>
  <c r="I305"/>
  <c r="L305"/>
  <c r="H304"/>
  <c r="I304"/>
  <c r="L304"/>
  <c r="H303"/>
  <c r="I303"/>
  <c r="L303"/>
  <c r="H302"/>
  <c r="I302"/>
  <c r="L302"/>
  <c r="H301"/>
  <c r="I301"/>
  <c r="L301"/>
  <c r="H300"/>
  <c r="I300"/>
  <c r="L300"/>
  <c r="J299"/>
  <c r="H299"/>
  <c r="I299"/>
  <c r="H298"/>
  <c r="I298"/>
  <c r="L298"/>
  <c r="H297"/>
  <c r="I297"/>
  <c r="L297"/>
  <c r="J296"/>
  <c r="H296"/>
  <c r="I296"/>
  <c r="H295"/>
  <c r="I295"/>
  <c r="L295"/>
  <c r="J294"/>
  <c r="H294"/>
  <c r="I294"/>
  <c r="H293"/>
  <c r="I293"/>
  <c r="L293"/>
  <c r="H292"/>
  <c r="I292"/>
  <c r="L292"/>
  <c r="J291"/>
  <c r="H291"/>
  <c r="I291"/>
  <c r="J290"/>
  <c r="H290"/>
  <c r="I290"/>
  <c r="H289"/>
  <c r="I289"/>
  <c r="L289"/>
  <c r="I288"/>
  <c r="L288"/>
  <c r="I287"/>
  <c r="L287"/>
  <c r="H286"/>
  <c r="I286"/>
  <c r="L286"/>
  <c r="J285"/>
  <c r="H285"/>
  <c r="I285"/>
  <c r="H284"/>
  <c r="I284"/>
  <c r="L284"/>
  <c r="J283"/>
  <c r="H283"/>
  <c r="I283"/>
  <c r="H282"/>
  <c r="I282"/>
  <c r="L282"/>
  <c r="H281"/>
  <c r="I281"/>
  <c r="L281"/>
  <c r="J280"/>
  <c r="H280"/>
  <c r="I280"/>
  <c r="J279"/>
  <c r="H279"/>
  <c r="I279"/>
  <c r="J278"/>
  <c r="L278"/>
  <c r="H278"/>
  <c r="J277"/>
  <c r="H277"/>
  <c r="I277"/>
  <c r="H276"/>
  <c r="I276"/>
  <c r="L276"/>
  <c r="H275"/>
  <c r="I275"/>
  <c r="L275"/>
  <c r="H274"/>
  <c r="I274"/>
  <c r="L274"/>
  <c r="H273"/>
  <c r="I273"/>
  <c r="L273"/>
  <c r="H272"/>
  <c r="I272"/>
  <c r="L272"/>
  <c r="H271"/>
  <c r="I271"/>
  <c r="L271"/>
  <c r="H270"/>
  <c r="I270"/>
  <c r="L270"/>
  <c r="J269"/>
  <c r="H269"/>
  <c r="I269"/>
  <c r="H268"/>
  <c r="I268"/>
  <c r="L268"/>
  <c r="L267"/>
  <c r="H267"/>
  <c r="H266"/>
  <c r="I266"/>
  <c r="L266"/>
  <c r="H265"/>
  <c r="I265"/>
  <c r="L265"/>
  <c r="H264"/>
  <c r="I264"/>
  <c r="L264"/>
  <c r="H263"/>
  <c r="I263"/>
  <c r="L263"/>
  <c r="H262"/>
  <c r="I262"/>
  <c r="L262"/>
  <c r="H261"/>
  <c r="I261"/>
  <c r="L261"/>
  <c r="H260"/>
  <c r="I260"/>
  <c r="L260"/>
  <c r="H259"/>
  <c r="I259"/>
  <c r="L259"/>
  <c r="H258"/>
  <c r="I258"/>
  <c r="L258"/>
  <c r="H257"/>
  <c r="I257"/>
  <c r="L257"/>
  <c r="J256"/>
  <c r="H256"/>
  <c r="I256"/>
  <c r="H255"/>
  <c r="I255"/>
  <c r="L255"/>
  <c r="H254"/>
  <c r="I254"/>
  <c r="L254"/>
  <c r="H253"/>
  <c r="I253"/>
  <c r="L253"/>
  <c r="H252"/>
  <c r="I252"/>
  <c r="L252"/>
  <c r="H251"/>
  <c r="I251"/>
  <c r="L251"/>
  <c r="H250"/>
  <c r="I250"/>
  <c r="L250"/>
  <c r="J249"/>
  <c r="H249"/>
  <c r="I249"/>
  <c r="H248"/>
  <c r="I248"/>
  <c r="L248"/>
  <c r="J247"/>
  <c r="H247"/>
  <c r="I247"/>
  <c r="H246"/>
  <c r="I246"/>
  <c r="L246"/>
  <c r="H245"/>
  <c r="I245"/>
  <c r="L245"/>
  <c r="H244"/>
  <c r="I244"/>
  <c r="L244"/>
  <c r="H243"/>
  <c r="I243"/>
  <c r="L243"/>
  <c r="H242"/>
  <c r="I242"/>
  <c r="L242"/>
  <c r="H241"/>
  <c r="I241"/>
  <c r="L241"/>
  <c r="J240"/>
  <c r="H240"/>
  <c r="I240"/>
  <c r="J239"/>
  <c r="H239"/>
  <c r="I239"/>
  <c r="H238"/>
  <c r="I238"/>
  <c r="L238"/>
  <c r="J237"/>
  <c r="H237"/>
  <c r="I237"/>
  <c r="J236"/>
  <c r="H236"/>
  <c r="I236"/>
  <c r="H235"/>
  <c r="I235"/>
  <c r="L235"/>
  <c r="J234"/>
  <c r="H234"/>
  <c r="I234"/>
  <c r="J233"/>
  <c r="H233"/>
  <c r="I233"/>
  <c r="H232"/>
  <c r="I232"/>
  <c r="L232"/>
  <c r="H231"/>
  <c r="I231"/>
  <c r="L231"/>
  <c r="H230"/>
  <c r="I230"/>
  <c r="L230"/>
  <c r="H229"/>
  <c r="I229"/>
  <c r="L229"/>
  <c r="L228"/>
  <c r="H228"/>
  <c r="J227"/>
  <c r="L227"/>
  <c r="H227"/>
  <c r="J226"/>
  <c r="H226"/>
  <c r="I226"/>
  <c r="H225"/>
  <c r="I225"/>
  <c r="L225"/>
  <c r="I224"/>
  <c r="L224"/>
  <c r="H223"/>
  <c r="I223"/>
  <c r="L223"/>
  <c r="J222"/>
  <c r="H222"/>
  <c r="I222"/>
  <c r="H221"/>
  <c r="I221"/>
  <c r="L221"/>
  <c r="H220"/>
  <c r="I220"/>
  <c r="L220"/>
  <c r="H219"/>
  <c r="I219"/>
  <c r="L219"/>
  <c r="H218"/>
  <c r="I218"/>
  <c r="L218"/>
  <c r="H217"/>
  <c r="I217"/>
  <c r="L217"/>
  <c r="H216"/>
  <c r="I216"/>
  <c r="L216"/>
  <c r="H215"/>
  <c r="I215"/>
  <c r="L215"/>
  <c r="J214"/>
  <c r="H214"/>
  <c r="I214"/>
  <c r="I213"/>
  <c r="L213"/>
  <c r="H212"/>
  <c r="I212"/>
  <c r="L212"/>
  <c r="H211"/>
  <c r="I211"/>
  <c r="L211"/>
  <c r="H210"/>
  <c r="I210"/>
  <c r="L210"/>
  <c r="H209"/>
  <c r="I209"/>
  <c r="L209"/>
  <c r="J208"/>
  <c r="H208"/>
  <c r="I208"/>
  <c r="H207"/>
  <c r="I207"/>
  <c r="L207"/>
  <c r="J206"/>
  <c r="H206"/>
  <c r="I206"/>
  <c r="I205"/>
  <c r="L205"/>
  <c r="I204"/>
  <c r="L204"/>
  <c r="H203"/>
  <c r="I203"/>
  <c r="L203"/>
  <c r="H202"/>
  <c r="I202"/>
  <c r="L202"/>
  <c r="H201"/>
  <c r="I201"/>
  <c r="L201"/>
  <c r="J200"/>
  <c r="H200"/>
  <c r="I200"/>
  <c r="J199"/>
  <c r="H199"/>
  <c r="I199"/>
  <c r="J198"/>
  <c r="H198"/>
  <c r="I198"/>
  <c r="H197"/>
  <c r="I197"/>
  <c r="L197"/>
  <c r="H196"/>
  <c r="I196"/>
  <c r="L196"/>
  <c r="H195"/>
  <c r="I195"/>
  <c r="L195"/>
  <c r="H194"/>
  <c r="I194"/>
  <c r="L194"/>
  <c r="H193"/>
  <c r="I193"/>
  <c r="L193"/>
  <c r="H192"/>
  <c r="I192"/>
  <c r="L192"/>
  <c r="H191"/>
  <c r="I191"/>
  <c r="L191"/>
  <c r="H190"/>
  <c r="I190"/>
  <c r="L190"/>
  <c r="H189"/>
  <c r="I189"/>
  <c r="L189"/>
  <c r="H188"/>
  <c r="I188"/>
  <c r="L188"/>
  <c r="H187"/>
  <c r="I187"/>
  <c r="L187"/>
  <c r="H185"/>
  <c r="I185"/>
  <c r="L185"/>
  <c r="H184"/>
  <c r="I184"/>
  <c r="L184"/>
  <c r="I183"/>
  <c r="L183"/>
  <c r="H182"/>
  <c r="I182"/>
  <c r="L182"/>
  <c r="H181"/>
  <c r="I181"/>
  <c r="L181"/>
  <c r="H180"/>
  <c r="I180"/>
  <c r="L180"/>
  <c r="J179"/>
  <c r="H179"/>
  <c r="I179"/>
  <c r="H178"/>
  <c r="I178"/>
  <c r="L178"/>
  <c r="H177"/>
  <c r="I177"/>
  <c r="L177"/>
  <c r="H176"/>
  <c r="I176"/>
  <c r="L176"/>
  <c r="H175"/>
  <c r="I175"/>
  <c r="L175"/>
  <c r="H174"/>
  <c r="I174"/>
  <c r="L174"/>
  <c r="H173"/>
  <c r="I173"/>
  <c r="L173"/>
  <c r="H172"/>
  <c r="I172"/>
  <c r="L172"/>
  <c r="H171"/>
  <c r="I171"/>
  <c r="L171"/>
  <c r="H170"/>
  <c r="I170"/>
  <c r="L170"/>
  <c r="H169"/>
  <c r="I169"/>
  <c r="L169"/>
  <c r="H168"/>
  <c r="I168"/>
  <c r="L168"/>
  <c r="H167"/>
  <c r="I167"/>
  <c r="L167"/>
  <c r="H166"/>
  <c r="I166"/>
  <c r="L166"/>
  <c r="H165"/>
  <c r="I165"/>
  <c r="L165"/>
  <c r="J164"/>
  <c r="H164"/>
  <c r="I164"/>
  <c r="H163"/>
  <c r="I163"/>
  <c r="L163"/>
  <c r="J162"/>
  <c r="H162"/>
  <c r="I162"/>
  <c r="H161"/>
  <c r="I161"/>
  <c r="L161"/>
  <c r="H160"/>
  <c r="I160"/>
  <c r="L160"/>
  <c r="J159"/>
  <c r="H159"/>
  <c r="I159"/>
  <c r="J158"/>
  <c r="H158"/>
  <c r="I158"/>
  <c r="J157"/>
  <c r="H157"/>
  <c r="I157"/>
  <c r="J156"/>
  <c r="H156"/>
  <c r="I156"/>
  <c r="J155"/>
  <c r="H155"/>
  <c r="I155"/>
  <c r="H154"/>
  <c r="I154"/>
  <c r="L154"/>
  <c r="H153"/>
  <c r="I153"/>
  <c r="L153"/>
  <c r="H152"/>
  <c r="I152"/>
  <c r="L152"/>
  <c r="J151"/>
  <c r="H151"/>
  <c r="I151"/>
  <c r="H150"/>
  <c r="I150"/>
  <c r="L150"/>
  <c r="J149"/>
  <c r="H149"/>
  <c r="I149"/>
  <c r="J148"/>
  <c r="H148"/>
  <c r="I148"/>
  <c r="H147"/>
  <c r="I147"/>
  <c r="L147"/>
  <c r="J146"/>
  <c r="H146"/>
  <c r="I146"/>
  <c r="H145"/>
  <c r="I145"/>
  <c r="L145"/>
  <c r="H144"/>
  <c r="I144"/>
  <c r="L144"/>
  <c r="H143"/>
  <c r="I143"/>
  <c r="L143"/>
  <c r="H142"/>
  <c r="I142"/>
  <c r="L142"/>
  <c r="H141"/>
  <c r="I141"/>
  <c r="L141"/>
  <c r="J140"/>
  <c r="H140"/>
  <c r="I140"/>
  <c r="H139"/>
  <c r="I139"/>
  <c r="L139"/>
  <c r="J138"/>
  <c r="H138"/>
  <c r="I138"/>
  <c r="H137"/>
  <c r="I137"/>
  <c r="L137"/>
  <c r="J136"/>
  <c r="H136"/>
  <c r="I136"/>
  <c r="H135"/>
  <c r="I135"/>
  <c r="L135"/>
  <c r="H134"/>
  <c r="I134"/>
  <c r="L134"/>
  <c r="H133"/>
  <c r="I133"/>
  <c r="L133"/>
  <c r="I132"/>
  <c r="J131"/>
  <c r="H131"/>
  <c r="I131"/>
  <c r="H130"/>
  <c r="I130"/>
  <c r="L130"/>
  <c r="H129"/>
  <c r="I129"/>
  <c r="L129"/>
  <c r="J128"/>
  <c r="H128"/>
  <c r="I128"/>
  <c r="H127"/>
  <c r="I127"/>
  <c r="L127"/>
  <c r="H126"/>
  <c r="I126"/>
  <c r="L126"/>
  <c r="J125"/>
  <c r="H125"/>
  <c r="I125"/>
  <c r="J124"/>
  <c r="H124"/>
  <c r="I124"/>
  <c r="H123"/>
  <c r="I123"/>
  <c r="L123"/>
  <c r="H122"/>
  <c r="I122"/>
  <c r="L122"/>
  <c r="H121"/>
  <c r="I121"/>
  <c r="L121"/>
  <c r="H120"/>
  <c r="I120"/>
  <c r="L120"/>
  <c r="I119"/>
  <c r="L119"/>
  <c r="J118"/>
  <c r="H118"/>
  <c r="I118"/>
  <c r="H117"/>
  <c r="I117"/>
  <c r="L117"/>
  <c r="H116"/>
  <c r="I116"/>
  <c r="L116"/>
  <c r="H115"/>
  <c r="I115"/>
  <c r="L115"/>
  <c r="H114"/>
  <c r="I114"/>
  <c r="L114"/>
  <c r="J113"/>
  <c r="H113"/>
  <c r="I113"/>
  <c r="J112"/>
  <c r="H112"/>
  <c r="I112"/>
  <c r="H111"/>
  <c r="I111"/>
  <c r="L111"/>
  <c r="H110"/>
  <c r="I110"/>
  <c r="L110"/>
  <c r="J109"/>
  <c r="H109"/>
  <c r="I109"/>
  <c r="H108"/>
  <c r="I108"/>
  <c r="L108"/>
  <c r="J107"/>
  <c r="H107"/>
  <c r="I107"/>
  <c r="H106"/>
  <c r="I106"/>
  <c r="L106"/>
  <c r="H105"/>
  <c r="I105"/>
  <c r="L105"/>
  <c r="H104"/>
  <c r="I104"/>
  <c r="L104"/>
  <c r="H103"/>
  <c r="I103"/>
  <c r="L103"/>
  <c r="H102"/>
  <c r="I102"/>
  <c r="L102"/>
  <c r="H101"/>
  <c r="I101"/>
  <c r="L101"/>
  <c r="J100"/>
  <c r="H100"/>
  <c r="I100"/>
  <c r="J99"/>
  <c r="H99"/>
  <c r="I99"/>
  <c r="H98"/>
  <c r="I98"/>
  <c r="L98"/>
  <c r="J97"/>
  <c r="H97"/>
  <c r="I97"/>
  <c r="H96"/>
  <c r="I96"/>
  <c r="L96"/>
  <c r="H95"/>
  <c r="I95"/>
  <c r="L95"/>
  <c r="H94"/>
  <c r="I94"/>
  <c r="L94"/>
  <c r="H93"/>
  <c r="I93"/>
  <c r="L93"/>
  <c r="J92"/>
  <c r="H92"/>
  <c r="I92"/>
  <c r="H91"/>
  <c r="I91"/>
  <c r="L91"/>
  <c r="I90"/>
  <c r="L90"/>
  <c r="I89"/>
  <c r="L89"/>
  <c r="J88"/>
  <c r="H88"/>
  <c r="I88"/>
  <c r="J87"/>
  <c r="H87"/>
  <c r="I87"/>
  <c r="J86"/>
  <c r="H86"/>
  <c r="I86"/>
  <c r="J85"/>
  <c r="H85"/>
  <c r="I85"/>
  <c r="H84"/>
  <c r="I84"/>
  <c r="L84"/>
  <c r="J83"/>
  <c r="H83"/>
  <c r="I83"/>
  <c r="J82"/>
  <c r="H82"/>
  <c r="I82"/>
  <c r="J81"/>
  <c r="H81"/>
  <c r="I81"/>
  <c r="H80"/>
  <c r="I80"/>
  <c r="L80"/>
  <c r="H79"/>
  <c r="I79"/>
  <c r="L79"/>
  <c r="H78"/>
  <c r="I78"/>
  <c r="L78"/>
  <c r="H77"/>
  <c r="I77"/>
  <c r="L77"/>
  <c r="J76"/>
  <c r="H76"/>
  <c r="I76"/>
  <c r="H75"/>
  <c r="I75"/>
  <c r="L75"/>
  <c r="L74"/>
  <c r="H73"/>
  <c r="I73"/>
  <c r="L73"/>
  <c r="J72"/>
  <c r="H72"/>
  <c r="I72"/>
  <c r="J71"/>
  <c r="H71"/>
  <c r="I71"/>
  <c r="H70"/>
  <c r="I70"/>
  <c r="L70"/>
  <c r="J69"/>
  <c r="H69"/>
  <c r="I69"/>
  <c r="J68"/>
  <c r="H68"/>
  <c r="I68"/>
  <c r="J67"/>
  <c r="H67"/>
  <c r="I67"/>
  <c r="J66"/>
  <c r="H66"/>
  <c r="I66"/>
  <c r="J65"/>
  <c r="H65"/>
  <c r="I65"/>
  <c r="H64"/>
  <c r="I64"/>
  <c r="L64"/>
  <c r="H63"/>
  <c r="I63"/>
  <c r="L63"/>
  <c r="J62"/>
  <c r="H62"/>
  <c r="I62"/>
  <c r="J61"/>
  <c r="H61"/>
  <c r="I61"/>
  <c r="J60"/>
  <c r="H60"/>
  <c r="I60"/>
  <c r="J59"/>
  <c r="H59"/>
  <c r="I59"/>
  <c r="J58"/>
  <c r="H58"/>
  <c r="I58"/>
  <c r="H57"/>
  <c r="I57"/>
  <c r="L57"/>
  <c r="J56"/>
  <c r="H56"/>
  <c r="I56"/>
  <c r="J55"/>
  <c r="H55"/>
  <c r="I55"/>
  <c r="J54"/>
  <c r="H54"/>
  <c r="I54"/>
  <c r="J53"/>
  <c r="H53"/>
  <c r="I53"/>
  <c r="J52"/>
  <c r="H52"/>
  <c r="I52"/>
  <c r="H51"/>
  <c r="I51"/>
  <c r="L51"/>
  <c r="J50"/>
  <c r="H50"/>
  <c r="I50"/>
  <c r="H49"/>
  <c r="I49"/>
  <c r="L49"/>
  <c r="H48"/>
  <c r="I48"/>
  <c r="L48"/>
  <c r="H47"/>
  <c r="I47"/>
  <c r="L47"/>
  <c r="H46"/>
  <c r="I46"/>
  <c r="L46"/>
  <c r="H45"/>
  <c r="I45"/>
  <c r="L45"/>
  <c r="H44"/>
  <c r="I44"/>
  <c r="L44"/>
  <c r="J43"/>
  <c r="H43"/>
  <c r="I43"/>
  <c r="H42"/>
  <c r="I42"/>
  <c r="L42"/>
  <c r="H41"/>
  <c r="I41"/>
  <c r="L41"/>
  <c r="H40"/>
  <c r="I40"/>
  <c r="L40"/>
  <c r="H39"/>
  <c r="I39"/>
  <c r="L39"/>
  <c r="H38"/>
  <c r="I38"/>
  <c r="L38"/>
  <c r="H37"/>
  <c r="I37"/>
  <c r="L37"/>
  <c r="H36"/>
  <c r="I36"/>
  <c r="L36"/>
  <c r="J35"/>
  <c r="H35"/>
  <c r="I35"/>
  <c r="H34"/>
  <c r="I34"/>
  <c r="L34"/>
  <c r="H33"/>
  <c r="I33"/>
  <c r="L33"/>
  <c r="H32"/>
  <c r="I32"/>
  <c r="L32"/>
  <c r="H31"/>
  <c r="I31"/>
  <c r="L31"/>
  <c r="H30"/>
  <c r="I30"/>
  <c r="H29"/>
  <c r="I29"/>
  <c r="J28"/>
  <c r="H28"/>
  <c r="I28"/>
  <c r="H27"/>
  <c r="I27"/>
  <c r="L27"/>
  <c r="H26"/>
  <c r="I26"/>
  <c r="L26"/>
  <c r="H25"/>
  <c r="I25"/>
  <c r="L25"/>
  <c r="H24"/>
  <c r="I24"/>
  <c r="L24"/>
  <c r="J23"/>
  <c r="H23"/>
  <c r="I23"/>
  <c r="J22"/>
  <c r="H22"/>
  <c r="I22"/>
  <c r="I21"/>
  <c r="L21"/>
  <c r="J20"/>
  <c r="H20"/>
  <c r="I20"/>
  <c r="H19"/>
  <c r="I19"/>
  <c r="L19"/>
  <c r="H18"/>
  <c r="I18"/>
  <c r="L18"/>
  <c r="I17"/>
  <c r="L17"/>
  <c r="H16"/>
  <c r="I16"/>
  <c r="L16"/>
  <c r="H15"/>
  <c r="I15"/>
  <c r="L15"/>
  <c r="J14"/>
  <c r="H14"/>
  <c r="I14"/>
  <c r="H13"/>
  <c r="I13"/>
  <c r="L13"/>
  <c r="H12"/>
  <c r="I12"/>
  <c r="L12"/>
  <c r="H11"/>
  <c r="I11"/>
  <c r="L11"/>
  <c r="H10"/>
  <c r="I10"/>
  <c r="L10"/>
  <c r="H9"/>
  <c r="I9"/>
  <c r="L9"/>
  <c r="J8"/>
  <c r="H8"/>
  <c r="I8"/>
  <c r="H7"/>
  <c r="I7"/>
  <c r="L7"/>
  <c r="H6"/>
  <c r="I6"/>
  <c r="L6"/>
  <c r="H5"/>
  <c r="I5"/>
  <c r="L5"/>
  <c r="J4"/>
  <c r="H4"/>
  <c r="I4"/>
  <c r="M327" i="2"/>
  <c r="N327"/>
  <c r="O327"/>
  <c r="P327"/>
  <c r="Q327"/>
  <c r="R327"/>
  <c r="S327"/>
  <c r="T327"/>
  <c r="U327"/>
  <c r="V327"/>
  <c r="W327"/>
  <c r="X327"/>
  <c r="Y311"/>
  <c r="Y187"/>
  <c r="Y133"/>
  <c r="Y30"/>
  <c r="Y31"/>
  <c r="L199" i="4"/>
  <c r="L280"/>
  <c r="L317"/>
  <c r="L320"/>
  <c r="L325"/>
  <c r="L198"/>
  <c r="L43"/>
  <c r="L237"/>
  <c r="L256"/>
  <c r="L277"/>
  <c r="L8"/>
  <c r="L58"/>
  <c r="L60"/>
  <c r="L67"/>
  <c r="L69"/>
  <c r="L83"/>
  <c r="L97"/>
  <c r="L146"/>
  <c r="L151"/>
  <c r="L52"/>
  <c r="L72"/>
  <c r="L86"/>
  <c r="L100"/>
  <c r="L107"/>
  <c r="L125"/>
  <c r="L131"/>
  <c r="L162"/>
  <c r="L206"/>
  <c r="L269"/>
  <c r="L20"/>
  <c r="L68"/>
  <c r="L76"/>
  <c r="L14"/>
  <c r="L23"/>
  <c r="L55"/>
  <c r="L124"/>
  <c r="L136"/>
  <c r="L148"/>
  <c r="L156"/>
  <c r="L233"/>
  <c r="L291"/>
  <c r="L294"/>
  <c r="L307"/>
  <c r="L322"/>
  <c r="L85"/>
  <c r="L65"/>
  <c r="L109"/>
  <c r="L247"/>
  <c r="L66"/>
  <c r="L149"/>
  <c r="L296"/>
  <c r="L157"/>
  <c r="L87"/>
  <c r="L92"/>
  <c r="L113"/>
  <c r="L140"/>
  <c r="L53"/>
  <c r="L22"/>
  <c r="L50"/>
  <c r="L54"/>
  <c r="L59"/>
  <c r="L88"/>
  <c r="L99"/>
  <c r="L112"/>
  <c r="L118"/>
  <c r="L128"/>
  <c r="L138"/>
  <c r="L159"/>
  <c r="L164"/>
  <c r="L208"/>
  <c r="L236"/>
  <c r="L279"/>
  <c r="L323"/>
  <c r="L315"/>
  <c r="L4"/>
  <c r="L35"/>
  <c r="L62"/>
  <c r="L71"/>
  <c r="L82"/>
  <c r="L155"/>
  <c r="L158"/>
  <c r="L179"/>
  <c r="L200"/>
  <c r="L214"/>
  <c r="L222"/>
  <c r="L234"/>
  <c r="L240"/>
  <c r="L249"/>
  <c r="L285"/>
  <c r="L290"/>
  <c r="L316"/>
  <c r="L28"/>
  <c r="L56"/>
  <c r="L61"/>
  <c r="L81"/>
  <c r="L226"/>
  <c r="L299"/>
  <c r="L239"/>
  <c r="L283"/>
  <c r="H30" i="3"/>
  <c r="I30" s="1"/>
  <c r="H31"/>
  <c r="I31" s="1"/>
  <c r="H98"/>
  <c r="I98" s="1"/>
  <c r="J98"/>
  <c r="I133"/>
  <c r="H161"/>
  <c r="I161" s="1"/>
  <c r="L161" s="1"/>
  <c r="H162"/>
  <c r="I162" s="1"/>
  <c r="L162" s="1"/>
  <c r="H227"/>
  <c r="H228"/>
  <c r="H266"/>
  <c r="H277"/>
  <c r="H299"/>
  <c r="I299" s="1"/>
  <c r="L299" s="1"/>
  <c r="AB299" s="1"/>
  <c r="H307"/>
  <c r="I307" s="1"/>
  <c r="L307" s="1"/>
  <c r="AB307" s="1"/>
  <c r="H308"/>
  <c r="I308" s="1"/>
  <c r="L308" s="1"/>
  <c r="AB308" s="1"/>
  <c r="H309"/>
  <c r="J326" i="2"/>
  <c r="H326"/>
  <c r="I326"/>
  <c r="H325"/>
  <c r="I325"/>
  <c r="L325"/>
  <c r="J324"/>
  <c r="H324"/>
  <c r="I324"/>
  <c r="J323"/>
  <c r="H323"/>
  <c r="I323"/>
  <c r="I322"/>
  <c r="L322"/>
  <c r="J321"/>
  <c r="H321"/>
  <c r="I321"/>
  <c r="H320"/>
  <c r="I320"/>
  <c r="L320"/>
  <c r="H319"/>
  <c r="I319"/>
  <c r="L319"/>
  <c r="J318"/>
  <c r="H318"/>
  <c r="I318"/>
  <c r="J317"/>
  <c r="H317"/>
  <c r="I317"/>
  <c r="J316"/>
  <c r="H316"/>
  <c r="I316"/>
  <c r="H315"/>
  <c r="I315"/>
  <c r="L315"/>
  <c r="H314"/>
  <c r="I314"/>
  <c r="L314"/>
  <c r="H313"/>
  <c r="I313"/>
  <c r="L313"/>
  <c r="H312"/>
  <c r="I312"/>
  <c r="L312"/>
  <c r="H311"/>
  <c r="H310"/>
  <c r="I310"/>
  <c r="L310"/>
  <c r="H309"/>
  <c r="I309"/>
  <c r="L309"/>
  <c r="J308"/>
  <c r="H308"/>
  <c r="I308"/>
  <c r="H307"/>
  <c r="I307"/>
  <c r="L307"/>
  <c r="H306"/>
  <c r="I306"/>
  <c r="L306"/>
  <c r="H305"/>
  <c r="I305"/>
  <c r="L305"/>
  <c r="H304"/>
  <c r="I304"/>
  <c r="L304"/>
  <c r="H303"/>
  <c r="I303"/>
  <c r="L303"/>
  <c r="H302"/>
  <c r="I302"/>
  <c r="L302"/>
  <c r="H301"/>
  <c r="I301"/>
  <c r="L301"/>
  <c r="J300"/>
  <c r="H300"/>
  <c r="I300"/>
  <c r="H299"/>
  <c r="I299"/>
  <c r="L299"/>
  <c r="H298"/>
  <c r="I298"/>
  <c r="L298"/>
  <c r="J297"/>
  <c r="H297"/>
  <c r="I297"/>
  <c r="H296"/>
  <c r="I296"/>
  <c r="L296"/>
  <c r="J295"/>
  <c r="H295"/>
  <c r="I295"/>
  <c r="H294"/>
  <c r="I294"/>
  <c r="L294"/>
  <c r="H293"/>
  <c r="I293"/>
  <c r="L293"/>
  <c r="J292"/>
  <c r="H292"/>
  <c r="I292"/>
  <c r="J291"/>
  <c r="H291"/>
  <c r="I291"/>
  <c r="H290"/>
  <c r="I290"/>
  <c r="L290"/>
  <c r="I289"/>
  <c r="L289"/>
  <c r="I288"/>
  <c r="L288"/>
  <c r="H287"/>
  <c r="I287"/>
  <c r="L287"/>
  <c r="J286"/>
  <c r="H286"/>
  <c r="I286"/>
  <c r="H285"/>
  <c r="I285"/>
  <c r="L285"/>
  <c r="J284"/>
  <c r="H284"/>
  <c r="I284"/>
  <c r="H283"/>
  <c r="I283"/>
  <c r="L283"/>
  <c r="H282"/>
  <c r="I282"/>
  <c r="L282"/>
  <c r="J281"/>
  <c r="H281"/>
  <c r="I281"/>
  <c r="J280"/>
  <c r="H280"/>
  <c r="I280"/>
  <c r="J279"/>
  <c r="L279"/>
  <c r="H279"/>
  <c r="J278"/>
  <c r="H278"/>
  <c r="I278"/>
  <c r="H277"/>
  <c r="I277"/>
  <c r="L277"/>
  <c r="H276"/>
  <c r="I276"/>
  <c r="L276"/>
  <c r="H275"/>
  <c r="I275"/>
  <c r="L275"/>
  <c r="H274"/>
  <c r="I274"/>
  <c r="L274"/>
  <c r="H273"/>
  <c r="I273"/>
  <c r="L273"/>
  <c r="H272"/>
  <c r="I272"/>
  <c r="L272"/>
  <c r="H271"/>
  <c r="I271"/>
  <c r="L271"/>
  <c r="J270"/>
  <c r="H270"/>
  <c r="I270"/>
  <c r="H269"/>
  <c r="I269"/>
  <c r="L269"/>
  <c r="L268"/>
  <c r="H268"/>
  <c r="H267"/>
  <c r="I267"/>
  <c r="L267"/>
  <c r="H266"/>
  <c r="I266"/>
  <c r="L266"/>
  <c r="H265"/>
  <c r="I265"/>
  <c r="L265"/>
  <c r="H264"/>
  <c r="I264"/>
  <c r="L264"/>
  <c r="H263"/>
  <c r="I263"/>
  <c r="L263"/>
  <c r="H262"/>
  <c r="I262"/>
  <c r="L262"/>
  <c r="H261"/>
  <c r="I261"/>
  <c r="L261"/>
  <c r="H260"/>
  <c r="I260"/>
  <c r="L260"/>
  <c r="H259"/>
  <c r="I259"/>
  <c r="L259"/>
  <c r="H258"/>
  <c r="I258"/>
  <c r="L258"/>
  <c r="J257"/>
  <c r="H257"/>
  <c r="I257"/>
  <c r="H256"/>
  <c r="I256"/>
  <c r="L256"/>
  <c r="H255"/>
  <c r="I255"/>
  <c r="L255"/>
  <c r="H254"/>
  <c r="I254"/>
  <c r="L254"/>
  <c r="H253"/>
  <c r="I253"/>
  <c r="L253"/>
  <c r="H252"/>
  <c r="I252"/>
  <c r="L252"/>
  <c r="H251"/>
  <c r="I251"/>
  <c r="L251"/>
  <c r="H250"/>
  <c r="I250"/>
  <c r="H249"/>
  <c r="I249"/>
  <c r="L249"/>
  <c r="J248"/>
  <c r="H248"/>
  <c r="I248"/>
  <c r="H247"/>
  <c r="I247"/>
  <c r="H246"/>
  <c r="I246"/>
  <c r="L246"/>
  <c r="H245"/>
  <c r="I245"/>
  <c r="L245"/>
  <c r="H244"/>
  <c r="I244"/>
  <c r="L244"/>
  <c r="H243"/>
  <c r="I243"/>
  <c r="L243"/>
  <c r="H242"/>
  <c r="I242"/>
  <c r="L242"/>
  <c r="J240"/>
  <c r="H240"/>
  <c r="I240"/>
  <c r="H239"/>
  <c r="I239"/>
  <c r="L239"/>
  <c r="J238"/>
  <c r="H238"/>
  <c r="I238"/>
  <c r="J237"/>
  <c r="H237"/>
  <c r="I237"/>
  <c r="H236"/>
  <c r="I236"/>
  <c r="L236"/>
  <c r="J235"/>
  <c r="H235"/>
  <c r="I235"/>
  <c r="J234"/>
  <c r="H234"/>
  <c r="I234"/>
  <c r="H233"/>
  <c r="I233"/>
  <c r="L233"/>
  <c r="H232"/>
  <c r="I232"/>
  <c r="L232"/>
  <c r="H231"/>
  <c r="I231"/>
  <c r="L231"/>
  <c r="H230"/>
  <c r="I230"/>
  <c r="L230"/>
  <c r="L229"/>
  <c r="H229"/>
  <c r="J228"/>
  <c r="L228"/>
  <c r="H228"/>
  <c r="J227"/>
  <c r="H227"/>
  <c r="I227"/>
  <c r="H226"/>
  <c r="I226"/>
  <c r="L226"/>
  <c r="I225"/>
  <c r="L225"/>
  <c r="H224"/>
  <c r="I224"/>
  <c r="L224"/>
  <c r="J223"/>
  <c r="H223"/>
  <c r="I223"/>
  <c r="H222"/>
  <c r="I222"/>
  <c r="L222"/>
  <c r="H221"/>
  <c r="I221"/>
  <c r="L221"/>
  <c r="H220"/>
  <c r="I220"/>
  <c r="L220"/>
  <c r="H219"/>
  <c r="I219"/>
  <c r="L219"/>
  <c r="H218"/>
  <c r="I218"/>
  <c r="L218"/>
  <c r="H217"/>
  <c r="I217"/>
  <c r="L217"/>
  <c r="H216"/>
  <c r="I216"/>
  <c r="L216"/>
  <c r="J215"/>
  <c r="H215"/>
  <c r="I215"/>
  <c r="I214"/>
  <c r="L214"/>
  <c r="H213"/>
  <c r="I213"/>
  <c r="L213"/>
  <c r="H212"/>
  <c r="I212"/>
  <c r="L212"/>
  <c r="H211"/>
  <c r="I211"/>
  <c r="L211"/>
  <c r="H210"/>
  <c r="I210"/>
  <c r="L210"/>
  <c r="J209"/>
  <c r="H209"/>
  <c r="I209"/>
  <c r="H208"/>
  <c r="I208"/>
  <c r="L208"/>
  <c r="J207"/>
  <c r="H207"/>
  <c r="I207"/>
  <c r="I206"/>
  <c r="L206"/>
  <c r="I205"/>
  <c r="L205"/>
  <c r="H204"/>
  <c r="I204"/>
  <c r="L204"/>
  <c r="H203"/>
  <c r="I203"/>
  <c r="L203"/>
  <c r="H202"/>
  <c r="I202"/>
  <c r="L202"/>
  <c r="J201"/>
  <c r="H201"/>
  <c r="I201"/>
  <c r="J200"/>
  <c r="H200"/>
  <c r="I200"/>
  <c r="J199"/>
  <c r="H199"/>
  <c r="I199"/>
  <c r="H198"/>
  <c r="I198"/>
  <c r="L198"/>
  <c r="H197"/>
  <c r="I197"/>
  <c r="L197"/>
  <c r="H196"/>
  <c r="I196"/>
  <c r="L196"/>
  <c r="H195"/>
  <c r="I195"/>
  <c r="L195"/>
  <c r="H194"/>
  <c r="I194"/>
  <c r="L194"/>
  <c r="H193"/>
  <c r="I193"/>
  <c r="L193"/>
  <c r="H192"/>
  <c r="I192"/>
  <c r="L192"/>
  <c r="H191"/>
  <c r="I191"/>
  <c r="L191"/>
  <c r="H190"/>
  <c r="I190"/>
  <c r="L190"/>
  <c r="H189"/>
  <c r="I189"/>
  <c r="L189"/>
  <c r="H188"/>
  <c r="I188"/>
  <c r="L188"/>
  <c r="H186"/>
  <c r="I186"/>
  <c r="L186"/>
  <c r="H185"/>
  <c r="I185"/>
  <c r="L185"/>
  <c r="I184"/>
  <c r="L184"/>
  <c r="H183"/>
  <c r="I183"/>
  <c r="L183"/>
  <c r="H182"/>
  <c r="I182"/>
  <c r="L182"/>
  <c r="H181"/>
  <c r="I181"/>
  <c r="L181"/>
  <c r="J180"/>
  <c r="H180"/>
  <c r="I180"/>
  <c r="H179"/>
  <c r="I179"/>
  <c r="L179"/>
  <c r="H178"/>
  <c r="I178"/>
  <c r="L178"/>
  <c r="H177"/>
  <c r="I177"/>
  <c r="L177"/>
  <c r="H176"/>
  <c r="I176"/>
  <c r="L176"/>
  <c r="H175"/>
  <c r="I175"/>
  <c r="L175"/>
  <c r="H174"/>
  <c r="I174"/>
  <c r="L174"/>
  <c r="H173"/>
  <c r="I173"/>
  <c r="L173"/>
  <c r="H172"/>
  <c r="I172"/>
  <c r="L172"/>
  <c r="H171"/>
  <c r="I171"/>
  <c r="L171"/>
  <c r="H170"/>
  <c r="I170"/>
  <c r="L170"/>
  <c r="H169"/>
  <c r="I169"/>
  <c r="L169"/>
  <c r="H168"/>
  <c r="I168"/>
  <c r="L168"/>
  <c r="H167"/>
  <c r="I167"/>
  <c r="L167"/>
  <c r="H166"/>
  <c r="I166"/>
  <c r="L166"/>
  <c r="J165"/>
  <c r="H165"/>
  <c r="I165"/>
  <c r="H164"/>
  <c r="I164"/>
  <c r="L164"/>
  <c r="J163"/>
  <c r="H163"/>
  <c r="I163"/>
  <c r="H162"/>
  <c r="I162"/>
  <c r="L162"/>
  <c r="H161"/>
  <c r="I161"/>
  <c r="L161"/>
  <c r="J160"/>
  <c r="H160"/>
  <c r="I160"/>
  <c r="J159"/>
  <c r="H159"/>
  <c r="I159"/>
  <c r="J158"/>
  <c r="H158"/>
  <c r="I158"/>
  <c r="J157"/>
  <c r="H157"/>
  <c r="I157"/>
  <c r="J156"/>
  <c r="H156"/>
  <c r="I156"/>
  <c r="H155"/>
  <c r="I155"/>
  <c r="L155"/>
  <c r="H154"/>
  <c r="I154"/>
  <c r="L154"/>
  <c r="H153"/>
  <c r="I153"/>
  <c r="L153"/>
  <c r="J152"/>
  <c r="H152"/>
  <c r="I152"/>
  <c r="H151"/>
  <c r="I151"/>
  <c r="L151"/>
  <c r="J150"/>
  <c r="H150"/>
  <c r="I150"/>
  <c r="J149"/>
  <c r="H149"/>
  <c r="I149"/>
  <c r="H148"/>
  <c r="I148"/>
  <c r="L148"/>
  <c r="J147"/>
  <c r="H147"/>
  <c r="I147"/>
  <c r="H146"/>
  <c r="I146"/>
  <c r="L146"/>
  <c r="H145"/>
  <c r="I145"/>
  <c r="L145"/>
  <c r="H144"/>
  <c r="I144"/>
  <c r="L144"/>
  <c r="H143"/>
  <c r="I143"/>
  <c r="L143"/>
  <c r="H142"/>
  <c r="I142"/>
  <c r="L142"/>
  <c r="J141"/>
  <c r="H141"/>
  <c r="I141"/>
  <c r="H140"/>
  <c r="I140"/>
  <c r="L140"/>
  <c r="J139"/>
  <c r="H139"/>
  <c r="I139"/>
  <c r="H138"/>
  <c r="I138"/>
  <c r="L138"/>
  <c r="J137"/>
  <c r="H137"/>
  <c r="I137"/>
  <c r="H136"/>
  <c r="I136"/>
  <c r="L136"/>
  <c r="H135"/>
  <c r="I135"/>
  <c r="L135"/>
  <c r="H134"/>
  <c r="I134"/>
  <c r="L134"/>
  <c r="I133"/>
  <c r="J132"/>
  <c r="H132"/>
  <c r="I132"/>
  <c r="H131"/>
  <c r="I131"/>
  <c r="L131"/>
  <c r="H130"/>
  <c r="I130"/>
  <c r="L130"/>
  <c r="J129"/>
  <c r="H129"/>
  <c r="I129"/>
  <c r="H128"/>
  <c r="I128"/>
  <c r="L128"/>
  <c r="H127"/>
  <c r="I127"/>
  <c r="L127"/>
  <c r="J126"/>
  <c r="H126"/>
  <c r="I126"/>
  <c r="J125"/>
  <c r="H125"/>
  <c r="I125"/>
  <c r="H124"/>
  <c r="I124"/>
  <c r="L124"/>
  <c r="H123"/>
  <c r="I123"/>
  <c r="L123"/>
  <c r="H122"/>
  <c r="I122"/>
  <c r="L122"/>
  <c r="H121"/>
  <c r="I121"/>
  <c r="L121"/>
  <c r="I120"/>
  <c r="L120"/>
  <c r="J119"/>
  <c r="H119"/>
  <c r="I119"/>
  <c r="H118"/>
  <c r="I118"/>
  <c r="L118"/>
  <c r="H117"/>
  <c r="I117"/>
  <c r="L117"/>
  <c r="H116"/>
  <c r="I116"/>
  <c r="L116"/>
  <c r="H115"/>
  <c r="I115"/>
  <c r="L115"/>
  <c r="J114"/>
  <c r="H114"/>
  <c r="I114"/>
  <c r="J113"/>
  <c r="H113"/>
  <c r="I113"/>
  <c r="H112"/>
  <c r="I112"/>
  <c r="L112"/>
  <c r="H111"/>
  <c r="I111"/>
  <c r="L111"/>
  <c r="J110"/>
  <c r="H110"/>
  <c r="I110"/>
  <c r="H109"/>
  <c r="I109"/>
  <c r="L109"/>
  <c r="J108"/>
  <c r="H108"/>
  <c r="I108"/>
  <c r="H107"/>
  <c r="I107"/>
  <c r="L107"/>
  <c r="H106"/>
  <c r="I106"/>
  <c r="L106"/>
  <c r="H105"/>
  <c r="I105"/>
  <c r="L105"/>
  <c r="H104"/>
  <c r="I104"/>
  <c r="L104"/>
  <c r="H103"/>
  <c r="I103"/>
  <c r="L103"/>
  <c r="H102"/>
  <c r="I102"/>
  <c r="L102"/>
  <c r="J101"/>
  <c r="H101"/>
  <c r="I101"/>
  <c r="J100"/>
  <c r="H100"/>
  <c r="I100"/>
  <c r="H99"/>
  <c r="I99"/>
  <c r="L99"/>
  <c r="J98"/>
  <c r="H98"/>
  <c r="I98"/>
  <c r="H97"/>
  <c r="I97"/>
  <c r="L97"/>
  <c r="H96"/>
  <c r="I96"/>
  <c r="L96"/>
  <c r="H95"/>
  <c r="I95"/>
  <c r="L95"/>
  <c r="H94"/>
  <c r="I94"/>
  <c r="L94"/>
  <c r="J93"/>
  <c r="H93"/>
  <c r="I93"/>
  <c r="H92"/>
  <c r="I92"/>
  <c r="L92"/>
  <c r="I91"/>
  <c r="L91"/>
  <c r="I90"/>
  <c r="L90"/>
  <c r="J89"/>
  <c r="H89"/>
  <c r="I89"/>
  <c r="J88"/>
  <c r="H88"/>
  <c r="I88"/>
  <c r="J87"/>
  <c r="H87"/>
  <c r="I87"/>
  <c r="J86"/>
  <c r="H86"/>
  <c r="I86"/>
  <c r="H85"/>
  <c r="I85"/>
  <c r="L85"/>
  <c r="J84"/>
  <c r="H84"/>
  <c r="I84"/>
  <c r="J83"/>
  <c r="H83"/>
  <c r="I83"/>
  <c r="J82"/>
  <c r="H82"/>
  <c r="I82"/>
  <c r="H81"/>
  <c r="I81"/>
  <c r="L81"/>
  <c r="H80"/>
  <c r="I80"/>
  <c r="L80"/>
  <c r="H79"/>
  <c r="I79"/>
  <c r="L79"/>
  <c r="H78"/>
  <c r="I78"/>
  <c r="L78"/>
  <c r="J77"/>
  <c r="H77"/>
  <c r="I77"/>
  <c r="H76"/>
  <c r="I76"/>
  <c r="L76"/>
  <c r="L75"/>
  <c r="H74"/>
  <c r="I74"/>
  <c r="L74"/>
  <c r="J73"/>
  <c r="H73"/>
  <c r="I73"/>
  <c r="J72"/>
  <c r="H72"/>
  <c r="I72"/>
  <c r="H71"/>
  <c r="I71"/>
  <c r="L71"/>
  <c r="J70"/>
  <c r="H70"/>
  <c r="I70"/>
  <c r="J69"/>
  <c r="H69"/>
  <c r="I69"/>
  <c r="J68"/>
  <c r="H68"/>
  <c r="I68"/>
  <c r="J67"/>
  <c r="H67"/>
  <c r="I67"/>
  <c r="J66"/>
  <c r="H66"/>
  <c r="I66"/>
  <c r="L66"/>
  <c r="H65"/>
  <c r="I65"/>
  <c r="L65"/>
  <c r="H64"/>
  <c r="I64"/>
  <c r="L64"/>
  <c r="J63"/>
  <c r="H63"/>
  <c r="I63"/>
  <c r="L63"/>
  <c r="J62"/>
  <c r="H62"/>
  <c r="I62"/>
  <c r="J61"/>
  <c r="H61"/>
  <c r="I61"/>
  <c r="L61"/>
  <c r="J60"/>
  <c r="H60"/>
  <c r="I60"/>
  <c r="J59"/>
  <c r="H59"/>
  <c r="I59"/>
  <c r="H58"/>
  <c r="I58"/>
  <c r="L58"/>
  <c r="J57"/>
  <c r="H57"/>
  <c r="I57"/>
  <c r="J56"/>
  <c r="H56"/>
  <c r="I56"/>
  <c r="J55"/>
  <c r="H55"/>
  <c r="I55"/>
  <c r="J54"/>
  <c r="H54"/>
  <c r="I54"/>
  <c r="J53"/>
  <c r="H53"/>
  <c r="I53"/>
  <c r="H52"/>
  <c r="I52"/>
  <c r="L52"/>
  <c r="J51"/>
  <c r="H51"/>
  <c r="I51"/>
  <c r="H50"/>
  <c r="I50"/>
  <c r="L50"/>
  <c r="H49"/>
  <c r="I49"/>
  <c r="L49"/>
  <c r="H48"/>
  <c r="I48"/>
  <c r="L48"/>
  <c r="H47"/>
  <c r="I47"/>
  <c r="L47"/>
  <c r="H46"/>
  <c r="I46"/>
  <c r="L46"/>
  <c r="H45"/>
  <c r="I45"/>
  <c r="L45"/>
  <c r="J44"/>
  <c r="H44"/>
  <c r="I44"/>
  <c r="H43"/>
  <c r="I43"/>
  <c r="L43"/>
  <c r="H42"/>
  <c r="I42"/>
  <c r="L42"/>
  <c r="H41"/>
  <c r="I41"/>
  <c r="L41"/>
  <c r="H40"/>
  <c r="I40"/>
  <c r="L40"/>
  <c r="H39"/>
  <c r="I39"/>
  <c r="L39"/>
  <c r="H38"/>
  <c r="I38"/>
  <c r="L38"/>
  <c r="H37"/>
  <c r="I37"/>
  <c r="L37"/>
  <c r="J36"/>
  <c r="H36"/>
  <c r="I36"/>
  <c r="H35"/>
  <c r="I35"/>
  <c r="L35"/>
  <c r="H34"/>
  <c r="I34"/>
  <c r="L34"/>
  <c r="H33"/>
  <c r="I33"/>
  <c r="L33"/>
  <c r="H32"/>
  <c r="I32"/>
  <c r="L32"/>
  <c r="H31"/>
  <c r="I31"/>
  <c r="H30"/>
  <c r="I30"/>
  <c r="J29"/>
  <c r="H29"/>
  <c r="I29"/>
  <c r="H28"/>
  <c r="I28"/>
  <c r="L28"/>
  <c r="H27"/>
  <c r="I27"/>
  <c r="L27"/>
  <c r="H26"/>
  <c r="I26"/>
  <c r="L26"/>
  <c r="H25"/>
  <c r="I25"/>
  <c r="L25"/>
  <c r="J24"/>
  <c r="H24"/>
  <c r="I24"/>
  <c r="J23"/>
  <c r="H23"/>
  <c r="I23"/>
  <c r="I22"/>
  <c r="L22"/>
  <c r="J21"/>
  <c r="H21"/>
  <c r="I21"/>
  <c r="H20"/>
  <c r="I20"/>
  <c r="L20"/>
  <c r="H19"/>
  <c r="I19"/>
  <c r="L19"/>
  <c r="I18"/>
  <c r="L18"/>
  <c r="H17"/>
  <c r="I17"/>
  <c r="L17"/>
  <c r="H16"/>
  <c r="I16"/>
  <c r="L16"/>
  <c r="J15"/>
  <c r="H15"/>
  <c r="I15"/>
  <c r="H14"/>
  <c r="I14"/>
  <c r="L14"/>
  <c r="H13"/>
  <c r="I13"/>
  <c r="L13"/>
  <c r="H12"/>
  <c r="I12"/>
  <c r="L12"/>
  <c r="H11"/>
  <c r="I11"/>
  <c r="L11"/>
  <c r="H10"/>
  <c r="I10"/>
  <c r="L10"/>
  <c r="J9"/>
  <c r="H9"/>
  <c r="I9"/>
  <c r="H8"/>
  <c r="I8"/>
  <c r="L8"/>
  <c r="H7"/>
  <c r="I7"/>
  <c r="L7"/>
  <c r="H6"/>
  <c r="I6"/>
  <c r="L6"/>
  <c r="J5"/>
  <c r="H5"/>
  <c r="I5"/>
  <c r="Y326" i="1"/>
  <c r="Y325"/>
  <c r="Y324"/>
  <c r="Y323"/>
  <c r="Y322"/>
  <c r="Y321"/>
  <c r="Y320"/>
  <c r="Y319"/>
  <c r="Y318"/>
  <c r="Y317"/>
  <c r="Y316"/>
  <c r="Y315"/>
  <c r="Y314"/>
  <c r="Y313"/>
  <c r="Y312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J326"/>
  <c r="H326"/>
  <c r="I326"/>
  <c r="L326"/>
  <c r="H325"/>
  <c r="I325"/>
  <c r="L325"/>
  <c r="J324"/>
  <c r="H324"/>
  <c r="I324"/>
  <c r="J323"/>
  <c r="H323"/>
  <c r="I323"/>
  <c r="I322"/>
  <c r="L322"/>
  <c r="J321"/>
  <c r="H321"/>
  <c r="I321"/>
  <c r="L321"/>
  <c r="H320"/>
  <c r="I320"/>
  <c r="L320"/>
  <c r="H319"/>
  <c r="I319"/>
  <c r="L319"/>
  <c r="J318"/>
  <c r="H318"/>
  <c r="I318"/>
  <c r="J317"/>
  <c r="H317"/>
  <c r="I317"/>
  <c r="J316"/>
  <c r="H316"/>
  <c r="I316"/>
  <c r="H315"/>
  <c r="I315"/>
  <c r="L315"/>
  <c r="H314"/>
  <c r="I314"/>
  <c r="L314"/>
  <c r="H313"/>
  <c r="I313"/>
  <c r="L313"/>
  <c r="H312"/>
  <c r="I312"/>
  <c r="L312"/>
  <c r="H311"/>
  <c r="H310"/>
  <c r="I310"/>
  <c r="L310"/>
  <c r="H309"/>
  <c r="I309"/>
  <c r="L309"/>
  <c r="J308"/>
  <c r="H308"/>
  <c r="I308"/>
  <c r="H307"/>
  <c r="I307"/>
  <c r="L307"/>
  <c r="H306"/>
  <c r="I306"/>
  <c r="L306"/>
  <c r="H305"/>
  <c r="I305"/>
  <c r="L305"/>
  <c r="H304"/>
  <c r="I304"/>
  <c r="L304"/>
  <c r="H303"/>
  <c r="I303"/>
  <c r="L303"/>
  <c r="H302"/>
  <c r="I302"/>
  <c r="L302"/>
  <c r="H301"/>
  <c r="I301"/>
  <c r="L301"/>
  <c r="J300"/>
  <c r="H300"/>
  <c r="I300"/>
  <c r="H299"/>
  <c r="I299"/>
  <c r="L299"/>
  <c r="H298"/>
  <c r="I298"/>
  <c r="L298"/>
  <c r="J297"/>
  <c r="H297"/>
  <c r="I297"/>
  <c r="H296"/>
  <c r="I296"/>
  <c r="L296"/>
  <c r="J295"/>
  <c r="H295"/>
  <c r="I295"/>
  <c r="H294"/>
  <c r="I294"/>
  <c r="L294"/>
  <c r="H293"/>
  <c r="I293"/>
  <c r="L293"/>
  <c r="J292"/>
  <c r="H292"/>
  <c r="I292"/>
  <c r="J291"/>
  <c r="H291"/>
  <c r="I291"/>
  <c r="H290"/>
  <c r="I290"/>
  <c r="L290"/>
  <c r="I289"/>
  <c r="L289"/>
  <c r="I288"/>
  <c r="L288"/>
  <c r="H287"/>
  <c r="I287"/>
  <c r="L287"/>
  <c r="J286"/>
  <c r="H286"/>
  <c r="I286"/>
  <c r="H285"/>
  <c r="I285"/>
  <c r="L285"/>
  <c r="J284"/>
  <c r="H284"/>
  <c r="I284"/>
  <c r="H283"/>
  <c r="I283"/>
  <c r="L283"/>
  <c r="H282"/>
  <c r="I282"/>
  <c r="L282"/>
  <c r="J281"/>
  <c r="H281"/>
  <c r="I281"/>
  <c r="J280"/>
  <c r="H280"/>
  <c r="I280"/>
  <c r="J279"/>
  <c r="L279"/>
  <c r="H279"/>
  <c r="J278"/>
  <c r="H278"/>
  <c r="I278"/>
  <c r="L278"/>
  <c r="H277"/>
  <c r="I277"/>
  <c r="L277"/>
  <c r="H276"/>
  <c r="I276"/>
  <c r="L276"/>
  <c r="H275"/>
  <c r="I275"/>
  <c r="L275"/>
  <c r="H274"/>
  <c r="I274"/>
  <c r="L274"/>
  <c r="H273"/>
  <c r="I273"/>
  <c r="L273"/>
  <c r="H272"/>
  <c r="I272"/>
  <c r="L272"/>
  <c r="H271"/>
  <c r="I271"/>
  <c r="L271"/>
  <c r="J270"/>
  <c r="H270"/>
  <c r="I270"/>
  <c r="H269"/>
  <c r="I269"/>
  <c r="L269"/>
  <c r="L268"/>
  <c r="H268"/>
  <c r="H267"/>
  <c r="I267"/>
  <c r="L267"/>
  <c r="H266"/>
  <c r="I266"/>
  <c r="L266"/>
  <c r="H265"/>
  <c r="I265"/>
  <c r="L265"/>
  <c r="H264"/>
  <c r="I264"/>
  <c r="L264"/>
  <c r="H263"/>
  <c r="I263"/>
  <c r="L263"/>
  <c r="H262"/>
  <c r="I262"/>
  <c r="L262"/>
  <c r="H261"/>
  <c r="I261"/>
  <c r="L261"/>
  <c r="H260"/>
  <c r="I260"/>
  <c r="L260"/>
  <c r="H259"/>
  <c r="I259"/>
  <c r="L259"/>
  <c r="H258"/>
  <c r="I258"/>
  <c r="L258"/>
  <c r="J257"/>
  <c r="H257"/>
  <c r="I257"/>
  <c r="H256"/>
  <c r="I256"/>
  <c r="L256"/>
  <c r="H255"/>
  <c r="I255"/>
  <c r="L255"/>
  <c r="H254"/>
  <c r="I254"/>
  <c r="L254"/>
  <c r="H253"/>
  <c r="I253"/>
  <c r="L253"/>
  <c r="H252"/>
  <c r="I252"/>
  <c r="L252"/>
  <c r="H251"/>
  <c r="I251"/>
  <c r="L251"/>
  <c r="J250"/>
  <c r="H250"/>
  <c r="I250"/>
  <c r="H249"/>
  <c r="I249"/>
  <c r="L249"/>
  <c r="J248"/>
  <c r="H248"/>
  <c r="I248"/>
  <c r="H247"/>
  <c r="I247"/>
  <c r="L247"/>
  <c r="H246"/>
  <c r="I246"/>
  <c r="L246"/>
  <c r="H245"/>
  <c r="I245"/>
  <c r="L245"/>
  <c r="H244"/>
  <c r="I244"/>
  <c r="L244"/>
  <c r="H243"/>
  <c r="I243"/>
  <c r="L243"/>
  <c r="H242"/>
  <c r="I242"/>
  <c r="L242"/>
  <c r="J241"/>
  <c r="H241"/>
  <c r="I241"/>
  <c r="J240"/>
  <c r="H240"/>
  <c r="I240"/>
  <c r="H239"/>
  <c r="I239"/>
  <c r="L239"/>
  <c r="J238"/>
  <c r="H238"/>
  <c r="I238"/>
  <c r="J237"/>
  <c r="H237"/>
  <c r="I237"/>
  <c r="H236"/>
  <c r="I236"/>
  <c r="L236"/>
  <c r="J235"/>
  <c r="H235"/>
  <c r="I235"/>
  <c r="J234"/>
  <c r="H234"/>
  <c r="I234"/>
  <c r="H233"/>
  <c r="I233"/>
  <c r="L233"/>
  <c r="H232"/>
  <c r="I232"/>
  <c r="L232"/>
  <c r="H231"/>
  <c r="I231"/>
  <c r="L231"/>
  <c r="H230"/>
  <c r="I230"/>
  <c r="L230"/>
  <c r="L229"/>
  <c r="H229"/>
  <c r="J228"/>
  <c r="L228"/>
  <c r="H228"/>
  <c r="J227"/>
  <c r="H227"/>
  <c r="I227"/>
  <c r="H226"/>
  <c r="I226"/>
  <c r="L226"/>
  <c r="I225"/>
  <c r="L225"/>
  <c r="H224"/>
  <c r="I224"/>
  <c r="L224"/>
  <c r="J223"/>
  <c r="H223"/>
  <c r="I223"/>
  <c r="H222"/>
  <c r="I222"/>
  <c r="L222"/>
  <c r="H221"/>
  <c r="I221"/>
  <c r="L221"/>
  <c r="H220"/>
  <c r="I220"/>
  <c r="L220"/>
  <c r="H219"/>
  <c r="I219"/>
  <c r="L219"/>
  <c r="H218"/>
  <c r="I218"/>
  <c r="L218"/>
  <c r="H217"/>
  <c r="I217"/>
  <c r="L217"/>
  <c r="H216"/>
  <c r="I216"/>
  <c r="L216"/>
  <c r="J215"/>
  <c r="H215"/>
  <c r="I215"/>
  <c r="I214"/>
  <c r="L214"/>
  <c r="H213"/>
  <c r="I213"/>
  <c r="L213"/>
  <c r="H212"/>
  <c r="I212"/>
  <c r="L212"/>
  <c r="H211"/>
  <c r="I211"/>
  <c r="L211"/>
  <c r="H210"/>
  <c r="I210"/>
  <c r="L210"/>
  <c r="J209"/>
  <c r="H209"/>
  <c r="I209"/>
  <c r="H208"/>
  <c r="I208"/>
  <c r="L208"/>
  <c r="J207"/>
  <c r="H207"/>
  <c r="I207"/>
  <c r="I206"/>
  <c r="L206"/>
  <c r="I205"/>
  <c r="L205"/>
  <c r="H204"/>
  <c r="I204"/>
  <c r="L204"/>
  <c r="H203"/>
  <c r="I203"/>
  <c r="L203"/>
  <c r="I202"/>
  <c r="L202"/>
  <c r="H202"/>
  <c r="J201"/>
  <c r="H201"/>
  <c r="I201"/>
  <c r="J200"/>
  <c r="H200"/>
  <c r="I200"/>
  <c r="J199"/>
  <c r="H199"/>
  <c r="I199"/>
  <c r="H198"/>
  <c r="I198"/>
  <c r="L198"/>
  <c r="H197"/>
  <c r="I197"/>
  <c r="L197"/>
  <c r="H196"/>
  <c r="I196"/>
  <c r="L196"/>
  <c r="H195"/>
  <c r="I195"/>
  <c r="L195"/>
  <c r="H194"/>
  <c r="I194"/>
  <c r="L194"/>
  <c r="H193"/>
  <c r="I193"/>
  <c r="L193"/>
  <c r="H192"/>
  <c r="I192"/>
  <c r="L192"/>
  <c r="H191"/>
  <c r="I191"/>
  <c r="L191"/>
  <c r="H190"/>
  <c r="I190"/>
  <c r="L190"/>
  <c r="H189"/>
  <c r="I189"/>
  <c r="L189"/>
  <c r="H188"/>
  <c r="I188"/>
  <c r="L188"/>
  <c r="H186"/>
  <c r="I186"/>
  <c r="L186"/>
  <c r="H185"/>
  <c r="I185"/>
  <c r="L185"/>
  <c r="I184"/>
  <c r="L184"/>
  <c r="H183"/>
  <c r="I183"/>
  <c r="L183"/>
  <c r="H182"/>
  <c r="I182"/>
  <c r="L182"/>
  <c r="H181"/>
  <c r="I181"/>
  <c r="L181"/>
  <c r="J180"/>
  <c r="H180"/>
  <c r="I180"/>
  <c r="H179"/>
  <c r="I179"/>
  <c r="L179"/>
  <c r="H178"/>
  <c r="I178"/>
  <c r="L178"/>
  <c r="H177"/>
  <c r="I177"/>
  <c r="L177"/>
  <c r="H176"/>
  <c r="I176"/>
  <c r="L176"/>
  <c r="H175"/>
  <c r="I175"/>
  <c r="L175"/>
  <c r="H174"/>
  <c r="I174"/>
  <c r="L174"/>
  <c r="H173"/>
  <c r="I173"/>
  <c r="L173"/>
  <c r="H172"/>
  <c r="I172"/>
  <c r="L172"/>
  <c r="H171"/>
  <c r="I171"/>
  <c r="L171"/>
  <c r="H170"/>
  <c r="I170"/>
  <c r="L170"/>
  <c r="H169"/>
  <c r="I169"/>
  <c r="L169"/>
  <c r="H168"/>
  <c r="I168"/>
  <c r="L168"/>
  <c r="H167"/>
  <c r="I167"/>
  <c r="L167"/>
  <c r="H166"/>
  <c r="I166"/>
  <c r="L166"/>
  <c r="J165"/>
  <c r="H165"/>
  <c r="I165"/>
  <c r="H164"/>
  <c r="I164"/>
  <c r="L164"/>
  <c r="J163"/>
  <c r="H163"/>
  <c r="I163"/>
  <c r="H162"/>
  <c r="I162"/>
  <c r="L162"/>
  <c r="H161"/>
  <c r="I161"/>
  <c r="L161"/>
  <c r="J160"/>
  <c r="H160"/>
  <c r="I160"/>
  <c r="J159"/>
  <c r="H159"/>
  <c r="I159"/>
  <c r="J158"/>
  <c r="H158"/>
  <c r="I158"/>
  <c r="J157"/>
  <c r="H157"/>
  <c r="I157"/>
  <c r="J156"/>
  <c r="H156"/>
  <c r="I156"/>
  <c r="H155"/>
  <c r="I155"/>
  <c r="L155"/>
  <c r="H154"/>
  <c r="I154"/>
  <c r="L154"/>
  <c r="H153"/>
  <c r="I153"/>
  <c r="L153"/>
  <c r="J152"/>
  <c r="H152"/>
  <c r="I152"/>
  <c r="H151"/>
  <c r="I151"/>
  <c r="L151"/>
  <c r="J150"/>
  <c r="H150"/>
  <c r="I150"/>
  <c r="J149"/>
  <c r="H149"/>
  <c r="I149"/>
  <c r="H148"/>
  <c r="I148"/>
  <c r="L148"/>
  <c r="J147"/>
  <c r="H147"/>
  <c r="I147"/>
  <c r="L147"/>
  <c r="H146"/>
  <c r="I146"/>
  <c r="L146"/>
  <c r="H145"/>
  <c r="I145"/>
  <c r="L145"/>
  <c r="H144"/>
  <c r="I144"/>
  <c r="L144"/>
  <c r="H143"/>
  <c r="I143"/>
  <c r="L143"/>
  <c r="H142"/>
  <c r="I142"/>
  <c r="L142"/>
  <c r="J141"/>
  <c r="H141"/>
  <c r="I141"/>
  <c r="H140"/>
  <c r="I140"/>
  <c r="L140"/>
  <c r="J139"/>
  <c r="H139"/>
  <c r="I139"/>
  <c r="H138"/>
  <c r="I138"/>
  <c r="L138"/>
  <c r="J137"/>
  <c r="H137"/>
  <c r="I137"/>
  <c r="H136"/>
  <c r="I136"/>
  <c r="L136"/>
  <c r="H135"/>
  <c r="I135"/>
  <c r="L135"/>
  <c r="H134"/>
  <c r="I134"/>
  <c r="L134"/>
  <c r="I133"/>
  <c r="J132"/>
  <c r="H132"/>
  <c r="I132"/>
  <c r="H131"/>
  <c r="I131"/>
  <c r="L131"/>
  <c r="H130"/>
  <c r="I130"/>
  <c r="L130"/>
  <c r="J129"/>
  <c r="H129"/>
  <c r="I129"/>
  <c r="H128"/>
  <c r="I128"/>
  <c r="L128"/>
  <c r="H127"/>
  <c r="I127"/>
  <c r="L127"/>
  <c r="J126"/>
  <c r="H126"/>
  <c r="I126"/>
  <c r="J125"/>
  <c r="H125"/>
  <c r="I125"/>
  <c r="H124"/>
  <c r="I124"/>
  <c r="L124"/>
  <c r="H123"/>
  <c r="I123"/>
  <c r="L123"/>
  <c r="H122"/>
  <c r="I122"/>
  <c r="L122"/>
  <c r="H121"/>
  <c r="I121"/>
  <c r="L121"/>
  <c r="I120"/>
  <c r="L120"/>
  <c r="J119"/>
  <c r="H119"/>
  <c r="I119"/>
  <c r="H118"/>
  <c r="I118"/>
  <c r="L118"/>
  <c r="H117"/>
  <c r="I117"/>
  <c r="L117"/>
  <c r="H116"/>
  <c r="I116"/>
  <c r="L116"/>
  <c r="H115"/>
  <c r="I115"/>
  <c r="L115"/>
  <c r="J114"/>
  <c r="H114"/>
  <c r="I114"/>
  <c r="J113"/>
  <c r="H113"/>
  <c r="I113"/>
  <c r="H112"/>
  <c r="I112"/>
  <c r="L112"/>
  <c r="H111"/>
  <c r="I111"/>
  <c r="L111"/>
  <c r="J110"/>
  <c r="H110"/>
  <c r="I110"/>
  <c r="H109"/>
  <c r="I109"/>
  <c r="L109"/>
  <c r="J108"/>
  <c r="H108"/>
  <c r="I108"/>
  <c r="H107"/>
  <c r="I107"/>
  <c r="L107"/>
  <c r="H106"/>
  <c r="I106"/>
  <c r="L106"/>
  <c r="H105"/>
  <c r="I105"/>
  <c r="L105"/>
  <c r="H104"/>
  <c r="I104"/>
  <c r="L104"/>
  <c r="H103"/>
  <c r="I103"/>
  <c r="L103"/>
  <c r="H102"/>
  <c r="I102"/>
  <c r="L102"/>
  <c r="J101"/>
  <c r="H101"/>
  <c r="I101"/>
  <c r="J100"/>
  <c r="H100"/>
  <c r="I100"/>
  <c r="H99"/>
  <c r="I99"/>
  <c r="L99"/>
  <c r="J98"/>
  <c r="H98"/>
  <c r="I98"/>
  <c r="H97"/>
  <c r="I97"/>
  <c r="L97"/>
  <c r="H96"/>
  <c r="I96"/>
  <c r="L96"/>
  <c r="H95"/>
  <c r="I95"/>
  <c r="L95"/>
  <c r="H94"/>
  <c r="I94"/>
  <c r="L94"/>
  <c r="J93"/>
  <c r="I93"/>
  <c r="H93"/>
  <c r="H92"/>
  <c r="I92"/>
  <c r="L92"/>
  <c r="I91"/>
  <c r="L91"/>
  <c r="I90"/>
  <c r="L90"/>
  <c r="J89"/>
  <c r="H89"/>
  <c r="I89"/>
  <c r="J88"/>
  <c r="H88"/>
  <c r="I88"/>
  <c r="J87"/>
  <c r="H87"/>
  <c r="I87"/>
  <c r="J86"/>
  <c r="H86"/>
  <c r="I86"/>
  <c r="H85"/>
  <c r="I85"/>
  <c r="L85"/>
  <c r="J84"/>
  <c r="H84"/>
  <c r="I84"/>
  <c r="J83"/>
  <c r="H83"/>
  <c r="I83"/>
  <c r="J82"/>
  <c r="H82"/>
  <c r="I82"/>
  <c r="H81"/>
  <c r="I81"/>
  <c r="L81"/>
  <c r="H80"/>
  <c r="I80"/>
  <c r="L80"/>
  <c r="H79"/>
  <c r="I79"/>
  <c r="L79"/>
  <c r="H78"/>
  <c r="I78"/>
  <c r="L78"/>
  <c r="J77"/>
  <c r="H77"/>
  <c r="I77"/>
  <c r="H76"/>
  <c r="I76"/>
  <c r="L76"/>
  <c r="L75"/>
  <c r="H74"/>
  <c r="I74"/>
  <c r="L74"/>
  <c r="J73"/>
  <c r="H73"/>
  <c r="I73"/>
  <c r="J72"/>
  <c r="H72"/>
  <c r="I72"/>
  <c r="H71"/>
  <c r="I71"/>
  <c r="L71"/>
  <c r="J70"/>
  <c r="H70"/>
  <c r="I70"/>
  <c r="J69"/>
  <c r="H69"/>
  <c r="I69"/>
  <c r="J68"/>
  <c r="H68"/>
  <c r="I68"/>
  <c r="J67"/>
  <c r="H67"/>
  <c r="I67"/>
  <c r="J66"/>
  <c r="H66"/>
  <c r="I66"/>
  <c r="H65"/>
  <c r="I65"/>
  <c r="L65"/>
  <c r="H64"/>
  <c r="I64"/>
  <c r="L64"/>
  <c r="J63"/>
  <c r="H63"/>
  <c r="I63"/>
  <c r="J62"/>
  <c r="H62"/>
  <c r="I62"/>
  <c r="J61"/>
  <c r="H61"/>
  <c r="I61"/>
  <c r="J60"/>
  <c r="H60"/>
  <c r="I60"/>
  <c r="J59"/>
  <c r="H59"/>
  <c r="I59"/>
  <c r="H58"/>
  <c r="I58"/>
  <c r="L58"/>
  <c r="J57"/>
  <c r="H57"/>
  <c r="I57"/>
  <c r="J56"/>
  <c r="H56"/>
  <c r="I56"/>
  <c r="L56"/>
  <c r="J55"/>
  <c r="H55"/>
  <c r="I55"/>
  <c r="J54"/>
  <c r="H54"/>
  <c r="I54"/>
  <c r="J53"/>
  <c r="H53"/>
  <c r="I53"/>
  <c r="L53"/>
  <c r="H52"/>
  <c r="I52"/>
  <c r="L52"/>
  <c r="J51"/>
  <c r="H51"/>
  <c r="I51"/>
  <c r="H50"/>
  <c r="I50"/>
  <c r="L50"/>
  <c r="H49"/>
  <c r="I49"/>
  <c r="L49"/>
  <c r="H48"/>
  <c r="I48"/>
  <c r="L48"/>
  <c r="H47"/>
  <c r="I47"/>
  <c r="L47"/>
  <c r="H46"/>
  <c r="I46"/>
  <c r="L46"/>
  <c r="H45"/>
  <c r="I45"/>
  <c r="L45"/>
  <c r="J44"/>
  <c r="H44"/>
  <c r="I44"/>
  <c r="H43"/>
  <c r="I43"/>
  <c r="L43"/>
  <c r="H42"/>
  <c r="I42"/>
  <c r="L42"/>
  <c r="H41"/>
  <c r="I41"/>
  <c r="L41"/>
  <c r="H40"/>
  <c r="I40"/>
  <c r="L40"/>
  <c r="H39"/>
  <c r="I39"/>
  <c r="L39"/>
  <c r="H38"/>
  <c r="I38"/>
  <c r="L38"/>
  <c r="H37"/>
  <c r="I37"/>
  <c r="L37"/>
  <c r="J36"/>
  <c r="H36"/>
  <c r="I36"/>
  <c r="L36"/>
  <c r="H35"/>
  <c r="I35"/>
  <c r="L35"/>
  <c r="H34"/>
  <c r="I34"/>
  <c r="L34"/>
  <c r="H33"/>
  <c r="I33"/>
  <c r="L33"/>
  <c r="H32"/>
  <c r="I32"/>
  <c r="L32"/>
  <c r="H31"/>
  <c r="I31"/>
  <c r="H30"/>
  <c r="I30"/>
  <c r="J29"/>
  <c r="H29"/>
  <c r="I29"/>
  <c r="H28"/>
  <c r="I28"/>
  <c r="L28"/>
  <c r="H27"/>
  <c r="I27"/>
  <c r="L27"/>
  <c r="H26"/>
  <c r="I26"/>
  <c r="L26"/>
  <c r="H25"/>
  <c r="I25"/>
  <c r="L25"/>
  <c r="J24"/>
  <c r="H24"/>
  <c r="I24"/>
  <c r="J23"/>
  <c r="H23"/>
  <c r="I23"/>
  <c r="I22"/>
  <c r="L22"/>
  <c r="J21"/>
  <c r="H21"/>
  <c r="I21"/>
  <c r="H20"/>
  <c r="I20"/>
  <c r="L20"/>
  <c r="H19"/>
  <c r="I19"/>
  <c r="L19"/>
  <c r="I18"/>
  <c r="L18"/>
  <c r="H17"/>
  <c r="I17"/>
  <c r="L17"/>
  <c r="H16"/>
  <c r="I16"/>
  <c r="L16"/>
  <c r="J15"/>
  <c r="H15"/>
  <c r="I15"/>
  <c r="L15"/>
  <c r="H14"/>
  <c r="I14"/>
  <c r="L14"/>
  <c r="H13"/>
  <c r="I13"/>
  <c r="L13"/>
  <c r="H12"/>
  <c r="I12"/>
  <c r="L12"/>
  <c r="H11"/>
  <c r="I11"/>
  <c r="L11"/>
  <c r="H10"/>
  <c r="I10"/>
  <c r="L10"/>
  <c r="J9"/>
  <c r="H9"/>
  <c r="I9"/>
  <c r="H8"/>
  <c r="I8"/>
  <c r="L8"/>
  <c r="H7"/>
  <c r="I7"/>
  <c r="L7"/>
  <c r="H6"/>
  <c r="I6"/>
  <c r="L6"/>
  <c r="J5"/>
  <c r="H5"/>
  <c r="I5"/>
  <c r="L199"/>
  <c r="L235"/>
  <c r="L286" i="2"/>
  <c r="L308"/>
  <c r="T307" i="4"/>
  <c r="L126" i="1"/>
  <c r="L129"/>
  <c r="L156"/>
  <c r="L158"/>
  <c r="L160"/>
  <c r="L292"/>
  <c r="L295"/>
  <c r="L68" i="2"/>
  <c r="L82"/>
  <c r="L84"/>
  <c r="L113"/>
  <c r="R112" i="4"/>
  <c r="L119" i="2"/>
  <c r="L147"/>
  <c r="L165"/>
  <c r="L180"/>
  <c r="R179" i="4"/>
  <c r="L234" i="2"/>
  <c r="L72" i="1"/>
  <c r="L110"/>
  <c r="L141"/>
  <c r="L241"/>
  <c r="L54"/>
  <c r="L82"/>
  <c r="L93"/>
  <c r="L132"/>
  <c r="L149"/>
  <c r="L200"/>
  <c r="L270" i="2"/>
  <c r="L291"/>
  <c r="T290" i="4"/>
  <c r="L57" i="1"/>
  <c r="L98"/>
  <c r="L125"/>
  <c r="L137"/>
  <c r="L163"/>
  <c r="L180"/>
  <c r="L223"/>
  <c r="L207" i="2"/>
  <c r="L235"/>
  <c r="L21" i="1"/>
  <c r="L67"/>
  <c r="L69"/>
  <c r="L114"/>
  <c r="L119"/>
  <c r="L165"/>
  <c r="L234"/>
  <c r="L237"/>
  <c r="L280"/>
  <c r="L297"/>
  <c r="L316"/>
  <c r="L318"/>
  <c r="L323"/>
  <c r="L29"/>
  <c r="L55"/>
  <c r="L66"/>
  <c r="L68"/>
  <c r="L70"/>
  <c r="L113"/>
  <c r="L227"/>
  <c r="L238"/>
  <c r="L240"/>
  <c r="L281"/>
  <c r="L286"/>
  <c r="L291"/>
  <c r="L317"/>
  <c r="L324"/>
  <c r="L23" i="2"/>
  <c r="S22" i="4"/>
  <c r="L36" i="2"/>
  <c r="L108"/>
  <c r="O107" i="4"/>
  <c r="L126" i="2"/>
  <c r="L129"/>
  <c r="R128" i="4"/>
  <c r="L60" i="1"/>
  <c r="L5" i="2"/>
  <c r="Q4" i="4"/>
  <c r="L15" i="2"/>
  <c r="L24"/>
  <c r="W23" i="4"/>
  <c r="L54" i="2"/>
  <c r="L56"/>
  <c r="T55" i="4"/>
  <c r="L72" i="2"/>
  <c r="L88"/>
  <c r="N87" i="4"/>
  <c r="L125" i="2"/>
  <c r="L137"/>
  <c r="P136" i="4"/>
  <c r="L149" i="2"/>
  <c r="L157"/>
  <c r="N156" i="4"/>
  <c r="L199" i="2"/>
  <c r="L201"/>
  <c r="N200" i="4"/>
  <c r="L238" i="2"/>
  <c r="X237" i="4"/>
  <c r="Y237" s="1"/>
  <c r="L257" i="2"/>
  <c r="X256" i="4"/>
  <c r="Y256" s="1"/>
  <c r="L280" i="2"/>
  <c r="L297"/>
  <c r="X296" i="4"/>
  <c r="Y296" s="1"/>
  <c r="L317" i="2"/>
  <c r="P316" i="4"/>
  <c r="L5" i="1"/>
  <c r="L9"/>
  <c r="L23"/>
  <c r="L59"/>
  <c r="L63"/>
  <c r="L73"/>
  <c r="L248"/>
  <c r="L62"/>
  <c r="L84"/>
  <c r="L86"/>
  <c r="L88"/>
  <c r="L101"/>
  <c r="L209"/>
  <c r="L215"/>
  <c r="L284"/>
  <c r="L55" i="2"/>
  <c r="L57"/>
  <c r="T56" i="4"/>
  <c r="L150" i="2"/>
  <c r="L156"/>
  <c r="N155" i="4"/>
  <c r="L158" i="2"/>
  <c r="L160"/>
  <c r="V159" i="4"/>
  <c r="L223" i="2"/>
  <c r="L237"/>
  <c r="X236" i="4"/>
  <c r="Y236" s="1"/>
  <c r="L281" i="2"/>
  <c r="X280" i="4"/>
  <c r="Y280" s="1"/>
  <c r="L326" i="2"/>
  <c r="P325" i="4"/>
  <c r="L24" i="1"/>
  <c r="L44"/>
  <c r="L51"/>
  <c r="L61"/>
  <c r="L77"/>
  <c r="L83"/>
  <c r="L152"/>
  <c r="L159"/>
  <c r="L257"/>
  <c r="L300"/>
  <c r="L308"/>
  <c r="L21" i="2"/>
  <c r="S20" i="4"/>
  <c r="L60" i="2"/>
  <c r="L67"/>
  <c r="N66" i="4"/>
  <c r="L93" i="2"/>
  <c r="L139"/>
  <c r="V138" i="4"/>
  <c r="L248" i="2"/>
  <c r="X247" i="4"/>
  <c r="Y247" s="1"/>
  <c r="L323" i="2"/>
  <c r="Q322" i="4"/>
  <c r="L100" i="2"/>
  <c r="N99" i="4"/>
  <c r="P60"/>
  <c r="T60"/>
  <c r="X60"/>
  <c r="Y60" s="1"/>
  <c r="Q60"/>
  <c r="V60"/>
  <c r="N60"/>
  <c r="S60"/>
  <c r="O60"/>
  <c r="R60"/>
  <c r="W60"/>
  <c r="M60"/>
  <c r="U60"/>
  <c r="Y61" i="2"/>
  <c r="O77" i="4"/>
  <c r="S77"/>
  <c r="W77"/>
  <c r="M77"/>
  <c r="R77"/>
  <c r="X77"/>
  <c r="Y77" s="1"/>
  <c r="N77"/>
  <c r="T77"/>
  <c r="Q77"/>
  <c r="V77"/>
  <c r="P77"/>
  <c r="U77"/>
  <c r="Y78" i="2"/>
  <c r="N169" i="4"/>
  <c r="R169"/>
  <c r="V169"/>
  <c r="O169"/>
  <c r="S169"/>
  <c r="W169"/>
  <c r="P169"/>
  <c r="T169"/>
  <c r="X169"/>
  <c r="Y169" s="1"/>
  <c r="Q169"/>
  <c r="U169"/>
  <c r="Y170" i="2"/>
  <c r="M169" i="4"/>
  <c r="N198"/>
  <c r="R198"/>
  <c r="V198"/>
  <c r="O198"/>
  <c r="S198"/>
  <c r="W198"/>
  <c r="P198"/>
  <c r="T198"/>
  <c r="X198"/>
  <c r="Y198" s="1"/>
  <c r="Q198"/>
  <c r="U198"/>
  <c r="M198"/>
  <c r="Y199" i="2"/>
  <c r="N217" i="4"/>
  <c r="R217"/>
  <c r="V217"/>
  <c r="O217"/>
  <c r="S217"/>
  <c r="W217"/>
  <c r="P217"/>
  <c r="X217"/>
  <c r="Y217" s="1"/>
  <c r="Q217"/>
  <c r="T217"/>
  <c r="M217"/>
  <c r="U217"/>
  <c r="Y218" i="2"/>
  <c r="P255" i="4"/>
  <c r="T255"/>
  <c r="X255"/>
  <c r="Y255" s="1"/>
  <c r="M255"/>
  <c r="Q255"/>
  <c r="U255"/>
  <c r="N255"/>
  <c r="R255"/>
  <c r="V255"/>
  <c r="O255"/>
  <c r="Y256" i="2"/>
  <c r="S255" i="4"/>
  <c r="W255"/>
  <c r="P289"/>
  <c r="T289"/>
  <c r="X289"/>
  <c r="Y289" s="1"/>
  <c r="M289"/>
  <c r="Q289"/>
  <c r="U289"/>
  <c r="N289"/>
  <c r="R289"/>
  <c r="V289"/>
  <c r="S289"/>
  <c r="W289"/>
  <c r="Y290" i="2"/>
  <c r="O289" i="4"/>
  <c r="P312"/>
  <c r="T312"/>
  <c r="X312"/>
  <c r="Y312" s="1"/>
  <c r="M312"/>
  <c r="Q312"/>
  <c r="U312"/>
  <c r="N312"/>
  <c r="R312"/>
  <c r="V312"/>
  <c r="O312"/>
  <c r="Y313" i="2"/>
  <c r="S312" i="4"/>
  <c r="W312"/>
  <c r="O26"/>
  <c r="S26"/>
  <c r="W26"/>
  <c r="P26"/>
  <c r="T26"/>
  <c r="X26"/>
  <c r="Y26" s="1"/>
  <c r="R26"/>
  <c r="M26"/>
  <c r="V26"/>
  <c r="N26"/>
  <c r="Q26"/>
  <c r="U26"/>
  <c r="Y27" i="2"/>
  <c r="P62" i="4"/>
  <c r="T62"/>
  <c r="X62"/>
  <c r="Y62" s="1"/>
  <c r="N62"/>
  <c r="S62"/>
  <c r="Q62"/>
  <c r="V62"/>
  <c r="M62"/>
  <c r="W62"/>
  <c r="O62"/>
  <c r="U62"/>
  <c r="R62"/>
  <c r="Y63" i="2"/>
  <c r="O78" i="4"/>
  <c r="S78"/>
  <c r="W78"/>
  <c r="Q78"/>
  <c r="V78"/>
  <c r="M78"/>
  <c r="R78"/>
  <c r="X78"/>
  <c r="Y78" s="1"/>
  <c r="P78"/>
  <c r="U78"/>
  <c r="N78"/>
  <c r="T78"/>
  <c r="Y79" i="2"/>
  <c r="N129" i="4"/>
  <c r="R129"/>
  <c r="V129"/>
  <c r="P129"/>
  <c r="T129"/>
  <c r="X129"/>
  <c r="Y129" s="1"/>
  <c r="M129"/>
  <c r="U129"/>
  <c r="O129"/>
  <c r="W129"/>
  <c r="Q129"/>
  <c r="S129"/>
  <c r="Y130" i="2"/>
  <c r="N143" i="4"/>
  <c r="R143"/>
  <c r="V143"/>
  <c r="P143"/>
  <c r="T143"/>
  <c r="X143"/>
  <c r="Y143" s="1"/>
  <c r="Q143"/>
  <c r="S143"/>
  <c r="M143"/>
  <c r="U143"/>
  <c r="O143"/>
  <c r="W143"/>
  <c r="Y144" i="2"/>
  <c r="N150" i="4"/>
  <c r="R150"/>
  <c r="V150"/>
  <c r="O150"/>
  <c r="S150"/>
  <c r="W150"/>
  <c r="P150"/>
  <c r="T150"/>
  <c r="X150"/>
  <c r="Y150" s="1"/>
  <c r="U150"/>
  <c r="M150"/>
  <c r="Q150"/>
  <c r="Y151" i="2"/>
  <c r="N167" i="4"/>
  <c r="R167"/>
  <c r="V167"/>
  <c r="O167"/>
  <c r="S167"/>
  <c r="W167"/>
  <c r="P167"/>
  <c r="T167"/>
  <c r="X167"/>
  <c r="Y167" s="1"/>
  <c r="M167"/>
  <c r="Q167"/>
  <c r="U167"/>
  <c r="Y168" i="2"/>
  <c r="N204" i="4"/>
  <c r="R204"/>
  <c r="V204"/>
  <c r="O204"/>
  <c r="S204"/>
  <c r="W204"/>
  <c r="T204"/>
  <c r="M204"/>
  <c r="U204"/>
  <c r="P204"/>
  <c r="X204"/>
  <c r="Y204" s="1"/>
  <c r="Y205" i="2"/>
  <c r="Q204" i="4"/>
  <c r="N218"/>
  <c r="R218"/>
  <c r="V218"/>
  <c r="O218"/>
  <c r="S218"/>
  <c r="W218"/>
  <c r="T218"/>
  <c r="M218"/>
  <c r="U218"/>
  <c r="P218"/>
  <c r="X218"/>
  <c r="Y218" s="1"/>
  <c r="Q218"/>
  <c r="Y219" i="2"/>
  <c r="N222" i="4"/>
  <c r="R222"/>
  <c r="V222"/>
  <c r="O222"/>
  <c r="S222"/>
  <c r="W222"/>
  <c r="T222"/>
  <c r="M222"/>
  <c r="U222"/>
  <c r="P222"/>
  <c r="X222"/>
  <c r="Y222" s="1"/>
  <c r="Q222"/>
  <c r="Y223" i="2"/>
  <c r="P238" i="4"/>
  <c r="T238"/>
  <c r="X238"/>
  <c r="Y238" s="1"/>
  <c r="M238"/>
  <c r="Q238"/>
  <c r="U238"/>
  <c r="N238"/>
  <c r="R238"/>
  <c r="V238"/>
  <c r="O238"/>
  <c r="S238"/>
  <c r="W238"/>
  <c r="Y239" i="2"/>
  <c r="P240" i="4"/>
  <c r="T240"/>
  <c r="X240"/>
  <c r="Y240" s="1"/>
  <c r="M240"/>
  <c r="Q240"/>
  <c r="U240"/>
  <c r="N240"/>
  <c r="R240"/>
  <c r="V240"/>
  <c r="S240"/>
  <c r="W240"/>
  <c r="O240"/>
  <c r="P252"/>
  <c r="T252"/>
  <c r="X252"/>
  <c r="Y252" s="1"/>
  <c r="M252"/>
  <c r="Q252"/>
  <c r="U252"/>
  <c r="N252"/>
  <c r="R252"/>
  <c r="V252"/>
  <c r="S252"/>
  <c r="W252"/>
  <c r="Y253" i="2"/>
  <c r="O252" i="4"/>
  <c r="P281"/>
  <c r="T281"/>
  <c r="X281"/>
  <c r="Y281" s="1"/>
  <c r="M281"/>
  <c r="Q281"/>
  <c r="U281"/>
  <c r="N281"/>
  <c r="R281"/>
  <c r="V281"/>
  <c r="S281"/>
  <c r="W281"/>
  <c r="Y282" i="2"/>
  <c r="O281" i="4"/>
  <c r="P290"/>
  <c r="P295"/>
  <c r="T295"/>
  <c r="X295"/>
  <c r="Y295" s="1"/>
  <c r="M295"/>
  <c r="Q295"/>
  <c r="U295"/>
  <c r="N295"/>
  <c r="R295"/>
  <c r="V295"/>
  <c r="Y296" i="2"/>
  <c r="O295" i="4"/>
  <c r="S295"/>
  <c r="W295"/>
  <c r="P303"/>
  <c r="T303"/>
  <c r="X303"/>
  <c r="Y303" s="1"/>
  <c r="M303"/>
  <c r="Q303"/>
  <c r="U303"/>
  <c r="N303"/>
  <c r="R303"/>
  <c r="V303"/>
  <c r="Y304" i="2"/>
  <c r="O303" i="4"/>
  <c r="S303"/>
  <c r="W303"/>
  <c r="N142"/>
  <c r="R142"/>
  <c r="V142"/>
  <c r="P142"/>
  <c r="T142"/>
  <c r="X142"/>
  <c r="Y142" s="1"/>
  <c r="M142"/>
  <c r="U142"/>
  <c r="O142"/>
  <c r="W142"/>
  <c r="Q142"/>
  <c r="S142"/>
  <c r="Y143" i="2"/>
  <c r="N190" i="4"/>
  <c r="R190"/>
  <c r="V190"/>
  <c r="O190"/>
  <c r="S190"/>
  <c r="W190"/>
  <c r="P190"/>
  <c r="T190"/>
  <c r="X190"/>
  <c r="Y190" s="1"/>
  <c r="Q190"/>
  <c r="U190"/>
  <c r="M190"/>
  <c r="Y191" i="2"/>
  <c r="O200" i="4"/>
  <c r="N225"/>
  <c r="R225"/>
  <c r="V225"/>
  <c r="O225"/>
  <c r="S225"/>
  <c r="W225"/>
  <c r="P225"/>
  <c r="X225"/>
  <c r="Y225" s="1"/>
  <c r="Q225"/>
  <c r="T225"/>
  <c r="M225"/>
  <c r="U225"/>
  <c r="Y226" i="2"/>
  <c r="P297" i="4"/>
  <c r="T297"/>
  <c r="X297"/>
  <c r="Y297" s="1"/>
  <c r="M297"/>
  <c r="Q297"/>
  <c r="U297"/>
  <c r="N297"/>
  <c r="R297"/>
  <c r="V297"/>
  <c r="S297"/>
  <c r="W297"/>
  <c r="Y298" i="2"/>
  <c r="O297" i="4"/>
  <c r="P322"/>
  <c r="T4"/>
  <c r="O6"/>
  <c r="S6"/>
  <c r="W6"/>
  <c r="P6"/>
  <c r="T6"/>
  <c r="X6"/>
  <c r="Y6" s="1"/>
  <c r="R6"/>
  <c r="Q6"/>
  <c r="U6"/>
  <c r="V6"/>
  <c r="M6"/>
  <c r="N6"/>
  <c r="Y7" i="2"/>
  <c r="O24" i="4"/>
  <c r="S24"/>
  <c r="W24"/>
  <c r="P24"/>
  <c r="T24"/>
  <c r="X24"/>
  <c r="Y24" s="1"/>
  <c r="R24"/>
  <c r="N24"/>
  <c r="Q24"/>
  <c r="U24"/>
  <c r="M24"/>
  <c r="V24"/>
  <c r="Y25" i="2"/>
  <c r="O27" i="4"/>
  <c r="S27"/>
  <c r="W27"/>
  <c r="P27"/>
  <c r="T27"/>
  <c r="X27"/>
  <c r="Y27" s="1"/>
  <c r="N27"/>
  <c r="V27"/>
  <c r="U27"/>
  <c r="M27"/>
  <c r="Q27"/>
  <c r="R27"/>
  <c r="Y28" i="2"/>
  <c r="P51" i="4"/>
  <c r="T51"/>
  <c r="X51"/>
  <c r="Y51" s="1"/>
  <c r="O51"/>
  <c r="U51"/>
  <c r="Q51"/>
  <c r="V51"/>
  <c r="M51"/>
  <c r="W51"/>
  <c r="R51"/>
  <c r="N51"/>
  <c r="S51"/>
  <c r="Y52" i="2"/>
  <c r="P57" i="4"/>
  <c r="T57"/>
  <c r="X57"/>
  <c r="Y57" s="1"/>
  <c r="M57"/>
  <c r="N57"/>
  <c r="O57"/>
  <c r="U57"/>
  <c r="R57"/>
  <c r="W57"/>
  <c r="S57"/>
  <c r="V57"/>
  <c r="Q57"/>
  <c r="Y58" i="2"/>
  <c r="P67" i="4"/>
  <c r="T67"/>
  <c r="X67"/>
  <c r="Y67" s="1"/>
  <c r="M67"/>
  <c r="R67"/>
  <c r="W67"/>
  <c r="O67"/>
  <c r="U67"/>
  <c r="Q67"/>
  <c r="S67"/>
  <c r="N67"/>
  <c r="V67"/>
  <c r="Y68" i="2"/>
  <c r="S112" i="4"/>
  <c r="N130"/>
  <c r="R130"/>
  <c r="V130"/>
  <c r="P130"/>
  <c r="T130"/>
  <c r="X130"/>
  <c r="Y130" s="1"/>
  <c r="Q130"/>
  <c r="S130"/>
  <c r="M130"/>
  <c r="U130"/>
  <c r="O130"/>
  <c r="W130"/>
  <c r="Y131" i="2"/>
  <c r="P138" i="4"/>
  <c r="N144"/>
  <c r="R144"/>
  <c r="V144"/>
  <c r="P144"/>
  <c r="T144"/>
  <c r="X144"/>
  <c r="Y144" s="1"/>
  <c r="M144"/>
  <c r="U144"/>
  <c r="O144"/>
  <c r="W144"/>
  <c r="Q144"/>
  <c r="S144"/>
  <c r="Y145" i="2"/>
  <c r="N165" i="4"/>
  <c r="R165"/>
  <c r="V165"/>
  <c r="O165"/>
  <c r="S165"/>
  <c r="W165"/>
  <c r="P165"/>
  <c r="T165"/>
  <c r="X165"/>
  <c r="Y165" s="1"/>
  <c r="Q165"/>
  <c r="U165"/>
  <c r="Y166" i="2"/>
  <c r="M165" i="4"/>
  <c r="N170"/>
  <c r="R170"/>
  <c r="V170"/>
  <c r="O170"/>
  <c r="S170"/>
  <c r="W170"/>
  <c r="P170"/>
  <c r="T170"/>
  <c r="X170"/>
  <c r="Y170" s="1"/>
  <c r="U170"/>
  <c r="M170"/>
  <c r="Y171" i="2"/>
  <c r="Q170" i="4"/>
  <c r="N205"/>
  <c r="R205"/>
  <c r="V205"/>
  <c r="O205"/>
  <c r="S205"/>
  <c r="W205"/>
  <c r="P205"/>
  <c r="X205"/>
  <c r="Y205" s="1"/>
  <c r="Q205"/>
  <c r="T205"/>
  <c r="U205"/>
  <c r="Y206" i="2"/>
  <c r="M205" i="4"/>
  <c r="N207"/>
  <c r="R207"/>
  <c r="V207"/>
  <c r="O207"/>
  <c r="S207"/>
  <c r="W207"/>
  <c r="P207"/>
  <c r="X207"/>
  <c r="Y207" s="1"/>
  <c r="Q207"/>
  <c r="T207"/>
  <c r="Y208" i="2"/>
  <c r="M207" i="4"/>
  <c r="U207"/>
  <c r="N215"/>
  <c r="R215"/>
  <c r="V215"/>
  <c r="O215"/>
  <c r="S215"/>
  <c r="W215"/>
  <c r="P215"/>
  <c r="X215"/>
  <c r="Y215" s="1"/>
  <c r="Q215"/>
  <c r="T215"/>
  <c r="Y216" i="2"/>
  <c r="M215" i="4"/>
  <c r="U215"/>
  <c r="N219"/>
  <c r="R219"/>
  <c r="V219"/>
  <c r="O219"/>
  <c r="S219"/>
  <c r="W219"/>
  <c r="P219"/>
  <c r="X219"/>
  <c r="Y219" s="1"/>
  <c r="Q219"/>
  <c r="T219"/>
  <c r="M219"/>
  <c r="Y220" i="2"/>
  <c r="U219" i="4"/>
  <c r="N234"/>
  <c r="R234"/>
  <c r="V234"/>
  <c r="O234"/>
  <c r="S234"/>
  <c r="W234"/>
  <c r="T234"/>
  <c r="M234"/>
  <c r="U234"/>
  <c r="P234"/>
  <c r="X234"/>
  <c r="Y234" s="1"/>
  <c r="Q234"/>
  <c r="Y235" i="2"/>
  <c r="P253" i="4"/>
  <c r="T253"/>
  <c r="X253"/>
  <c r="Y253" s="1"/>
  <c r="M253"/>
  <c r="Q253"/>
  <c r="U253"/>
  <c r="N253"/>
  <c r="R253"/>
  <c r="V253"/>
  <c r="W253"/>
  <c r="O253"/>
  <c r="Y254" i="2"/>
  <c r="S253" i="4"/>
  <c r="P282"/>
  <c r="T282"/>
  <c r="X282"/>
  <c r="Y282" s="1"/>
  <c r="M282"/>
  <c r="Q282"/>
  <c r="U282"/>
  <c r="N282"/>
  <c r="R282"/>
  <c r="V282"/>
  <c r="W282"/>
  <c r="Y283" i="2"/>
  <c r="O282" i="4"/>
  <c r="S282"/>
  <c r="T296"/>
  <c r="P298"/>
  <c r="T298"/>
  <c r="X298"/>
  <c r="Y298" s="1"/>
  <c r="M298"/>
  <c r="Q298"/>
  <c r="U298"/>
  <c r="N298"/>
  <c r="R298"/>
  <c r="V298"/>
  <c r="W298"/>
  <c r="Y299" i="2"/>
  <c r="O298" i="4"/>
  <c r="S298"/>
  <c r="P313"/>
  <c r="T313"/>
  <c r="X313"/>
  <c r="Y313" s="1"/>
  <c r="M313"/>
  <c r="Q313"/>
  <c r="U313"/>
  <c r="N313"/>
  <c r="R313"/>
  <c r="V313"/>
  <c r="O313"/>
  <c r="S313"/>
  <c r="W313"/>
  <c r="Y314" i="2"/>
  <c r="X316" i="4"/>
  <c r="Y316" s="1"/>
  <c r="M316"/>
  <c r="O316"/>
  <c r="W316"/>
  <c r="N316"/>
  <c r="S316"/>
  <c r="P321"/>
  <c r="T321"/>
  <c r="X321"/>
  <c r="Y321" s="1"/>
  <c r="M321"/>
  <c r="R321"/>
  <c r="W321"/>
  <c r="N321"/>
  <c r="S321"/>
  <c r="V321"/>
  <c r="O321"/>
  <c r="U321"/>
  <c r="Y322" i="2"/>
  <c r="Q321" i="4"/>
  <c r="O5"/>
  <c r="S5"/>
  <c r="W5"/>
  <c r="P5"/>
  <c r="T5"/>
  <c r="X5"/>
  <c r="Y5" s="1"/>
  <c r="N5"/>
  <c r="V5"/>
  <c r="R5"/>
  <c r="U5"/>
  <c r="M5"/>
  <c r="Q5"/>
  <c r="Y6" i="2"/>
  <c r="N80" i="4"/>
  <c r="R80"/>
  <c r="V80"/>
  <c r="O80"/>
  <c r="S80"/>
  <c r="W80"/>
  <c r="M80"/>
  <c r="U80"/>
  <c r="Q80"/>
  <c r="P80"/>
  <c r="T80"/>
  <c r="X80"/>
  <c r="Y80" s="1"/>
  <c r="Y81" i="2"/>
  <c r="N146" i="4"/>
  <c r="R146"/>
  <c r="V146"/>
  <c r="P146"/>
  <c r="T146"/>
  <c r="X146"/>
  <c r="Y146" s="1"/>
  <c r="M146"/>
  <c r="U146"/>
  <c r="O146"/>
  <c r="W146"/>
  <c r="Q146"/>
  <c r="Y147" i="2"/>
  <c r="S146" i="4"/>
  <c r="N166"/>
  <c r="R166"/>
  <c r="V166"/>
  <c r="O166"/>
  <c r="S166"/>
  <c r="W166"/>
  <c r="P166"/>
  <c r="T166"/>
  <c r="X166"/>
  <c r="Y166" s="1"/>
  <c r="U166"/>
  <c r="M166"/>
  <c r="Q166"/>
  <c r="Y167" i="2"/>
  <c r="N185" i="4"/>
  <c r="R185"/>
  <c r="V185"/>
  <c r="O185"/>
  <c r="S185"/>
  <c r="W185"/>
  <c r="P185"/>
  <c r="T185"/>
  <c r="X185"/>
  <c r="Y185" s="1"/>
  <c r="Q185"/>
  <c r="U185"/>
  <c r="Y186" i="2"/>
  <c r="M185" i="4"/>
  <c r="N194"/>
  <c r="R194"/>
  <c r="V194"/>
  <c r="O194"/>
  <c r="S194"/>
  <c r="W194"/>
  <c r="P194"/>
  <c r="T194"/>
  <c r="X194"/>
  <c r="Y194" s="1"/>
  <c r="Q194"/>
  <c r="U194"/>
  <c r="M194"/>
  <c r="Y195" i="2"/>
  <c r="N203" i="4"/>
  <c r="R203"/>
  <c r="V203"/>
  <c r="O203"/>
  <c r="S203"/>
  <c r="W203"/>
  <c r="P203"/>
  <c r="X203"/>
  <c r="Y203" s="1"/>
  <c r="Q203"/>
  <c r="T203"/>
  <c r="M203"/>
  <c r="Y204" i="2"/>
  <c r="U203" i="4"/>
  <c r="N221"/>
  <c r="R221"/>
  <c r="V221"/>
  <c r="O221"/>
  <c r="S221"/>
  <c r="W221"/>
  <c r="P221"/>
  <c r="X221"/>
  <c r="Y221" s="1"/>
  <c r="Q221"/>
  <c r="T221"/>
  <c r="U221"/>
  <c r="Y222" i="2"/>
  <c r="M221" i="4"/>
  <c r="P251"/>
  <c r="T251"/>
  <c r="X251"/>
  <c r="Y251" s="1"/>
  <c r="M251"/>
  <c r="Q251"/>
  <c r="U251"/>
  <c r="N251"/>
  <c r="R251"/>
  <c r="V251"/>
  <c r="O251"/>
  <c r="Y252" i="2"/>
  <c r="S251" i="4"/>
  <c r="W251"/>
  <c r="P278"/>
  <c r="T278"/>
  <c r="X278"/>
  <c r="Y278" s="1"/>
  <c r="M278"/>
  <c r="Q278"/>
  <c r="U278"/>
  <c r="N278"/>
  <c r="R278"/>
  <c r="V278"/>
  <c r="W278"/>
  <c r="O278"/>
  <c r="S278"/>
  <c r="Y279" i="2"/>
  <c r="P306" i="4"/>
  <c r="T306"/>
  <c r="X306"/>
  <c r="Y306" s="1"/>
  <c r="M306"/>
  <c r="Q306"/>
  <c r="U306"/>
  <c r="N306"/>
  <c r="R306"/>
  <c r="V306"/>
  <c r="W306"/>
  <c r="Y307" i="2"/>
  <c r="S306" i="4"/>
  <c r="O306"/>
  <c r="O7"/>
  <c r="S7"/>
  <c r="W7"/>
  <c r="P7"/>
  <c r="T7"/>
  <c r="X7"/>
  <c r="Y7" s="1"/>
  <c r="N7"/>
  <c r="V7"/>
  <c r="Q7"/>
  <c r="R7"/>
  <c r="U7"/>
  <c r="M7"/>
  <c r="Y8" i="2"/>
  <c r="O25" i="4"/>
  <c r="S25"/>
  <c r="W25"/>
  <c r="P25"/>
  <c r="T25"/>
  <c r="X25"/>
  <c r="Y25" s="1"/>
  <c r="N25"/>
  <c r="V25"/>
  <c r="M25"/>
  <c r="Q25"/>
  <c r="R25"/>
  <c r="U25"/>
  <c r="Y26" i="2"/>
  <c r="P36" i="4"/>
  <c r="T36"/>
  <c r="X36"/>
  <c r="Y36" s="1"/>
  <c r="N36"/>
  <c r="S36"/>
  <c r="O36"/>
  <c r="U36"/>
  <c r="V36"/>
  <c r="Q36"/>
  <c r="R36"/>
  <c r="W36"/>
  <c r="M36"/>
  <c r="Y37" i="2"/>
  <c r="O79" i="4"/>
  <c r="S79"/>
  <c r="W79"/>
  <c r="P79"/>
  <c r="U79"/>
  <c r="Q79"/>
  <c r="V79"/>
  <c r="N79"/>
  <c r="T79"/>
  <c r="X79"/>
  <c r="Y79" s="1"/>
  <c r="M79"/>
  <c r="R79"/>
  <c r="Y80" i="2"/>
  <c r="N139" i="4"/>
  <c r="R139"/>
  <c r="V139"/>
  <c r="P139"/>
  <c r="T139"/>
  <c r="X139"/>
  <c r="Y139" s="1"/>
  <c r="Q139"/>
  <c r="S139"/>
  <c r="M139"/>
  <c r="U139"/>
  <c r="O139"/>
  <c r="W139"/>
  <c r="Y140" i="2"/>
  <c r="N141" i="4"/>
  <c r="R141"/>
  <c r="V141"/>
  <c r="P141"/>
  <c r="T141"/>
  <c r="X141"/>
  <c r="Y141" s="1"/>
  <c r="Q141"/>
  <c r="S141"/>
  <c r="M141"/>
  <c r="U141"/>
  <c r="W141"/>
  <c r="O141"/>
  <c r="Y142" i="2"/>
  <c r="N145" i="4"/>
  <c r="R145"/>
  <c r="V145"/>
  <c r="P145"/>
  <c r="T145"/>
  <c r="X145"/>
  <c r="Y145" s="1"/>
  <c r="Q145"/>
  <c r="S145"/>
  <c r="M145"/>
  <c r="U145"/>
  <c r="O145"/>
  <c r="W145"/>
  <c r="Y146" i="2"/>
  <c r="N168" i="4"/>
  <c r="R168"/>
  <c r="V168"/>
  <c r="O168"/>
  <c r="S168"/>
  <c r="W168"/>
  <c r="P168"/>
  <c r="T168"/>
  <c r="X168"/>
  <c r="Y168" s="1"/>
  <c r="M168"/>
  <c r="Q168"/>
  <c r="U168"/>
  <c r="Y169" i="2"/>
  <c r="N171" i="4"/>
  <c r="R171"/>
  <c r="V171"/>
  <c r="O171"/>
  <c r="S171"/>
  <c r="W171"/>
  <c r="P171"/>
  <c r="T171"/>
  <c r="X171"/>
  <c r="Y171" s="1"/>
  <c r="M171"/>
  <c r="Q171"/>
  <c r="U171"/>
  <c r="Y172" i="2"/>
  <c r="N184" i="4"/>
  <c r="R184"/>
  <c r="V184"/>
  <c r="O184"/>
  <c r="S184"/>
  <c r="W184"/>
  <c r="P184"/>
  <c r="T184"/>
  <c r="X184"/>
  <c r="Y184" s="1"/>
  <c r="M184"/>
  <c r="Q184"/>
  <c r="U184"/>
  <c r="Y185" i="2"/>
  <c r="N189" i="4"/>
  <c r="R189"/>
  <c r="V189"/>
  <c r="O189"/>
  <c r="S189"/>
  <c r="W189"/>
  <c r="P189"/>
  <c r="T189"/>
  <c r="X189"/>
  <c r="Y189" s="1"/>
  <c r="M189"/>
  <c r="Q189"/>
  <c r="U189"/>
  <c r="Y190" i="2"/>
  <c r="N193" i="4"/>
  <c r="R193"/>
  <c r="V193"/>
  <c r="O193"/>
  <c r="S193"/>
  <c r="W193"/>
  <c r="P193"/>
  <c r="T193"/>
  <c r="X193"/>
  <c r="Y193" s="1"/>
  <c r="M193"/>
  <c r="Q193"/>
  <c r="U193"/>
  <c r="Y194" i="2"/>
  <c r="N197" i="4"/>
  <c r="R197"/>
  <c r="V197"/>
  <c r="O197"/>
  <c r="S197"/>
  <c r="W197"/>
  <c r="P197"/>
  <c r="T197"/>
  <c r="X197"/>
  <c r="Y197" s="1"/>
  <c r="M197"/>
  <c r="Q197"/>
  <c r="U197"/>
  <c r="Y198" i="2"/>
  <c r="N202" i="4"/>
  <c r="R202"/>
  <c r="V202"/>
  <c r="O202"/>
  <c r="S202"/>
  <c r="W202"/>
  <c r="T202"/>
  <c r="M202"/>
  <c r="U202"/>
  <c r="P202"/>
  <c r="X202"/>
  <c r="Y202" s="1"/>
  <c r="Q202"/>
  <c r="Y203" i="2"/>
  <c r="N206" i="4"/>
  <c r="R206"/>
  <c r="V206"/>
  <c r="O206"/>
  <c r="S206"/>
  <c r="W206"/>
  <c r="T206"/>
  <c r="M206"/>
  <c r="U206"/>
  <c r="P206"/>
  <c r="X206"/>
  <c r="Y206" s="1"/>
  <c r="Y207" i="2"/>
  <c r="Q206" i="4"/>
  <c r="N216"/>
  <c r="R216"/>
  <c r="V216"/>
  <c r="O216"/>
  <c r="S216"/>
  <c r="W216"/>
  <c r="T216"/>
  <c r="M216"/>
  <c r="U216"/>
  <c r="P216"/>
  <c r="X216"/>
  <c r="Y216" s="1"/>
  <c r="Q216"/>
  <c r="Y217" i="2"/>
  <c r="N220" i="4"/>
  <c r="R220"/>
  <c r="V220"/>
  <c r="O220"/>
  <c r="S220"/>
  <c r="W220"/>
  <c r="T220"/>
  <c r="M220"/>
  <c r="U220"/>
  <c r="P220"/>
  <c r="X220"/>
  <c r="Y220" s="1"/>
  <c r="Y221" i="2"/>
  <c r="Q220" i="4"/>
  <c r="P237"/>
  <c r="T237"/>
  <c r="Q237"/>
  <c r="U237"/>
  <c r="V237"/>
  <c r="W237"/>
  <c r="S237"/>
  <c r="P248"/>
  <c r="T248"/>
  <c r="X248"/>
  <c r="Y248" s="1"/>
  <c r="M248"/>
  <c r="Q248"/>
  <c r="U248"/>
  <c r="N248"/>
  <c r="R248"/>
  <c r="V248"/>
  <c r="S248"/>
  <c r="W248"/>
  <c r="Y249" i="2"/>
  <c r="O248" i="4"/>
  <c r="P250"/>
  <c r="T250"/>
  <c r="X250"/>
  <c r="Y250" s="1"/>
  <c r="M250"/>
  <c r="Q250"/>
  <c r="U250"/>
  <c r="N250"/>
  <c r="R250"/>
  <c r="V250"/>
  <c r="O250"/>
  <c r="S250"/>
  <c r="W250"/>
  <c r="Y251" i="2"/>
  <c r="P254" i="4"/>
  <c r="T254"/>
  <c r="X254"/>
  <c r="Y254" s="1"/>
  <c r="M254"/>
  <c r="Q254"/>
  <c r="U254"/>
  <c r="N254"/>
  <c r="R254"/>
  <c r="V254"/>
  <c r="Y255" i="2"/>
  <c r="O254" i="4"/>
  <c r="W254"/>
  <c r="S254"/>
  <c r="P280"/>
  <c r="T280"/>
  <c r="Q280"/>
  <c r="U280"/>
  <c r="V280"/>
  <c r="O280"/>
  <c r="W280"/>
  <c r="P311"/>
  <c r="T311"/>
  <c r="X311"/>
  <c r="Y311" s="1"/>
  <c r="M311"/>
  <c r="Q311"/>
  <c r="U311"/>
  <c r="N311"/>
  <c r="R311"/>
  <c r="V311"/>
  <c r="W311"/>
  <c r="Y312" i="2"/>
  <c r="O311" i="4"/>
  <c r="S311"/>
  <c r="P314"/>
  <c r="T314"/>
  <c r="X314"/>
  <c r="Y314" s="1"/>
  <c r="M314"/>
  <c r="Q314"/>
  <c r="U314"/>
  <c r="O314"/>
  <c r="W314"/>
  <c r="R314"/>
  <c r="N314"/>
  <c r="Y315" i="2"/>
  <c r="S314" i="4"/>
  <c r="V314"/>
  <c r="P324"/>
  <c r="T324"/>
  <c r="X324"/>
  <c r="Y324" s="1"/>
  <c r="N324"/>
  <c r="S324"/>
  <c r="O324"/>
  <c r="U324"/>
  <c r="Y325" i="2"/>
  <c r="M324" i="4"/>
  <c r="Q324"/>
  <c r="V324"/>
  <c r="R324"/>
  <c r="W324"/>
  <c r="O9"/>
  <c r="S9"/>
  <c r="W9"/>
  <c r="P9"/>
  <c r="T9"/>
  <c r="X9"/>
  <c r="Y9" s="1"/>
  <c r="N9"/>
  <c r="V9"/>
  <c r="M9"/>
  <c r="Q9"/>
  <c r="R9"/>
  <c r="U9"/>
  <c r="Y10" i="2"/>
  <c r="P49" i="4"/>
  <c r="T49"/>
  <c r="X49"/>
  <c r="Y49" s="1"/>
  <c r="M49"/>
  <c r="R49"/>
  <c r="W49"/>
  <c r="N49"/>
  <c r="S49"/>
  <c r="O49"/>
  <c r="U49"/>
  <c r="Q49"/>
  <c r="V49"/>
  <c r="Y50" i="2"/>
  <c r="P65" i="4"/>
  <c r="T65"/>
  <c r="X65"/>
  <c r="Y65" s="1"/>
  <c r="O65"/>
  <c r="U65"/>
  <c r="M65"/>
  <c r="R65"/>
  <c r="W65"/>
  <c r="S65"/>
  <c r="V65"/>
  <c r="Q65"/>
  <c r="N65"/>
  <c r="Y66" i="2"/>
  <c r="N93" i="4"/>
  <c r="R93"/>
  <c r="V93"/>
  <c r="O93"/>
  <c r="S93"/>
  <c r="W93"/>
  <c r="Q93"/>
  <c r="M93"/>
  <c r="U93"/>
  <c r="P93"/>
  <c r="T93"/>
  <c r="X93"/>
  <c r="Y93" s="1"/>
  <c r="Y94" i="2"/>
  <c r="L101"/>
  <c r="N111" i="4"/>
  <c r="R111"/>
  <c r="V111"/>
  <c r="O111"/>
  <c r="S111"/>
  <c r="W111"/>
  <c r="Q111"/>
  <c r="M111"/>
  <c r="U111"/>
  <c r="X111"/>
  <c r="Y111" s="1"/>
  <c r="P111"/>
  <c r="T111"/>
  <c r="Y112" i="2"/>
  <c r="N118" i="4"/>
  <c r="R118"/>
  <c r="V118"/>
  <c r="O118"/>
  <c r="S118"/>
  <c r="W118"/>
  <c r="M118"/>
  <c r="U118"/>
  <c r="Q118"/>
  <c r="T118"/>
  <c r="X118"/>
  <c r="Y118" s="1"/>
  <c r="P118"/>
  <c r="Y119" i="2"/>
  <c r="N124" i="4"/>
  <c r="R124"/>
  <c r="V124"/>
  <c r="P124"/>
  <c r="T124"/>
  <c r="X124"/>
  <c r="Y124" s="1"/>
  <c r="Q124"/>
  <c r="S124"/>
  <c r="M124"/>
  <c r="U124"/>
  <c r="W124"/>
  <c r="Y125" i="2"/>
  <c r="O124" i="4"/>
  <c r="N137"/>
  <c r="R137"/>
  <c r="V137"/>
  <c r="P137"/>
  <c r="T137"/>
  <c r="X137"/>
  <c r="Y137" s="1"/>
  <c r="Q137"/>
  <c r="S137"/>
  <c r="M137"/>
  <c r="U137"/>
  <c r="O137"/>
  <c r="W137"/>
  <c r="Y138" i="2"/>
  <c r="N148" i="4"/>
  <c r="R148"/>
  <c r="V148"/>
  <c r="P148"/>
  <c r="T148"/>
  <c r="M148"/>
  <c r="U148"/>
  <c r="O148"/>
  <c r="W148"/>
  <c r="Q148"/>
  <c r="X148"/>
  <c r="Y148" s="1"/>
  <c r="S148"/>
  <c r="Y149" i="2"/>
  <c r="N152" i="4"/>
  <c r="R152"/>
  <c r="V152"/>
  <c r="O152"/>
  <c r="S152"/>
  <c r="W152"/>
  <c r="P152"/>
  <c r="T152"/>
  <c r="X152"/>
  <c r="Y152" s="1"/>
  <c r="M152"/>
  <c r="Q152"/>
  <c r="U152"/>
  <c r="Y153" i="2"/>
  <c r="N161" i="4"/>
  <c r="R161"/>
  <c r="V161"/>
  <c r="O161"/>
  <c r="S161"/>
  <c r="W161"/>
  <c r="P161"/>
  <c r="T161"/>
  <c r="X161"/>
  <c r="Y161" s="1"/>
  <c r="Q161"/>
  <c r="U161"/>
  <c r="M161"/>
  <c r="Y162" i="2"/>
  <c r="N175" i="4"/>
  <c r="R175"/>
  <c r="V175"/>
  <c r="O175"/>
  <c r="S175"/>
  <c r="W175"/>
  <c r="P175"/>
  <c r="T175"/>
  <c r="X175"/>
  <c r="Y175" s="1"/>
  <c r="M175"/>
  <c r="Q175"/>
  <c r="Y176" i="2"/>
  <c r="U175" i="4"/>
  <c r="N212"/>
  <c r="R212"/>
  <c r="V212"/>
  <c r="O212"/>
  <c r="S212"/>
  <c r="W212"/>
  <c r="T212"/>
  <c r="M212"/>
  <c r="U212"/>
  <c r="P212"/>
  <c r="X212"/>
  <c r="Y212" s="1"/>
  <c r="Y213" i="2"/>
  <c r="Q212" i="4"/>
  <c r="S236"/>
  <c r="P261"/>
  <c r="T261"/>
  <c r="X261"/>
  <c r="Y261" s="1"/>
  <c r="M261"/>
  <c r="Q261"/>
  <c r="U261"/>
  <c r="N261"/>
  <c r="R261"/>
  <c r="V261"/>
  <c r="W261"/>
  <c r="O261"/>
  <c r="Y262" i="2"/>
  <c r="S261" i="4"/>
  <c r="P268"/>
  <c r="T268"/>
  <c r="X268"/>
  <c r="Y268" s="1"/>
  <c r="M268"/>
  <c r="Q268"/>
  <c r="U268"/>
  <c r="N268"/>
  <c r="R268"/>
  <c r="V268"/>
  <c r="O268"/>
  <c r="S268"/>
  <c r="Y269" i="2"/>
  <c r="W268" i="4"/>
  <c r="P272"/>
  <c r="T272"/>
  <c r="X272"/>
  <c r="Y272" s="1"/>
  <c r="M272"/>
  <c r="Q272"/>
  <c r="U272"/>
  <c r="N272"/>
  <c r="R272"/>
  <c r="V272"/>
  <c r="O272"/>
  <c r="S272"/>
  <c r="Y273" i="2"/>
  <c r="W272" i="4"/>
  <c r="P284"/>
  <c r="T284"/>
  <c r="X284"/>
  <c r="Y284" s="1"/>
  <c r="M284"/>
  <c r="Q284"/>
  <c r="U284"/>
  <c r="N284"/>
  <c r="R284"/>
  <c r="V284"/>
  <c r="O284"/>
  <c r="S284"/>
  <c r="Y285" i="2"/>
  <c r="W284" i="4"/>
  <c r="P302"/>
  <c r="T302"/>
  <c r="X302"/>
  <c r="Y302" s="1"/>
  <c r="M302"/>
  <c r="Q302"/>
  <c r="U302"/>
  <c r="N302"/>
  <c r="R302"/>
  <c r="V302"/>
  <c r="W302"/>
  <c r="O302"/>
  <c r="S302"/>
  <c r="Y303" i="2"/>
  <c r="P305" i="4"/>
  <c r="T305"/>
  <c r="X305"/>
  <c r="Y305" s="1"/>
  <c r="M305"/>
  <c r="Q305"/>
  <c r="U305"/>
  <c r="N305"/>
  <c r="R305"/>
  <c r="V305"/>
  <c r="S305"/>
  <c r="W305"/>
  <c r="Y306" i="2"/>
  <c r="O305" i="4"/>
  <c r="L324" i="2"/>
  <c r="O10" i="4"/>
  <c r="S10"/>
  <c r="W10"/>
  <c r="P10"/>
  <c r="T10"/>
  <c r="X10"/>
  <c r="Y10" s="1"/>
  <c r="R10"/>
  <c r="M10"/>
  <c r="V10"/>
  <c r="N10"/>
  <c r="Q10"/>
  <c r="U10"/>
  <c r="Y11" i="2"/>
  <c r="O13" i="4"/>
  <c r="S13"/>
  <c r="W13"/>
  <c r="P13"/>
  <c r="T13"/>
  <c r="X13"/>
  <c r="Y13" s="1"/>
  <c r="N13"/>
  <c r="V13"/>
  <c r="R13"/>
  <c r="U13"/>
  <c r="M13"/>
  <c r="Q13"/>
  <c r="Y14" i="2"/>
  <c r="O16" i="4"/>
  <c r="S16"/>
  <c r="W16"/>
  <c r="P16"/>
  <c r="T16"/>
  <c r="X16"/>
  <c r="Y16" s="1"/>
  <c r="R16"/>
  <c r="N16"/>
  <c r="Q16"/>
  <c r="U16"/>
  <c r="V16"/>
  <c r="M16"/>
  <c r="Y17" i="2"/>
  <c r="O19" i="4"/>
  <c r="S19"/>
  <c r="W19"/>
  <c r="P19"/>
  <c r="T19"/>
  <c r="X19"/>
  <c r="Y19" s="1"/>
  <c r="N19"/>
  <c r="V19"/>
  <c r="U19"/>
  <c r="M19"/>
  <c r="Q19"/>
  <c r="R19"/>
  <c r="Y20" i="2"/>
  <c r="L29"/>
  <c r="L44"/>
  <c r="P46" i="4"/>
  <c r="T46"/>
  <c r="X46"/>
  <c r="Y46" s="1"/>
  <c r="Q46"/>
  <c r="V46"/>
  <c r="M46"/>
  <c r="R46"/>
  <c r="W46"/>
  <c r="S46"/>
  <c r="N46"/>
  <c r="U46"/>
  <c r="O46"/>
  <c r="Y47" i="2"/>
  <c r="L51"/>
  <c r="L62"/>
  <c r="P70" i="4"/>
  <c r="T70"/>
  <c r="X70"/>
  <c r="Y70" s="1"/>
  <c r="N70"/>
  <c r="S70"/>
  <c r="Q70"/>
  <c r="V70"/>
  <c r="M70"/>
  <c r="W70"/>
  <c r="O70"/>
  <c r="U70"/>
  <c r="R70"/>
  <c r="Y71" i="2"/>
  <c r="P74" i="4"/>
  <c r="T74"/>
  <c r="X74"/>
  <c r="Y74" s="1"/>
  <c r="N74"/>
  <c r="S74"/>
  <c r="Q74"/>
  <c r="V74"/>
  <c r="R74"/>
  <c r="U74"/>
  <c r="O74"/>
  <c r="M74"/>
  <c r="W74"/>
  <c r="Y75" i="2"/>
  <c r="N89" i="4"/>
  <c r="R89"/>
  <c r="V89"/>
  <c r="O89"/>
  <c r="S89"/>
  <c r="W89"/>
  <c r="Q89"/>
  <c r="M89"/>
  <c r="U89"/>
  <c r="P89"/>
  <c r="T89"/>
  <c r="X89"/>
  <c r="Y89" s="1"/>
  <c r="Y90" i="2"/>
  <c r="N94" i="4"/>
  <c r="R94"/>
  <c r="V94"/>
  <c r="O94"/>
  <c r="S94"/>
  <c r="W94"/>
  <c r="M94"/>
  <c r="U94"/>
  <c r="Q94"/>
  <c r="T94"/>
  <c r="X94"/>
  <c r="Y94" s="1"/>
  <c r="P94"/>
  <c r="Y95" i="2"/>
  <c r="L110"/>
  <c r="N127" i="4"/>
  <c r="R127"/>
  <c r="V127"/>
  <c r="P127"/>
  <c r="T127"/>
  <c r="X127"/>
  <c r="Y127" s="1"/>
  <c r="M127"/>
  <c r="U127"/>
  <c r="O127"/>
  <c r="W127"/>
  <c r="Q127"/>
  <c r="S127"/>
  <c r="Y128" i="2"/>
  <c r="L132"/>
  <c r="N135" i="4"/>
  <c r="R135"/>
  <c r="V135"/>
  <c r="P135"/>
  <c r="T135"/>
  <c r="X135"/>
  <c r="Y135" s="1"/>
  <c r="Q135"/>
  <c r="S135"/>
  <c r="M135"/>
  <c r="U135"/>
  <c r="O135"/>
  <c r="W135"/>
  <c r="Y136" i="2"/>
  <c r="L141"/>
  <c r="L163"/>
  <c r="N173" i="4"/>
  <c r="R173"/>
  <c r="V173"/>
  <c r="O173"/>
  <c r="S173"/>
  <c r="W173"/>
  <c r="P173"/>
  <c r="T173"/>
  <c r="X173"/>
  <c r="Y173" s="1"/>
  <c r="Q173"/>
  <c r="U173"/>
  <c r="Y174" i="2"/>
  <c r="M173" i="4"/>
  <c r="N183"/>
  <c r="R183"/>
  <c r="V183"/>
  <c r="O183"/>
  <c r="S183"/>
  <c r="W183"/>
  <c r="P183"/>
  <c r="T183"/>
  <c r="X183"/>
  <c r="Y183" s="1"/>
  <c r="M183"/>
  <c r="Q183"/>
  <c r="U183"/>
  <c r="Y184" i="2"/>
  <c r="N192" i="4"/>
  <c r="R192"/>
  <c r="V192"/>
  <c r="O192"/>
  <c r="S192"/>
  <c r="W192"/>
  <c r="P192"/>
  <c r="T192"/>
  <c r="X192"/>
  <c r="Y192" s="1"/>
  <c r="M192"/>
  <c r="Q192"/>
  <c r="Y193" i="2"/>
  <c r="U192" i="4"/>
  <c r="L215" i="2"/>
  <c r="P243" i="4"/>
  <c r="T243"/>
  <c r="X243"/>
  <c r="Y243" s="1"/>
  <c r="M243"/>
  <c r="Q243"/>
  <c r="U243"/>
  <c r="N243"/>
  <c r="R243"/>
  <c r="V243"/>
  <c r="O243"/>
  <c r="Y244" i="2"/>
  <c r="S243" i="4"/>
  <c r="W243"/>
  <c r="L250" i="2"/>
  <c r="P259" i="4"/>
  <c r="T259"/>
  <c r="X259"/>
  <c r="Y259" s="1"/>
  <c r="M259"/>
  <c r="Q259"/>
  <c r="U259"/>
  <c r="N259"/>
  <c r="R259"/>
  <c r="V259"/>
  <c r="O259"/>
  <c r="Y260" i="2"/>
  <c r="S259" i="4"/>
  <c r="W259"/>
  <c r="P273"/>
  <c r="T273"/>
  <c r="X273"/>
  <c r="Y273" s="1"/>
  <c r="M273"/>
  <c r="Q273"/>
  <c r="U273"/>
  <c r="N273"/>
  <c r="R273"/>
  <c r="V273"/>
  <c r="S273"/>
  <c r="W273"/>
  <c r="Y274" i="2"/>
  <c r="O273" i="4"/>
  <c r="P285"/>
  <c r="T285"/>
  <c r="X285"/>
  <c r="Y285" s="1"/>
  <c r="M285"/>
  <c r="Q285"/>
  <c r="U285"/>
  <c r="N285"/>
  <c r="R285"/>
  <c r="V285"/>
  <c r="S285"/>
  <c r="W285"/>
  <c r="Y286" i="2"/>
  <c r="O285" i="4"/>
  <c r="P288"/>
  <c r="T288"/>
  <c r="X288"/>
  <c r="Y288" s="1"/>
  <c r="M288"/>
  <c r="Q288"/>
  <c r="U288"/>
  <c r="N288"/>
  <c r="R288"/>
  <c r="V288"/>
  <c r="O288"/>
  <c r="S288"/>
  <c r="Y289" i="2"/>
  <c r="W288" i="4"/>
  <c r="P292"/>
  <c r="T292"/>
  <c r="X292"/>
  <c r="Y292" s="1"/>
  <c r="M292"/>
  <c r="Q292"/>
  <c r="U292"/>
  <c r="N292"/>
  <c r="R292"/>
  <c r="V292"/>
  <c r="O292"/>
  <c r="S292"/>
  <c r="Y293" i="2"/>
  <c r="W292" i="4"/>
  <c r="P300"/>
  <c r="T300"/>
  <c r="X300"/>
  <c r="Y300" s="1"/>
  <c r="M300"/>
  <c r="Q300"/>
  <c r="U300"/>
  <c r="N300"/>
  <c r="R300"/>
  <c r="V300"/>
  <c r="O300"/>
  <c r="S300"/>
  <c r="Y301" i="2"/>
  <c r="W300" i="4"/>
  <c r="P318"/>
  <c r="T318"/>
  <c r="X318"/>
  <c r="Y318" s="1"/>
  <c r="Q318"/>
  <c r="V318"/>
  <c r="O318"/>
  <c r="Y319" i="2"/>
  <c r="M318" i="4"/>
  <c r="R318"/>
  <c r="W318"/>
  <c r="N318"/>
  <c r="S318"/>
  <c r="U318"/>
  <c r="O12"/>
  <c r="S12"/>
  <c r="W12"/>
  <c r="P12"/>
  <c r="T12"/>
  <c r="X12"/>
  <c r="Y12" s="1"/>
  <c r="R12"/>
  <c r="U12"/>
  <c r="M12"/>
  <c r="V12"/>
  <c r="N12"/>
  <c r="Q12"/>
  <c r="Y13" i="2"/>
  <c r="O21" i="4"/>
  <c r="S21"/>
  <c r="W21"/>
  <c r="P21"/>
  <c r="T21"/>
  <c r="X21"/>
  <c r="Y21" s="1"/>
  <c r="N21"/>
  <c r="V21"/>
  <c r="R21"/>
  <c r="U21"/>
  <c r="M21"/>
  <c r="Q21"/>
  <c r="Y22" i="2"/>
  <c r="P34" i="4"/>
  <c r="O34"/>
  <c r="T34"/>
  <c r="X34"/>
  <c r="Y34" s="1"/>
  <c r="Q34"/>
  <c r="V34"/>
  <c r="R34"/>
  <c r="W34"/>
  <c r="M34"/>
  <c r="S34"/>
  <c r="U34"/>
  <c r="N34"/>
  <c r="Y35" i="2"/>
  <c r="P42" i="4"/>
  <c r="T42"/>
  <c r="X42"/>
  <c r="Y42" s="1"/>
  <c r="Q42"/>
  <c r="V42"/>
  <c r="M42"/>
  <c r="R42"/>
  <c r="W42"/>
  <c r="N42"/>
  <c r="S42"/>
  <c r="O42"/>
  <c r="U42"/>
  <c r="Y43" i="2"/>
  <c r="L53"/>
  <c r="N81" i="4"/>
  <c r="R81"/>
  <c r="V81"/>
  <c r="O81"/>
  <c r="S81"/>
  <c r="W81"/>
  <c r="Q81"/>
  <c r="M81"/>
  <c r="U81"/>
  <c r="P81"/>
  <c r="T81"/>
  <c r="X81"/>
  <c r="Y81" s="1"/>
  <c r="Y82" i="2"/>
  <c r="N91" i="4"/>
  <c r="R91"/>
  <c r="V91"/>
  <c r="O91"/>
  <c r="S91"/>
  <c r="W91"/>
  <c r="Q91"/>
  <c r="M91"/>
  <c r="U91"/>
  <c r="X91"/>
  <c r="Y91" s="1"/>
  <c r="P91"/>
  <c r="Y92" i="2"/>
  <c r="T91" i="4"/>
  <c r="N102"/>
  <c r="R102"/>
  <c r="V102"/>
  <c r="O102"/>
  <c r="S102"/>
  <c r="W102"/>
  <c r="M102"/>
  <c r="U102"/>
  <c r="Q102"/>
  <c r="T102"/>
  <c r="X102"/>
  <c r="Y102" s="1"/>
  <c r="P102"/>
  <c r="Y103" i="2"/>
  <c r="N106" i="4"/>
  <c r="R106"/>
  <c r="V106"/>
  <c r="O106"/>
  <c r="S106"/>
  <c r="W106"/>
  <c r="M106"/>
  <c r="U106"/>
  <c r="Q106"/>
  <c r="T106"/>
  <c r="X106"/>
  <c r="Y106" s="1"/>
  <c r="P106"/>
  <c r="Y107" i="2"/>
  <c r="N116" i="4"/>
  <c r="R116"/>
  <c r="V116"/>
  <c r="O116"/>
  <c r="S116"/>
  <c r="W116"/>
  <c r="M116"/>
  <c r="U116"/>
  <c r="Q116"/>
  <c r="P116"/>
  <c r="T116"/>
  <c r="X116"/>
  <c r="Y116" s="1"/>
  <c r="Y117" i="2"/>
  <c r="N122" i="4"/>
  <c r="R122"/>
  <c r="V122"/>
  <c r="P122"/>
  <c r="T122"/>
  <c r="X122"/>
  <c r="Y122" s="1"/>
  <c r="Q122"/>
  <c r="S122"/>
  <c r="M122"/>
  <c r="U122"/>
  <c r="O122"/>
  <c r="W122"/>
  <c r="Y123" i="2"/>
  <c r="N134" i="4"/>
  <c r="R134"/>
  <c r="V134"/>
  <c r="P134"/>
  <c r="T134"/>
  <c r="X134"/>
  <c r="Y134" s="1"/>
  <c r="M134"/>
  <c r="U134"/>
  <c r="O134"/>
  <c r="W134"/>
  <c r="Q134"/>
  <c r="S134"/>
  <c r="Y135" i="2"/>
  <c r="N149" i="4"/>
  <c r="R149"/>
  <c r="V149"/>
  <c r="O149"/>
  <c r="S149"/>
  <c r="W149"/>
  <c r="P149"/>
  <c r="T149"/>
  <c r="X149"/>
  <c r="Y149" s="1"/>
  <c r="Q149"/>
  <c r="U149"/>
  <c r="Y150" i="2"/>
  <c r="M149" i="4"/>
  <c r="N154"/>
  <c r="R154"/>
  <c r="V154"/>
  <c r="O154"/>
  <c r="S154"/>
  <c r="W154"/>
  <c r="P154"/>
  <c r="T154"/>
  <c r="X154"/>
  <c r="Y154" s="1"/>
  <c r="U154"/>
  <c r="M154"/>
  <c r="Y155" i="2"/>
  <c r="Q154" i="4"/>
  <c r="N178"/>
  <c r="R178"/>
  <c r="V178"/>
  <c r="O178"/>
  <c r="S178"/>
  <c r="W178"/>
  <c r="P178"/>
  <c r="T178"/>
  <c r="X178"/>
  <c r="Y178" s="1"/>
  <c r="U178"/>
  <c r="M178"/>
  <c r="Q178"/>
  <c r="Y179" i="2"/>
  <c r="N191" i="4"/>
  <c r="R191"/>
  <c r="V191"/>
  <c r="O191"/>
  <c r="S191"/>
  <c r="W191"/>
  <c r="P191"/>
  <c r="T191"/>
  <c r="X191"/>
  <c r="Y191" s="1"/>
  <c r="U191"/>
  <c r="M191"/>
  <c r="Y192" i="2"/>
  <c r="Q191" i="4"/>
  <c r="L209" i="2"/>
  <c r="N223" i="4"/>
  <c r="R223"/>
  <c r="V223"/>
  <c r="O223"/>
  <c r="S223"/>
  <c r="W223"/>
  <c r="P223"/>
  <c r="X223"/>
  <c r="Y223" s="1"/>
  <c r="Q223"/>
  <c r="T223"/>
  <c r="Y224" i="2"/>
  <c r="M223" i="4"/>
  <c r="U223"/>
  <c r="N232"/>
  <c r="R232"/>
  <c r="V232"/>
  <c r="O232"/>
  <c r="S232"/>
  <c r="W232"/>
  <c r="T232"/>
  <c r="M232"/>
  <c r="U232"/>
  <c r="P232"/>
  <c r="X232"/>
  <c r="Y232" s="1"/>
  <c r="Q232"/>
  <c r="Y233" i="2"/>
  <c r="P246" i="4"/>
  <c r="T246"/>
  <c r="X246"/>
  <c r="Y246" s="1"/>
  <c r="M246"/>
  <c r="Q246"/>
  <c r="U246"/>
  <c r="N246"/>
  <c r="R246"/>
  <c r="V246"/>
  <c r="O246"/>
  <c r="Y247" i="2"/>
  <c r="S246" i="4"/>
  <c r="W246"/>
  <c r="P258"/>
  <c r="T258"/>
  <c r="X258"/>
  <c r="Y258" s="1"/>
  <c r="M258"/>
  <c r="Q258"/>
  <c r="U258"/>
  <c r="N258"/>
  <c r="R258"/>
  <c r="V258"/>
  <c r="O258"/>
  <c r="Y259" i="2"/>
  <c r="S258" i="4"/>
  <c r="W258"/>
  <c r="P266"/>
  <c r="T266"/>
  <c r="X266"/>
  <c r="Y266" s="1"/>
  <c r="M266"/>
  <c r="Q266"/>
  <c r="U266"/>
  <c r="N266"/>
  <c r="R266"/>
  <c r="V266"/>
  <c r="W266"/>
  <c r="Y267" i="2"/>
  <c r="O266" i="4"/>
  <c r="S266"/>
  <c r="P279"/>
  <c r="T279"/>
  <c r="X279"/>
  <c r="Y279" s="1"/>
  <c r="M279"/>
  <c r="Q279"/>
  <c r="U279"/>
  <c r="N279"/>
  <c r="R279"/>
  <c r="V279"/>
  <c r="Y280" i="2"/>
  <c r="O279" i="4"/>
  <c r="S279"/>
  <c r="W279"/>
  <c r="P287"/>
  <c r="T287"/>
  <c r="X287"/>
  <c r="Y287" s="1"/>
  <c r="M287"/>
  <c r="Q287"/>
  <c r="U287"/>
  <c r="N287"/>
  <c r="R287"/>
  <c r="V287"/>
  <c r="Y288" i="2"/>
  <c r="O287" i="4"/>
  <c r="S287"/>
  <c r="W287"/>
  <c r="P307"/>
  <c r="Q307"/>
  <c r="V307"/>
  <c r="W307"/>
  <c r="O11"/>
  <c r="S11"/>
  <c r="W11"/>
  <c r="P11"/>
  <c r="T11"/>
  <c r="X11"/>
  <c r="Y11" s="1"/>
  <c r="N11"/>
  <c r="V11"/>
  <c r="U11"/>
  <c r="M11"/>
  <c r="Q11"/>
  <c r="R11"/>
  <c r="Y12" i="2"/>
  <c r="P35" i="4"/>
  <c r="T35"/>
  <c r="X35"/>
  <c r="Y35" s="1"/>
  <c r="O35"/>
  <c r="U35"/>
  <c r="Q35"/>
  <c r="V35"/>
  <c r="M35"/>
  <c r="W35"/>
  <c r="R35"/>
  <c r="N35"/>
  <c r="S35"/>
  <c r="Y36" i="2"/>
  <c r="P47" i="4"/>
  <c r="T47"/>
  <c r="X47"/>
  <c r="Y47" s="1"/>
  <c r="O47"/>
  <c r="U47"/>
  <c r="Q47"/>
  <c r="V47"/>
  <c r="R47"/>
  <c r="M47"/>
  <c r="W47"/>
  <c r="N47"/>
  <c r="S47"/>
  <c r="Y48" i="2"/>
  <c r="P53" i="4"/>
  <c r="T53"/>
  <c r="X53"/>
  <c r="Y53" s="1"/>
  <c r="M53"/>
  <c r="R53"/>
  <c r="W53"/>
  <c r="N53"/>
  <c r="S53"/>
  <c r="U53"/>
  <c r="O53"/>
  <c r="V53"/>
  <c r="Q53"/>
  <c r="Y54" i="2"/>
  <c r="Y56"/>
  <c r="P59" i="4"/>
  <c r="T59"/>
  <c r="X59"/>
  <c r="Y59" s="1"/>
  <c r="M59"/>
  <c r="R59"/>
  <c r="W59"/>
  <c r="O59"/>
  <c r="U59"/>
  <c r="Q59"/>
  <c r="S59"/>
  <c r="N59"/>
  <c r="V59"/>
  <c r="Y60" i="2"/>
  <c r="M66" i="4"/>
  <c r="P71"/>
  <c r="T71"/>
  <c r="X71"/>
  <c r="Y71" s="1"/>
  <c r="M71"/>
  <c r="R71"/>
  <c r="W71"/>
  <c r="O71"/>
  <c r="U71"/>
  <c r="V71"/>
  <c r="N71"/>
  <c r="S71"/>
  <c r="Q71"/>
  <c r="Y72" i="2"/>
  <c r="L73"/>
  <c r="P75" i="4"/>
  <c r="T75"/>
  <c r="M75"/>
  <c r="R75"/>
  <c r="W75"/>
  <c r="O75"/>
  <c r="U75"/>
  <c r="Q75"/>
  <c r="S75"/>
  <c r="N75"/>
  <c r="X75"/>
  <c r="Y75" s="1"/>
  <c r="V75"/>
  <c r="Y76" i="2"/>
  <c r="N84" i="4"/>
  <c r="R84"/>
  <c r="V84"/>
  <c r="O84"/>
  <c r="S84"/>
  <c r="W84"/>
  <c r="M84"/>
  <c r="U84"/>
  <c r="Q84"/>
  <c r="P84"/>
  <c r="T84"/>
  <c r="X84"/>
  <c r="Y84" s="1"/>
  <c r="Y85" i="2"/>
  <c r="N90" i="4"/>
  <c r="R90"/>
  <c r="V90"/>
  <c r="O90"/>
  <c r="S90"/>
  <c r="W90"/>
  <c r="M90"/>
  <c r="U90"/>
  <c r="Q90"/>
  <c r="T90"/>
  <c r="X90"/>
  <c r="Y90" s="1"/>
  <c r="P90"/>
  <c r="Y91" i="2"/>
  <c r="N92" i="4"/>
  <c r="R92"/>
  <c r="V92"/>
  <c r="O92"/>
  <c r="S92"/>
  <c r="W92"/>
  <c r="M92"/>
  <c r="U92"/>
  <c r="Q92"/>
  <c r="P92"/>
  <c r="T92"/>
  <c r="X92"/>
  <c r="Y92" s="1"/>
  <c r="Y93" i="2"/>
  <c r="N95" i="4"/>
  <c r="R95"/>
  <c r="V95"/>
  <c r="O95"/>
  <c r="S95"/>
  <c r="W95"/>
  <c r="Q95"/>
  <c r="M95"/>
  <c r="U95"/>
  <c r="X95"/>
  <c r="Y95" s="1"/>
  <c r="P95"/>
  <c r="T95"/>
  <c r="Y96" i="2"/>
  <c r="N98" i="4"/>
  <c r="R98"/>
  <c r="V98"/>
  <c r="O98"/>
  <c r="S98"/>
  <c r="W98"/>
  <c r="M98"/>
  <c r="U98"/>
  <c r="Q98"/>
  <c r="T98"/>
  <c r="X98"/>
  <c r="Y98" s="1"/>
  <c r="P98"/>
  <c r="Y99" i="2"/>
  <c r="N101" i="4"/>
  <c r="R101"/>
  <c r="V101"/>
  <c r="O101"/>
  <c r="S101"/>
  <c r="W101"/>
  <c r="Q101"/>
  <c r="M101"/>
  <c r="U101"/>
  <c r="P101"/>
  <c r="T101"/>
  <c r="X101"/>
  <c r="Y101" s="1"/>
  <c r="Y102" i="2"/>
  <c r="N103" i="4"/>
  <c r="R103"/>
  <c r="V103"/>
  <c r="O103"/>
  <c r="S103"/>
  <c r="W103"/>
  <c r="Q103"/>
  <c r="M103"/>
  <c r="U103"/>
  <c r="X103"/>
  <c r="Y103" s="1"/>
  <c r="P103"/>
  <c r="T103"/>
  <c r="Y104" i="2"/>
  <c r="N105" i="4"/>
  <c r="R105"/>
  <c r="V105"/>
  <c r="O105"/>
  <c r="S105"/>
  <c r="W105"/>
  <c r="Q105"/>
  <c r="M105"/>
  <c r="U105"/>
  <c r="P105"/>
  <c r="T105"/>
  <c r="X105"/>
  <c r="Y105" s="1"/>
  <c r="Y106" i="2"/>
  <c r="V107" i="4"/>
  <c r="L114" i="2"/>
  <c r="N115" i="4"/>
  <c r="R115"/>
  <c r="V115"/>
  <c r="O115"/>
  <c r="S115"/>
  <c r="W115"/>
  <c r="Q115"/>
  <c r="M115"/>
  <c r="U115"/>
  <c r="X115"/>
  <c r="Y115" s="1"/>
  <c r="P115"/>
  <c r="T115"/>
  <c r="Y116" i="2"/>
  <c r="N117" i="4"/>
  <c r="R117"/>
  <c r="V117"/>
  <c r="O117"/>
  <c r="S117"/>
  <c r="W117"/>
  <c r="Q117"/>
  <c r="M117"/>
  <c r="U117"/>
  <c r="P117"/>
  <c r="T117"/>
  <c r="X117"/>
  <c r="Y117" s="1"/>
  <c r="Y118" i="2"/>
  <c r="N119" i="4"/>
  <c r="O119"/>
  <c r="S119"/>
  <c r="Q119"/>
  <c r="V119"/>
  <c r="M119"/>
  <c r="T119"/>
  <c r="X119"/>
  <c r="Y119" s="1"/>
  <c r="U119"/>
  <c r="W119"/>
  <c r="P119"/>
  <c r="R119"/>
  <c r="Y120" i="2"/>
  <c r="N121" i="4"/>
  <c r="R121"/>
  <c r="V121"/>
  <c r="P121"/>
  <c r="T121"/>
  <c r="X121"/>
  <c r="Y121" s="1"/>
  <c r="M121"/>
  <c r="U121"/>
  <c r="O121"/>
  <c r="W121"/>
  <c r="Q121"/>
  <c r="S121"/>
  <c r="Y122" i="2"/>
  <c r="N123" i="4"/>
  <c r="R123"/>
  <c r="V123"/>
  <c r="P123"/>
  <c r="T123"/>
  <c r="X123"/>
  <c r="Y123" s="1"/>
  <c r="M123"/>
  <c r="U123"/>
  <c r="O123"/>
  <c r="W123"/>
  <c r="Q123"/>
  <c r="S123"/>
  <c r="Y124" i="2"/>
  <c r="N125" i="4"/>
  <c r="R125"/>
  <c r="V125"/>
  <c r="P125"/>
  <c r="T125"/>
  <c r="X125"/>
  <c r="Y125" s="1"/>
  <c r="M125"/>
  <c r="U125"/>
  <c r="O125"/>
  <c r="W125"/>
  <c r="Q125"/>
  <c r="S125"/>
  <c r="Y126" i="2"/>
  <c r="Q136" i="4"/>
  <c r="L152" i="2"/>
  <c r="N153" i="4"/>
  <c r="R153"/>
  <c r="V153"/>
  <c r="O153"/>
  <c r="S153"/>
  <c r="W153"/>
  <c r="P153"/>
  <c r="T153"/>
  <c r="X153"/>
  <c r="Y153" s="1"/>
  <c r="Q153"/>
  <c r="U153"/>
  <c r="Y154" i="2"/>
  <c r="M153" i="4"/>
  <c r="T155"/>
  <c r="N174"/>
  <c r="R174"/>
  <c r="V174"/>
  <c r="O174"/>
  <c r="S174"/>
  <c r="W174"/>
  <c r="P174"/>
  <c r="T174"/>
  <c r="X174"/>
  <c r="Y174" s="1"/>
  <c r="U174"/>
  <c r="M174"/>
  <c r="Y175" i="2"/>
  <c r="Q174" i="4"/>
  <c r="N176"/>
  <c r="R176"/>
  <c r="V176"/>
  <c r="O176"/>
  <c r="S176"/>
  <c r="W176"/>
  <c r="P176"/>
  <c r="T176"/>
  <c r="X176"/>
  <c r="Y176" s="1"/>
  <c r="M176"/>
  <c r="Q176"/>
  <c r="U176"/>
  <c r="Y177" i="2"/>
  <c r="N179" i="4"/>
  <c r="N181"/>
  <c r="R181"/>
  <c r="V181"/>
  <c r="O181"/>
  <c r="S181"/>
  <c r="W181"/>
  <c r="P181"/>
  <c r="T181"/>
  <c r="X181"/>
  <c r="Y181" s="1"/>
  <c r="Q181"/>
  <c r="U181"/>
  <c r="Y182" i="2"/>
  <c r="M181" i="4"/>
  <c r="N187"/>
  <c r="R187"/>
  <c r="V187"/>
  <c r="O187"/>
  <c r="S187"/>
  <c r="W187"/>
  <c r="P187"/>
  <c r="T187"/>
  <c r="X187"/>
  <c r="Y187" s="1"/>
  <c r="U187"/>
  <c r="M187"/>
  <c r="Y188" i="2"/>
  <c r="Q187" i="4"/>
  <c r="N195"/>
  <c r="R195"/>
  <c r="V195"/>
  <c r="O195"/>
  <c r="S195"/>
  <c r="W195"/>
  <c r="P195"/>
  <c r="T195"/>
  <c r="X195"/>
  <c r="Y195" s="1"/>
  <c r="U195"/>
  <c r="M195"/>
  <c r="Y196" i="2"/>
  <c r="Q195" i="4"/>
  <c r="N209"/>
  <c r="R209"/>
  <c r="V209"/>
  <c r="O209"/>
  <c r="S209"/>
  <c r="W209"/>
  <c r="P209"/>
  <c r="X209"/>
  <c r="Y209" s="1"/>
  <c r="Q209"/>
  <c r="T209"/>
  <c r="M209"/>
  <c r="U209"/>
  <c r="Y210" i="2"/>
  <c r="N211" i="4"/>
  <c r="R211"/>
  <c r="V211"/>
  <c r="O211"/>
  <c r="S211"/>
  <c r="W211"/>
  <c r="P211"/>
  <c r="X211"/>
  <c r="Y211" s="1"/>
  <c r="Q211"/>
  <c r="T211"/>
  <c r="M211"/>
  <c r="Y212" i="2"/>
  <c r="U211" i="4"/>
  <c r="N213"/>
  <c r="R213"/>
  <c r="V213"/>
  <c r="O213"/>
  <c r="S213"/>
  <c r="W213"/>
  <c r="P213"/>
  <c r="X213"/>
  <c r="Y213"/>
  <c r="Q213"/>
  <c r="T213"/>
  <c r="U213"/>
  <c r="Y214" i="2"/>
  <c r="M213" i="4"/>
  <c r="N224"/>
  <c r="R224"/>
  <c r="V224"/>
  <c r="O224"/>
  <c r="S224"/>
  <c r="W224"/>
  <c r="T224"/>
  <c r="M224"/>
  <c r="U224"/>
  <c r="P224"/>
  <c r="X224"/>
  <c r="Y224" s="1"/>
  <c r="Q224"/>
  <c r="Y225" i="2"/>
  <c r="N227" i="4"/>
  <c r="R227"/>
  <c r="V227"/>
  <c r="O227"/>
  <c r="S227"/>
  <c r="W227"/>
  <c r="P227"/>
  <c r="X227"/>
  <c r="Y227" s="1"/>
  <c r="Q227"/>
  <c r="T227"/>
  <c r="M227"/>
  <c r="Y228" i="2"/>
  <c r="U227" i="4"/>
  <c r="N229"/>
  <c r="R229"/>
  <c r="V229"/>
  <c r="O229"/>
  <c r="S229"/>
  <c r="W229"/>
  <c r="P229"/>
  <c r="X229"/>
  <c r="Y229" s="1"/>
  <c r="Q229"/>
  <c r="T229"/>
  <c r="U229"/>
  <c r="Y230" i="2"/>
  <c r="M229" i="4"/>
  <c r="N231"/>
  <c r="R231"/>
  <c r="V231"/>
  <c r="O231"/>
  <c r="S231"/>
  <c r="W231"/>
  <c r="P231"/>
  <c r="X231"/>
  <c r="Y231" s="1"/>
  <c r="Q231"/>
  <c r="T231"/>
  <c r="Y232" i="2"/>
  <c r="M231" i="4"/>
  <c r="U231"/>
  <c r="N233"/>
  <c r="R233"/>
  <c r="V233"/>
  <c r="O233"/>
  <c r="S233"/>
  <c r="W233"/>
  <c r="P233"/>
  <c r="X233"/>
  <c r="Y233" s="1"/>
  <c r="Q233"/>
  <c r="T233"/>
  <c r="M233"/>
  <c r="U233"/>
  <c r="Y234" i="2"/>
  <c r="P244" i="4"/>
  <c r="T244"/>
  <c r="X244"/>
  <c r="Y244" s="1"/>
  <c r="M244"/>
  <c r="Q244"/>
  <c r="U244"/>
  <c r="N244"/>
  <c r="R244"/>
  <c r="V244"/>
  <c r="S244"/>
  <c r="W244"/>
  <c r="Y245" i="2"/>
  <c r="O244" i="4"/>
  <c r="P257"/>
  <c r="T257"/>
  <c r="X257"/>
  <c r="Y257" s="1"/>
  <c r="M257"/>
  <c r="Q257"/>
  <c r="U257"/>
  <c r="N257"/>
  <c r="R257"/>
  <c r="V257"/>
  <c r="W257"/>
  <c r="O257"/>
  <c r="Y258" i="2"/>
  <c r="S257" i="4"/>
  <c r="P260"/>
  <c r="T260"/>
  <c r="X260"/>
  <c r="Y260" s="1"/>
  <c r="M260"/>
  <c r="Q260"/>
  <c r="U260"/>
  <c r="N260"/>
  <c r="R260"/>
  <c r="V260"/>
  <c r="S260"/>
  <c r="W260"/>
  <c r="Y261" i="2"/>
  <c r="O260" i="4"/>
  <c r="M262"/>
  <c r="Q262"/>
  <c r="U262"/>
  <c r="N262"/>
  <c r="R262"/>
  <c r="V262"/>
  <c r="P262"/>
  <c r="X262"/>
  <c r="Y262" s="1"/>
  <c r="O262"/>
  <c r="S262"/>
  <c r="T262"/>
  <c r="W262"/>
  <c r="Y263" i="2"/>
  <c r="P265" i="4"/>
  <c r="T265"/>
  <c r="X265"/>
  <c r="Y265" s="1"/>
  <c r="M265"/>
  <c r="Q265"/>
  <c r="U265"/>
  <c r="N265"/>
  <c r="R265"/>
  <c r="V265"/>
  <c r="S265"/>
  <c r="W265"/>
  <c r="Y266" i="2"/>
  <c r="O265" i="4"/>
  <c r="P267"/>
  <c r="T267"/>
  <c r="X267"/>
  <c r="Y267" s="1"/>
  <c r="M267"/>
  <c r="Q267"/>
  <c r="U267"/>
  <c r="N267"/>
  <c r="R267"/>
  <c r="V267"/>
  <c r="Y268" i="2"/>
  <c r="O267" i="4"/>
  <c r="S267"/>
  <c r="W267"/>
  <c r="P269"/>
  <c r="T269"/>
  <c r="X269"/>
  <c r="Y269" s="1"/>
  <c r="M269"/>
  <c r="Q269"/>
  <c r="U269"/>
  <c r="N269"/>
  <c r="R269"/>
  <c r="V269"/>
  <c r="S269"/>
  <c r="W269"/>
  <c r="Y270" i="2"/>
  <c r="O269" i="4"/>
  <c r="P271"/>
  <c r="T271"/>
  <c r="X271"/>
  <c r="Y271" s="1"/>
  <c r="M271"/>
  <c r="Q271"/>
  <c r="U271"/>
  <c r="N271"/>
  <c r="R271"/>
  <c r="V271"/>
  <c r="Y272" i="2"/>
  <c r="O271" i="4"/>
  <c r="S271"/>
  <c r="W271"/>
  <c r="P274"/>
  <c r="T274"/>
  <c r="X274"/>
  <c r="Y274" s="1"/>
  <c r="M274"/>
  <c r="Q274"/>
  <c r="U274"/>
  <c r="N274"/>
  <c r="R274"/>
  <c r="V274"/>
  <c r="W274"/>
  <c r="Y275" i="2"/>
  <c r="O274" i="4"/>
  <c r="S274"/>
  <c r="P276"/>
  <c r="T276"/>
  <c r="X276"/>
  <c r="Y276" s="1"/>
  <c r="M276"/>
  <c r="Q276"/>
  <c r="U276"/>
  <c r="N276"/>
  <c r="R276"/>
  <c r="V276"/>
  <c r="O276"/>
  <c r="S276"/>
  <c r="Y277" i="2"/>
  <c r="W276" i="4"/>
  <c r="P293"/>
  <c r="T293"/>
  <c r="X293"/>
  <c r="Y293" s="1"/>
  <c r="M293"/>
  <c r="Q293"/>
  <c r="U293"/>
  <c r="N293"/>
  <c r="R293"/>
  <c r="V293"/>
  <c r="S293"/>
  <c r="W293"/>
  <c r="Y294" i="2"/>
  <c r="O293" i="4"/>
  <c r="P301"/>
  <c r="T301"/>
  <c r="X301"/>
  <c r="Y301" s="1"/>
  <c r="M301"/>
  <c r="Q301"/>
  <c r="U301"/>
  <c r="N301"/>
  <c r="R301"/>
  <c r="V301"/>
  <c r="S301"/>
  <c r="W301"/>
  <c r="Y302" i="2"/>
  <c r="O301" i="4"/>
  <c r="P308"/>
  <c r="T308"/>
  <c r="X308"/>
  <c r="Y308" s="1"/>
  <c r="M308"/>
  <c r="Q308"/>
  <c r="U308"/>
  <c r="N308"/>
  <c r="R308"/>
  <c r="V308"/>
  <c r="O308"/>
  <c r="S308"/>
  <c r="Y309" i="2"/>
  <c r="W308" i="4"/>
  <c r="P319"/>
  <c r="T319"/>
  <c r="X319"/>
  <c r="Y319" s="1"/>
  <c r="O319"/>
  <c r="U319"/>
  <c r="Y320" i="2"/>
  <c r="Q319" i="4"/>
  <c r="V319"/>
  <c r="N319"/>
  <c r="M319"/>
  <c r="R319"/>
  <c r="W319"/>
  <c r="S319"/>
  <c r="O15"/>
  <c r="S15"/>
  <c r="W15"/>
  <c r="P15"/>
  <c r="T15"/>
  <c r="X15"/>
  <c r="Y15" s="1"/>
  <c r="N15"/>
  <c r="V15"/>
  <c r="Q15"/>
  <c r="R15"/>
  <c r="U15"/>
  <c r="M15"/>
  <c r="Y16" i="2"/>
  <c r="O18" i="4"/>
  <c r="S18"/>
  <c r="W18"/>
  <c r="P18"/>
  <c r="T18"/>
  <c r="X18"/>
  <c r="Y18" s="1"/>
  <c r="R18"/>
  <c r="M18"/>
  <c r="V18"/>
  <c r="N18"/>
  <c r="Q18"/>
  <c r="U18"/>
  <c r="Y19" i="2"/>
  <c r="P32" i="4"/>
  <c r="T32"/>
  <c r="X32"/>
  <c r="Y32" s="1"/>
  <c r="M32"/>
  <c r="R32"/>
  <c r="W32"/>
  <c r="S32"/>
  <c r="N32"/>
  <c r="U32"/>
  <c r="V32"/>
  <c r="O32"/>
  <c r="Q32"/>
  <c r="Y33" i="2"/>
  <c r="P39" i="4"/>
  <c r="T39"/>
  <c r="X39"/>
  <c r="Y39" s="1"/>
  <c r="O39"/>
  <c r="U39"/>
  <c r="Q39"/>
  <c r="V39"/>
  <c r="R39"/>
  <c r="M39"/>
  <c r="W39"/>
  <c r="S39"/>
  <c r="N39"/>
  <c r="Y40" i="2"/>
  <c r="P45" i="4"/>
  <c r="T45"/>
  <c r="X45"/>
  <c r="Y45" s="1"/>
  <c r="M45"/>
  <c r="R45"/>
  <c r="W45"/>
  <c r="N45"/>
  <c r="S45"/>
  <c r="U45"/>
  <c r="O45"/>
  <c r="Q45"/>
  <c r="V45"/>
  <c r="Y46" i="2"/>
  <c r="P54" i="4"/>
  <c r="T54"/>
  <c r="X54"/>
  <c r="Y54" s="1"/>
  <c r="Q54"/>
  <c r="V54"/>
  <c r="M54"/>
  <c r="R54"/>
  <c r="W54"/>
  <c r="S54"/>
  <c r="N54"/>
  <c r="O54"/>
  <c r="U54"/>
  <c r="Y55" i="2"/>
  <c r="P73" i="4"/>
  <c r="T73"/>
  <c r="X73"/>
  <c r="Y73" s="1"/>
  <c r="O73"/>
  <c r="U73"/>
  <c r="M73"/>
  <c r="R73"/>
  <c r="W73"/>
  <c r="S73"/>
  <c r="V73"/>
  <c r="Q73"/>
  <c r="N73"/>
  <c r="Y74" i="2"/>
  <c r="N83" i="4"/>
  <c r="R83"/>
  <c r="V83"/>
  <c r="O83"/>
  <c r="S83"/>
  <c r="W83"/>
  <c r="Q83"/>
  <c r="M83"/>
  <c r="U83"/>
  <c r="X83"/>
  <c r="Y83" s="1"/>
  <c r="P83"/>
  <c r="T83"/>
  <c r="Y84" i="2"/>
  <c r="N97" i="4"/>
  <c r="R97"/>
  <c r="V97"/>
  <c r="O97"/>
  <c r="S97"/>
  <c r="W97"/>
  <c r="Q97"/>
  <c r="M97"/>
  <c r="U97"/>
  <c r="P97"/>
  <c r="T97"/>
  <c r="X97"/>
  <c r="Y97" s="1"/>
  <c r="Y98" i="2"/>
  <c r="N104" i="4"/>
  <c r="R104"/>
  <c r="V104"/>
  <c r="O104"/>
  <c r="S104"/>
  <c r="W104"/>
  <c r="M104"/>
  <c r="U104"/>
  <c r="Q104"/>
  <c r="P104"/>
  <c r="T104"/>
  <c r="X104"/>
  <c r="Y104" s="1"/>
  <c r="Y105" i="2"/>
  <c r="N108" i="4"/>
  <c r="R108"/>
  <c r="V108"/>
  <c r="O108"/>
  <c r="S108"/>
  <c r="W108"/>
  <c r="M108"/>
  <c r="U108"/>
  <c r="Q108"/>
  <c r="P108"/>
  <c r="T108"/>
  <c r="X108"/>
  <c r="Y108" s="1"/>
  <c r="Y109" i="2"/>
  <c r="N114" i="4"/>
  <c r="R114"/>
  <c r="V114"/>
  <c r="O114"/>
  <c r="S114"/>
  <c r="W114"/>
  <c r="M114"/>
  <c r="U114"/>
  <c r="Q114"/>
  <c r="T114"/>
  <c r="X114"/>
  <c r="Y114" s="1"/>
  <c r="P114"/>
  <c r="Y115" i="2"/>
  <c r="N120" i="4"/>
  <c r="R120"/>
  <c r="V120"/>
  <c r="P120"/>
  <c r="T120"/>
  <c r="X120"/>
  <c r="Y120" s="1"/>
  <c r="Q120"/>
  <c r="S120"/>
  <c r="M120"/>
  <c r="U120"/>
  <c r="O120"/>
  <c r="W120"/>
  <c r="Y121" i="2"/>
  <c r="N126" i="4"/>
  <c r="R126"/>
  <c r="V126"/>
  <c r="P126"/>
  <c r="T126"/>
  <c r="X126"/>
  <c r="Y126" s="1"/>
  <c r="Q126"/>
  <c r="S126"/>
  <c r="M126"/>
  <c r="U126"/>
  <c r="O126"/>
  <c r="Y127" i="2"/>
  <c r="W126" i="4"/>
  <c r="N157"/>
  <c r="R157"/>
  <c r="V157"/>
  <c r="O157"/>
  <c r="S157"/>
  <c r="W157"/>
  <c r="P157"/>
  <c r="T157"/>
  <c r="X157"/>
  <c r="Y157" s="1"/>
  <c r="Q157"/>
  <c r="U157"/>
  <c r="Y158" i="2"/>
  <c r="M157" i="4"/>
  <c r="N164"/>
  <c r="R164"/>
  <c r="V164"/>
  <c r="O164"/>
  <c r="S164"/>
  <c r="W164"/>
  <c r="P164"/>
  <c r="T164"/>
  <c r="X164"/>
  <c r="Y164" s="1"/>
  <c r="M164"/>
  <c r="Q164"/>
  <c r="U164"/>
  <c r="Y165" i="2"/>
  <c r="N172" i="4"/>
  <c r="R172"/>
  <c r="V172"/>
  <c r="O172"/>
  <c r="S172"/>
  <c r="W172"/>
  <c r="P172"/>
  <c r="T172"/>
  <c r="X172"/>
  <c r="Y172" s="1"/>
  <c r="M172"/>
  <c r="Q172"/>
  <c r="U172"/>
  <c r="Y173" i="2"/>
  <c r="N180" i="4"/>
  <c r="R180"/>
  <c r="V180"/>
  <c r="O180"/>
  <c r="S180"/>
  <c r="W180"/>
  <c r="P180"/>
  <c r="T180"/>
  <c r="X180"/>
  <c r="Y180" s="1"/>
  <c r="M180"/>
  <c r="Q180"/>
  <c r="U180"/>
  <c r="Y181" i="2"/>
  <c r="N182" i="4"/>
  <c r="R182"/>
  <c r="V182"/>
  <c r="O182"/>
  <c r="S182"/>
  <c r="W182"/>
  <c r="P182"/>
  <c r="T182"/>
  <c r="X182"/>
  <c r="Y182" s="1"/>
  <c r="U182"/>
  <c r="M182"/>
  <c r="Q182"/>
  <c r="Y183" i="2"/>
  <c r="N210" i="4"/>
  <c r="R210"/>
  <c r="V210"/>
  <c r="O210"/>
  <c r="S210"/>
  <c r="W210"/>
  <c r="T210"/>
  <c r="M210"/>
  <c r="U210"/>
  <c r="P210"/>
  <c r="X210"/>
  <c r="Y210" s="1"/>
  <c r="Y211" i="2"/>
  <c r="Q210" i="4"/>
  <c r="N228"/>
  <c r="R228"/>
  <c r="V228"/>
  <c r="O228"/>
  <c r="S228"/>
  <c r="W228"/>
  <c r="T228"/>
  <c r="M228"/>
  <c r="U228"/>
  <c r="P228"/>
  <c r="X228"/>
  <c r="Y228" s="1"/>
  <c r="Y229" i="2"/>
  <c r="Q228" i="4"/>
  <c r="N230"/>
  <c r="R230"/>
  <c r="V230"/>
  <c r="O230"/>
  <c r="S230"/>
  <c r="W230"/>
  <c r="T230"/>
  <c r="M230"/>
  <c r="U230"/>
  <c r="P230"/>
  <c r="X230"/>
  <c r="Y230" s="1"/>
  <c r="Q230"/>
  <c r="Y231" i="2"/>
  <c r="P242" i="4"/>
  <c r="T242"/>
  <c r="X242"/>
  <c r="Y242" s="1"/>
  <c r="M242"/>
  <c r="Q242"/>
  <c r="U242"/>
  <c r="N242"/>
  <c r="R242"/>
  <c r="V242"/>
  <c r="Y243" i="2"/>
  <c r="O242" i="4"/>
  <c r="S242"/>
  <c r="W242"/>
  <c r="P264"/>
  <c r="T264"/>
  <c r="X264"/>
  <c r="Y264" s="1"/>
  <c r="M264"/>
  <c r="Q264"/>
  <c r="U264"/>
  <c r="N264"/>
  <c r="R264"/>
  <c r="V264"/>
  <c r="O264"/>
  <c r="S264"/>
  <c r="Y265" i="2"/>
  <c r="W264" i="4"/>
  <c r="P270"/>
  <c r="T270"/>
  <c r="X270"/>
  <c r="Y270" s="1"/>
  <c r="M270"/>
  <c r="Q270"/>
  <c r="U270"/>
  <c r="N270"/>
  <c r="R270"/>
  <c r="V270"/>
  <c r="W270"/>
  <c r="O270"/>
  <c r="S270"/>
  <c r="Y271" i="2"/>
  <c r="P275" i="4"/>
  <c r="T275"/>
  <c r="X275"/>
  <c r="Y275" s="1"/>
  <c r="M275"/>
  <c r="Q275"/>
  <c r="U275"/>
  <c r="N275"/>
  <c r="R275"/>
  <c r="V275"/>
  <c r="Y276" i="2"/>
  <c r="O275" i="4"/>
  <c r="S275"/>
  <c r="W275"/>
  <c r="O14"/>
  <c r="S14"/>
  <c r="W14"/>
  <c r="P14"/>
  <c r="T14"/>
  <c r="X14"/>
  <c r="Y14" s="1"/>
  <c r="R14"/>
  <c r="Q14"/>
  <c r="U14"/>
  <c r="M14"/>
  <c r="V14"/>
  <c r="N14"/>
  <c r="Y15" i="2"/>
  <c r="O17" i="4"/>
  <c r="S17"/>
  <c r="W17"/>
  <c r="P17"/>
  <c r="T17"/>
  <c r="X17"/>
  <c r="Y17" s="1"/>
  <c r="N17"/>
  <c r="V17"/>
  <c r="M17"/>
  <c r="Q17"/>
  <c r="R17"/>
  <c r="U17"/>
  <c r="Y18" i="2"/>
  <c r="P31" i="4"/>
  <c r="T31"/>
  <c r="X31"/>
  <c r="Y31" s="1"/>
  <c r="N31"/>
  <c r="S31"/>
  <c r="Q31"/>
  <c r="W31"/>
  <c r="R31"/>
  <c r="U31"/>
  <c r="M31"/>
  <c r="V31"/>
  <c r="O31"/>
  <c r="Y32" i="2"/>
  <c r="P33" i="4"/>
  <c r="T33"/>
  <c r="X33"/>
  <c r="Y33" s="1"/>
  <c r="Q33"/>
  <c r="V33"/>
  <c r="N33"/>
  <c r="U33"/>
  <c r="O33"/>
  <c r="W33"/>
  <c r="R33"/>
  <c r="M33"/>
  <c r="S33"/>
  <c r="Y34" i="2"/>
  <c r="P37" i="4"/>
  <c r="T37"/>
  <c r="X37"/>
  <c r="Y37" s="1"/>
  <c r="M37"/>
  <c r="R37"/>
  <c r="W37"/>
  <c r="N37"/>
  <c r="S37"/>
  <c r="U37"/>
  <c r="O37"/>
  <c r="V37"/>
  <c r="Q37"/>
  <c r="Y38" i="2"/>
  <c r="P40" i="4"/>
  <c r="T40"/>
  <c r="X40"/>
  <c r="Y40" s="1"/>
  <c r="N40"/>
  <c r="S40"/>
  <c r="O40"/>
  <c r="U40"/>
  <c r="Q40"/>
  <c r="V40"/>
  <c r="M40"/>
  <c r="R40"/>
  <c r="W40"/>
  <c r="Y41" i="2"/>
  <c r="P63" i="4"/>
  <c r="T63"/>
  <c r="X63"/>
  <c r="Y63" s="1"/>
  <c r="M63"/>
  <c r="R63"/>
  <c r="W63"/>
  <c r="O63"/>
  <c r="U63"/>
  <c r="V63"/>
  <c r="N63"/>
  <c r="S63"/>
  <c r="Q63"/>
  <c r="Y64" i="2"/>
  <c r="P38" i="4"/>
  <c r="T38"/>
  <c r="X38"/>
  <c r="Y38" s="1"/>
  <c r="Q38"/>
  <c r="V38"/>
  <c r="M38"/>
  <c r="R38"/>
  <c r="W38"/>
  <c r="S38"/>
  <c r="N38"/>
  <c r="O38"/>
  <c r="U38"/>
  <c r="Y39" i="2"/>
  <c r="P41" i="4"/>
  <c r="T41"/>
  <c r="X41"/>
  <c r="Y41" s="1"/>
  <c r="M41"/>
  <c r="R41"/>
  <c r="W41"/>
  <c r="N41"/>
  <c r="S41"/>
  <c r="O41"/>
  <c r="U41"/>
  <c r="V41"/>
  <c r="Q41"/>
  <c r="Y42" i="2"/>
  <c r="P44" i="4"/>
  <c r="T44"/>
  <c r="X44"/>
  <c r="Y44" s="1"/>
  <c r="N44"/>
  <c r="S44"/>
  <c r="O44"/>
  <c r="U44"/>
  <c r="V44"/>
  <c r="Q44"/>
  <c r="M44"/>
  <c r="W44"/>
  <c r="R44"/>
  <c r="Y45" i="2"/>
  <c r="P48" i="4"/>
  <c r="T48"/>
  <c r="X48"/>
  <c r="Y48" s="1"/>
  <c r="N48"/>
  <c r="S48"/>
  <c r="O48"/>
  <c r="U48"/>
  <c r="Q48"/>
  <c r="V48"/>
  <c r="W48"/>
  <c r="R48"/>
  <c r="M48"/>
  <c r="Y49" i="2"/>
  <c r="P64" i="4"/>
  <c r="T64"/>
  <c r="X64"/>
  <c r="Y64" s="1"/>
  <c r="Q64"/>
  <c r="V64"/>
  <c r="N64"/>
  <c r="S64"/>
  <c r="U64"/>
  <c r="M64"/>
  <c r="W64"/>
  <c r="R64"/>
  <c r="O64"/>
  <c r="Y65" i="2"/>
  <c r="L70"/>
  <c r="L77"/>
  <c r="L86"/>
  <c r="L87"/>
  <c r="L89"/>
  <c r="N96" i="4"/>
  <c r="R96"/>
  <c r="V96"/>
  <c r="O96"/>
  <c r="S96"/>
  <c r="W96"/>
  <c r="M96"/>
  <c r="U96"/>
  <c r="Q96"/>
  <c r="P96"/>
  <c r="T96"/>
  <c r="X96"/>
  <c r="Y96" s="1"/>
  <c r="Y97" i="2"/>
  <c r="N110" i="4"/>
  <c r="R110"/>
  <c r="V110"/>
  <c r="O110"/>
  <c r="S110"/>
  <c r="W110"/>
  <c r="M110"/>
  <c r="U110"/>
  <c r="Q110"/>
  <c r="T110"/>
  <c r="X110"/>
  <c r="Y110" s="1"/>
  <c r="P110"/>
  <c r="Y111" i="2"/>
  <c r="N133" i="4"/>
  <c r="R133"/>
  <c r="V133"/>
  <c r="P133"/>
  <c r="T133"/>
  <c r="X133"/>
  <c r="Y133" s="1"/>
  <c r="Q133"/>
  <c r="S133"/>
  <c r="M133"/>
  <c r="U133"/>
  <c r="W133"/>
  <c r="Y134" i="2"/>
  <c r="O133" i="4"/>
  <c r="N147"/>
  <c r="R147"/>
  <c r="V147"/>
  <c r="P147"/>
  <c r="T147"/>
  <c r="X147"/>
  <c r="Y147" s="1"/>
  <c r="Q147"/>
  <c r="S147"/>
  <c r="M147"/>
  <c r="U147"/>
  <c r="O147"/>
  <c r="W147"/>
  <c r="Y148" i="2"/>
  <c r="L159"/>
  <c r="N160" i="4"/>
  <c r="R160"/>
  <c r="V160"/>
  <c r="O160"/>
  <c r="S160"/>
  <c r="W160"/>
  <c r="P160"/>
  <c r="T160"/>
  <c r="X160"/>
  <c r="Y160" s="1"/>
  <c r="M160"/>
  <c r="Q160"/>
  <c r="U160"/>
  <c r="Y161" i="2"/>
  <c r="N163" i="4"/>
  <c r="R163"/>
  <c r="V163"/>
  <c r="O163"/>
  <c r="S163"/>
  <c r="W163"/>
  <c r="P163"/>
  <c r="T163"/>
  <c r="X163"/>
  <c r="Y163" s="1"/>
  <c r="M163"/>
  <c r="Q163"/>
  <c r="U163"/>
  <c r="Y164" i="2"/>
  <c r="N177" i="4"/>
  <c r="R177"/>
  <c r="V177"/>
  <c r="O177"/>
  <c r="S177"/>
  <c r="W177"/>
  <c r="P177"/>
  <c r="T177"/>
  <c r="X177"/>
  <c r="Y177" s="1"/>
  <c r="Q177"/>
  <c r="U177"/>
  <c r="M177"/>
  <c r="Y178" i="2"/>
  <c r="N188" i="4"/>
  <c r="R188"/>
  <c r="V188"/>
  <c r="O188"/>
  <c r="S188"/>
  <c r="W188"/>
  <c r="P188"/>
  <c r="T188"/>
  <c r="X188"/>
  <c r="Y188" s="1"/>
  <c r="M188"/>
  <c r="Q188"/>
  <c r="U188"/>
  <c r="Y189" i="2"/>
  <c r="N196" i="4"/>
  <c r="R196"/>
  <c r="V196"/>
  <c r="O196"/>
  <c r="S196"/>
  <c r="W196"/>
  <c r="P196"/>
  <c r="T196"/>
  <c r="X196"/>
  <c r="Y196" s="1"/>
  <c r="M196"/>
  <c r="Q196"/>
  <c r="Y197" i="2"/>
  <c r="U196" i="4"/>
  <c r="L200" i="2"/>
  <c r="N201" i="4"/>
  <c r="R201"/>
  <c r="V201"/>
  <c r="O201"/>
  <c r="S201"/>
  <c r="W201"/>
  <c r="P201"/>
  <c r="M201"/>
  <c r="X201"/>
  <c r="Y201" s="1"/>
  <c r="Q201"/>
  <c r="T201"/>
  <c r="U201"/>
  <c r="Y202" i="2"/>
  <c r="N235" i="4"/>
  <c r="O235"/>
  <c r="P235"/>
  <c r="T235"/>
  <c r="X235"/>
  <c r="Y235" s="1"/>
  <c r="Q235"/>
  <c r="U235"/>
  <c r="R235"/>
  <c r="V235"/>
  <c r="M235"/>
  <c r="Y236" i="2"/>
  <c r="S235" i="4"/>
  <c r="W235"/>
  <c r="P241"/>
  <c r="T241"/>
  <c r="X241"/>
  <c r="Y241" s="1"/>
  <c r="M241"/>
  <c r="Q241"/>
  <c r="U241"/>
  <c r="N241"/>
  <c r="R241"/>
  <c r="V241"/>
  <c r="W241"/>
  <c r="O241"/>
  <c r="Y242" i="2"/>
  <c r="S241" i="4"/>
  <c r="P245"/>
  <c r="T245"/>
  <c r="X245"/>
  <c r="Y245" s="1"/>
  <c r="M245"/>
  <c r="Q245"/>
  <c r="U245"/>
  <c r="N245"/>
  <c r="R245"/>
  <c r="V245"/>
  <c r="W245"/>
  <c r="O245"/>
  <c r="Y246" i="2"/>
  <c r="S245" i="4"/>
  <c r="P263"/>
  <c r="T263"/>
  <c r="X263"/>
  <c r="Y263" s="1"/>
  <c r="M263"/>
  <c r="Q263"/>
  <c r="U263"/>
  <c r="N263"/>
  <c r="R263"/>
  <c r="V263"/>
  <c r="Y264" i="2"/>
  <c r="O263" i="4"/>
  <c r="S263"/>
  <c r="W263"/>
  <c r="L278" i="2"/>
  <c r="P286" i="4"/>
  <c r="T286"/>
  <c r="X286"/>
  <c r="Y286" s="1"/>
  <c r="M286"/>
  <c r="Q286"/>
  <c r="U286"/>
  <c r="N286"/>
  <c r="R286"/>
  <c r="V286"/>
  <c r="W286"/>
  <c r="Y287" i="2"/>
  <c r="O286" i="4"/>
  <c r="S286"/>
  <c r="L292" i="2"/>
  <c r="L295"/>
  <c r="P304" i="4"/>
  <c r="T304"/>
  <c r="X304"/>
  <c r="Y304" s="1"/>
  <c r="M304"/>
  <c r="Q304"/>
  <c r="U304"/>
  <c r="N304"/>
  <c r="R304"/>
  <c r="V304"/>
  <c r="O304"/>
  <c r="S304"/>
  <c r="Y305" i="2"/>
  <c r="W304" i="4"/>
  <c r="P309"/>
  <c r="T309"/>
  <c r="X309"/>
  <c r="Y309" s="1"/>
  <c r="M309"/>
  <c r="Q309"/>
  <c r="U309"/>
  <c r="N309"/>
  <c r="R309"/>
  <c r="V309"/>
  <c r="S309"/>
  <c r="W309"/>
  <c r="Y310" i="2"/>
  <c r="O309" i="4"/>
  <c r="L316" i="2"/>
  <c r="L318"/>
  <c r="L321"/>
  <c r="L9"/>
  <c r="L59"/>
  <c r="L69"/>
  <c r="L83"/>
  <c r="L227"/>
  <c r="L300"/>
  <c r="L240"/>
  <c r="L284"/>
  <c r="L139" i="1"/>
  <c r="L150"/>
  <c r="L87"/>
  <c r="L89"/>
  <c r="L100"/>
  <c r="L108"/>
  <c r="L157"/>
  <c r="L201"/>
  <c r="L207"/>
  <c r="L250"/>
  <c r="L270"/>
  <c r="Y180" i="2"/>
  <c r="O155" i="4"/>
  <c r="M136"/>
  <c r="V66"/>
  <c r="M55"/>
  <c r="S307"/>
  <c r="R307"/>
  <c r="M307"/>
  <c r="U236"/>
  <c r="N112"/>
  <c r="X4"/>
  <c r="Y291" i="2"/>
  <c r="X179" i="4"/>
  <c r="Y179" s="1"/>
  <c r="V136"/>
  <c r="P107"/>
  <c r="X66"/>
  <c r="Y66" s="1"/>
  <c r="U55"/>
  <c r="O307"/>
  <c r="N307"/>
  <c r="X307"/>
  <c r="Y307" s="1"/>
  <c r="T236"/>
  <c r="O296"/>
  <c r="X112"/>
  <c r="Y112" s="1"/>
  <c r="R4"/>
  <c r="U200"/>
  <c r="V290"/>
  <c r="S179"/>
  <c r="U155"/>
  <c r="Q107"/>
  <c r="P55"/>
  <c r="Y308" i="2"/>
  <c r="U307" i="4"/>
  <c r="U296"/>
  <c r="U247"/>
  <c r="Q112"/>
  <c r="T200"/>
  <c r="Q290"/>
  <c r="U179"/>
  <c r="T179"/>
  <c r="O179"/>
  <c r="Q155"/>
  <c r="P155"/>
  <c r="V155"/>
  <c r="W136"/>
  <c r="X136"/>
  <c r="Y136" s="1"/>
  <c r="R136"/>
  <c r="X107"/>
  <c r="Y107" s="1"/>
  <c r="W107"/>
  <c r="R107"/>
  <c r="O66"/>
  <c r="Q66"/>
  <c r="T66"/>
  <c r="N55"/>
  <c r="R55"/>
  <c r="O55"/>
  <c r="O236"/>
  <c r="V236"/>
  <c r="Q236"/>
  <c r="P236"/>
  <c r="W296"/>
  <c r="V296"/>
  <c r="Q296"/>
  <c r="P296"/>
  <c r="M247"/>
  <c r="Y113" i="2"/>
  <c r="U112" i="4"/>
  <c r="O112"/>
  <c r="O4"/>
  <c r="S4"/>
  <c r="M4"/>
  <c r="Q200"/>
  <c r="P200"/>
  <c r="V200"/>
  <c r="S290"/>
  <c r="R290"/>
  <c r="M290"/>
  <c r="Q179"/>
  <c r="P179"/>
  <c r="V179"/>
  <c r="M155"/>
  <c r="W155"/>
  <c r="R155"/>
  <c r="Y137" i="2"/>
  <c r="O136" i="4"/>
  <c r="T136"/>
  <c r="N136"/>
  <c r="T107"/>
  <c r="U107"/>
  <c r="S107"/>
  <c r="N107"/>
  <c r="Y67" i="2"/>
  <c r="U66" i="4"/>
  <c r="S66"/>
  <c r="P66"/>
  <c r="S55"/>
  <c r="V55"/>
  <c r="X55"/>
  <c r="Y55" s="1"/>
  <c r="Y237" i="2"/>
  <c r="R236" i="4"/>
  <c r="M236"/>
  <c r="Y297" i="2"/>
  <c r="R296" i="4"/>
  <c r="M296"/>
  <c r="T112"/>
  <c r="M112"/>
  <c r="V112"/>
  <c r="V4"/>
  <c r="N4"/>
  <c r="U4"/>
  <c r="M200"/>
  <c r="W200"/>
  <c r="R200"/>
  <c r="O290"/>
  <c r="N290"/>
  <c r="X290"/>
  <c r="Y290" s="1"/>
  <c r="M179"/>
  <c r="W179"/>
  <c r="Y156" i="2"/>
  <c r="X155" i="4"/>
  <c r="Y155" s="1"/>
  <c r="S155"/>
  <c r="S136"/>
  <c r="U136"/>
  <c r="Y108" i="2"/>
  <c r="M107" i="4"/>
  <c r="W66"/>
  <c r="R66"/>
  <c r="W55"/>
  <c r="Q55"/>
  <c r="W236"/>
  <c r="N236"/>
  <c r="S296"/>
  <c r="N296"/>
  <c r="P112"/>
  <c r="W112"/>
  <c r="P4"/>
  <c r="Y5" i="2"/>
  <c r="W4" i="4"/>
  <c r="Y201" i="2"/>
  <c r="X200" i="4"/>
  <c r="Y200" s="1"/>
  <c r="S200"/>
  <c r="W290"/>
  <c r="U290"/>
  <c r="U22"/>
  <c r="Y281" i="2"/>
  <c r="R280" i="4"/>
  <c r="M280"/>
  <c r="Y238" i="2"/>
  <c r="R237" i="4"/>
  <c r="M237"/>
  <c r="Y317" i="2"/>
  <c r="U316" i="4"/>
  <c r="T316"/>
  <c r="S280"/>
  <c r="N280"/>
  <c r="O237"/>
  <c r="N237"/>
  <c r="V316"/>
  <c r="R316"/>
  <c r="Q316"/>
  <c r="Y129" i="2"/>
  <c r="M20" i="4"/>
  <c r="O87"/>
  <c r="T22"/>
  <c r="U156"/>
  <c r="M128"/>
  <c r="T20"/>
  <c r="Y326" i="2"/>
  <c r="P56" i="4"/>
  <c r="W159"/>
  <c r="O22"/>
  <c r="T156"/>
  <c r="T128"/>
  <c r="O20"/>
  <c r="S325"/>
  <c r="S23"/>
  <c r="Y23" i="2"/>
  <c r="O156" i="4"/>
  <c r="N128"/>
  <c r="Y21" i="2"/>
  <c r="M325" i="4"/>
  <c r="N22"/>
  <c r="Q22"/>
  <c r="P22"/>
  <c r="Q156"/>
  <c r="P156"/>
  <c r="V156"/>
  <c r="W128"/>
  <c r="S128"/>
  <c r="P128"/>
  <c r="Q20"/>
  <c r="U20"/>
  <c r="P20"/>
  <c r="U325"/>
  <c r="N325"/>
  <c r="X325"/>
  <c r="Y325" s="1"/>
  <c r="Y57" i="2"/>
  <c r="S256" i="4"/>
  <c r="R159"/>
  <c r="M22"/>
  <c r="R22"/>
  <c r="W22"/>
  <c r="M156"/>
  <c r="W156"/>
  <c r="R156"/>
  <c r="O128"/>
  <c r="Q128"/>
  <c r="V128"/>
  <c r="N20"/>
  <c r="R20"/>
  <c r="W20"/>
  <c r="O325"/>
  <c r="W325"/>
  <c r="T325"/>
  <c r="R23"/>
  <c r="T87"/>
  <c r="V56"/>
  <c r="U256"/>
  <c r="V22"/>
  <c r="X22"/>
  <c r="Y22" s="1"/>
  <c r="Y157" i="2"/>
  <c r="X156" i="4"/>
  <c r="Y156" s="1"/>
  <c r="S156"/>
  <c r="U128"/>
  <c r="X128"/>
  <c r="Y128" s="1"/>
  <c r="V20"/>
  <c r="X20"/>
  <c r="Y20" s="1"/>
  <c r="V325"/>
  <c r="Q325"/>
  <c r="R325"/>
  <c r="X23"/>
  <c r="Y23" s="1"/>
  <c r="M87"/>
  <c r="S56"/>
  <c r="T256"/>
  <c r="M159"/>
  <c r="Y24" i="2"/>
  <c r="Q23" i="4"/>
  <c r="T23"/>
  <c r="O23"/>
  <c r="P87"/>
  <c r="Q87"/>
  <c r="V87"/>
  <c r="W56"/>
  <c r="Q56"/>
  <c r="N56"/>
  <c r="O256"/>
  <c r="V256"/>
  <c r="Q256"/>
  <c r="P256"/>
  <c r="U159"/>
  <c r="X159"/>
  <c r="Y159" s="1"/>
  <c r="S159"/>
  <c r="N159"/>
  <c r="M23"/>
  <c r="V23"/>
  <c r="P23"/>
  <c r="X87"/>
  <c r="Y87" s="1"/>
  <c r="W87"/>
  <c r="R87"/>
  <c r="R56"/>
  <c r="U56"/>
  <c r="X56"/>
  <c r="Y56" s="1"/>
  <c r="Y257" i="2"/>
  <c r="R256" i="4"/>
  <c r="M256"/>
  <c r="Y160" i="2"/>
  <c r="T159" i="4"/>
  <c r="O159"/>
  <c r="U23"/>
  <c r="N23"/>
  <c r="Y88" i="2"/>
  <c r="U87" i="4"/>
  <c r="S87"/>
  <c r="M56"/>
  <c r="O56"/>
  <c r="W256"/>
  <c r="N256"/>
  <c r="Q159"/>
  <c r="P159"/>
  <c r="S247"/>
  <c r="R247"/>
  <c r="Y139" i="2"/>
  <c r="U138" i="4"/>
  <c r="W138"/>
  <c r="X138"/>
  <c r="Y138" s="1"/>
  <c r="R138"/>
  <c r="S138"/>
  <c r="O138"/>
  <c r="T138"/>
  <c r="N138"/>
  <c r="Q138"/>
  <c r="M138"/>
  <c r="V322"/>
  <c r="M99"/>
  <c r="Y323" i="2"/>
  <c r="O247" i="4"/>
  <c r="T247"/>
  <c r="U322"/>
  <c r="O99"/>
  <c r="W247"/>
  <c r="V247"/>
  <c r="Q247"/>
  <c r="P247"/>
  <c r="T99"/>
  <c r="Y248" i="2"/>
  <c r="N247" i="4"/>
  <c r="P99"/>
  <c r="Q99"/>
  <c r="V99"/>
  <c r="X99"/>
  <c r="Y99" s="1"/>
  <c r="W99"/>
  <c r="R99"/>
  <c r="Y100" i="2"/>
  <c r="U99" i="4"/>
  <c r="S99"/>
  <c r="S322"/>
  <c r="X322"/>
  <c r="Y322" s="1"/>
  <c r="R322"/>
  <c r="N322"/>
  <c r="M322"/>
  <c r="T322"/>
  <c r="O322"/>
  <c r="W322"/>
  <c r="P239"/>
  <c r="T239"/>
  <c r="X239"/>
  <c r="Y239" s="1"/>
  <c r="M239"/>
  <c r="Q239"/>
  <c r="U239"/>
  <c r="N239"/>
  <c r="R239"/>
  <c r="V239"/>
  <c r="O239"/>
  <c r="Y240" i="2"/>
  <c r="S239" i="4"/>
  <c r="W239"/>
  <c r="P294"/>
  <c r="T294"/>
  <c r="X294"/>
  <c r="Y294" s="1"/>
  <c r="M294"/>
  <c r="Q294"/>
  <c r="U294"/>
  <c r="N294"/>
  <c r="R294"/>
  <c r="V294"/>
  <c r="W294"/>
  <c r="Y295" i="2"/>
  <c r="O294" i="4"/>
  <c r="S294"/>
  <c r="N151"/>
  <c r="R151"/>
  <c r="V151"/>
  <c r="O151"/>
  <c r="S151"/>
  <c r="W151"/>
  <c r="P151"/>
  <c r="T151"/>
  <c r="X151"/>
  <c r="Y151" s="1"/>
  <c r="M151"/>
  <c r="Q151"/>
  <c r="U151"/>
  <c r="Y152" i="2"/>
  <c r="N109" i="4"/>
  <c r="R109"/>
  <c r="V109"/>
  <c r="O109"/>
  <c r="S109"/>
  <c r="W109"/>
  <c r="Q109"/>
  <c r="M109"/>
  <c r="U109"/>
  <c r="P109"/>
  <c r="T109"/>
  <c r="X109"/>
  <c r="Y109" s="1"/>
  <c r="Y110" i="2"/>
  <c r="P299" i="4"/>
  <c r="T299"/>
  <c r="X299"/>
  <c r="Y299" s="1"/>
  <c r="M299"/>
  <c r="Q299"/>
  <c r="U299"/>
  <c r="N299"/>
  <c r="R299"/>
  <c r="V299"/>
  <c r="Y300" i="2"/>
  <c r="O299" i="4"/>
  <c r="S299"/>
  <c r="W299"/>
  <c r="P291"/>
  <c r="T291"/>
  <c r="X291"/>
  <c r="Y291" s="1"/>
  <c r="M291"/>
  <c r="Q291"/>
  <c r="U291"/>
  <c r="N291"/>
  <c r="R291"/>
  <c r="V291"/>
  <c r="Y292" i="2"/>
  <c r="O291" i="4"/>
  <c r="S291"/>
  <c r="W291"/>
  <c r="N199"/>
  <c r="R199"/>
  <c r="V199"/>
  <c r="O199"/>
  <c r="S199"/>
  <c r="W199"/>
  <c r="P199"/>
  <c r="T199"/>
  <c r="X199"/>
  <c r="Y199" s="1"/>
  <c r="U199"/>
  <c r="M199"/>
  <c r="Q199"/>
  <c r="Y200" i="2"/>
  <c r="N208" i="4"/>
  <c r="R208"/>
  <c r="V208"/>
  <c r="O208"/>
  <c r="S208"/>
  <c r="W208"/>
  <c r="T208"/>
  <c r="M208"/>
  <c r="U208"/>
  <c r="P208"/>
  <c r="X208"/>
  <c r="Y208" s="1"/>
  <c r="Q208"/>
  <c r="Y209" i="2"/>
  <c r="P52" i="4"/>
  <c r="T52"/>
  <c r="X52"/>
  <c r="Y52" s="1"/>
  <c r="N52"/>
  <c r="S52"/>
  <c r="O52"/>
  <c r="U52"/>
  <c r="V52"/>
  <c r="Q52"/>
  <c r="R52"/>
  <c r="W52"/>
  <c r="M52"/>
  <c r="Y53" i="2"/>
  <c r="P249" i="4"/>
  <c r="T249"/>
  <c r="X249"/>
  <c r="Y249" s="1"/>
  <c r="M249"/>
  <c r="Q249"/>
  <c r="U249"/>
  <c r="N249"/>
  <c r="R249"/>
  <c r="V249"/>
  <c r="W249"/>
  <c r="O249"/>
  <c r="Y250" i="2"/>
  <c r="S249" i="4"/>
  <c r="P61"/>
  <c r="T61"/>
  <c r="X61"/>
  <c r="Y61" s="1"/>
  <c r="O61"/>
  <c r="U61"/>
  <c r="M61"/>
  <c r="R61"/>
  <c r="W61"/>
  <c r="N61"/>
  <c r="Q61"/>
  <c r="V61"/>
  <c r="S61"/>
  <c r="Y62" i="2"/>
  <c r="O28" i="4"/>
  <c r="S28"/>
  <c r="W28"/>
  <c r="P28"/>
  <c r="T28"/>
  <c r="X28"/>
  <c r="Y28" s="1"/>
  <c r="R28"/>
  <c r="U28"/>
  <c r="M28"/>
  <c r="V28"/>
  <c r="N28"/>
  <c r="Q28"/>
  <c r="Y29" i="2"/>
  <c r="P58" i="4"/>
  <c r="T58"/>
  <c r="X58"/>
  <c r="Y58" s="1"/>
  <c r="N58"/>
  <c r="S58"/>
  <c r="Q58"/>
  <c r="V58"/>
  <c r="R58"/>
  <c r="U58"/>
  <c r="O58"/>
  <c r="W58"/>
  <c r="M58"/>
  <c r="Y59" i="2"/>
  <c r="P315" i="4"/>
  <c r="T315"/>
  <c r="X315"/>
  <c r="Y315" s="1"/>
  <c r="M315"/>
  <c r="Q315"/>
  <c r="U315"/>
  <c r="S315"/>
  <c r="Y316" i="2"/>
  <c r="N315" i="4"/>
  <c r="V315"/>
  <c r="O315"/>
  <c r="W315"/>
  <c r="R315"/>
  <c r="N86"/>
  <c r="R86"/>
  <c r="V86"/>
  <c r="O86"/>
  <c r="S86"/>
  <c r="W86"/>
  <c r="M86"/>
  <c r="U86"/>
  <c r="Q86"/>
  <c r="T86"/>
  <c r="X86"/>
  <c r="Y86" s="1"/>
  <c r="Y87" i="2"/>
  <c r="P86" i="4"/>
  <c r="N226"/>
  <c r="R226"/>
  <c r="V226"/>
  <c r="O226"/>
  <c r="S226"/>
  <c r="W226"/>
  <c r="T226"/>
  <c r="M226"/>
  <c r="U226"/>
  <c r="P226"/>
  <c r="X226"/>
  <c r="Y226" s="1"/>
  <c r="Y227" i="2"/>
  <c r="Q226" i="4"/>
  <c r="O8"/>
  <c r="S8"/>
  <c r="W8"/>
  <c r="P8"/>
  <c r="T8"/>
  <c r="X8"/>
  <c r="Y8" s="1"/>
  <c r="R8"/>
  <c r="N8"/>
  <c r="Q8"/>
  <c r="U8"/>
  <c r="V8"/>
  <c r="M8"/>
  <c r="Y9" i="2"/>
  <c r="N85" i="4"/>
  <c r="R85"/>
  <c r="V85"/>
  <c r="O85"/>
  <c r="S85"/>
  <c r="W85"/>
  <c r="Q85"/>
  <c r="M85"/>
  <c r="U85"/>
  <c r="P85"/>
  <c r="T85"/>
  <c r="X85"/>
  <c r="Y85" s="1"/>
  <c r="Y86" i="2"/>
  <c r="N131" i="4"/>
  <c r="R131"/>
  <c r="V131"/>
  <c r="P131"/>
  <c r="T131"/>
  <c r="X131"/>
  <c r="Y131" s="1"/>
  <c r="M131"/>
  <c r="U131"/>
  <c r="O131"/>
  <c r="W131"/>
  <c r="Q131"/>
  <c r="S131"/>
  <c r="Y132" i="2"/>
  <c r="P50" i="4"/>
  <c r="T50"/>
  <c r="X50"/>
  <c r="Y50" s="1"/>
  <c r="Q50"/>
  <c r="V50"/>
  <c r="M50"/>
  <c r="R50"/>
  <c r="W50"/>
  <c r="N50"/>
  <c r="S50"/>
  <c r="U50"/>
  <c r="O50"/>
  <c r="Y51" i="2"/>
  <c r="Y4" i="4"/>
  <c r="P317"/>
  <c r="T317"/>
  <c r="X317"/>
  <c r="Y317" s="1"/>
  <c r="M317"/>
  <c r="R317"/>
  <c r="W317"/>
  <c r="N317"/>
  <c r="S317"/>
  <c r="V317"/>
  <c r="O317"/>
  <c r="U317"/>
  <c r="Y318" i="2"/>
  <c r="Q317" i="4"/>
  <c r="N140"/>
  <c r="R140"/>
  <c r="V140"/>
  <c r="P140"/>
  <c r="T140"/>
  <c r="X140"/>
  <c r="Y140" s="1"/>
  <c r="M140"/>
  <c r="U140"/>
  <c r="O140"/>
  <c r="W140"/>
  <c r="Q140"/>
  <c r="S140"/>
  <c r="Y141" i="2"/>
  <c r="P283" i="4"/>
  <c r="T283"/>
  <c r="X283"/>
  <c r="Y283" s="1"/>
  <c r="M283"/>
  <c r="Q283"/>
  <c r="U283"/>
  <c r="N283"/>
  <c r="R283"/>
  <c r="V283"/>
  <c r="Y284" i="2"/>
  <c r="O283" i="4"/>
  <c r="S283"/>
  <c r="W283"/>
  <c r="N82"/>
  <c r="R82"/>
  <c r="V82"/>
  <c r="O82"/>
  <c r="S82"/>
  <c r="W82"/>
  <c r="M82"/>
  <c r="U82"/>
  <c r="Q82"/>
  <c r="T82"/>
  <c r="X82"/>
  <c r="Y82" s="1"/>
  <c r="P82"/>
  <c r="Y83" i="2"/>
  <c r="P320" i="4"/>
  <c r="T320"/>
  <c r="X320"/>
  <c r="Y320" s="1"/>
  <c r="N320"/>
  <c r="S320"/>
  <c r="O320"/>
  <c r="U320"/>
  <c r="Y321" i="2"/>
  <c r="R320" i="4"/>
  <c r="Q320"/>
  <c r="V320"/>
  <c r="M320"/>
  <c r="W320"/>
  <c r="P277"/>
  <c r="T277"/>
  <c r="X277"/>
  <c r="Y277" s="1"/>
  <c r="M277"/>
  <c r="Q277"/>
  <c r="U277"/>
  <c r="N277"/>
  <c r="R277"/>
  <c r="V277"/>
  <c r="S277"/>
  <c r="W277"/>
  <c r="Y278" i="2"/>
  <c r="O277" i="4"/>
  <c r="N158"/>
  <c r="R158"/>
  <c r="V158"/>
  <c r="O158"/>
  <c r="S158"/>
  <c r="W158"/>
  <c r="P158"/>
  <c r="T158"/>
  <c r="X158"/>
  <c r="Y158" s="1"/>
  <c r="U158"/>
  <c r="M158"/>
  <c r="Y159" i="2"/>
  <c r="Q158" i="4"/>
  <c r="O76"/>
  <c r="S76"/>
  <c r="W76"/>
  <c r="M76"/>
  <c r="N76"/>
  <c r="T76"/>
  <c r="P76"/>
  <c r="U76"/>
  <c r="R76"/>
  <c r="X76"/>
  <c r="Y76" s="1"/>
  <c r="Q76"/>
  <c r="V76"/>
  <c r="Y77" i="2"/>
  <c r="P72" i="4"/>
  <c r="T72"/>
  <c r="X72"/>
  <c r="Y72" s="1"/>
  <c r="Q72"/>
  <c r="V72"/>
  <c r="N72"/>
  <c r="S72"/>
  <c r="U72"/>
  <c r="M72"/>
  <c r="W72"/>
  <c r="R72"/>
  <c r="O72"/>
  <c r="Y73" i="2"/>
  <c r="N214" i="4"/>
  <c r="R214"/>
  <c r="V214"/>
  <c r="O214"/>
  <c r="S214"/>
  <c r="W214"/>
  <c r="T214"/>
  <c r="M214"/>
  <c r="U214"/>
  <c r="P214"/>
  <c r="X214"/>
  <c r="Y214" s="1"/>
  <c r="Q214"/>
  <c r="Y215" i="2"/>
  <c r="N162" i="4"/>
  <c r="R162"/>
  <c r="V162"/>
  <c r="O162"/>
  <c r="S162"/>
  <c r="W162"/>
  <c r="P162"/>
  <c r="T162"/>
  <c r="X162"/>
  <c r="Y162" s="1"/>
  <c r="U162"/>
  <c r="M162"/>
  <c r="Q162"/>
  <c r="Y163" i="2"/>
  <c r="P323" i="4"/>
  <c r="T323"/>
  <c r="X323"/>
  <c r="Y323" s="1"/>
  <c r="O323"/>
  <c r="U323"/>
  <c r="Y324" i="2"/>
  <c r="Q323" i="4"/>
  <c r="V323"/>
  <c r="M323"/>
  <c r="R323"/>
  <c r="W323"/>
  <c r="N323"/>
  <c r="S323"/>
  <c r="P68"/>
  <c r="T68"/>
  <c r="X68"/>
  <c r="Y68" s="1"/>
  <c r="Q68"/>
  <c r="V68"/>
  <c r="N68"/>
  <c r="S68"/>
  <c r="O68"/>
  <c r="R68"/>
  <c r="M68"/>
  <c r="W68"/>
  <c r="U68"/>
  <c r="Y69" i="2"/>
  <c r="N88" i="4"/>
  <c r="R88"/>
  <c r="V88"/>
  <c r="O88"/>
  <c r="S88"/>
  <c r="W88"/>
  <c r="M88"/>
  <c r="U88"/>
  <c r="Q88"/>
  <c r="P88"/>
  <c r="T88"/>
  <c r="X88"/>
  <c r="Y88" s="1"/>
  <c r="Y89" i="2"/>
  <c r="P69" i="4"/>
  <c r="T69"/>
  <c r="X69"/>
  <c r="Y69" s="1"/>
  <c r="O69"/>
  <c r="U69"/>
  <c r="M69"/>
  <c r="R69"/>
  <c r="W69"/>
  <c r="N69"/>
  <c r="Q69"/>
  <c r="V69"/>
  <c r="S69"/>
  <c r="Y70" i="2"/>
  <c r="N113" i="4"/>
  <c r="R113"/>
  <c r="V113"/>
  <c r="O113"/>
  <c r="S113"/>
  <c r="W113"/>
  <c r="Q113"/>
  <c r="M113"/>
  <c r="U113"/>
  <c r="P113"/>
  <c r="T113"/>
  <c r="X113"/>
  <c r="Y113" s="1"/>
  <c r="Y114" i="2"/>
  <c r="P43" i="4"/>
  <c r="T43"/>
  <c r="X43"/>
  <c r="Y43" s="1"/>
  <c r="O43"/>
  <c r="U43"/>
  <c r="Q43"/>
  <c r="V43"/>
  <c r="M43"/>
  <c r="W43"/>
  <c r="R43"/>
  <c r="S43"/>
  <c r="N43"/>
  <c r="Y44" i="2"/>
  <c r="N100" i="4"/>
  <c r="R100"/>
  <c r="V100"/>
  <c r="O100"/>
  <c r="S100"/>
  <c r="W100"/>
  <c r="M100"/>
  <c r="U100"/>
  <c r="Q100"/>
  <c r="P100"/>
  <c r="T100"/>
  <c r="X100"/>
  <c r="Y100" s="1"/>
  <c r="Y101" i="2"/>
  <c r="L327"/>
  <c r="Y327"/>
  <c r="AB162" i="3" l="1"/>
  <c r="AB98"/>
  <c r="AE98" s="1"/>
  <c r="AH98" s="1"/>
  <c r="AK98" s="1"/>
  <c r="AN98" s="1"/>
  <c r="AQ98" s="1"/>
  <c r="AT98" s="1"/>
  <c r="M326" i="4"/>
  <c r="AB161" i="3"/>
  <c r="AB192"/>
  <c r="AE192" s="1"/>
  <c r="AH192" s="1"/>
  <c r="AK192" s="1"/>
  <c r="AN192" s="1"/>
  <c r="AQ192" s="1"/>
  <c r="AT192" s="1"/>
  <c r="AB266"/>
  <c r="AE266" s="1"/>
  <c r="AH266" s="1"/>
  <c r="AK266" s="1"/>
  <c r="AN266" s="1"/>
  <c r="AQ266" s="1"/>
  <c r="AT266" s="1"/>
  <c r="Y325"/>
  <c r="AB78"/>
  <c r="AE78" s="1"/>
  <c r="AH78" s="1"/>
  <c r="AK78" s="1"/>
  <c r="AN78" s="1"/>
  <c r="AQ78" s="1"/>
  <c r="AT78" s="1"/>
  <c r="AB133"/>
  <c r="AB188"/>
  <c r="AE188" s="1"/>
  <c r="AH188" s="1"/>
  <c r="AK188" s="1"/>
  <c r="AN188" s="1"/>
  <c r="AQ188" s="1"/>
  <c r="AT188" s="1"/>
  <c r="AB259"/>
  <c r="AE259" s="1"/>
  <c r="AH259" s="1"/>
  <c r="AK259" s="1"/>
  <c r="AN259" s="1"/>
  <c r="AQ259" s="1"/>
  <c r="AT259" s="1"/>
  <c r="AB76"/>
  <c r="AE76" s="1"/>
  <c r="AH76" s="1"/>
  <c r="AK76" s="1"/>
  <c r="AN76" s="1"/>
  <c r="AQ76" s="1"/>
  <c r="AT76" s="1"/>
  <c r="AB77"/>
  <c r="AE77" s="1"/>
  <c r="AH77" s="1"/>
  <c r="AK77" s="1"/>
  <c r="AN77" s="1"/>
  <c r="AQ77" s="1"/>
  <c r="AT77" s="1"/>
  <c r="AB80"/>
  <c r="AE80" s="1"/>
  <c r="AH80" s="1"/>
  <c r="AK80" s="1"/>
  <c r="AN80" s="1"/>
  <c r="AQ80" s="1"/>
  <c r="AT80" s="1"/>
  <c r="AB81"/>
  <c r="AE81" s="1"/>
  <c r="AH81" s="1"/>
  <c r="AK81" s="1"/>
  <c r="AN81" s="1"/>
  <c r="AQ81" s="1"/>
  <c r="AT81" s="1"/>
  <c r="AB83"/>
  <c r="AE83" s="1"/>
  <c r="AH83" s="1"/>
  <c r="AK83" s="1"/>
  <c r="AN83" s="1"/>
  <c r="AQ83" s="1"/>
  <c r="AT83" s="1"/>
  <c r="AB85"/>
  <c r="AE85" s="1"/>
  <c r="AH85" s="1"/>
  <c r="AK85" s="1"/>
  <c r="AN85" s="1"/>
  <c r="AQ85" s="1"/>
  <c r="AT85" s="1"/>
  <c r="AB87"/>
  <c r="AE87" s="1"/>
  <c r="AH87" s="1"/>
  <c r="AK87" s="1"/>
  <c r="AN87" s="1"/>
  <c r="AQ87" s="1"/>
  <c r="AT87" s="1"/>
  <c r="AB89"/>
  <c r="AE89" s="1"/>
  <c r="AH89" s="1"/>
  <c r="AK89" s="1"/>
  <c r="AN89" s="1"/>
  <c r="AQ89" s="1"/>
  <c r="AT89" s="1"/>
  <c r="AB183"/>
  <c r="AE183" s="1"/>
  <c r="AH183" s="1"/>
  <c r="AK183" s="1"/>
  <c r="AN183" s="1"/>
  <c r="AQ183" s="1"/>
  <c r="AT183" s="1"/>
  <c r="AB190"/>
  <c r="AE190" s="1"/>
  <c r="AH190" s="1"/>
  <c r="AK190" s="1"/>
  <c r="AN190" s="1"/>
  <c r="AQ190" s="1"/>
  <c r="AT190" s="1"/>
  <c r="AB191"/>
  <c r="AE191" s="1"/>
  <c r="AH191" s="1"/>
  <c r="AK191" s="1"/>
  <c r="AN191" s="1"/>
  <c r="AQ191" s="1"/>
  <c r="AT191" s="1"/>
  <c r="AB207"/>
  <c r="AE207" s="1"/>
  <c r="AH207" s="1"/>
  <c r="AK207" s="1"/>
  <c r="AN207" s="1"/>
  <c r="AQ207" s="1"/>
  <c r="AT207" s="1"/>
  <c r="AB209"/>
  <c r="AE209" s="1"/>
  <c r="AH209" s="1"/>
  <c r="AK209" s="1"/>
  <c r="AN209" s="1"/>
  <c r="AQ209" s="1"/>
  <c r="AT209" s="1"/>
  <c r="AB211"/>
  <c r="AE211" s="1"/>
  <c r="AH211" s="1"/>
  <c r="AK211" s="1"/>
  <c r="AN211" s="1"/>
  <c r="AQ211" s="1"/>
  <c r="AT211" s="1"/>
  <c r="AB213"/>
  <c r="AE213" s="1"/>
  <c r="AH213" s="1"/>
  <c r="AK213" s="1"/>
  <c r="AN213" s="1"/>
  <c r="AQ213" s="1"/>
  <c r="AT213" s="1"/>
  <c r="AB215"/>
  <c r="AE215" s="1"/>
  <c r="AH215" s="1"/>
  <c r="AK215" s="1"/>
  <c r="AN215" s="1"/>
  <c r="AQ215" s="1"/>
  <c r="AT215" s="1"/>
  <c r="AB217"/>
  <c r="AE217" s="1"/>
  <c r="AH217" s="1"/>
  <c r="AK217" s="1"/>
  <c r="AN217" s="1"/>
  <c r="AQ217" s="1"/>
  <c r="AT217" s="1"/>
  <c r="AB219"/>
  <c r="AE219" s="1"/>
  <c r="AH219" s="1"/>
  <c r="AK219" s="1"/>
  <c r="AN219" s="1"/>
  <c r="AQ219" s="1"/>
  <c r="AT219" s="1"/>
  <c r="AB221"/>
  <c r="AE221" s="1"/>
  <c r="AH221" s="1"/>
  <c r="AK221" s="1"/>
  <c r="AN221" s="1"/>
  <c r="AQ221" s="1"/>
  <c r="AT221" s="1"/>
  <c r="AB223"/>
  <c r="AE223" s="1"/>
  <c r="AH223" s="1"/>
  <c r="AK223" s="1"/>
  <c r="AN223" s="1"/>
  <c r="AQ223" s="1"/>
  <c r="AT223" s="1"/>
  <c r="AB258"/>
  <c r="AE258" s="1"/>
  <c r="AH258" s="1"/>
  <c r="AK258" s="1"/>
  <c r="AN258" s="1"/>
  <c r="AQ258" s="1"/>
  <c r="AT258" s="1"/>
  <c r="AB260"/>
  <c r="AB263"/>
  <c r="AE263" s="1"/>
  <c r="AH263" s="1"/>
  <c r="AK263" s="1"/>
  <c r="AN263" s="1"/>
  <c r="AQ263" s="1"/>
  <c r="AT263" s="1"/>
  <c r="AB265"/>
  <c r="AE265" s="1"/>
  <c r="AH265" s="1"/>
  <c r="AK265" s="1"/>
  <c r="AN265" s="1"/>
  <c r="AQ265" s="1"/>
  <c r="AT265" s="1"/>
  <c r="AB268"/>
  <c r="AE268" s="1"/>
  <c r="AH268" s="1"/>
  <c r="AK268" s="1"/>
  <c r="AN268" s="1"/>
  <c r="AQ268" s="1"/>
  <c r="AT268" s="1"/>
  <c r="AB270"/>
  <c r="AE270" s="1"/>
  <c r="AH270" s="1"/>
  <c r="AK270" s="1"/>
  <c r="AN270" s="1"/>
  <c r="AQ270" s="1"/>
  <c r="AT270" s="1"/>
  <c r="AB272"/>
  <c r="AE272" s="1"/>
  <c r="AH272" s="1"/>
  <c r="AK272" s="1"/>
  <c r="AN272" s="1"/>
  <c r="AQ272" s="1"/>
  <c r="AT272" s="1"/>
  <c r="AB275"/>
  <c r="AB276"/>
  <c r="AE276" s="1"/>
  <c r="AH276" s="1"/>
  <c r="AK276" s="1"/>
  <c r="AN276" s="1"/>
  <c r="AQ276" s="1"/>
  <c r="AT276" s="1"/>
  <c r="AB278"/>
  <c r="AE278" s="1"/>
  <c r="AH278" s="1"/>
  <c r="AK278" s="1"/>
  <c r="AN278" s="1"/>
  <c r="AQ278" s="1"/>
  <c r="AT278" s="1"/>
  <c r="AB280"/>
  <c r="AE280" s="1"/>
  <c r="AH280" s="1"/>
  <c r="AK280" s="1"/>
  <c r="AN280" s="1"/>
  <c r="AQ280" s="1"/>
  <c r="AT280" s="1"/>
  <c r="AB282"/>
  <c r="AE282" s="1"/>
  <c r="AH282" s="1"/>
  <c r="AK282" s="1"/>
  <c r="AN282" s="1"/>
  <c r="AQ282" s="1"/>
  <c r="AT282" s="1"/>
  <c r="AB284"/>
  <c r="AE284" s="1"/>
  <c r="AH284" s="1"/>
  <c r="AK284" s="1"/>
  <c r="AN284" s="1"/>
  <c r="AQ284" s="1"/>
  <c r="AT284" s="1"/>
  <c r="AB300"/>
  <c r="AB303"/>
  <c r="AE303" s="1"/>
  <c r="AH303" s="1"/>
  <c r="AK303" s="1"/>
  <c r="AN303" s="1"/>
  <c r="AQ303" s="1"/>
  <c r="AT303" s="1"/>
  <c r="AB305"/>
  <c r="AE305" s="1"/>
  <c r="AH305" s="1"/>
  <c r="AK305" s="1"/>
  <c r="AN305" s="1"/>
  <c r="AQ305" s="1"/>
  <c r="AT305" s="1"/>
  <c r="AB75"/>
  <c r="AE75" s="1"/>
  <c r="AH75" s="1"/>
  <c r="AK75" s="1"/>
  <c r="AN75" s="1"/>
  <c r="AQ75" s="1"/>
  <c r="AT75" s="1"/>
  <c r="AB79"/>
  <c r="AE79" s="1"/>
  <c r="AH79" s="1"/>
  <c r="AK79" s="1"/>
  <c r="AN79" s="1"/>
  <c r="AQ79" s="1"/>
  <c r="AT79" s="1"/>
  <c r="AB82"/>
  <c r="AE82" s="1"/>
  <c r="AH82" s="1"/>
  <c r="AK82" s="1"/>
  <c r="AN82" s="1"/>
  <c r="AQ82" s="1"/>
  <c r="AT82" s="1"/>
  <c r="AB84"/>
  <c r="AE84" s="1"/>
  <c r="AH84" s="1"/>
  <c r="AK84" s="1"/>
  <c r="AN84" s="1"/>
  <c r="AQ84" s="1"/>
  <c r="AT84" s="1"/>
  <c r="AB86"/>
  <c r="AE86" s="1"/>
  <c r="AH86" s="1"/>
  <c r="AK86" s="1"/>
  <c r="AN86" s="1"/>
  <c r="AQ86" s="1"/>
  <c r="AT86" s="1"/>
  <c r="AB88"/>
  <c r="AE88" s="1"/>
  <c r="AH88" s="1"/>
  <c r="AK88" s="1"/>
  <c r="AN88" s="1"/>
  <c r="AQ88" s="1"/>
  <c r="AT88" s="1"/>
  <c r="AB181"/>
  <c r="AB184"/>
  <c r="AE184" s="1"/>
  <c r="AH184" s="1"/>
  <c r="AK184" s="1"/>
  <c r="AN184" s="1"/>
  <c r="AQ184" s="1"/>
  <c r="AT184" s="1"/>
  <c r="AB189"/>
  <c r="AE189" s="1"/>
  <c r="AH189" s="1"/>
  <c r="AK189" s="1"/>
  <c r="AN189" s="1"/>
  <c r="AQ189" s="1"/>
  <c r="AT189" s="1"/>
  <c r="AB193"/>
  <c r="AE193" s="1"/>
  <c r="AH193" s="1"/>
  <c r="AK193" s="1"/>
  <c r="AN193" s="1"/>
  <c r="AQ193" s="1"/>
  <c r="AT193" s="1"/>
  <c r="AB206"/>
  <c r="AE206" s="1"/>
  <c r="AH206" s="1"/>
  <c r="AK206" s="1"/>
  <c r="AN206" s="1"/>
  <c r="AQ206" s="1"/>
  <c r="AT206" s="1"/>
  <c r="AB208"/>
  <c r="AE208" s="1"/>
  <c r="AH208" s="1"/>
  <c r="AK208" s="1"/>
  <c r="AN208" s="1"/>
  <c r="AQ208" s="1"/>
  <c r="AT208" s="1"/>
  <c r="AB210"/>
  <c r="AE210" s="1"/>
  <c r="AH210" s="1"/>
  <c r="AK210" s="1"/>
  <c r="AN210" s="1"/>
  <c r="AQ210" s="1"/>
  <c r="AT210" s="1"/>
  <c r="AB212"/>
  <c r="AE212" s="1"/>
  <c r="AH212" s="1"/>
  <c r="AK212" s="1"/>
  <c r="AN212" s="1"/>
  <c r="AQ212" s="1"/>
  <c r="AT212" s="1"/>
  <c r="AB214"/>
  <c r="AE214" s="1"/>
  <c r="AH214" s="1"/>
  <c r="AK214" s="1"/>
  <c r="AN214" s="1"/>
  <c r="AQ214" s="1"/>
  <c r="AT214" s="1"/>
  <c r="AB216"/>
  <c r="AE216" s="1"/>
  <c r="AH216" s="1"/>
  <c r="AK216" s="1"/>
  <c r="AN216" s="1"/>
  <c r="AQ216" s="1"/>
  <c r="AT216" s="1"/>
  <c r="AB218"/>
  <c r="AE218" s="1"/>
  <c r="AH218" s="1"/>
  <c r="AK218" s="1"/>
  <c r="AN218" s="1"/>
  <c r="AQ218" s="1"/>
  <c r="AT218" s="1"/>
  <c r="AB220"/>
  <c r="AE220" s="1"/>
  <c r="AH220" s="1"/>
  <c r="AK220" s="1"/>
  <c r="AN220" s="1"/>
  <c r="AQ220" s="1"/>
  <c r="AT220" s="1"/>
  <c r="AB222"/>
  <c r="AE222" s="1"/>
  <c r="AH222" s="1"/>
  <c r="AK222" s="1"/>
  <c r="AN222" s="1"/>
  <c r="AQ222" s="1"/>
  <c r="AT222" s="1"/>
  <c r="AB261"/>
  <c r="AB262"/>
  <c r="AE262" s="1"/>
  <c r="AH262" s="1"/>
  <c r="AK262" s="1"/>
  <c r="AN262" s="1"/>
  <c r="AQ262" s="1"/>
  <c r="AT262" s="1"/>
  <c r="AB264"/>
  <c r="AE264" s="1"/>
  <c r="AH264" s="1"/>
  <c r="AK264" s="1"/>
  <c r="AN264" s="1"/>
  <c r="AQ264" s="1"/>
  <c r="AT264" s="1"/>
  <c r="AB267"/>
  <c r="AE267" s="1"/>
  <c r="AH267" s="1"/>
  <c r="AK267" s="1"/>
  <c r="AN267" s="1"/>
  <c r="AQ267" s="1"/>
  <c r="AT267" s="1"/>
  <c r="AB269"/>
  <c r="AE269" s="1"/>
  <c r="AH269" s="1"/>
  <c r="AK269" s="1"/>
  <c r="AN269" s="1"/>
  <c r="AQ269" s="1"/>
  <c r="AT269" s="1"/>
  <c r="AB271"/>
  <c r="AE271" s="1"/>
  <c r="AH271" s="1"/>
  <c r="AK271" s="1"/>
  <c r="AN271" s="1"/>
  <c r="AQ271" s="1"/>
  <c r="AT271" s="1"/>
  <c r="AB273"/>
  <c r="AE273" s="1"/>
  <c r="AH273" s="1"/>
  <c r="AK273" s="1"/>
  <c r="AN273" s="1"/>
  <c r="AQ273" s="1"/>
  <c r="AT273" s="1"/>
  <c r="AB274"/>
  <c r="AB277"/>
  <c r="AE277" s="1"/>
  <c r="AH277" s="1"/>
  <c r="AK277" s="1"/>
  <c r="AN277" s="1"/>
  <c r="AQ277" s="1"/>
  <c r="AT277" s="1"/>
  <c r="AB279"/>
  <c r="AE279" s="1"/>
  <c r="AH279" s="1"/>
  <c r="AK279" s="1"/>
  <c r="AN279" s="1"/>
  <c r="AQ279" s="1"/>
  <c r="AT279" s="1"/>
  <c r="AB281"/>
  <c r="AE281" s="1"/>
  <c r="AH281" s="1"/>
  <c r="AK281" s="1"/>
  <c r="AN281" s="1"/>
  <c r="AQ281" s="1"/>
  <c r="AT281" s="1"/>
  <c r="AB283"/>
  <c r="AE283" s="1"/>
  <c r="AH283" s="1"/>
  <c r="AK283" s="1"/>
  <c r="AN283" s="1"/>
  <c r="AQ283" s="1"/>
  <c r="AT283" s="1"/>
  <c r="AB285"/>
  <c r="AE285" s="1"/>
  <c r="AH285" s="1"/>
  <c r="AK285" s="1"/>
  <c r="AN285" s="1"/>
  <c r="AQ285" s="1"/>
  <c r="AT285" s="1"/>
  <c r="AB301"/>
  <c r="AB302"/>
  <c r="AE302" s="1"/>
  <c r="AH302" s="1"/>
  <c r="AK302" s="1"/>
  <c r="AN302" s="1"/>
  <c r="AQ302" s="1"/>
  <c r="AT302" s="1"/>
  <c r="AB304"/>
  <c r="AE304" s="1"/>
  <c r="AH304" s="1"/>
  <c r="AK304" s="1"/>
  <c r="AN304" s="1"/>
  <c r="AQ304" s="1"/>
  <c r="AT304" s="1"/>
  <c r="AB306"/>
  <c r="AE306" s="1"/>
  <c r="AH306" s="1"/>
  <c r="AK306" s="1"/>
  <c r="AN306" s="1"/>
  <c r="AQ306" s="1"/>
  <c r="AT306" s="1"/>
  <c r="AB309"/>
  <c r="AE309" s="1"/>
  <c r="AH309" s="1"/>
  <c r="AK309" s="1"/>
  <c r="AN309" s="1"/>
  <c r="AQ309" s="1"/>
  <c r="AT309" s="1"/>
  <c r="W326" i="4"/>
  <c r="R326"/>
  <c r="O326"/>
  <c r="AB5" i="3"/>
  <c r="AE5" s="1"/>
  <c r="AH5" s="1"/>
  <c r="AK5" s="1"/>
  <c r="AN5" s="1"/>
  <c r="AQ5" s="1"/>
  <c r="AT5" s="1"/>
  <c r="AB7"/>
  <c r="AE7" s="1"/>
  <c r="AH7" s="1"/>
  <c r="AK7" s="1"/>
  <c r="AN7" s="1"/>
  <c r="AQ7" s="1"/>
  <c r="AT7" s="1"/>
  <c r="AB9"/>
  <c r="AE9" s="1"/>
  <c r="AH9" s="1"/>
  <c r="AK9" s="1"/>
  <c r="AN9" s="1"/>
  <c r="AQ9" s="1"/>
  <c r="AT9" s="1"/>
  <c r="AB11"/>
  <c r="AE11" s="1"/>
  <c r="AH11" s="1"/>
  <c r="AK11" s="1"/>
  <c r="AN11" s="1"/>
  <c r="AQ11" s="1"/>
  <c r="AT11" s="1"/>
  <c r="AB13"/>
  <c r="AE13" s="1"/>
  <c r="AH13" s="1"/>
  <c r="AK13" s="1"/>
  <c r="AN13" s="1"/>
  <c r="AQ13" s="1"/>
  <c r="AT13" s="1"/>
  <c r="AB15"/>
  <c r="AE15" s="1"/>
  <c r="AH15" s="1"/>
  <c r="AK15" s="1"/>
  <c r="AN15" s="1"/>
  <c r="AQ15" s="1"/>
  <c r="AT15" s="1"/>
  <c r="AB16"/>
  <c r="AB23"/>
  <c r="AE23" s="1"/>
  <c r="AH23" s="1"/>
  <c r="AK23" s="1"/>
  <c r="AN23" s="1"/>
  <c r="AQ23" s="1"/>
  <c r="AT23" s="1"/>
  <c r="AB25"/>
  <c r="AE25" s="1"/>
  <c r="AH25" s="1"/>
  <c r="AK25" s="1"/>
  <c r="AN25" s="1"/>
  <c r="AQ25" s="1"/>
  <c r="AT25" s="1"/>
  <c r="AB27"/>
  <c r="AE27" s="1"/>
  <c r="AH27" s="1"/>
  <c r="AK27" s="1"/>
  <c r="AN27" s="1"/>
  <c r="AQ27" s="1"/>
  <c r="AT27" s="1"/>
  <c r="AB29"/>
  <c r="AE29" s="1"/>
  <c r="AH29" s="1"/>
  <c r="AK29" s="1"/>
  <c r="AN29" s="1"/>
  <c r="AQ29" s="1"/>
  <c r="AT29" s="1"/>
  <c r="AB90"/>
  <c r="AE90" s="1"/>
  <c r="AH90" s="1"/>
  <c r="AK90" s="1"/>
  <c r="AN90" s="1"/>
  <c r="AQ90" s="1"/>
  <c r="AT90" s="1"/>
  <c r="AB99"/>
  <c r="AE99" s="1"/>
  <c r="AH99" s="1"/>
  <c r="AK99" s="1"/>
  <c r="AN99" s="1"/>
  <c r="AQ99" s="1"/>
  <c r="AT99" s="1"/>
  <c r="AB102"/>
  <c r="AB103"/>
  <c r="AE103" s="1"/>
  <c r="AH103" s="1"/>
  <c r="AK103" s="1"/>
  <c r="AN103" s="1"/>
  <c r="AQ103" s="1"/>
  <c r="AT103" s="1"/>
  <c r="AB121"/>
  <c r="AE121" s="1"/>
  <c r="AH121" s="1"/>
  <c r="AK121" s="1"/>
  <c r="AN121" s="1"/>
  <c r="AQ121" s="1"/>
  <c r="AT121" s="1"/>
  <c r="AB123"/>
  <c r="AE123" s="1"/>
  <c r="AH123" s="1"/>
  <c r="AK123" s="1"/>
  <c r="AN123" s="1"/>
  <c r="AQ123" s="1"/>
  <c r="AT123" s="1"/>
  <c r="AB125"/>
  <c r="AE125" s="1"/>
  <c r="AH125" s="1"/>
  <c r="AK125" s="1"/>
  <c r="AN125" s="1"/>
  <c r="AQ125" s="1"/>
  <c r="AT125" s="1"/>
  <c r="AB127"/>
  <c r="AE127" s="1"/>
  <c r="AH127" s="1"/>
  <c r="AK127" s="1"/>
  <c r="AN127" s="1"/>
  <c r="AQ127" s="1"/>
  <c r="AT127" s="1"/>
  <c r="AB129"/>
  <c r="AE129" s="1"/>
  <c r="AH129" s="1"/>
  <c r="AK129" s="1"/>
  <c r="AN129" s="1"/>
  <c r="AQ129" s="1"/>
  <c r="AT129" s="1"/>
  <c r="AB131"/>
  <c r="AE131" s="1"/>
  <c r="AH131" s="1"/>
  <c r="AK131" s="1"/>
  <c r="AN131" s="1"/>
  <c r="AQ131" s="1"/>
  <c r="AT131" s="1"/>
  <c r="AB185"/>
  <c r="AE185" s="1"/>
  <c r="AH185" s="1"/>
  <c r="AK185" s="1"/>
  <c r="AN185" s="1"/>
  <c r="AQ185" s="1"/>
  <c r="AT185" s="1"/>
  <c r="AB187"/>
  <c r="AE187" s="1"/>
  <c r="AH187" s="1"/>
  <c r="AK187" s="1"/>
  <c r="AN187" s="1"/>
  <c r="AQ187" s="1"/>
  <c r="AT187" s="1"/>
  <c r="AB224"/>
  <c r="AE224" s="1"/>
  <c r="AH224" s="1"/>
  <c r="AK224" s="1"/>
  <c r="AN224" s="1"/>
  <c r="AQ224" s="1"/>
  <c r="AT224" s="1"/>
  <c r="AB226"/>
  <c r="AE226" s="1"/>
  <c r="AH226" s="1"/>
  <c r="AK226" s="1"/>
  <c r="AN226" s="1"/>
  <c r="AQ226" s="1"/>
  <c r="AT226" s="1"/>
  <c r="AB228"/>
  <c r="AE228" s="1"/>
  <c r="AH228" s="1"/>
  <c r="AK228" s="1"/>
  <c r="AN228" s="1"/>
  <c r="AQ228" s="1"/>
  <c r="AT228" s="1"/>
  <c r="AB231"/>
  <c r="AB233"/>
  <c r="AB234"/>
  <c r="AE234" s="1"/>
  <c r="AH234" s="1"/>
  <c r="AK234" s="1"/>
  <c r="AN234" s="1"/>
  <c r="AQ234" s="1"/>
  <c r="AT234" s="1"/>
  <c r="AB236"/>
  <c r="AE236" s="1"/>
  <c r="AH236" s="1"/>
  <c r="AK236" s="1"/>
  <c r="AN236" s="1"/>
  <c r="AQ236" s="1"/>
  <c r="AT236" s="1"/>
  <c r="AB238"/>
  <c r="AE238" s="1"/>
  <c r="AH238" s="1"/>
  <c r="AK238" s="1"/>
  <c r="AN238" s="1"/>
  <c r="AQ238" s="1"/>
  <c r="AT238" s="1"/>
  <c r="AB240"/>
  <c r="AE240" s="1"/>
  <c r="AH240" s="1"/>
  <c r="AK240" s="1"/>
  <c r="AN240" s="1"/>
  <c r="AQ240" s="1"/>
  <c r="AT240" s="1"/>
  <c r="AB242"/>
  <c r="AE242" s="1"/>
  <c r="AH242" s="1"/>
  <c r="AK242" s="1"/>
  <c r="AN242" s="1"/>
  <c r="AQ242" s="1"/>
  <c r="AT242" s="1"/>
  <c r="AB244"/>
  <c r="AE244" s="1"/>
  <c r="AH244" s="1"/>
  <c r="AK244" s="1"/>
  <c r="AN244" s="1"/>
  <c r="AQ244" s="1"/>
  <c r="AT244" s="1"/>
  <c r="AB288"/>
  <c r="AB289"/>
  <c r="AE289" s="1"/>
  <c r="AH289" s="1"/>
  <c r="AK289" s="1"/>
  <c r="AN289" s="1"/>
  <c r="AQ289" s="1"/>
  <c r="AT289" s="1"/>
  <c r="AB291"/>
  <c r="AE291" s="1"/>
  <c r="AH291" s="1"/>
  <c r="AK291" s="1"/>
  <c r="AN291" s="1"/>
  <c r="AQ291" s="1"/>
  <c r="AT291" s="1"/>
  <c r="AB293"/>
  <c r="AE293" s="1"/>
  <c r="AH293" s="1"/>
  <c r="AK293" s="1"/>
  <c r="AN293" s="1"/>
  <c r="AQ293" s="1"/>
  <c r="AT293" s="1"/>
  <c r="AB295"/>
  <c r="AE295" s="1"/>
  <c r="AH295" s="1"/>
  <c r="AK295" s="1"/>
  <c r="AN295" s="1"/>
  <c r="AQ295" s="1"/>
  <c r="AT295" s="1"/>
  <c r="AB297"/>
  <c r="AE297" s="1"/>
  <c r="AH297" s="1"/>
  <c r="AK297" s="1"/>
  <c r="AN297" s="1"/>
  <c r="AQ297" s="1"/>
  <c r="AT297" s="1"/>
  <c r="AB321"/>
  <c r="AE321" s="1"/>
  <c r="AH321" s="1"/>
  <c r="AK321" s="1"/>
  <c r="AN321" s="1"/>
  <c r="AQ321" s="1"/>
  <c r="AT321" s="1"/>
  <c r="AB323"/>
  <c r="AE323" s="1"/>
  <c r="AH323" s="1"/>
  <c r="AK323" s="1"/>
  <c r="AN323" s="1"/>
  <c r="AQ323" s="1"/>
  <c r="AT323" s="1"/>
  <c r="V326" i="4"/>
  <c r="T326"/>
  <c r="AB6" i="3"/>
  <c r="AE6" s="1"/>
  <c r="AH6" s="1"/>
  <c r="AK6" s="1"/>
  <c r="AN6" s="1"/>
  <c r="AQ6" s="1"/>
  <c r="AT6" s="1"/>
  <c r="AB8"/>
  <c r="AE8" s="1"/>
  <c r="AH8" s="1"/>
  <c r="AK8" s="1"/>
  <c r="AN8" s="1"/>
  <c r="AQ8" s="1"/>
  <c r="AT8" s="1"/>
  <c r="AB10"/>
  <c r="AE10" s="1"/>
  <c r="AH10" s="1"/>
  <c r="AK10" s="1"/>
  <c r="AN10" s="1"/>
  <c r="AQ10" s="1"/>
  <c r="AT10" s="1"/>
  <c r="AB12"/>
  <c r="AE12" s="1"/>
  <c r="AH12" s="1"/>
  <c r="AK12" s="1"/>
  <c r="AN12" s="1"/>
  <c r="AQ12" s="1"/>
  <c r="AT12" s="1"/>
  <c r="AB14"/>
  <c r="AE14" s="1"/>
  <c r="AH14" s="1"/>
  <c r="AK14" s="1"/>
  <c r="AN14" s="1"/>
  <c r="AQ14" s="1"/>
  <c r="AT14" s="1"/>
  <c r="AB17"/>
  <c r="AB18"/>
  <c r="AE18" s="1"/>
  <c r="AH18" s="1"/>
  <c r="AK18" s="1"/>
  <c r="AN18" s="1"/>
  <c r="AQ18" s="1"/>
  <c r="AT18" s="1"/>
  <c r="AB19"/>
  <c r="AE19" s="1"/>
  <c r="AH19" s="1"/>
  <c r="AK19" s="1"/>
  <c r="AN19" s="1"/>
  <c r="AQ19" s="1"/>
  <c r="AT19" s="1"/>
  <c r="AB20"/>
  <c r="AE20" s="1"/>
  <c r="AH20" s="1"/>
  <c r="AK20" s="1"/>
  <c r="AN20" s="1"/>
  <c r="AQ20" s="1"/>
  <c r="AT20" s="1"/>
  <c r="AB21"/>
  <c r="AE21" s="1"/>
  <c r="AH21" s="1"/>
  <c r="AK21" s="1"/>
  <c r="AN21" s="1"/>
  <c r="AQ21" s="1"/>
  <c r="AT21" s="1"/>
  <c r="AB22"/>
  <c r="AE22" s="1"/>
  <c r="AH22" s="1"/>
  <c r="AK22" s="1"/>
  <c r="AN22" s="1"/>
  <c r="AQ22" s="1"/>
  <c r="AT22" s="1"/>
  <c r="AB24"/>
  <c r="AE24" s="1"/>
  <c r="AH24" s="1"/>
  <c r="AK24" s="1"/>
  <c r="AN24" s="1"/>
  <c r="AQ24" s="1"/>
  <c r="AT24" s="1"/>
  <c r="AB26"/>
  <c r="AE26" s="1"/>
  <c r="AH26" s="1"/>
  <c r="AK26" s="1"/>
  <c r="AN26" s="1"/>
  <c r="AQ26" s="1"/>
  <c r="AT26" s="1"/>
  <c r="AB28"/>
  <c r="AE28" s="1"/>
  <c r="AH28" s="1"/>
  <c r="AK28" s="1"/>
  <c r="AN28" s="1"/>
  <c r="AQ28" s="1"/>
  <c r="AT28" s="1"/>
  <c r="AB30"/>
  <c r="AE30" s="1"/>
  <c r="AH30" s="1"/>
  <c r="AK30" s="1"/>
  <c r="AN30" s="1"/>
  <c r="AQ30" s="1"/>
  <c r="AT30" s="1"/>
  <c r="AB32"/>
  <c r="AE32" s="1"/>
  <c r="AH32" s="1"/>
  <c r="AK32" s="1"/>
  <c r="AN32" s="1"/>
  <c r="AQ32" s="1"/>
  <c r="AT32" s="1"/>
  <c r="AB33"/>
  <c r="AE33" s="1"/>
  <c r="AH33" s="1"/>
  <c r="AK33" s="1"/>
  <c r="AN33" s="1"/>
  <c r="AQ33" s="1"/>
  <c r="AT33" s="1"/>
  <c r="AB34"/>
  <c r="AE34" s="1"/>
  <c r="AH34" s="1"/>
  <c r="AK34" s="1"/>
  <c r="AN34" s="1"/>
  <c r="AQ34" s="1"/>
  <c r="AT34" s="1"/>
  <c r="AB35"/>
  <c r="AE35" s="1"/>
  <c r="AH35" s="1"/>
  <c r="AK35" s="1"/>
  <c r="AN35" s="1"/>
  <c r="AQ35" s="1"/>
  <c r="AT35" s="1"/>
  <c r="AB36"/>
  <c r="AE36" s="1"/>
  <c r="AH36" s="1"/>
  <c r="AK36" s="1"/>
  <c r="AN36" s="1"/>
  <c r="AQ36" s="1"/>
  <c r="AT36" s="1"/>
  <c r="AB37"/>
  <c r="AE37" s="1"/>
  <c r="AH37" s="1"/>
  <c r="AK37" s="1"/>
  <c r="AN37" s="1"/>
  <c r="AQ37" s="1"/>
  <c r="AT37" s="1"/>
  <c r="AB39"/>
  <c r="AB38"/>
  <c r="AB40"/>
  <c r="AE40" s="1"/>
  <c r="AH40" s="1"/>
  <c r="AK40" s="1"/>
  <c r="AN40" s="1"/>
  <c r="AQ40" s="1"/>
  <c r="AT40" s="1"/>
  <c r="AB41"/>
  <c r="AE41" s="1"/>
  <c r="AH41" s="1"/>
  <c r="AK41" s="1"/>
  <c r="AN41" s="1"/>
  <c r="AQ41" s="1"/>
  <c r="AT41" s="1"/>
  <c r="AB42"/>
  <c r="AE42" s="1"/>
  <c r="AH42" s="1"/>
  <c r="AK42" s="1"/>
  <c r="AN42" s="1"/>
  <c r="AQ42" s="1"/>
  <c r="AT42" s="1"/>
  <c r="AB43"/>
  <c r="AE43" s="1"/>
  <c r="AH43" s="1"/>
  <c r="AK43" s="1"/>
  <c r="AN43" s="1"/>
  <c r="AQ43" s="1"/>
  <c r="AT43" s="1"/>
  <c r="AB44"/>
  <c r="AE44" s="1"/>
  <c r="AH44" s="1"/>
  <c r="AK44" s="1"/>
  <c r="AN44" s="1"/>
  <c r="AQ44" s="1"/>
  <c r="AT44" s="1"/>
  <c r="AB46"/>
  <c r="AB45"/>
  <c r="AB48"/>
  <c r="AB47"/>
  <c r="AB50"/>
  <c r="AB49"/>
  <c r="AB51"/>
  <c r="AE51" s="1"/>
  <c r="AH51" s="1"/>
  <c r="AK51" s="1"/>
  <c r="AN51" s="1"/>
  <c r="AQ51" s="1"/>
  <c r="AT51" s="1"/>
  <c r="AB52"/>
  <c r="AE52" s="1"/>
  <c r="AH52" s="1"/>
  <c r="AK52" s="1"/>
  <c r="AN52" s="1"/>
  <c r="AQ52" s="1"/>
  <c r="AT52" s="1"/>
  <c r="AB53"/>
  <c r="AE53" s="1"/>
  <c r="AH53" s="1"/>
  <c r="AK53" s="1"/>
  <c r="AN53" s="1"/>
  <c r="AQ53" s="1"/>
  <c r="AT53" s="1"/>
  <c r="AB54"/>
  <c r="AE54" s="1"/>
  <c r="AH54" s="1"/>
  <c r="AK54" s="1"/>
  <c r="AN54" s="1"/>
  <c r="AQ54" s="1"/>
  <c r="AT54" s="1"/>
  <c r="AB55"/>
  <c r="AE55" s="1"/>
  <c r="AH55" s="1"/>
  <c r="AK55" s="1"/>
  <c r="AN55" s="1"/>
  <c r="AQ55" s="1"/>
  <c r="AT55" s="1"/>
  <c r="AB56"/>
  <c r="AE56" s="1"/>
  <c r="AH56" s="1"/>
  <c r="AK56" s="1"/>
  <c r="AN56" s="1"/>
  <c r="AQ56" s="1"/>
  <c r="AT56" s="1"/>
  <c r="AB57"/>
  <c r="AE57" s="1"/>
  <c r="AH57" s="1"/>
  <c r="AK57" s="1"/>
  <c r="AN57" s="1"/>
  <c r="AQ57" s="1"/>
  <c r="AT57" s="1"/>
  <c r="AB58"/>
  <c r="AE58" s="1"/>
  <c r="AH58" s="1"/>
  <c r="AK58" s="1"/>
  <c r="AN58" s="1"/>
  <c r="AQ58" s="1"/>
  <c r="AT58" s="1"/>
  <c r="AB59"/>
  <c r="AE59" s="1"/>
  <c r="AH59" s="1"/>
  <c r="AK59" s="1"/>
  <c r="AN59" s="1"/>
  <c r="AQ59" s="1"/>
  <c r="AT59" s="1"/>
  <c r="AB60"/>
  <c r="AE60" s="1"/>
  <c r="AH60" s="1"/>
  <c r="AK60" s="1"/>
  <c r="AN60" s="1"/>
  <c r="AQ60" s="1"/>
  <c r="AT60" s="1"/>
  <c r="AB61"/>
  <c r="AE61" s="1"/>
  <c r="AH61" s="1"/>
  <c r="AK61" s="1"/>
  <c r="AN61" s="1"/>
  <c r="AQ61" s="1"/>
  <c r="AT61" s="1"/>
  <c r="AB62"/>
  <c r="AE62" s="1"/>
  <c r="AH62" s="1"/>
  <c r="AK62" s="1"/>
  <c r="AN62" s="1"/>
  <c r="AQ62" s="1"/>
  <c r="AT62" s="1"/>
  <c r="AB63"/>
  <c r="AE63" s="1"/>
  <c r="AH63" s="1"/>
  <c r="AK63" s="1"/>
  <c r="AN63" s="1"/>
  <c r="AQ63" s="1"/>
  <c r="AT63" s="1"/>
  <c r="AB64"/>
  <c r="AE64" s="1"/>
  <c r="AH64" s="1"/>
  <c r="AK64" s="1"/>
  <c r="AN64" s="1"/>
  <c r="AQ64" s="1"/>
  <c r="AT64" s="1"/>
  <c r="AB65"/>
  <c r="AE65" s="1"/>
  <c r="AH65" s="1"/>
  <c r="AK65" s="1"/>
  <c r="AN65" s="1"/>
  <c r="AQ65" s="1"/>
  <c r="AT65" s="1"/>
  <c r="AB66"/>
  <c r="AE66" s="1"/>
  <c r="AH66" s="1"/>
  <c r="AK66" s="1"/>
  <c r="AN66" s="1"/>
  <c r="AQ66" s="1"/>
  <c r="AT66" s="1"/>
  <c r="AB67"/>
  <c r="AE67" s="1"/>
  <c r="AH67" s="1"/>
  <c r="AK67" s="1"/>
  <c r="AN67" s="1"/>
  <c r="AQ67" s="1"/>
  <c r="AT67" s="1"/>
  <c r="AB68"/>
  <c r="AE68" s="1"/>
  <c r="AH68" s="1"/>
  <c r="AK68" s="1"/>
  <c r="AN68" s="1"/>
  <c r="AQ68" s="1"/>
  <c r="AT68" s="1"/>
  <c r="AB69"/>
  <c r="AE69" s="1"/>
  <c r="AH69" s="1"/>
  <c r="AK69" s="1"/>
  <c r="AN69" s="1"/>
  <c r="AQ69" s="1"/>
  <c r="AT69" s="1"/>
  <c r="AB70"/>
  <c r="AE70" s="1"/>
  <c r="AH70" s="1"/>
  <c r="AK70" s="1"/>
  <c r="AN70" s="1"/>
  <c r="AQ70" s="1"/>
  <c r="AT70" s="1"/>
  <c r="AB71"/>
  <c r="AE71" s="1"/>
  <c r="AH71" s="1"/>
  <c r="AK71" s="1"/>
  <c r="AN71" s="1"/>
  <c r="AQ71" s="1"/>
  <c r="AT71" s="1"/>
  <c r="AB72"/>
  <c r="AE72" s="1"/>
  <c r="AH72" s="1"/>
  <c r="AK72" s="1"/>
  <c r="AN72" s="1"/>
  <c r="AQ72" s="1"/>
  <c r="AT72" s="1"/>
  <c r="AB73"/>
  <c r="AE73" s="1"/>
  <c r="AH73" s="1"/>
  <c r="AK73" s="1"/>
  <c r="AN73" s="1"/>
  <c r="AQ73" s="1"/>
  <c r="AT73" s="1"/>
  <c r="AB74"/>
  <c r="AE74" s="1"/>
  <c r="AH74" s="1"/>
  <c r="AK74" s="1"/>
  <c r="AN74" s="1"/>
  <c r="AQ74" s="1"/>
  <c r="AT74" s="1"/>
  <c r="AB91"/>
  <c r="AE91" s="1"/>
  <c r="AH91" s="1"/>
  <c r="AK91" s="1"/>
  <c r="AN91" s="1"/>
  <c r="AQ91" s="1"/>
  <c r="AT91" s="1"/>
  <c r="AB92"/>
  <c r="AE92" s="1"/>
  <c r="AH92" s="1"/>
  <c r="AK92" s="1"/>
  <c r="AN92" s="1"/>
  <c r="AQ92" s="1"/>
  <c r="AT92" s="1"/>
  <c r="AB93"/>
  <c r="AE93" s="1"/>
  <c r="AH93" s="1"/>
  <c r="AK93" s="1"/>
  <c r="AN93" s="1"/>
  <c r="AQ93" s="1"/>
  <c r="AT93" s="1"/>
  <c r="AB94"/>
  <c r="AE94" s="1"/>
  <c r="AH94" s="1"/>
  <c r="AK94" s="1"/>
  <c r="AN94" s="1"/>
  <c r="AQ94" s="1"/>
  <c r="AT94" s="1"/>
  <c r="AB95"/>
  <c r="AE95" s="1"/>
  <c r="AH95" s="1"/>
  <c r="AK95" s="1"/>
  <c r="AN95" s="1"/>
  <c r="AQ95" s="1"/>
  <c r="AT95" s="1"/>
  <c r="AB96"/>
  <c r="AE96" s="1"/>
  <c r="AH96" s="1"/>
  <c r="AK96" s="1"/>
  <c r="AN96" s="1"/>
  <c r="AQ96" s="1"/>
  <c r="AT96" s="1"/>
  <c r="AB97"/>
  <c r="AE97" s="1"/>
  <c r="AH97" s="1"/>
  <c r="AK97" s="1"/>
  <c r="AN97" s="1"/>
  <c r="AQ97" s="1"/>
  <c r="AT97" s="1"/>
  <c r="AB100"/>
  <c r="AE100" s="1"/>
  <c r="AH100" s="1"/>
  <c r="AK100" s="1"/>
  <c r="AN100" s="1"/>
  <c r="AQ100" s="1"/>
  <c r="AT100" s="1"/>
  <c r="AB101"/>
  <c r="AB104"/>
  <c r="AE104" s="1"/>
  <c r="AH104" s="1"/>
  <c r="AK104" s="1"/>
  <c r="AN104" s="1"/>
  <c r="AQ104" s="1"/>
  <c r="AT104" s="1"/>
  <c r="AB105"/>
  <c r="AE105" s="1"/>
  <c r="AH105" s="1"/>
  <c r="AK105" s="1"/>
  <c r="AN105" s="1"/>
  <c r="AQ105" s="1"/>
  <c r="AT105" s="1"/>
  <c r="AB106"/>
  <c r="AE106" s="1"/>
  <c r="AH106" s="1"/>
  <c r="AK106" s="1"/>
  <c r="AN106" s="1"/>
  <c r="AQ106" s="1"/>
  <c r="AT106" s="1"/>
  <c r="AB107"/>
  <c r="AE107" s="1"/>
  <c r="AH107" s="1"/>
  <c r="AK107" s="1"/>
  <c r="AN107" s="1"/>
  <c r="AQ107" s="1"/>
  <c r="AT107" s="1"/>
  <c r="AB108"/>
  <c r="AE108" s="1"/>
  <c r="AH108" s="1"/>
  <c r="AK108" s="1"/>
  <c r="AN108" s="1"/>
  <c r="AQ108" s="1"/>
  <c r="AT108" s="1"/>
  <c r="AB109"/>
  <c r="AE109" s="1"/>
  <c r="AH109" s="1"/>
  <c r="AK109" s="1"/>
  <c r="AN109" s="1"/>
  <c r="AQ109" s="1"/>
  <c r="AT109" s="1"/>
  <c r="AB110"/>
  <c r="AE110" s="1"/>
  <c r="AH110" s="1"/>
  <c r="AK110" s="1"/>
  <c r="AN110" s="1"/>
  <c r="AQ110" s="1"/>
  <c r="AT110" s="1"/>
  <c r="AB111"/>
  <c r="AE111" s="1"/>
  <c r="AH111" s="1"/>
  <c r="AK111" s="1"/>
  <c r="AN111" s="1"/>
  <c r="AQ111" s="1"/>
  <c r="AT111" s="1"/>
  <c r="AB112"/>
  <c r="AE112" s="1"/>
  <c r="AH112" s="1"/>
  <c r="AK112" s="1"/>
  <c r="AN112" s="1"/>
  <c r="AQ112" s="1"/>
  <c r="AT112" s="1"/>
  <c r="AB113"/>
  <c r="AE113" s="1"/>
  <c r="AH113" s="1"/>
  <c r="AK113" s="1"/>
  <c r="AN113" s="1"/>
  <c r="AQ113" s="1"/>
  <c r="AT113" s="1"/>
  <c r="AB114"/>
  <c r="AE114" s="1"/>
  <c r="AH114" s="1"/>
  <c r="AK114" s="1"/>
  <c r="AN114" s="1"/>
  <c r="AQ114" s="1"/>
  <c r="AT114" s="1"/>
  <c r="AB115"/>
  <c r="AE115" s="1"/>
  <c r="AH115" s="1"/>
  <c r="AK115" s="1"/>
  <c r="AN115" s="1"/>
  <c r="AQ115" s="1"/>
  <c r="AT115" s="1"/>
  <c r="AB116"/>
  <c r="AE116" s="1"/>
  <c r="AH116" s="1"/>
  <c r="AK116" s="1"/>
  <c r="AN116" s="1"/>
  <c r="AQ116" s="1"/>
  <c r="AT116" s="1"/>
  <c r="AB117"/>
  <c r="AE117" s="1"/>
  <c r="AH117" s="1"/>
  <c r="AK117" s="1"/>
  <c r="AN117" s="1"/>
  <c r="AQ117" s="1"/>
  <c r="AT117" s="1"/>
  <c r="AB118"/>
  <c r="AE118" s="1"/>
  <c r="AH118" s="1"/>
  <c r="AK118" s="1"/>
  <c r="AN118" s="1"/>
  <c r="AQ118" s="1"/>
  <c r="AT118" s="1"/>
  <c r="AB119"/>
  <c r="AE119" s="1"/>
  <c r="AH119" s="1"/>
  <c r="AK119" s="1"/>
  <c r="AN119" s="1"/>
  <c r="AQ119" s="1"/>
  <c r="AT119" s="1"/>
  <c r="AB120"/>
  <c r="AE120" s="1"/>
  <c r="AH120" s="1"/>
  <c r="AK120" s="1"/>
  <c r="AN120" s="1"/>
  <c r="AQ120" s="1"/>
  <c r="AT120" s="1"/>
  <c r="AB122"/>
  <c r="AE122" s="1"/>
  <c r="AH122" s="1"/>
  <c r="AK122" s="1"/>
  <c r="AN122" s="1"/>
  <c r="AQ122" s="1"/>
  <c r="AT122" s="1"/>
  <c r="AB124"/>
  <c r="AE124" s="1"/>
  <c r="AH124" s="1"/>
  <c r="AK124" s="1"/>
  <c r="AN124" s="1"/>
  <c r="AQ124" s="1"/>
  <c r="AT124" s="1"/>
  <c r="AB126"/>
  <c r="AE126" s="1"/>
  <c r="AH126" s="1"/>
  <c r="AK126" s="1"/>
  <c r="AN126" s="1"/>
  <c r="AQ126" s="1"/>
  <c r="AT126" s="1"/>
  <c r="AB128"/>
  <c r="AE128" s="1"/>
  <c r="AH128" s="1"/>
  <c r="AK128" s="1"/>
  <c r="AN128" s="1"/>
  <c r="AQ128" s="1"/>
  <c r="AT128" s="1"/>
  <c r="AB130"/>
  <c r="AE130" s="1"/>
  <c r="AH130" s="1"/>
  <c r="AK130" s="1"/>
  <c r="AN130" s="1"/>
  <c r="AQ130" s="1"/>
  <c r="AT130" s="1"/>
  <c r="AB132"/>
  <c r="AE132" s="1"/>
  <c r="AH132" s="1"/>
  <c r="AK132" s="1"/>
  <c r="AN132" s="1"/>
  <c r="AQ132" s="1"/>
  <c r="AT132" s="1"/>
  <c r="AB134"/>
  <c r="AE134" s="1"/>
  <c r="AH134" s="1"/>
  <c r="AK134" s="1"/>
  <c r="AN134" s="1"/>
  <c r="AQ134" s="1"/>
  <c r="AT134" s="1"/>
  <c r="AB135"/>
  <c r="AE135" s="1"/>
  <c r="AH135" s="1"/>
  <c r="AK135" s="1"/>
  <c r="AN135" s="1"/>
  <c r="AQ135" s="1"/>
  <c r="AT135" s="1"/>
  <c r="AB136"/>
  <c r="AE136" s="1"/>
  <c r="AH136" s="1"/>
  <c r="AK136" s="1"/>
  <c r="AN136" s="1"/>
  <c r="AQ136" s="1"/>
  <c r="AT136" s="1"/>
  <c r="AB138"/>
  <c r="AE138" s="1"/>
  <c r="AH138" s="1"/>
  <c r="AK138" s="1"/>
  <c r="AN138" s="1"/>
  <c r="AQ138" s="1"/>
  <c r="AT138" s="1"/>
  <c r="AB139"/>
  <c r="AE139" s="1"/>
  <c r="AH139" s="1"/>
  <c r="AK139" s="1"/>
  <c r="AN139" s="1"/>
  <c r="AQ139" s="1"/>
  <c r="AT139" s="1"/>
  <c r="AB140"/>
  <c r="AE140" s="1"/>
  <c r="AH140" s="1"/>
  <c r="AK140" s="1"/>
  <c r="AN140" s="1"/>
  <c r="AQ140" s="1"/>
  <c r="AT140" s="1"/>
  <c r="AB141"/>
  <c r="AE141" s="1"/>
  <c r="AH141" s="1"/>
  <c r="AK141" s="1"/>
  <c r="AN141" s="1"/>
  <c r="AQ141" s="1"/>
  <c r="AT141" s="1"/>
  <c r="AB142"/>
  <c r="AE142" s="1"/>
  <c r="AH142" s="1"/>
  <c r="AK142" s="1"/>
  <c r="AN142" s="1"/>
  <c r="AQ142" s="1"/>
  <c r="AT142" s="1"/>
  <c r="AB143"/>
  <c r="AE143" s="1"/>
  <c r="AH143" s="1"/>
  <c r="AK143" s="1"/>
  <c r="AN143" s="1"/>
  <c r="AQ143" s="1"/>
  <c r="AT143" s="1"/>
  <c r="AB144"/>
  <c r="AE144" s="1"/>
  <c r="AH144" s="1"/>
  <c r="AK144" s="1"/>
  <c r="AN144" s="1"/>
  <c r="AQ144" s="1"/>
  <c r="AT144" s="1"/>
  <c r="AB145"/>
  <c r="AE145" s="1"/>
  <c r="AH145" s="1"/>
  <c r="AK145" s="1"/>
  <c r="AN145" s="1"/>
  <c r="AQ145" s="1"/>
  <c r="AT145" s="1"/>
  <c r="AB146"/>
  <c r="AE146" s="1"/>
  <c r="AH146" s="1"/>
  <c r="AK146" s="1"/>
  <c r="AN146" s="1"/>
  <c r="AQ146" s="1"/>
  <c r="AT146" s="1"/>
  <c r="AB147"/>
  <c r="AE147" s="1"/>
  <c r="AH147" s="1"/>
  <c r="AK147" s="1"/>
  <c r="AN147" s="1"/>
  <c r="AQ147" s="1"/>
  <c r="AT147" s="1"/>
  <c r="AB148"/>
  <c r="AE148" s="1"/>
  <c r="AH148" s="1"/>
  <c r="AK148" s="1"/>
  <c r="AN148" s="1"/>
  <c r="AQ148" s="1"/>
  <c r="AT148" s="1"/>
  <c r="AB149"/>
  <c r="AE149" s="1"/>
  <c r="AH149" s="1"/>
  <c r="AK149" s="1"/>
  <c r="AN149" s="1"/>
  <c r="AQ149" s="1"/>
  <c r="AT149" s="1"/>
  <c r="AB150"/>
  <c r="AE150" s="1"/>
  <c r="AH150" s="1"/>
  <c r="AK150" s="1"/>
  <c r="AN150" s="1"/>
  <c r="AQ150" s="1"/>
  <c r="AT150" s="1"/>
  <c r="AB151"/>
  <c r="AE151" s="1"/>
  <c r="AH151" s="1"/>
  <c r="AK151" s="1"/>
  <c r="AN151" s="1"/>
  <c r="AQ151" s="1"/>
  <c r="AT151" s="1"/>
  <c r="AB152"/>
  <c r="AE152" s="1"/>
  <c r="AH152" s="1"/>
  <c r="AK152" s="1"/>
  <c r="AN152" s="1"/>
  <c r="AQ152" s="1"/>
  <c r="AT152" s="1"/>
  <c r="AB154"/>
  <c r="AB153"/>
  <c r="AB155"/>
  <c r="AE155" s="1"/>
  <c r="AH155" s="1"/>
  <c r="AK155" s="1"/>
  <c r="AN155" s="1"/>
  <c r="AQ155" s="1"/>
  <c r="AT155" s="1"/>
  <c r="AB156"/>
  <c r="AE156" s="1"/>
  <c r="AH156" s="1"/>
  <c r="AK156" s="1"/>
  <c r="AN156" s="1"/>
  <c r="AQ156" s="1"/>
  <c r="AT156" s="1"/>
  <c r="AB157"/>
  <c r="AE157" s="1"/>
  <c r="AH157" s="1"/>
  <c r="AK157" s="1"/>
  <c r="AN157" s="1"/>
  <c r="AQ157" s="1"/>
  <c r="AT157" s="1"/>
  <c r="AB158"/>
  <c r="AE158" s="1"/>
  <c r="AH158" s="1"/>
  <c r="AK158" s="1"/>
  <c r="AN158" s="1"/>
  <c r="AQ158" s="1"/>
  <c r="AT158" s="1"/>
  <c r="AB159"/>
  <c r="AE159" s="1"/>
  <c r="AH159" s="1"/>
  <c r="AK159" s="1"/>
  <c r="AN159" s="1"/>
  <c r="AQ159" s="1"/>
  <c r="AT159" s="1"/>
  <c r="AB160"/>
  <c r="AE160" s="1"/>
  <c r="AH160" s="1"/>
  <c r="AK160" s="1"/>
  <c r="AN160" s="1"/>
  <c r="AQ160" s="1"/>
  <c r="AT160" s="1"/>
  <c r="AB163"/>
  <c r="AE161" s="1"/>
  <c r="AH161" s="1"/>
  <c r="AK161" s="1"/>
  <c r="AN161" s="1"/>
  <c r="AQ161" s="1"/>
  <c r="AT161" s="1"/>
  <c r="AB165"/>
  <c r="AB164"/>
  <c r="AB166"/>
  <c r="AE166" s="1"/>
  <c r="AH166" s="1"/>
  <c r="AK166" s="1"/>
  <c r="AN166" s="1"/>
  <c r="AQ166" s="1"/>
  <c r="AT166" s="1"/>
  <c r="AB167"/>
  <c r="AE167" s="1"/>
  <c r="AH167" s="1"/>
  <c r="AK167" s="1"/>
  <c r="AN167" s="1"/>
  <c r="AQ167" s="1"/>
  <c r="AT167" s="1"/>
  <c r="AB168"/>
  <c r="AE168" s="1"/>
  <c r="AH168" s="1"/>
  <c r="AK168" s="1"/>
  <c r="AN168" s="1"/>
  <c r="AQ168" s="1"/>
  <c r="AT168" s="1"/>
  <c r="AB170"/>
  <c r="AB169"/>
  <c r="AB171"/>
  <c r="AE171" s="1"/>
  <c r="AH171" s="1"/>
  <c r="AK171" s="1"/>
  <c r="AN171" s="1"/>
  <c r="AQ171" s="1"/>
  <c r="AT171" s="1"/>
  <c r="AB172"/>
  <c r="AE172" s="1"/>
  <c r="AH172" s="1"/>
  <c r="AK172" s="1"/>
  <c r="AN172" s="1"/>
  <c r="AQ172" s="1"/>
  <c r="AT172" s="1"/>
  <c r="AB173"/>
  <c r="AE173" s="1"/>
  <c r="AH173" s="1"/>
  <c r="AK173" s="1"/>
  <c r="AN173" s="1"/>
  <c r="AQ173" s="1"/>
  <c r="AT173" s="1"/>
  <c r="AB174"/>
  <c r="AE174" s="1"/>
  <c r="AH174" s="1"/>
  <c r="AK174" s="1"/>
  <c r="AN174" s="1"/>
  <c r="AQ174" s="1"/>
  <c r="AT174" s="1"/>
  <c r="AB175"/>
  <c r="AE175" s="1"/>
  <c r="AH175" s="1"/>
  <c r="AK175" s="1"/>
  <c r="AN175" s="1"/>
  <c r="AQ175" s="1"/>
  <c r="AT175" s="1"/>
  <c r="AB176"/>
  <c r="AE176" s="1"/>
  <c r="AH176" s="1"/>
  <c r="AK176" s="1"/>
  <c r="AN176" s="1"/>
  <c r="AQ176" s="1"/>
  <c r="AT176" s="1"/>
  <c r="AB177"/>
  <c r="AE177" s="1"/>
  <c r="AH177" s="1"/>
  <c r="AK177" s="1"/>
  <c r="AN177" s="1"/>
  <c r="AQ177" s="1"/>
  <c r="AT177" s="1"/>
  <c r="AB178"/>
  <c r="AE178" s="1"/>
  <c r="AH178" s="1"/>
  <c r="AK178" s="1"/>
  <c r="AN178" s="1"/>
  <c r="AQ178" s="1"/>
  <c r="AT178" s="1"/>
  <c r="AB179"/>
  <c r="AE179" s="1"/>
  <c r="AH179" s="1"/>
  <c r="AK179" s="1"/>
  <c r="AN179" s="1"/>
  <c r="AQ179" s="1"/>
  <c r="AT179" s="1"/>
  <c r="AB180"/>
  <c r="AE180" s="1"/>
  <c r="AH180" s="1"/>
  <c r="AK180" s="1"/>
  <c r="AN180" s="1"/>
  <c r="AQ180" s="1"/>
  <c r="AT180" s="1"/>
  <c r="AB182"/>
  <c r="AE181" s="1"/>
  <c r="AH181" s="1"/>
  <c r="AK181" s="1"/>
  <c r="AN181" s="1"/>
  <c r="AQ181" s="1"/>
  <c r="AT181" s="1"/>
  <c r="AB194"/>
  <c r="AE194" s="1"/>
  <c r="AH194" s="1"/>
  <c r="AK194" s="1"/>
  <c r="AN194" s="1"/>
  <c r="AQ194" s="1"/>
  <c r="AT194" s="1"/>
  <c r="AB196"/>
  <c r="AB195"/>
  <c r="AB197"/>
  <c r="AE197" s="1"/>
  <c r="AH197" s="1"/>
  <c r="AK197" s="1"/>
  <c r="AN197" s="1"/>
  <c r="AQ197" s="1"/>
  <c r="AT197" s="1"/>
  <c r="AB198"/>
  <c r="AE198" s="1"/>
  <c r="AH198" s="1"/>
  <c r="AK198" s="1"/>
  <c r="AN198" s="1"/>
  <c r="AQ198" s="1"/>
  <c r="AT198" s="1"/>
  <c r="AB199"/>
  <c r="AE199" s="1"/>
  <c r="AH199" s="1"/>
  <c r="AK199" s="1"/>
  <c r="AN199" s="1"/>
  <c r="AQ199" s="1"/>
  <c r="AT199" s="1"/>
  <c r="AB200"/>
  <c r="AE200" s="1"/>
  <c r="AH200" s="1"/>
  <c r="AK200" s="1"/>
  <c r="AN200" s="1"/>
  <c r="AQ200" s="1"/>
  <c r="AT200" s="1"/>
  <c r="AB201"/>
  <c r="AE201" s="1"/>
  <c r="AH201" s="1"/>
  <c r="AK201" s="1"/>
  <c r="AN201" s="1"/>
  <c r="AQ201" s="1"/>
  <c r="AT201" s="1"/>
  <c r="AB202"/>
  <c r="AE202" s="1"/>
  <c r="AH202" s="1"/>
  <c r="AK202" s="1"/>
  <c r="AN202" s="1"/>
  <c r="AQ202" s="1"/>
  <c r="AT202" s="1"/>
  <c r="AB203"/>
  <c r="AE203" s="1"/>
  <c r="AH203" s="1"/>
  <c r="AK203" s="1"/>
  <c r="AN203" s="1"/>
  <c r="AQ203" s="1"/>
  <c r="AT203" s="1"/>
  <c r="AB204"/>
  <c r="AE204" s="1"/>
  <c r="AH204" s="1"/>
  <c r="AK204" s="1"/>
  <c r="AN204" s="1"/>
  <c r="AQ204" s="1"/>
  <c r="AT204" s="1"/>
  <c r="AB205"/>
  <c r="AE205" s="1"/>
  <c r="AH205" s="1"/>
  <c r="AK205" s="1"/>
  <c r="AN205" s="1"/>
  <c r="AQ205" s="1"/>
  <c r="AT205" s="1"/>
  <c r="AB225"/>
  <c r="AE225" s="1"/>
  <c r="AH225" s="1"/>
  <c r="AK225" s="1"/>
  <c r="AN225" s="1"/>
  <c r="AQ225" s="1"/>
  <c r="AT225" s="1"/>
  <c r="AB227"/>
  <c r="AE227" s="1"/>
  <c r="AH227" s="1"/>
  <c r="AK227" s="1"/>
  <c r="AN227" s="1"/>
  <c r="AQ227" s="1"/>
  <c r="AT227" s="1"/>
  <c r="AB229"/>
  <c r="AE229" s="1"/>
  <c r="AH229" s="1"/>
  <c r="AK229" s="1"/>
  <c r="AN229" s="1"/>
  <c r="AQ229" s="1"/>
  <c r="AT229" s="1"/>
  <c r="AB230"/>
  <c r="AE230" s="1"/>
  <c r="AH230" s="1"/>
  <c r="AK230" s="1"/>
  <c r="AN230" s="1"/>
  <c r="AQ230" s="1"/>
  <c r="AT230" s="1"/>
  <c r="AB232"/>
  <c r="AE232" s="1"/>
  <c r="AH232" s="1"/>
  <c r="AK232" s="1"/>
  <c r="AN232" s="1"/>
  <c r="AQ232" s="1"/>
  <c r="AT232" s="1"/>
  <c r="AB235"/>
  <c r="AE235" s="1"/>
  <c r="AH235" s="1"/>
  <c r="AK235" s="1"/>
  <c r="AN235" s="1"/>
  <c r="AQ235" s="1"/>
  <c r="AT235" s="1"/>
  <c r="AB237"/>
  <c r="AE237" s="1"/>
  <c r="AH237" s="1"/>
  <c r="AK237" s="1"/>
  <c r="AN237" s="1"/>
  <c r="AQ237" s="1"/>
  <c r="AT237" s="1"/>
  <c r="AB239"/>
  <c r="AE239" s="1"/>
  <c r="AH239" s="1"/>
  <c r="AK239" s="1"/>
  <c r="AN239" s="1"/>
  <c r="AQ239" s="1"/>
  <c r="AT239" s="1"/>
  <c r="AB241"/>
  <c r="AE241" s="1"/>
  <c r="AH241" s="1"/>
  <c r="AK241" s="1"/>
  <c r="AN241" s="1"/>
  <c r="AQ241" s="1"/>
  <c r="AT241" s="1"/>
  <c r="AB243"/>
  <c r="AE243" s="1"/>
  <c r="AH243" s="1"/>
  <c r="AK243" s="1"/>
  <c r="AN243" s="1"/>
  <c r="AQ243" s="1"/>
  <c r="AT243" s="1"/>
  <c r="AB245"/>
  <c r="AE245" s="1"/>
  <c r="AH245" s="1"/>
  <c r="AK245" s="1"/>
  <c r="AN245" s="1"/>
  <c r="AQ245" s="1"/>
  <c r="AT245" s="1"/>
  <c r="AB246"/>
  <c r="AE246" s="1"/>
  <c r="AH246" s="1"/>
  <c r="AK246" s="1"/>
  <c r="AN246" s="1"/>
  <c r="AQ246" s="1"/>
  <c r="AT246" s="1"/>
  <c r="AB247"/>
  <c r="AE247" s="1"/>
  <c r="AH247" s="1"/>
  <c r="AK247" s="1"/>
  <c r="AN247" s="1"/>
  <c r="AQ247" s="1"/>
  <c r="AT247" s="1"/>
  <c r="AB248"/>
  <c r="AE248" s="1"/>
  <c r="AH248" s="1"/>
  <c r="AK248" s="1"/>
  <c r="AN248" s="1"/>
  <c r="AQ248" s="1"/>
  <c r="AT248" s="1"/>
  <c r="AB249"/>
  <c r="AE249" s="1"/>
  <c r="AH249" s="1"/>
  <c r="AK249" s="1"/>
  <c r="AN249" s="1"/>
  <c r="AQ249" s="1"/>
  <c r="AT249" s="1"/>
  <c r="AB250"/>
  <c r="AE250" s="1"/>
  <c r="AH250" s="1"/>
  <c r="AK250" s="1"/>
  <c r="AN250" s="1"/>
  <c r="AQ250" s="1"/>
  <c r="AT250" s="1"/>
  <c r="AB251"/>
  <c r="AE251" s="1"/>
  <c r="AH251" s="1"/>
  <c r="AK251" s="1"/>
  <c r="AN251" s="1"/>
  <c r="AQ251" s="1"/>
  <c r="AT251" s="1"/>
  <c r="AB252"/>
  <c r="AE252" s="1"/>
  <c r="AH252" s="1"/>
  <c r="AK252" s="1"/>
  <c r="AN252" s="1"/>
  <c r="AQ252" s="1"/>
  <c r="AT252" s="1"/>
  <c r="AB253"/>
  <c r="AE253" s="1"/>
  <c r="AH253" s="1"/>
  <c r="AK253" s="1"/>
  <c r="AN253" s="1"/>
  <c r="AQ253" s="1"/>
  <c r="AT253" s="1"/>
  <c r="AB254"/>
  <c r="AE254" s="1"/>
  <c r="AH254" s="1"/>
  <c r="AK254" s="1"/>
  <c r="AN254" s="1"/>
  <c r="AQ254" s="1"/>
  <c r="AT254" s="1"/>
  <c r="AB255"/>
  <c r="AE255" s="1"/>
  <c r="AH255" s="1"/>
  <c r="AK255" s="1"/>
  <c r="AN255" s="1"/>
  <c r="AQ255" s="1"/>
  <c r="AT255" s="1"/>
  <c r="AB256"/>
  <c r="AE256" s="1"/>
  <c r="AH256" s="1"/>
  <c r="AK256" s="1"/>
  <c r="AN256" s="1"/>
  <c r="AQ256" s="1"/>
  <c r="AT256" s="1"/>
  <c r="AB257"/>
  <c r="AE257" s="1"/>
  <c r="AH257" s="1"/>
  <c r="AK257" s="1"/>
  <c r="AN257" s="1"/>
  <c r="AQ257" s="1"/>
  <c r="AT257" s="1"/>
  <c r="AB287"/>
  <c r="AB286"/>
  <c r="AB290"/>
  <c r="AE290" s="1"/>
  <c r="AH290" s="1"/>
  <c r="AK290" s="1"/>
  <c r="AN290" s="1"/>
  <c r="AQ290" s="1"/>
  <c r="AT290" s="1"/>
  <c r="AB292"/>
  <c r="AE292" s="1"/>
  <c r="AH292" s="1"/>
  <c r="AK292" s="1"/>
  <c r="AN292" s="1"/>
  <c r="AQ292" s="1"/>
  <c r="AT292" s="1"/>
  <c r="AB294"/>
  <c r="AE294" s="1"/>
  <c r="AH294" s="1"/>
  <c r="AK294" s="1"/>
  <c r="AN294" s="1"/>
  <c r="AQ294" s="1"/>
  <c r="AT294" s="1"/>
  <c r="AB296"/>
  <c r="AE296" s="1"/>
  <c r="AH296" s="1"/>
  <c r="AK296" s="1"/>
  <c r="AN296" s="1"/>
  <c r="AQ296" s="1"/>
  <c r="AT296" s="1"/>
  <c r="AB298"/>
  <c r="AE298" s="1"/>
  <c r="AH298" s="1"/>
  <c r="AK298" s="1"/>
  <c r="AN298" s="1"/>
  <c r="AQ298" s="1"/>
  <c r="AT298" s="1"/>
  <c r="AB310"/>
  <c r="AE310" s="1"/>
  <c r="AH310" s="1"/>
  <c r="AK310" s="1"/>
  <c r="AN310" s="1"/>
  <c r="AQ310" s="1"/>
  <c r="AT310" s="1"/>
  <c r="AB311"/>
  <c r="AE311" s="1"/>
  <c r="AH311" s="1"/>
  <c r="AK311" s="1"/>
  <c r="AN311" s="1"/>
  <c r="AQ311" s="1"/>
  <c r="AT311" s="1"/>
  <c r="AB312"/>
  <c r="AE312" s="1"/>
  <c r="AH312" s="1"/>
  <c r="AK312" s="1"/>
  <c r="AN312" s="1"/>
  <c r="AQ312" s="1"/>
  <c r="AT312" s="1"/>
  <c r="AB313"/>
  <c r="AE313" s="1"/>
  <c r="AH313" s="1"/>
  <c r="AK313" s="1"/>
  <c r="AN313" s="1"/>
  <c r="AQ313" s="1"/>
  <c r="AT313" s="1"/>
  <c r="AB314"/>
  <c r="AE314" s="1"/>
  <c r="AH314" s="1"/>
  <c r="AK314" s="1"/>
  <c r="AN314" s="1"/>
  <c r="AQ314" s="1"/>
  <c r="AT314" s="1"/>
  <c r="AB315"/>
  <c r="AE315" s="1"/>
  <c r="AH315" s="1"/>
  <c r="AK315" s="1"/>
  <c r="AN315" s="1"/>
  <c r="AQ315" s="1"/>
  <c r="AT315" s="1"/>
  <c r="AB316"/>
  <c r="AE316" s="1"/>
  <c r="AH316" s="1"/>
  <c r="AK316" s="1"/>
  <c r="AN316" s="1"/>
  <c r="AQ316" s="1"/>
  <c r="AT316" s="1"/>
  <c r="AB317"/>
  <c r="AE317" s="1"/>
  <c r="AH317" s="1"/>
  <c r="AK317" s="1"/>
  <c r="AN317" s="1"/>
  <c r="AQ317" s="1"/>
  <c r="AT317" s="1"/>
  <c r="AB318"/>
  <c r="AE318" s="1"/>
  <c r="AH318" s="1"/>
  <c r="AK318" s="1"/>
  <c r="AN318" s="1"/>
  <c r="AQ318" s="1"/>
  <c r="AT318" s="1"/>
  <c r="AB319"/>
  <c r="AE319" s="1"/>
  <c r="AH319" s="1"/>
  <c r="AK319" s="1"/>
  <c r="AN319" s="1"/>
  <c r="AQ319" s="1"/>
  <c r="AT319" s="1"/>
  <c r="AB320"/>
  <c r="AE320" s="1"/>
  <c r="AH320" s="1"/>
  <c r="AK320" s="1"/>
  <c r="AN320" s="1"/>
  <c r="AQ320" s="1"/>
  <c r="AT320" s="1"/>
  <c r="AB322"/>
  <c r="AE322" s="1"/>
  <c r="AH322" s="1"/>
  <c r="AK322" s="1"/>
  <c r="AN322" s="1"/>
  <c r="AQ322" s="1"/>
  <c r="AT322" s="1"/>
  <c r="AB324"/>
  <c r="AE324" s="1"/>
  <c r="AH324" s="1"/>
  <c r="AK324" s="1"/>
  <c r="AN324" s="1"/>
  <c r="AQ324" s="1"/>
  <c r="AT324" s="1"/>
  <c r="AB137"/>
  <c r="AE137" s="1"/>
  <c r="AH137" s="1"/>
  <c r="AK137" s="1"/>
  <c r="AN137" s="1"/>
  <c r="AQ137" s="1"/>
  <c r="AT137" s="1"/>
  <c r="U326" i="4"/>
  <c r="N326"/>
  <c r="Q326"/>
  <c r="P326"/>
  <c r="S326"/>
  <c r="AB186" i="3"/>
  <c r="AE186" s="1"/>
  <c r="AH186" s="1"/>
  <c r="AK186" s="1"/>
  <c r="AN186" s="1"/>
  <c r="AQ186" s="1"/>
  <c r="AT186" s="1"/>
  <c r="Y326" i="4"/>
  <c r="X326"/>
  <c r="AE45" i="3" l="1"/>
  <c r="AH45" s="1"/>
  <c r="AK45" s="1"/>
  <c r="AN45" s="1"/>
  <c r="AQ45" s="1"/>
  <c r="AT45" s="1"/>
  <c r="AE274"/>
  <c r="AH274" s="1"/>
  <c r="AK274" s="1"/>
  <c r="AN274" s="1"/>
  <c r="AQ274" s="1"/>
  <c r="AT274" s="1"/>
  <c r="AE300"/>
  <c r="AH300" s="1"/>
  <c r="AK300" s="1"/>
  <c r="AN300" s="1"/>
  <c r="AQ300" s="1"/>
  <c r="AT300" s="1"/>
  <c r="AE49"/>
  <c r="AH49" s="1"/>
  <c r="AK49" s="1"/>
  <c r="AN49" s="1"/>
  <c r="AQ49" s="1"/>
  <c r="AT49" s="1"/>
  <c r="AE16"/>
  <c r="AH16" s="1"/>
  <c r="AK16" s="1"/>
  <c r="AN16" s="1"/>
  <c r="AQ16" s="1"/>
  <c r="AT16" s="1"/>
  <c r="AE47"/>
  <c r="AH47" s="1"/>
  <c r="AK47" s="1"/>
  <c r="AN47" s="1"/>
  <c r="AQ47" s="1"/>
  <c r="AT47" s="1"/>
  <c r="AE286"/>
  <c r="AH286" s="1"/>
  <c r="AK286" s="1"/>
  <c r="AN286" s="1"/>
  <c r="AQ286" s="1"/>
  <c r="AT286" s="1"/>
  <c r="AE195"/>
  <c r="AH195" s="1"/>
  <c r="AK195" s="1"/>
  <c r="AN195" s="1"/>
  <c r="AQ195" s="1"/>
  <c r="AT195" s="1"/>
  <c r="AE169"/>
  <c r="AH169" s="1"/>
  <c r="AK169" s="1"/>
  <c r="AN169" s="1"/>
  <c r="AQ169" s="1"/>
  <c r="AT169" s="1"/>
  <c r="AE164"/>
  <c r="AH164" s="1"/>
  <c r="AK164" s="1"/>
  <c r="AN164" s="1"/>
  <c r="AQ164" s="1"/>
  <c r="AT164" s="1"/>
  <c r="AE153"/>
  <c r="AH153" s="1"/>
  <c r="AK153" s="1"/>
  <c r="AN153" s="1"/>
  <c r="AQ153" s="1"/>
  <c r="AT153" s="1"/>
  <c r="AE38"/>
  <c r="AH38" s="1"/>
  <c r="AK38" s="1"/>
  <c r="AN38" s="1"/>
  <c r="AQ38" s="1"/>
  <c r="AT38" s="1"/>
  <c r="AE260"/>
  <c r="AH260" s="1"/>
  <c r="AK260" s="1"/>
  <c r="AN260" s="1"/>
  <c r="AQ260" s="1"/>
  <c r="AT260" s="1"/>
  <c r="AE101"/>
  <c r="AH101" s="1"/>
  <c r="AK101" s="1"/>
  <c r="AN101" s="1"/>
  <c r="AQ101" s="1"/>
  <c r="AT101" s="1"/>
</calcChain>
</file>

<file path=xl/comments1.xml><?xml version="1.0" encoding="utf-8"?>
<comments xmlns="http://schemas.openxmlformats.org/spreadsheetml/2006/main">
  <authors>
    <author>Лапшин С.Н.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цветом выделены злостные должники из членов правления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первый</t>
        </r>
      </text>
    </comment>
  </commentList>
</comments>
</file>

<file path=xl/comments2.xml><?xml version="1.0" encoding="utf-8"?>
<comments xmlns="http://schemas.openxmlformats.org/spreadsheetml/2006/main">
  <authors>
    <author>Лапшин С.Н.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</commentList>
</comments>
</file>

<file path=xl/comments3.xml><?xml version="1.0" encoding="utf-8"?>
<comments xmlns="http://schemas.openxmlformats.org/spreadsheetml/2006/main">
  <authors>
    <author>Лапшин С.Н.</author>
    <author>Svetlana</author>
    <author>Лапшин Сергей Николаевич</author>
  </authors>
  <commentList>
    <comment ref="K78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были сделаны перерасчеты со слов председателя и собственника</t>
        </r>
      </text>
    </comment>
    <comment ref="L98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у Светланы стоял долг в 12 тыс. Лена платина налом 12 тыс. рублей
</t>
        </r>
      </text>
    </comment>
    <comment ref="D130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7" authorId="2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был продан с долгами 
</t>
        </r>
      </text>
    </comment>
    <comment ref="D312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4.xml><?xml version="1.0" encoding="utf-8"?>
<comments xmlns="http://schemas.openxmlformats.org/spreadsheetml/2006/main">
  <authors>
    <author>Лапшин Сергей Николаевич</author>
    <author>Лапшин С.Н.</author>
    <author>Svetlana</author>
    <author>Admin</author>
    <author>Владимир</author>
  </authors>
  <commentList>
    <comment ref="U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R15" authorId="1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D130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3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F181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D18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7" authorId="4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2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S213" authorId="3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P270" authorId="4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3" authorId="3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P293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0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5.xml><?xml version="1.0" encoding="utf-8"?>
<comments xmlns="http://schemas.openxmlformats.org/spreadsheetml/2006/main">
  <authors>
    <author>Svetlana</author>
  </authors>
  <commentList>
    <comment ref="D129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1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6.xml><?xml version="1.0" encoding="utf-8"?>
<comments xmlns="http://schemas.openxmlformats.org/spreadsheetml/2006/main">
  <authors>
    <author>Svetlana</author>
  </authors>
  <commentList>
    <comment ref="D13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2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7.xml><?xml version="1.0" encoding="utf-8"?>
<comments xmlns="http://schemas.openxmlformats.org/spreadsheetml/2006/main">
  <authors>
    <author>Svetlana</author>
  </authors>
  <commentList>
    <comment ref="D12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4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sharedStrings.xml><?xml version="1.0" encoding="utf-8"?>
<sst xmlns="http://schemas.openxmlformats.org/spreadsheetml/2006/main" count="4445" uniqueCount="746">
  <si>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</si>
  <si>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</si>
  <si>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</si>
  <si>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</si>
  <si>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</si>
  <si>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</si>
  <si>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</si>
  <si>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</si>
  <si>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 xml:space="preserve">Амплеева Мария Александровна </t>
  </si>
  <si>
    <t>Андреева Любовь Ивановна(у Севастьянова)</t>
  </si>
  <si>
    <t>Анисимова (Корнеева) Татьяна Николаевна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</si>
  <si>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</si>
  <si>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</si>
  <si>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</si>
  <si>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</si>
  <si>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Асташкин Павел Александрович(продал???)</t>
  </si>
  <si>
    <t>Афанасьева Злата Сергеевна</t>
  </si>
  <si>
    <t>Афян Сасун Аркадиевич</t>
  </si>
  <si>
    <t>Ахромеев Андрей Владимирович</t>
  </si>
  <si>
    <t>Бадирьян Тамара Викторовна</t>
  </si>
  <si>
    <t>Байбикова Рузалия Равилевна / Байбикова Руфия Равилевна</t>
  </si>
  <si>
    <t>Лещёва Ольга Владимировна</t>
  </si>
  <si>
    <t>Безбородова Людмила Михайловна</t>
  </si>
  <si>
    <t>Безменова Татьяна Игоревна</t>
  </si>
  <si>
    <t>Бекмансурова Динара Василевна</t>
  </si>
  <si>
    <t xml:space="preserve">Белов Семён Иванович          </t>
  </si>
  <si>
    <t>Белоглазова Людмила Ивановна</t>
  </si>
  <si>
    <t>Бельская Светлана Александровна (Владимир)</t>
  </si>
  <si>
    <t>Бельский Владимир Владимирович (Светлана)</t>
  </si>
  <si>
    <t>Беляков Виктор Михайлович</t>
  </si>
  <si>
    <t>Бенгя Владимир Михайлович (Диана)</t>
  </si>
  <si>
    <t>Беспаленко Зинаида Александровна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</si>
  <si>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</si>
  <si>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</si>
  <si>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</si>
  <si>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</si>
  <si>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</si>
  <si>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</si>
  <si>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</si>
  <si>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</si>
  <si>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</si>
  <si>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</si>
  <si>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</si>
  <si>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</si>
  <si>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</si>
  <si>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</si>
  <si>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</si>
  <si>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</si>
  <si>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</si>
  <si>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</si>
  <si>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Виноградова Наталья Дмитриевна (Николай)</t>
  </si>
  <si>
    <t>Виртилецкий Денис Вячеславович</t>
  </si>
  <si>
    <t>Водянова Ольга Александровна</t>
  </si>
  <si>
    <t>Волгушев Дмитрий Геннадиевич</t>
  </si>
  <si>
    <t>Володина Инна Александровна</t>
  </si>
  <si>
    <t>Вольский Андрей Юрьевич</t>
  </si>
  <si>
    <t>Высоких Антон Маркович</t>
  </si>
  <si>
    <t>Гайкова (Дьякова) Мария Викторовна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</si>
  <si>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</si>
  <si>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</si>
  <si>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</si>
  <si>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</si>
  <si>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</si>
  <si>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</si>
  <si>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</si>
  <si>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</si>
  <si>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</si>
  <si>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</si>
  <si>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 xml:space="preserve">Данильянц Юрий Константинович   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</si>
  <si>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</si>
  <si>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</si>
  <si>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</si>
  <si>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</si>
  <si>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</si>
  <si>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Дидушко Денис Васильевич (Василий)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</si>
  <si>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</si>
  <si>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</si>
  <si>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</si>
  <si>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</si>
  <si>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 xml:space="preserve">Елисеев Сергей Вячеславович          </t>
  </si>
  <si>
    <t>Епанчинцева Людмила Филипповна</t>
  </si>
  <si>
    <t>Еременко Виктор Александрович (Валентина)</t>
  </si>
  <si>
    <t>Ермакова Татьяна Викторовна</t>
  </si>
  <si>
    <t>Ермолаева Виктория Александровна</t>
  </si>
  <si>
    <t>Ермошина Татьяна Евгеньевна (Владимир)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</si>
  <si>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</si>
  <si>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</si>
  <si>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</si>
  <si>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</si>
  <si>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</si>
  <si>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</si>
  <si>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Заборская Светлана Анатольевна (Андрей)</t>
  </si>
  <si>
    <t>Закревская Марина Владимировна</t>
  </si>
  <si>
    <t>Заручинский Вячеслав Владимирович</t>
  </si>
  <si>
    <t>Захаренкова Светлана Евгеньевна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</si>
  <si>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</si>
  <si>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</si>
  <si>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</si>
  <si>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</si>
  <si>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</si>
  <si>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 Денис Сильвестрович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</si>
  <si>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</si>
  <si>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</si>
  <si>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</si>
  <si>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</si>
  <si>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Казымов Горхмаз Гамид/Лавренчук Александр Владиславович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</si>
  <si>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</si>
  <si>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</si>
  <si>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</si>
  <si>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</si>
  <si>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</si>
  <si>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Катушкин Роман Юрьевич//Валеев Артур Рашидович</t>
  </si>
  <si>
    <t>Кашичкин Александр Борисович</t>
  </si>
  <si>
    <t>Киеня Валентина Александровна (Анатолий)</t>
  </si>
  <si>
    <t>Кикоть Наталья Петровна (Андрей)</t>
  </si>
  <si>
    <t>Кириенко Раиса Федоровна</t>
  </si>
  <si>
    <t>Кириллов Вадим Александрович</t>
  </si>
  <si>
    <t>Кириллов Дмитрий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</si>
  <si>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</si>
  <si>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</si>
  <si>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</si>
  <si>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Колесников Никита Олегович(у Кряжковой Виктория Сергеевна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</si>
  <si>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</si>
  <si>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</si>
  <si>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</si>
  <si>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</si>
  <si>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</si>
  <si>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</si>
  <si>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</si>
  <si>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Кондрашов Сергей Вячеславович//Балыкин Александр Иванович</t>
  </si>
  <si>
    <t>Коновальцев Олег Серафимович</t>
  </si>
  <si>
    <t>Кононенко Алла Николаевна (Александр)</t>
  </si>
  <si>
    <t>Короткевич Наталья Владимировна</t>
  </si>
  <si>
    <t>Корчинская Ирина Анатольевна</t>
  </si>
  <si>
    <t>Косенков Степан Фед-ч(Галактионова)</t>
  </si>
  <si>
    <t>Косенкова Елизавета Евгеньевна</t>
  </si>
  <si>
    <t>Красникова Раиса Михайловна</t>
  </si>
  <si>
    <t>Кривой Владимир Аркадьевич</t>
  </si>
  <si>
    <t>Крупник Андрей Валерьевич</t>
  </si>
  <si>
    <t>Кудревцев Евгений Александрович</t>
  </si>
  <si>
    <t>Кудрявцева Наталья Викторовна</t>
  </si>
  <si>
    <t>Куликов Александр Владимирович</t>
  </si>
  <si>
    <t xml:space="preserve">Куликова Наталья Александровна </t>
  </si>
  <si>
    <t xml:space="preserve">Кулиш Сергей Александрович      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</si>
  <si>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</si>
  <si>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</si>
  <si>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</si>
  <si>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</si>
  <si>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</si>
  <si>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</si>
  <si>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Левина Елена Александровна (Дмитрий)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</si>
  <si>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</si>
  <si>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</si>
  <si>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</si>
  <si>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</si>
  <si>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Лошкарев Виктор Ильич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</si>
  <si>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</si>
  <si>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</si>
  <si>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</si>
  <si>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</si>
  <si>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Маркина Людмила Николаевна, Марина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</si>
  <si>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</si>
  <si>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</si>
  <si>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</si>
  <si>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</si>
  <si>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</si>
  <si>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</si>
  <si>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</si>
  <si>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Мельников Михаил Вячеславович / Диденко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</si>
  <si>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</si>
  <si>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</si>
  <si>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</si>
  <si>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Андрей Иванович Захарова Елена Александровна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</si>
  <si>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</si>
  <si>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</si>
  <si>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</si>
  <si>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</si>
  <si>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Мудрак Владимир Григорьевич (Марина)</t>
  </si>
  <si>
    <t>Мурадова Альбина Сергеевна</t>
  </si>
  <si>
    <t>Науменко Дмитрий Александрович</t>
  </si>
  <si>
    <t>Недосенко Татьяна Сергеевна (Олег)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</si>
  <si>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</si>
  <si>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</si>
  <si>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</si>
  <si>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</si>
  <si>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</si>
  <si>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Новикова Светлана Владимировна (Анатолий)</t>
  </si>
  <si>
    <t xml:space="preserve">Нормуротов Анваржон Абдирайимович    </t>
  </si>
  <si>
    <t xml:space="preserve">Носикова Александра Васильевна </t>
  </si>
  <si>
    <t>Носикова Мария Леонидовна</t>
  </si>
  <si>
    <t xml:space="preserve">Олег (Гусев Николай Михайлович — был) </t>
  </si>
  <si>
    <t xml:space="preserve">Олейников Дмитрий Александрович </t>
  </si>
  <si>
    <t>Олейникова Евгения Александровна</t>
  </si>
  <si>
    <t>Осадчев Константин Владимирович</t>
  </si>
  <si>
    <t>Острикова Наталья Львовна</t>
  </si>
  <si>
    <t>Пархачева Эльвира Валентиновна (Алксандр)</t>
  </si>
  <si>
    <t>Пахарева Ольга Александровна (Дмитрий)</t>
  </si>
  <si>
    <t>Петрик Наталья Вячеславовна(ПродалаУстинова Ирина)</t>
  </si>
  <si>
    <t>Петров Борис Викторович</t>
  </si>
  <si>
    <t>Петрова Елена Николаевна</t>
  </si>
  <si>
    <t>Петункин Игорь Минович</t>
  </si>
  <si>
    <t>Пикалёва Алла Григорьевна (Юрий)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</si>
  <si>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</si>
  <si>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</si>
  <si>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</si>
  <si>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</si>
  <si>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</si>
  <si>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>Просянов Александр Александрович</t>
  </si>
  <si>
    <t xml:space="preserve">Прохоров Владимир Михайлович        </t>
  </si>
  <si>
    <t xml:space="preserve">Пузанова Екатерина Вячеславовна        </t>
  </si>
  <si>
    <t>265-266</t>
  </si>
  <si>
    <t>Ратников Алексей Сергеевич</t>
  </si>
  <si>
    <t>210-211</t>
  </si>
  <si>
    <t>Решетов Владимир Генадьевич</t>
  </si>
  <si>
    <t>246-247</t>
  </si>
  <si>
    <t>Решетов Владимир Геннадьевич</t>
  </si>
  <si>
    <t>Родичева Наталья Николаевна - Завилевская Е.И. ???</t>
  </si>
  <si>
    <t>Рожкова Глафира Андреевна</t>
  </si>
  <si>
    <t>Розова Татьяна Викторовна</t>
  </si>
  <si>
    <t>Рощина Ирина Михайловна</t>
  </si>
  <si>
    <t xml:space="preserve">Рудая Наталья Викторовна           </t>
  </si>
  <si>
    <t>Рыбалкин Андрей Сергеевич</t>
  </si>
  <si>
    <t>Рыжов Андрей Николаевич</t>
  </si>
  <si>
    <t>Савина Нина Ивановна</t>
  </si>
  <si>
    <t>Садовников Алексей Владимирович(Рошка Александр Николаевич)</t>
  </si>
  <si>
    <t>Сазонов Сергей Александрович - Диденко Оксана Владимировна</t>
  </si>
  <si>
    <t>Салопаева Татьяна Сергеевна</t>
  </si>
  <si>
    <t>Самоволькина Ирина Владимировна</t>
  </si>
  <si>
    <t>Саргсян Оганнес Ншанович</t>
  </si>
  <si>
    <t>Сафронова Наталья Михайловна (у Дедков Илья Егорьевич купила)</t>
  </si>
  <si>
    <t>Сбитнева Юлия Сергеевна</t>
  </si>
  <si>
    <t>Севастьянов Михаил Григорьевич</t>
  </si>
  <si>
    <t>Севрюгина Ольга Викторовна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</si>
  <si>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</si>
  <si>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</si>
  <si>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</si>
  <si>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</si>
  <si>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Серкин Сергей Львовович</t>
  </si>
  <si>
    <t>133-134</t>
  </si>
  <si>
    <t>Сидельникова Ольга Петровна</t>
  </si>
  <si>
    <t>Сидоров Александр Юрьевич</t>
  </si>
  <si>
    <t>Сиротин Дмитрий Борисович (Приставалова)</t>
  </si>
  <si>
    <t>Сломов Константин Витальевич</t>
  </si>
  <si>
    <t>Смирнов Максим Анатольевич, Светлана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</si>
  <si>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</si>
  <si>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</si>
  <si>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</si>
  <si>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</si>
  <si>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</si>
  <si>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</si>
  <si>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Степанова Марина Николаевна (Артем)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</si>
  <si>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</si>
  <si>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</si>
  <si>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</si>
  <si>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</si>
  <si>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Ступнев Евгений  Романович</t>
  </si>
  <si>
    <t>Суворов Сергей Анатольевич</t>
  </si>
  <si>
    <t>Суркова Татьяна Александровна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</si>
  <si>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</si>
  <si>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</si>
  <si>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</si>
  <si>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</si>
  <si>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</si>
  <si>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</si>
  <si>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</si>
  <si>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Тимофеева Татьяна Александровна (Денис)</t>
  </si>
  <si>
    <t>Толкова Елена Анатольевна (Олег)</t>
  </si>
  <si>
    <t>Трубченко Петр Александрович</t>
  </si>
  <si>
    <t>Трыкин Евгений Викторович</t>
  </si>
  <si>
    <t>Тюленев Вячеслав Рудольфович</t>
  </si>
  <si>
    <t>Устинов Федор Валентинович(Петрик)</t>
  </si>
  <si>
    <t>Федорова Наталья Владимировна</t>
  </si>
  <si>
    <t>Федорова Юлия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</si>
  <si>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</si>
  <si>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</si>
  <si>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</si>
  <si>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</si>
  <si>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</si>
  <si>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</si>
  <si>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</si>
  <si>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</si>
  <si>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</si>
  <si>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</si>
  <si>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</si>
  <si>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</si>
  <si>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</si>
  <si>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Хрупало Николай Алексеевич (118+120)</t>
  </si>
  <si>
    <t>Черешнева Виктория Викторовна</t>
  </si>
  <si>
    <t xml:space="preserve">Чернявская Оксана Юрьевна        </t>
  </si>
  <si>
    <t>Чигрины Анна Анатольевна и Геннадий Иванович</t>
  </si>
  <si>
    <t>Чикачёв Сергей Иванович</t>
  </si>
  <si>
    <t>Шабунина Светлана Николаевна</t>
  </si>
  <si>
    <t>Шалинов Андрей Вадимович</t>
  </si>
  <si>
    <t>Шалинов Андрей Вадимович + уч. 97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</si>
  <si>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</si>
  <si>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</si>
  <si>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</si>
  <si>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</si>
  <si>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</si>
  <si>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Шурдук Лариса Анатольевна (Игорь)</t>
  </si>
  <si>
    <t>Шустов Василий Александрович</t>
  </si>
  <si>
    <t>Щербаков Павел Евгеньевич</t>
  </si>
  <si>
    <t xml:space="preserve">Щербакова Татьяна Дмитриевна      </t>
  </si>
  <si>
    <t>Элефтерова Евгения Викторовна (Михаил)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</si>
  <si>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</si>
  <si>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</si>
  <si>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</si>
  <si>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</si>
  <si>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</si>
  <si>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</si>
  <si>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</si>
  <si>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</si>
  <si>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</si>
  <si>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</si>
  <si>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</si>
  <si>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</si>
  <si>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</si>
  <si>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</si>
  <si>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</si>
  <si>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</si>
  <si>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</si>
  <si>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</si>
  <si>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</si>
  <si>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</si>
  <si>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</si>
  <si>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</si>
  <si>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</si>
  <si>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</si>
  <si>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</si>
  <si>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</si>
  <si>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</si>
  <si>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</si>
  <si>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</si>
  <si>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</si>
  <si>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</si>
  <si>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</si>
  <si>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</si>
  <si>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</si>
  <si>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</si>
  <si>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</si>
  <si>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</si>
  <si>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</si>
  <si>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</si>
  <si>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</si>
  <si>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</si>
  <si>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</si>
  <si>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</si>
  <si>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</si>
  <si>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</si>
  <si>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</si>
  <si>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</si>
  <si>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</si>
  <si>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</si>
  <si>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</si>
  <si>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</si>
  <si>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</si>
  <si>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</si>
  <si>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</si>
  <si>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</si>
  <si>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</si>
  <si>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</si>
  <si>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</si>
  <si>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</si>
  <si>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</si>
  <si>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</si>
  <si>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</si>
  <si>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</si>
  <si>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</si>
  <si>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</si>
  <si>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</si>
  <si>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</si>
  <si>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</si>
  <si>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</si>
  <si>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</si>
  <si>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</si>
  <si>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</si>
  <si>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</si>
  <si>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</si>
  <si>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</si>
  <si>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</si>
  <si>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</si>
  <si>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</si>
  <si>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</si>
  <si>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</si>
  <si>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</si>
  <si>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</si>
  <si>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</si>
  <si>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</si>
  <si>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</si>
  <si>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</si>
  <si>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</si>
  <si>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</si>
  <si>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</si>
  <si>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</si>
  <si>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</si>
  <si>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</si>
  <si>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</si>
  <si>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</si>
  <si>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</si>
  <si>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</si>
  <si>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</si>
  <si>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</si>
  <si>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</si>
  <si>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</si>
  <si>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</si>
  <si>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</si>
  <si>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</si>
  <si>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</si>
  <si>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</si>
  <si>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</si>
  <si>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</si>
  <si>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</si>
  <si>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</si>
  <si>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</si>
  <si>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</si>
  <si>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</si>
  <si>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</si>
  <si>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</si>
  <si>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</si>
  <si>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</si>
  <si>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</si>
  <si>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</si>
  <si>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</si>
  <si>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</si>
  <si>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</si>
  <si>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</si>
  <si>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</si>
  <si>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</si>
  <si>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</si>
  <si>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</si>
  <si>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</si>
  <si>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</si>
  <si>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</si>
  <si>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</si>
  <si>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</si>
  <si>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</si>
  <si>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</si>
  <si>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</si>
  <si>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</si>
  <si>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</si>
  <si>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</si>
  <si>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</si>
  <si>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</si>
  <si>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</si>
  <si>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</si>
  <si>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</si>
  <si>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</si>
  <si>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</si>
  <si>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</si>
  <si>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</si>
  <si>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</si>
  <si>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</si>
  <si>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</si>
  <si>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</si>
  <si>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</si>
  <si>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</si>
  <si>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</si>
  <si>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</si>
  <si>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</si>
  <si>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</si>
  <si>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</si>
  <si>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</si>
  <si>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</si>
  <si>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</si>
  <si>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</si>
  <si>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</si>
  <si>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</si>
  <si>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</si>
  <si>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</si>
  <si>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</si>
  <si>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</si>
  <si>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</si>
  <si>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</si>
  <si>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</si>
  <si>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</si>
  <si>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</si>
  <si>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</si>
  <si>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</si>
  <si>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</si>
  <si>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</si>
  <si>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</si>
  <si>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</si>
  <si>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</si>
  <si>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</si>
  <si>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</si>
  <si>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</si>
  <si>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</si>
  <si>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</si>
  <si>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</si>
  <si>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</si>
  <si>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</si>
  <si>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</si>
  <si>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</si>
  <si>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</si>
  <si>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</si>
  <si>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</si>
  <si>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</si>
  <si>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</si>
  <si>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</si>
  <si>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</si>
  <si>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</si>
  <si>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</si>
  <si>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</si>
  <si>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</si>
  <si>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</si>
  <si>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</si>
  <si>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</si>
  <si>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</si>
  <si>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</si>
  <si>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</si>
  <si>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</si>
  <si>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</si>
  <si>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</si>
  <si>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50:03:0070280:858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</si>
  <si>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</si>
  <si>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</si>
  <si>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</si>
  <si>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</si>
  <si>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</si>
  <si>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</si>
  <si>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</si>
  <si>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</si>
  <si>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</si>
  <si>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</si>
  <si>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</si>
  <si>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</si>
  <si>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</si>
  <si>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</si>
  <si>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</si>
  <si>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</si>
  <si>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</si>
  <si>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</si>
  <si>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</si>
  <si>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</si>
  <si>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</si>
  <si>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</si>
  <si>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</si>
  <si>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</si>
  <si>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</si>
  <si>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</si>
  <si>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</si>
  <si>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</si>
  <si>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</si>
  <si>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</si>
  <si>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</si>
  <si>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</si>
  <si>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</si>
  <si>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</si>
  <si>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</si>
  <si>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</si>
  <si>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</si>
  <si>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</si>
  <si>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</si>
  <si>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</si>
  <si>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</si>
  <si>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</si>
  <si>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</si>
  <si>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</si>
  <si>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</si>
  <si>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</si>
  <si>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</si>
  <si>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</si>
  <si>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</si>
  <si>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</si>
  <si>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</si>
  <si>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</si>
  <si>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</si>
  <si>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</si>
  <si>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</si>
  <si>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</si>
  <si>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</si>
  <si>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</si>
  <si>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</si>
  <si>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</si>
  <si>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</si>
  <si>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</si>
  <si>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</si>
  <si>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</si>
  <si>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</si>
  <si>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</si>
  <si>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</si>
  <si>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</si>
  <si>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</si>
  <si>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</si>
  <si>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</si>
  <si>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</si>
  <si>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</si>
  <si>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</si>
  <si>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</si>
  <si>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</si>
  <si>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</si>
  <si>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</si>
  <si>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</si>
  <si>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</si>
  <si>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</si>
  <si>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</si>
  <si>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</si>
  <si>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</si>
  <si>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</si>
  <si>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</si>
  <si>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</si>
  <si>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</si>
  <si>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</si>
  <si>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</si>
  <si>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</si>
  <si>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</si>
  <si>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</si>
  <si>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</si>
  <si>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</si>
  <si>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</si>
  <si>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</si>
  <si>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</si>
  <si>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</si>
  <si>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</si>
  <si>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</si>
  <si>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</si>
  <si>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Остаток задолженности по членским взносам на 01.01.2017</t>
  </si>
  <si>
    <t>ID</t>
  </si>
  <si>
    <t>Названия строк</t>
  </si>
  <si>
    <t>Общий итог</t>
  </si>
  <si>
    <t>Количество по полю Номер участка</t>
  </si>
  <si>
    <t>сцепка</t>
  </si>
  <si>
    <t>Сцепка</t>
  </si>
  <si>
    <t>&gt;1</t>
  </si>
  <si>
    <t>количество участков</t>
  </si>
  <si>
    <t>номер</t>
  </si>
  <si>
    <t>Сумма по полю 01.01.2016</t>
  </si>
  <si>
    <t>Сумма по полю 01.02.2016</t>
  </si>
  <si>
    <t>Сумма по полю 01.03.2016</t>
  </si>
  <si>
    <t>Сумма по полю 01.04.2016</t>
  </si>
  <si>
    <t>Сумма по полю 01.05.2016</t>
  </si>
  <si>
    <t>Сумма по полю 01.06.2016</t>
  </si>
  <si>
    <t>Сумма по полю 01.07.2016</t>
  </si>
  <si>
    <t>Сумма по полю 01.08.2016</t>
  </si>
  <si>
    <t>Сумма по полю 01.09.2016</t>
  </si>
  <si>
    <t>Сумма по полю 01.10.2016</t>
  </si>
  <si>
    <t>Сумма по полю 01.11.2016</t>
  </si>
  <si>
    <t>Сумма по полю 01.12.2016</t>
  </si>
  <si>
    <t>(Все)</t>
  </si>
  <si>
    <t>номер участка</t>
  </si>
  <si>
    <t>куратор</t>
  </si>
  <si>
    <t>Сидельников Михаил Васильевич</t>
  </si>
  <si>
    <t>Темникова Елена Станиславна</t>
  </si>
  <si>
    <t>Недосенко Олег Анатольевич</t>
  </si>
  <si>
    <t>Ермошин Владимир Владимирович</t>
  </si>
  <si>
    <t>Марин Андрей Вячеславович</t>
  </si>
  <si>
    <t>г. Высоковск</t>
  </si>
  <si>
    <t>(926)726-6624</t>
  </si>
  <si>
    <t>г. Москва</t>
  </si>
  <si>
    <t>(925)051-6761 (967)079-1427</t>
  </si>
  <si>
    <t>д. Шипулино</t>
  </si>
  <si>
    <t>(915)434-3911 (916) 159-44-96</t>
  </si>
  <si>
    <t>(926)226-9654 (903)238-8436</t>
  </si>
  <si>
    <t>(916) 605-8064</t>
  </si>
  <si>
    <t>(926) 736-3311 (920) 814-1810</t>
  </si>
  <si>
    <t>г. Зеленоград</t>
  </si>
  <si>
    <t xml:space="preserve">(916)827-7559 </t>
  </si>
  <si>
    <t>(925) 223-62-48</t>
  </si>
  <si>
    <t>(915) 119-5355</t>
  </si>
  <si>
    <t>г. Солнечногорск</t>
  </si>
  <si>
    <t>г. Клин</t>
  </si>
  <si>
    <t>(351) 721-26-45, (495) 542-49-09, (925) 011-75-16</t>
  </si>
  <si>
    <t>(926)258-1065</t>
  </si>
  <si>
    <t>(964) 514 1642</t>
  </si>
  <si>
    <t>(916)493-5464</t>
  </si>
  <si>
    <t>(903)236-8802    (903)116-4767</t>
  </si>
  <si>
    <t>(905)526-3658  (925)116-5373</t>
  </si>
  <si>
    <t>(963)772-1491</t>
  </si>
  <si>
    <t>(905)583-5178</t>
  </si>
  <si>
    <t>(926)353-2073 (499)141-8433</t>
  </si>
  <si>
    <t>(985)929-1070</t>
  </si>
  <si>
    <t>(915)082-1357</t>
  </si>
  <si>
    <t>нет долгов, оплачено вперед</t>
  </si>
  <si>
    <t>от 1 до 5 тыс. руб</t>
  </si>
  <si>
    <t>от 5 тыс. руб. до 10 тыс. руб.</t>
  </si>
  <si>
    <t>свыше 10 тыс. руб.</t>
  </si>
  <si>
    <t>телефонный номер</t>
  </si>
  <si>
    <t>член правления</t>
  </si>
  <si>
    <t>(916) 114-5316 (916)870-9325 (967)299-8498</t>
  </si>
  <si>
    <t>план</t>
  </si>
  <si>
    <t>#Н/Д</t>
  </si>
  <si>
    <t>Количество по полю 01.01.2016</t>
  </si>
  <si>
    <t>Количество по полю 01.02.2016</t>
  </si>
  <si>
    <t>Количество по полю 01.03.2016</t>
  </si>
  <si>
    <t>Количество по полю 01.04.2016</t>
  </si>
  <si>
    <t>Количество по полю 01.05.2016</t>
  </si>
  <si>
    <t>Количество по полю 01.06.2016</t>
  </si>
  <si>
    <t>Количество по полю план</t>
  </si>
  <si>
    <t>ВОЛГЕЩЕВ ДМИТРИЙЦ ГЕННАДЬЕВИЧ</t>
  </si>
  <si>
    <t>ИВАНОВ СЕРГЕЙ АЛЕКСАНДРОВИЧ</t>
  </si>
  <si>
    <t>ЛЕСКОВСКИЙ АНАТОЛИЙ ВИТАЛЬЕВИЧ</t>
  </si>
  <si>
    <t/>
  </si>
  <si>
    <t>камышкина юлия юрьевна</t>
  </si>
  <si>
    <t>306-307-210-211</t>
  </si>
  <si>
    <t>Орловская область</t>
  </si>
  <si>
    <t>Член правления</t>
  </si>
  <si>
    <t>Город</t>
  </si>
  <si>
    <t>Долги по членам правления</t>
  </si>
  <si>
    <t>г.Москва</t>
  </si>
  <si>
    <t>Норильск</t>
  </si>
  <si>
    <t>прделагаю из этого списка выдрать</t>
  </si>
  <si>
    <t xml:space="preserve">Это злостные неплательщики - те по кому есть города 100% вступали в партнерство </t>
  </si>
  <si>
    <t>290___</t>
  </si>
  <si>
    <t>29_</t>
  </si>
  <si>
    <t>(пусто)</t>
  </si>
  <si>
    <t>116+118+120</t>
  </si>
  <si>
    <t>97+93</t>
  </si>
  <si>
    <t>Петрик Наталья Вячеславовна</t>
  </si>
  <si>
    <t>290_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</si>
  <si>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</si>
  <si>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</si>
  <si>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</si>
  <si>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</si>
  <si>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</si>
  <si>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</si>
  <si>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</si>
  <si>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</si>
  <si>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</si>
  <si>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</si>
  <si>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</si>
  <si>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</si>
  <si>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</si>
  <si>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</si>
  <si>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</si>
  <si>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</si>
  <si>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</si>
  <si>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</si>
  <si>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</si>
  <si>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</si>
  <si>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</si>
  <si>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</si>
  <si>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</si>
  <si>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</si>
  <si>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</si>
  <si>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</si>
  <si>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</si>
  <si>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</si>
  <si>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</si>
  <si>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Устинов Федор Валентинович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</si>
  <si>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</si>
  <si>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</si>
  <si>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</si>
  <si>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</si>
  <si>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</si>
  <si>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</si>
  <si>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Севрюгина Ольга Викторовна(Плесковский А.В.)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</si>
</sst>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2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0" fontId="13" fillId="0" borderId="0"/>
    <xf numFmtId="0" fontId="16" fillId="0" borderId="0"/>
    <xf numFmtId="164" fontId="10" fillId="0" borderId="0" applyFont="0" applyFill="0" applyBorder="0" applyAlignment="0" applyProtection="0"/>
    <xf numFmtId="0" fontId="19" fillId="0" borderId="0"/>
    <xf numFmtId="0" fontId="20" fillId="0" borderId="0"/>
  </cellStyleXfs>
  <cellXfs count="137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/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6" fillId="6" borderId="2" xfId="0" applyNumberFormat="1" applyFont="1" applyFill="1" applyBorder="1" applyAlignment="1">
      <alignment horizontal="right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4" fontId="6" fillId="6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3" fontId="6" fillId="6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14" fontId="1" fillId="7" borderId="2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right" vertical="center" wrapText="1"/>
    </xf>
    <xf numFmtId="3" fontId="6" fillId="7" borderId="2" xfId="0" applyNumberFormat="1" applyFont="1" applyFill="1" applyBorder="1" applyAlignment="1">
      <alignment horizontal="right" vertical="center" wrapText="1"/>
    </xf>
    <xf numFmtId="3" fontId="9" fillId="7" borderId="2" xfId="0" applyNumberFormat="1" applyFont="1" applyFill="1" applyBorder="1" applyAlignment="1">
      <alignment horizontal="right" vertical="center" wrapText="1"/>
    </xf>
    <xf numFmtId="0" fontId="0" fillId="7" borderId="0" xfId="0" applyFill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1" fillId="0" borderId="2" xfId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1" fillId="8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9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Border="1"/>
    <xf numFmtId="0" fontId="11" fillId="0" borderId="0" xfId="0" applyFont="1" applyBorder="1"/>
    <xf numFmtId="0" fontId="0" fillId="0" borderId="0" xfId="0" applyNumberFormat="1"/>
    <xf numFmtId="3" fontId="0" fillId="0" borderId="0" xfId="0" applyNumberFormat="1"/>
    <xf numFmtId="0" fontId="11" fillId="0" borderId="7" xfId="0" applyFont="1" applyBorder="1"/>
    <xf numFmtId="0" fontId="11" fillId="8" borderId="0" xfId="0" applyFont="1" applyFill="1" applyBorder="1"/>
    <xf numFmtId="0" fontId="0" fillId="0" borderId="7" xfId="0" applyBorder="1"/>
    <xf numFmtId="3" fontId="11" fillId="8" borderId="0" xfId="0" applyNumberFormat="1" applyFont="1" applyFill="1" applyBorder="1"/>
    <xf numFmtId="3" fontId="0" fillId="0" borderId="7" xfId="0" applyNumberFormat="1" applyBorder="1"/>
    <xf numFmtId="0" fontId="0" fillId="0" borderId="0" xfId="0" applyBorder="1"/>
    <xf numFmtId="3" fontId="0" fillId="0" borderId="0" xfId="0" applyNumberFormat="1" applyBorder="1"/>
    <xf numFmtId="0" fontId="12" fillId="0" borderId="0" xfId="0" applyFont="1" applyAlignment="1"/>
    <xf numFmtId="0" fontId="0" fillId="0" borderId="0" xfId="0" applyFont="1" applyAlignment="1"/>
    <xf numFmtId="0" fontId="14" fillId="0" borderId="0" xfId="0" applyFont="1"/>
    <xf numFmtId="4" fontId="1" fillId="10" borderId="2" xfId="0" applyNumberFormat="1" applyFont="1" applyFill="1" applyBorder="1" applyAlignment="1">
      <alignment horizontal="right" vertical="center" wrapText="1"/>
    </xf>
    <xf numFmtId="0" fontId="0" fillId="10" borderId="0" xfId="0" applyFill="1"/>
    <xf numFmtId="0" fontId="17" fillId="0" borderId="7" xfId="3" applyFont="1" applyBorder="1" applyAlignment="1">
      <alignment vertical="center"/>
    </xf>
    <xf numFmtId="0" fontId="17" fillId="8" borderId="7" xfId="3" applyFont="1" applyFill="1" applyBorder="1" applyAlignment="1">
      <alignment horizontal="left" vertical="center" wrapText="1"/>
    </xf>
    <xf numFmtId="0" fontId="17" fillId="0" borderId="7" xfId="3" applyFont="1" applyBorder="1" applyAlignment="1">
      <alignment horizontal="left" vertical="center" wrapText="1"/>
    </xf>
    <xf numFmtId="0" fontId="16" fillId="0" borderId="0" xfId="3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0" xfId="0" applyFont="1" applyBorder="1"/>
    <xf numFmtId="0" fontId="11" fillId="0" borderId="8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5" fillId="0" borderId="11" xfId="0" applyFont="1" applyFill="1" applyBorder="1" applyAlignment="1">
      <alignment horizontal="center"/>
    </xf>
    <xf numFmtId="0" fontId="11" fillId="0" borderId="0" xfId="0" applyFont="1" applyFill="1" applyBorder="1"/>
    <xf numFmtId="3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" fillId="0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6" borderId="12" xfId="0" applyNumberFormat="1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>
      <alignment horizontal="right" vertical="center" wrapText="1"/>
    </xf>
    <xf numFmtId="164" fontId="6" fillId="0" borderId="12" xfId="4" applyFont="1" applyFill="1" applyBorder="1" applyAlignment="1">
      <alignment horizontal="right" vertical="center" wrapText="1"/>
    </xf>
    <xf numFmtId="164" fontId="21" fillId="0" borderId="12" xfId="4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wrapText="1"/>
    </xf>
    <xf numFmtId="4" fontId="21" fillId="0" borderId="12" xfId="0" applyNumberFormat="1" applyFont="1" applyBorder="1"/>
    <xf numFmtId="0" fontId="0" fillId="4" borderId="0" xfId="0" applyFill="1" applyAlignment="1">
      <alignment horizontal="center"/>
    </xf>
    <xf numFmtId="4" fontId="6" fillId="4" borderId="12" xfId="0" applyNumberFormat="1" applyFont="1" applyFill="1" applyBorder="1" applyAlignment="1">
      <alignment horizontal="right" vertical="center" wrapText="1"/>
    </xf>
    <xf numFmtId="164" fontId="21" fillId="4" borderId="12" xfId="4" applyFont="1" applyFill="1" applyBorder="1" applyAlignment="1">
      <alignment horizontal="right"/>
    </xf>
    <xf numFmtId="4" fontId="21" fillId="4" borderId="12" xfId="0" applyNumberFormat="1" applyFont="1" applyFill="1" applyBorder="1"/>
    <xf numFmtId="164" fontId="6" fillId="4" borderId="12" xfId="4" applyFont="1" applyFill="1" applyBorder="1" applyAlignment="1">
      <alignment horizontal="right" vertical="center" wrapText="1"/>
    </xf>
    <xf numFmtId="0" fontId="1" fillId="4" borderId="2" xfId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horizontal="right" vertical="center" wrapText="1"/>
    </xf>
    <xf numFmtId="164" fontId="21" fillId="0" borderId="12" xfId="4" applyFont="1" applyBorder="1" applyAlignment="1"/>
    <xf numFmtId="164" fontId="6" fillId="0" borderId="12" xfId="4" applyFont="1" applyFill="1" applyBorder="1" applyAlignment="1">
      <alignment vertical="center" wrapText="1"/>
    </xf>
    <xf numFmtId="0" fontId="22" fillId="4" borderId="1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164" fontId="21" fillId="0" borderId="12" xfId="4" applyFont="1" applyFill="1" applyBorder="1" applyAlignment="1">
      <alignment horizontal="right"/>
    </xf>
    <xf numFmtId="4" fontId="21" fillId="0" borderId="12" xfId="0" applyNumberFormat="1" applyFont="1" applyFill="1" applyBorder="1"/>
    <xf numFmtId="164" fontId="21" fillId="0" borderId="12" xfId="4" applyFont="1" applyFill="1" applyBorder="1" applyAlignment="1"/>
    <xf numFmtId="4" fontId="6" fillId="11" borderId="12" xfId="0" applyNumberFormat="1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21" fillId="4" borderId="13" xfId="0" applyNumberFormat="1" applyFont="1" applyFill="1" applyBorder="1" applyAlignment="1">
      <alignment horizontal="right"/>
    </xf>
    <xf numFmtId="4" fontId="21" fillId="4" borderId="3" xfId="0" applyNumberFormat="1" applyFont="1" applyFill="1" applyBorder="1" applyAlignment="1">
      <alignment horizontal="right"/>
    </xf>
    <xf numFmtId="4" fontId="21" fillId="4" borderId="13" xfId="0" applyNumberFormat="1" applyFont="1" applyFill="1" applyBorder="1" applyAlignment="1">
      <alignment horizontal="center"/>
    </xf>
    <xf numFmtId="4" fontId="21" fillId="4" borderId="3" xfId="0" applyNumberFormat="1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right" vertical="center"/>
    </xf>
    <xf numFmtId="4" fontId="21" fillId="4" borderId="9" xfId="0" applyNumberFormat="1" applyFont="1" applyFill="1" applyBorder="1" applyAlignment="1">
      <alignment horizontal="right" vertical="center"/>
    </xf>
    <xf numFmtId="4" fontId="21" fillId="4" borderId="3" xfId="0" applyNumberFormat="1" applyFont="1" applyFill="1" applyBorder="1" applyAlignment="1">
      <alignment horizontal="right" vertical="center"/>
    </xf>
    <xf numFmtId="4" fontId="21" fillId="4" borderId="13" xfId="0" applyNumberFormat="1" applyFont="1" applyFill="1" applyBorder="1" applyAlignment="1">
      <alignment horizontal="center" vertical="center"/>
    </xf>
    <xf numFmtId="4" fontId="21" fillId="4" borderId="3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Финансовый" xfId="4" builtinId="3"/>
  </cellStyles>
  <dxfs count="133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462961" createdVersion="4" refreshedVersion="6" minRefreshableVersion="3" recordCount="321">
  <cacheSource type="worksheet">
    <worksheetSource ref="B1:D322" sheet="справочник"/>
  </cacheSource>
  <cacheFields count="3">
    <cacheField name="сцепка" numFmtId="0">
      <sharedItems containsBlank="1"/>
    </cacheField>
    <cacheField name="Номер участка" numFmtId="0">
      <sharedItems containsBlank="1" containsMixedTypes="1" containsNumber="1" containsInteger="1" minValue="1" maxValue="324"/>
    </cacheField>
    <cacheField name="Ф.И.О." numFmtId="0">
      <sharedItems containsBlank="1" count="300">
        <s v="Абу Махади Мохаммед Ибрагим"/>
        <s v="Абушаев Роман Шамильевич"/>
        <s v="Аксенов Дмитрий Викторович"/>
        <s v="Александров Владимир Александрович"/>
        <s v="Алексеев Андрей Олегович"/>
        <s v="Амплеева Мария Александровна "/>
        <s v="Андреева Любовь Ивановна(у Севастьянова)"/>
        <s v="Анисимова (Корнеева) Татьяна Николаевна"/>
        <s v="Анисимова Елена Анатольевна"/>
        <s v="Антипова Жанна Михайловна"/>
        <s v="Анциферов Алексей Сергеевич"/>
        <s v="Артемьев Сергей Иванович"/>
        <s v="Асташкин Павел Александрович(продал???)"/>
        <s v="Афанасьева Злата Сергеевна"/>
        <s v="Афян Сасун Аркадиевич"/>
        <s v="Ахромеев Андрей Владимирович"/>
        <s v="Бадирьян Тамара Викторовна"/>
        <s v="Байбикова Рузалия Равилевна / Байбикова Руфия Равилевна"/>
        <s v="Безбородова Людмила Михайловна"/>
        <s v="Безменова Татьяна Игоревна"/>
        <s v="Бекмансурова Динара Василевна"/>
        <s v="Белов Семён Иванович          "/>
        <s v="Белоглазова Людмила Ивановна"/>
        <s v="Бельская Светлана Александровна (Владимир)"/>
        <s v="Бельский Владимир Владимирович (Светлана)"/>
        <s v="Беляков Виктор Михайлович"/>
        <s v="Бенгя Владимир Михайлович (Диана)"/>
        <s v="Беспаленко Зинаида Александровна"/>
        <s v="Бирюков Александр Сергеевич"/>
        <s v="Блинков Анатолий Сергеевич"/>
        <s v="Бондарев Станислав Дмитриевич"/>
        <s v="Бондаренко Владимир Иванович"/>
        <s v="Бондарь Василий Дмитриевич"/>
        <s v="Борисов Олег Александрович"/>
        <s v="Бранцова Татьяна Валерьевна"/>
        <s v="Брылёв Андрей Вячеславович"/>
        <s v="Бугрова Вероника Артуровна"/>
        <s v="Будаев Андрей Анатольевич"/>
        <s v="Буланова Лилия Михайловна"/>
        <s v="Бурдух Юрие"/>
        <s v="Быданцева Нина Юрьевна"/>
        <s v="Валеев Артур Рашидович"/>
        <s v="Васильев Николай Владимирович"/>
        <s v="Васильева Ольга Александровна"/>
        <s v="Васильцова Елена Владимировна"/>
        <s v="Вершинина Елена Анатольевна"/>
        <s v="Виноградова Наталья Дмитриевна (Николай)"/>
        <s v="Виртилецкий Денис Вячеславович"/>
        <s v="Водянова Ольга Александровна"/>
        <s v="Волгушев Дмитрий Геннадиевич"/>
        <s v="Володина Инна Александровна"/>
        <s v="Вольский Андрей Юрьевич"/>
        <s v="Высоких Антон Маркович"/>
        <s v="Гайкова (Дьякова) Мария Викторовна"/>
        <s v="Ганин Александр Борисович"/>
        <s v="Горбунов Владимир Александрович"/>
        <s v="Горбунов Максим Николаевич"/>
        <s v="Гордейчик Игорь Борисович"/>
        <s v="Горянов Михаил Андреевич"/>
        <s v="Горячев Дмитрий Николаевич"/>
        <s v="Губарева Татьяна Григорьевна"/>
        <s v="Гусева Светлана Григорьевна"/>
        <s v="Давыдова Анна Сергеевна"/>
        <s v="Данильянц Юрий Константинович   "/>
        <s v="Даточный Алексей Валерьевич"/>
        <s v="Двойрина Юлия Владимировна"/>
        <s v="Денисов Дмитрий Алексеевич"/>
        <s v="Денисов Сергей Александрович"/>
        <s v="Десюкова Марина Александровна"/>
        <s v="Дидушко Денис Васильевич (Василий)"/>
        <s v="Дорошенко Владимир Алексеевич"/>
        <s v="Дубов Александр Сергеевич"/>
        <s v="Евглевская Ольга Борисовна"/>
        <s v="Евсеев Александр Сергеевич"/>
        <s v="Елисеев Сергей Вячеславович          "/>
        <s v="Епанчинцева Людмила Филипповна"/>
        <s v="Еременко Виктор Александрович (Валентина)"/>
        <s v="Ермакова Татьяна Викторовна"/>
        <s v="Ермолаева Виктория Александровна"/>
        <s v="Ермошина Татьяна Евгеньевна (Владимир)"/>
        <s v="Ершова Виктория Львовна"/>
        <s v="Жарикова Светлана Юрьевна"/>
        <s v="Жигунов Юрий Александрович"/>
        <s v="Жирная Татьяна Сергеевна"/>
        <s v="Жохова Елена Сергеевна"/>
        <s v="Заборская Светлана Анатольевна (Андрей)"/>
        <s v="Закревская Марина Владимировна"/>
        <s v="Заручинский Вячеслав Владимирович"/>
        <s v="Захаренкова Светлана Евгеньевна"/>
        <s v="Захаров Михаил Сергеевич"/>
        <s v="Захарова Людмила Захаровна"/>
        <s v="Зиннатов Рафаэль Шакурович"/>
        <s v="Иваненко Петр Олегович"/>
        <s v="Иванов Владимир Николаевич"/>
        <s v="Иванов Денис Сильвестрович"/>
        <s v="Иванова Светлана Сергеевна"/>
        <s v="Иванова Татьяна Викторовна"/>
        <s v="Измайлов Михаил Михайлович"/>
        <s v="Казарин Сергей Викторович"/>
        <s v="Казымов Горхмаз Гамид/Лавренчук Александр Владиславович"/>
        <s v="Каляникова Наталья Сергеевна"/>
        <s v="Канышкина Юлия Юрьевна"/>
        <s v="Карпекина Лилия Рафаэльевна"/>
        <s v="Карпова Елена Витальевна"/>
        <s v="Катушкин Роман Юрьевич"/>
        <s v="Катушкин Роман Юрьевич//Валеев Артур Рашидович"/>
        <s v="Кашичкин Александр Борисович"/>
        <s v="Киеня Валентина Александровна (Анатолий)"/>
        <s v="Кикоть Наталья Петровна (Андрей)"/>
        <s v="Кириенко Раиса Федоровна"/>
        <s v="Кириллов Вадим Александрович"/>
        <s v="Кириллов Дмитрий Александрович"/>
        <s v="Коваленко Ирина Леонидовна"/>
        <s v="Кожемякин Сергей Владимирович"/>
        <s v="Козловский Алексей Гаврилович"/>
        <s v="Колесников Никита Олегович(у Кряжковой Виктория Сергеевна"/>
        <s v="Колесов Вадим Владимирович"/>
        <s v="Колташ Анна Владимировна"/>
        <s v="Колыгина Нина Николаевна"/>
        <s v="Колышкина Александра Сергеевна"/>
        <s v="Кондратьева Юлия Викторовна"/>
        <s v="Кондратюк Наталья Петровна 1/2,  Соболев Олег Юрьевич 1/2"/>
        <s v="Кондрашов Роман Вячеславович"/>
        <s v="Кондрашов Сергей Вячеславович//Балыкин Александр Иванович"/>
        <s v="Коновальцев Олег Серафимович"/>
        <s v="Кононенко Алла Николаевна (Александр)"/>
        <s v="Короткевич Наталья Владимировна"/>
        <s v="Корчинская Ирина Анатольевна"/>
        <s v="Косенков Степан Фед-ч(Галактионова)"/>
        <s v="Косенкова Елизавета Евгеньевна"/>
        <s v="Красникова Раиса Михайловна"/>
        <s v="Кривой Владимир Аркадьевич"/>
        <s v="Крупник Андрей Валерьевич"/>
        <s v="Кудревцев Евгений Александрович"/>
        <s v="Кудрявцева Наталья Викторовна"/>
        <s v="Куликов Александр Владимирович"/>
        <s v="Куликова Наталья Александровна "/>
        <s v="Кулиш Сергей Александрович       "/>
        <s v="Кушваха Виджай Шанкар"/>
        <s v="Лайпанов Рустам Сеитбиевич"/>
        <s v="Лапшин Сергей Николаевич"/>
        <s v="Ларионова Наталья Владимировна"/>
        <s v="Лебедев Андрей Анатольевич"/>
        <s v="Лебедева Елена Александровна"/>
        <s v="Левина Елена Александровна (Дмитрий)"/>
        <s v="Леськов Олег Петрович"/>
        <s v="Лещёва Ольга Владимировна"/>
        <s v="Ли Наталья Сергеевна"/>
        <s v="Ловыгина Татьяна Александровна"/>
        <s v="Лопухинова Надежда Михайловна"/>
        <s v="Лошкарев Виктор Ильич"/>
        <s v="Лунёв Денис Александрович"/>
        <s v="Лунева Ольга Петровна"/>
        <s v="Малов Алексей Викторович"/>
        <s v="Маргиева Марина Евгеньевна"/>
        <s v="Маркина Людмила Николаевна, Марина"/>
        <s v="Марков Максим Юрьевич"/>
        <s v="Маркова Тамара Ивановна"/>
        <s v="Марковнина Светлана Викторовна"/>
        <s v="Маслов Александр Александрович"/>
        <s v="Маслов Андрей Геннадьевич (1/2)                 Щербакова Надежда Михайловна (1/2)"/>
        <s v="Маслова Валентина Петровна"/>
        <s v="Матвеев Денис Львович"/>
        <s v="Мельников Михаил Вячеславович / Диденко"/>
        <s v="Месхидзе Оксана Валерьевна"/>
        <s v="Милишенко Надежда Ивановна"/>
        <s v="Милоянин Алексей Леонидович"/>
        <s v="Мирошниченко Андрей Иванович Захарова Елена Александровна"/>
        <s v="Мирошниченко Екатерина Олеговна"/>
        <s v="Модин Игорь Николаевич"/>
        <s v="Моисеев Андрей Валентинович"/>
        <s v="Молчанова Ирина Владимировна"/>
        <s v="Мудрак Владимир Григорьевич (Марина)"/>
        <s v="Мурадова Альбина Сергеевна"/>
        <s v="Науменко Дмитрий Александрович"/>
        <s v="Недосенко Татьяна Сергеевна (Олег)"/>
        <s v="Нелюбов Сергей Владимирович"/>
        <s v="Нефедов Михаил Владимирович"/>
        <s v="Никифоров Андрей Леонидович"/>
        <s v="Новиков Виктор Викторович"/>
        <s v="Новикова Наталья Петровна"/>
        <s v="Новикова Светлана Владимировна (Анатолий)"/>
        <s v="Нормуротов Анваржон Абдирайимович    "/>
        <s v="Носикова Александра Васильевна "/>
        <s v="Носикова Мария Леонидовна"/>
        <s v="Олег (Гусев Николай Михайлович — был) "/>
        <s v="Олейников Дмитрий Александрович "/>
        <s v="Олейникова Евгения Александровна"/>
        <s v="Осадчев Константин Владимирович"/>
        <s v="Острикова Наталья Львовна"/>
        <s v="Пархачева Эльвира Валентиновна (Алксандр)"/>
        <s v="Пахарева Ольга Александровна (Дмитрий)"/>
        <s v="Петрик Наталья Вячеславовна"/>
        <s v="Петров Борис Викторович"/>
        <s v="Петрова Елена Николаевна"/>
        <s v="Петункин Игорь Минович"/>
        <s v="Пикалёва Алла Григорьевна (Юрий)"/>
        <s v="Поликарпова Наталья Дмитриевна"/>
        <s v="Полякова Марина Александровна"/>
        <s v="Пономарева Олеся Сергеевна"/>
        <s v="Попова Нина Ивановна"/>
        <s v="Постернак Татьяна Николаевна"/>
        <s v="Просянов Александр Александрович"/>
        <s v="Прохоров Владимир Михайлович        "/>
        <s v="Пузанова Екатерина Вячеславовна        "/>
        <s v="Ратников Алексей Сергеевич"/>
        <s v="Решетов Владимир Генадьевич"/>
        <s v="Родичева Наталья Николаевна - Завилевская Е.И. ???"/>
        <s v="Рожкова Глафира Андреевна"/>
        <s v="Розова Татьяна Викторовна"/>
        <s v="Рощина Ирина Михайловна"/>
        <s v="Рудая Наталья Викторовна           "/>
        <s v="Рыбалкин Андрей Сергеевич"/>
        <s v="Рыжов Андрей Николаевич"/>
        <s v="Савина Нина Ивановна"/>
        <s v="Садовников Алексей Владимирович(Рошка Александр Николаевич)"/>
        <s v="Сазонов Сергей Александрович - Диденко Оксана Владимировна"/>
        <s v="Салопаева Татьяна Сергеевна"/>
        <s v="Самоволькина Ирина Владимировна"/>
        <s v="Самородов"/>
        <s v="Саргсян Оганнес Ншанович"/>
        <s v="Сафронова Наталья Михайловна (у Дедков Илья Егорьевич купила)"/>
        <s v="Сбитнева Юлия Сергеевна"/>
        <s v="Севастьянов Михаил Григорьевич"/>
        <s v="Севрюгина Ольга Викторовна"/>
        <s v="Семенова Рима Прановна    "/>
        <s v="Сёмин Александр Иванович"/>
        <s v="Сергиенко Николай Михайлович"/>
        <s v="Серебряков Игорь Васильевич"/>
        <s v="Серкин Сергей Львовович"/>
        <s v="Сидельникова Ольга Петровна"/>
        <s v="Сидоров Александр Юрьевич"/>
        <s v="Сиротин Дмитрий Борисович (Приставалова)"/>
        <s v="Сломов Константин Витальевич"/>
        <s v="Смирнов Максим Анатольевич, Светлана"/>
        <s v="Соколова Ирина Анатольевна"/>
        <s v="Солодкий Дмитрий Павлович"/>
        <s v="Спивак Сергей Николаевич"/>
        <s v="Спиридонов Андрей Владимирович"/>
        <s v="Старостин Виктор Вячеславович"/>
        <s v="Степанов Валерий Владимирович"/>
        <s v="Степанова Марина Николаевна (Артем)"/>
        <s v="Стрелков Андрей Вячеславович"/>
        <s v="Стрелков Андрей Вячеславович  "/>
        <s v="Стрелков Николай Валентинович"/>
        <s v="Ступнев Евгений  Романович"/>
        <s v="Суворов Сергей Анатольевич"/>
        <s v="Суркова Татьяна Александровна"/>
        <s v="Сысоев Евгений Анатольевич"/>
        <s v="Сысоев Семен Евгеньевич"/>
        <s v="Тадлов Виталий Петрович"/>
        <s v="Тарасенко Анатолий Семенович"/>
        <s v="Темникова Елена Станиславовна"/>
        <s v="Тимофеева Лариса Викторовна"/>
        <s v="Тимофеева Татьяна Александровна (Денис)"/>
        <s v="Толкова Елена Анатольевна (Олег)"/>
        <s v="Трубченко Петр Александрович"/>
        <s v="Трыкин Евгений Викторович"/>
        <s v="Тюленев Вячеслав Рудольфович"/>
        <m/>
        <s v="Федорова Наталья Владимировна"/>
        <s v="Федорова Юлия Владимировна"/>
        <s v="Финогин Сергей Александрович"/>
        <s v="Фисенко Вадим Петрович"/>
        <s v="Фисенко Дмитрий Петрович"/>
        <s v="Фомин Андрей Анатольевич"/>
        <s v="Фомин Игорь Анатольевич"/>
        <s v="Фомичев Александр Петрович"/>
        <s v="Хайлов Алексей Анатольевич"/>
        <s v="Хан Виталий Борисович"/>
        <s v="Харинкина Танзиля Гарафутдиновна"/>
        <s v="Хаустова Люция Егоровна"/>
        <s v="Хачатрян Алла Самвеловна"/>
        <s v="Хрупало Николай Алексеевич"/>
        <s v="Черешнева Виктория Викторовна"/>
        <s v="Чернявская Оксана Юрьевна        "/>
        <s v="Чигрины Анна Анатольевна и Геннадий Иванович"/>
        <s v="Чикачёв Сергей Иванович"/>
        <s v="Шабунина Светлана Николаевна"/>
        <s v="Шалинов Андрей Вадимович"/>
        <s v="Шелухина Мария Сергеевна"/>
        <s v="Шептухина Александра Борисовна"/>
        <s v="Широков Евгений Александрович"/>
        <s v="Шорахматов Мухаммадхуджа Замшоевич"/>
        <s v="Шурдук Лариса Анатольевна (Игорь)"/>
        <s v="Шустов Василий Александрович"/>
        <s v="Щербаков Павел Евгеньевич"/>
        <s v="Щербакова Татьяна Дмитриевна      "/>
        <s v="Элефтерова Евгения Викторовна (Михаил)"/>
        <s v="Якиманский Александр Александрович"/>
        <s v="Якушина Любовь Викторовна"/>
        <s v="Янковская Елена Александровна"/>
        <s v="Янковская Яна Валерьевна"/>
        <s v="Яструб Валерий Викторович"/>
        <s v="Яшин Евгений Иванович"/>
        <s v="Петрик Наталья Вячеславовна(ПродалаУстинова Ирина)" u="1"/>
        <s v="Хрупало Николай Алексеевич (118+120)" u="1"/>
        <s v="Решетов Владимир Геннадьевич" u="1"/>
        <s v="Устинов Федор Валентинович(Петрик)" u="1"/>
        <s v="Шалинов Андрей Вадимович + уч. 9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925923" createdVersion="4" refreshedVersion="6" minRefreshableVersion="3" recordCount="322">
  <cacheSource type="worksheet">
    <worksheetSource ref="C1:K323" sheet="Лист6"/>
  </cacheSource>
  <cacheFields count="9">
    <cacheField name="ID" numFmtId="0">
      <sharedItems containsMixedTypes="1" containsNumber="1" containsInteger="1" minValue="1" maxValue="320" count="295">
        <n v="79"/>
        <n v="35"/>
        <n v="260"/>
        <n v="203"/>
        <n v="316"/>
        <n v="232"/>
        <n v="277"/>
        <n v="221"/>
        <n v="259"/>
        <n v="109"/>
        <n v="130"/>
        <n v="7"/>
        <n v="193"/>
        <n v="178"/>
        <n v="119"/>
        <n v="293"/>
        <n v="191"/>
        <n v="249"/>
        <n v="72"/>
        <n v="125"/>
        <n v="229"/>
        <n v="296"/>
        <n v="281"/>
        <n v="198"/>
        <n v="52"/>
        <n v="51"/>
        <n v="136"/>
        <n v="11"/>
        <n v="114"/>
        <n v="151"/>
        <n v="142"/>
        <n v="245"/>
        <n v="188"/>
        <n v="219"/>
        <n v="223"/>
        <n v="137"/>
        <n v="105"/>
        <n v="98"/>
        <n v="274"/>
        <n v="175"/>
        <n v="303"/>
        <n v="90"/>
        <n v="206"/>
        <n v="101"/>
        <n v="86"/>
        <n v="43"/>
        <n v="25"/>
        <n v="138"/>
        <n v="228"/>
        <n v="37"/>
        <n v="126"/>
        <n v="58"/>
        <n v="117"/>
        <n v="61"/>
        <n v="294"/>
        <n v="286"/>
        <n v="64"/>
        <n v="94"/>
        <n v="39"/>
        <n v="276"/>
        <n v="148"/>
        <n v="308"/>
        <n v="318"/>
        <n v="236"/>
        <n v="226"/>
        <n v="285"/>
        <n v="24"/>
        <n v="50"/>
        <n v="122"/>
        <n v="301"/>
        <n v="18"/>
        <n v="155"/>
        <n v="44"/>
        <n v="132"/>
        <n v="159"/>
        <n v="181"/>
        <n v="284"/>
        <n v="264"/>
        <n v="32"/>
        <n v="49"/>
        <n v="234"/>
        <n v="254"/>
        <n v="230"/>
        <n v="4"/>
        <n v="213"/>
        <n v="127"/>
        <n v="66"/>
        <n v="36"/>
        <n v="38"/>
        <n v="12"/>
        <n v="63"/>
        <n v="16"/>
        <n v="121"/>
        <n v="156"/>
        <n v="5"/>
        <n v="214"/>
        <n v="279"/>
        <n v="197"/>
        <n v="295"/>
        <n v="196"/>
        <n v="124"/>
        <n v="250"/>
        <n v="153"/>
        <n v="106"/>
        <n v="222"/>
        <n v="208"/>
        <n v="207"/>
        <n v="231"/>
        <n v="76"/>
        <n v="82"/>
        <n v="8"/>
        <n v="149"/>
        <n v="30"/>
        <n v="269"/>
        <n v="271"/>
        <n v="265"/>
        <n v="173"/>
        <n v="305"/>
        <n v="69"/>
        <n v="1"/>
        <n v="302"/>
        <n v="123"/>
        <n v="163"/>
        <n v="110"/>
        <n v="112"/>
        <n v="190"/>
        <n v="83"/>
        <n v="133"/>
        <n v="202"/>
        <n v="192"/>
        <n v="289"/>
        <n v="143"/>
        <n v="62"/>
        <n v="225"/>
        <n v="266"/>
        <n v="157"/>
        <n v="194"/>
        <n v="65"/>
        <n v="216"/>
        <n v="56"/>
        <n v="150"/>
        <n v="243"/>
        <n v="220"/>
        <n v="3"/>
        <n v="158"/>
        <n v="139"/>
        <n v="261"/>
        <n v="288"/>
        <n v="166"/>
        <n v="118"/>
        <n v="199"/>
        <n v="164"/>
        <n v="34"/>
        <n v="13"/>
        <n v="273"/>
        <n v="87"/>
        <n v="154"/>
        <n v="270"/>
        <n v="9"/>
        <n v="129"/>
        <n v="42"/>
        <n v="96"/>
        <n v="292"/>
        <n v="209"/>
        <n v="257"/>
        <n v="212"/>
        <n v="320"/>
        <n v="186"/>
        <n v="187"/>
        <n v="211"/>
        <n v="242"/>
        <n v="218"/>
        <n v="120"/>
        <n v="287"/>
        <n v="170"/>
        <n v="290"/>
        <n v="81"/>
        <n v="31"/>
        <n v="104"/>
        <n v="85"/>
        <n v="300"/>
        <n v="47"/>
        <n v="282"/>
        <n v="204"/>
        <n v="291"/>
        <n v="89"/>
        <n v="26"/>
        <n v="71"/>
        <n v="6"/>
        <n v="80"/>
        <n v="201"/>
        <n v="147"/>
        <n v="29"/>
        <n v="33"/>
        <n v="169"/>
        <n v="185"/>
        <n v="176"/>
        <n v="307"/>
        <n v="177"/>
        <n v="160"/>
        <n v="53"/>
        <n v="102"/>
        <n v="174"/>
        <n v="165"/>
        <n v="251"/>
        <n v="315"/>
        <n v="312"/>
        <n v="314"/>
        <e v="#N/A"/>
        <n v="144"/>
        <n v="74"/>
        <n v="68"/>
        <n v="224"/>
        <n v="134"/>
        <n v="267"/>
        <n v="258"/>
        <n v="299"/>
        <n v="210"/>
        <n v="239"/>
        <n v="238"/>
        <n v="297"/>
        <n v="128"/>
        <n v="67"/>
        <n v="278"/>
        <n v="280"/>
        <n v="215"/>
        <n v="241"/>
        <n v="161"/>
        <n v="272"/>
        <n v="19"/>
        <n v="310"/>
        <n v="205"/>
        <n v="107"/>
        <n v="48"/>
        <n v="237"/>
        <n v="263"/>
        <n v="100"/>
        <n v="131"/>
        <n v="183"/>
        <n v="21"/>
        <n v="298"/>
        <n v="91"/>
        <n v="54"/>
        <n v="317"/>
        <n v="268"/>
        <n v="172"/>
        <n v="116"/>
        <n v="57"/>
        <n v="46"/>
        <n v="73"/>
        <n v="162"/>
        <n v="252"/>
        <n v="45"/>
        <n v="319"/>
        <n v="93"/>
        <n v="255"/>
        <n v="167"/>
        <n v="99"/>
        <n v="146"/>
        <n v="28"/>
        <n v="27"/>
        <n v="135"/>
        <n v="59"/>
        <n v="60"/>
        <n v="248"/>
        <n v="247"/>
        <n v="103"/>
        <n v="275"/>
        <n v="22"/>
        <n v="20"/>
        <n v="233"/>
        <n v="256"/>
        <n v="113"/>
        <n v="180"/>
        <n v="2"/>
        <n v="23"/>
        <n v="168"/>
        <n v="84"/>
        <n v="88"/>
        <n v="78"/>
        <n v="77"/>
        <n v="306"/>
        <n v="182"/>
        <n v="95"/>
        <n v="108"/>
        <n v="41"/>
        <n v="152"/>
        <n v="227"/>
        <n v="15"/>
        <n v="240"/>
        <n v="10"/>
        <n v="55"/>
        <n v="309"/>
        <n v="17"/>
        <n v="40"/>
      </sharedItems>
    </cacheField>
    <cacheField name="номер участка" numFmtId="0">
      <sharedItems containsBlank="1" containsMixedTypes="1" containsNumber="1" containsInteger="1" minValue="1" maxValue="324" count="318">
        <n v="84"/>
        <n v="35"/>
        <n v="273"/>
        <n v="213"/>
        <s v="306-307"/>
        <n v="241"/>
        <n v="290"/>
        <n v="230"/>
        <n v="272"/>
        <n v="114"/>
        <n v="137"/>
        <n v="7"/>
        <n v="14"/>
        <n v="201"/>
        <n v="186"/>
        <n v="124"/>
        <n v="308"/>
        <n v="199"/>
        <n v="260"/>
        <n v="78"/>
        <n v="130"/>
        <n v="238"/>
        <n v="311"/>
        <n v="293"/>
        <n v="206"/>
        <n v="54"/>
        <n v="53"/>
        <n v="144"/>
        <n v="11"/>
        <n v="119"/>
        <n v="159"/>
        <n v="150"/>
        <n v="256"/>
        <n v="196"/>
        <n v="197"/>
        <n v="228"/>
        <n v="232"/>
        <n v="145"/>
        <n v="110"/>
        <n v="103"/>
        <n v="287"/>
        <n v="295"/>
        <n v="183"/>
        <n v="187"/>
        <n v="318"/>
        <n v="319"/>
        <n v="95"/>
        <n v="216"/>
        <n v="106"/>
        <n v="91"/>
        <n v="43"/>
        <n v="25"/>
        <n v="146"/>
        <n v="237"/>
        <n v="37"/>
        <n v="131"/>
        <n v="60"/>
        <n v="122"/>
        <n v="63"/>
        <n v="309"/>
        <n v="298"/>
        <n v="66"/>
        <n v="99"/>
        <n v="39"/>
        <n v="289"/>
        <n v="156"/>
        <n v="323"/>
        <s v="71-72"/>
        <n v="245"/>
        <n v="235"/>
        <n v="297"/>
        <n v="24"/>
        <n v="50"/>
        <n v="127"/>
        <n v="316"/>
        <n v="18"/>
        <n v="163"/>
        <n v="44"/>
        <n v="139"/>
        <n v="167"/>
        <n v="189"/>
        <n v="296"/>
        <n v="277"/>
        <n v="32"/>
        <n v="49"/>
        <n v="243"/>
        <n v="244"/>
        <s v="243-244"/>
        <n v="267"/>
        <n v="239"/>
        <n v="257"/>
        <n v="4"/>
        <n v="222"/>
        <n v="132"/>
        <n v="68"/>
        <n v="36"/>
        <n v="255"/>
        <n v="38"/>
        <n v="12"/>
        <n v="65"/>
        <n v="16"/>
        <n v="126"/>
        <n v="164"/>
        <n v="5"/>
        <n v="223"/>
        <n v="291"/>
        <n v="205"/>
        <n v="310"/>
        <n v="204"/>
        <n v="129"/>
        <n v="261"/>
        <n v="161"/>
        <n v="111"/>
        <n v="231"/>
        <n v="218"/>
        <n v="217"/>
        <n v="240"/>
        <n v="82"/>
        <n v="87"/>
        <n v="8"/>
        <n v="157"/>
        <n v="30"/>
        <n v="282"/>
        <n v="284"/>
        <n v="278"/>
        <n v="181"/>
        <n v="320"/>
        <n v="75"/>
        <n v="76"/>
        <n v="1"/>
        <n v="317"/>
        <n v="128"/>
        <n v="171"/>
        <n v="115"/>
        <n v="117"/>
        <n v="198"/>
        <n v="88"/>
        <n v="140"/>
        <n v="212"/>
        <n v="200"/>
        <n v="301"/>
        <n v="151"/>
        <n v="64"/>
        <n v="234"/>
        <n v="279"/>
        <n v="165"/>
        <n v="202"/>
        <n v="67"/>
        <n v="225"/>
        <n v="226"/>
        <n v="58"/>
        <n v="158"/>
        <n v="254"/>
        <n v="229"/>
        <n v="3"/>
        <n v="166"/>
        <n v="149"/>
        <n v="147"/>
        <n v="148"/>
        <n v="274"/>
        <n v="275"/>
        <n v="300"/>
        <n v="174"/>
        <n v="123"/>
        <n v="207"/>
        <n v="208"/>
        <n v="172"/>
        <n v="34"/>
        <n v="13"/>
        <n v="286"/>
        <n v="92"/>
        <n v="162"/>
        <n v="283"/>
        <n v="9"/>
        <n v="136"/>
        <n v="42"/>
        <n v="101"/>
        <n v="102"/>
        <n v="305"/>
        <n v="219"/>
        <n v="270"/>
        <n v="221"/>
        <m/>
        <n v="194"/>
        <n v="195"/>
        <n v="220"/>
        <n v="253"/>
        <n v="227"/>
        <n v="125"/>
        <n v="299"/>
        <n v="178"/>
        <n v="179"/>
        <n v="303"/>
        <n v="86"/>
        <n v="31"/>
        <n v="109"/>
        <n v="90"/>
        <n v="315"/>
        <n v="47"/>
        <n v="294"/>
        <n v="214"/>
        <n v="304"/>
        <n v="94"/>
        <n v="26"/>
        <n v="77"/>
        <n v="6"/>
        <n v="85"/>
        <n v="209"/>
        <n v="155"/>
        <n v="29"/>
        <n v="33"/>
        <n v="177"/>
        <n v="193"/>
        <n v="184"/>
        <n v="322"/>
        <n v="185"/>
        <n v="168"/>
        <n v="55"/>
        <n v="107"/>
        <n v="182"/>
        <n v="173"/>
        <n v="262"/>
        <s v="265-266"/>
        <s v="210-211"/>
        <s v="246-247"/>
        <n v="203"/>
        <n v="152"/>
        <n v="153"/>
        <n v="80"/>
        <n v="81"/>
        <n v="70"/>
        <n v="233"/>
        <n v="141"/>
        <n v="280"/>
        <n v="271"/>
        <n v="314"/>
        <n v="250"/>
        <n v="249"/>
        <n v="312"/>
        <n v="135"/>
        <n v="69"/>
        <n v="292"/>
        <n v="224"/>
        <n v="252"/>
        <n v="169"/>
        <n v="285"/>
        <n v="19"/>
        <s v="133-134"/>
        <n v="215"/>
        <n v="112"/>
        <n v="48"/>
        <n v="248"/>
        <n v="276"/>
        <n v="105"/>
        <n v="138"/>
        <n v="191"/>
        <n v="192"/>
        <n v="21"/>
        <n v="313"/>
        <n v="96"/>
        <n v="56"/>
        <s v="51-52"/>
        <n v="281"/>
        <n v="180"/>
        <n v="121"/>
        <n v="59"/>
        <n v="46"/>
        <n v="79"/>
        <n v="170"/>
        <n v="263"/>
        <n v="264"/>
        <n v="45"/>
        <s v="73-74"/>
        <n v="98"/>
        <n v="268"/>
        <n v="175"/>
        <n v="104"/>
        <n v="154"/>
        <n v="28"/>
        <n v="27"/>
        <n v="142"/>
        <n v="143"/>
        <s v="142-143"/>
        <n v="61"/>
        <n v="62"/>
        <n v="259"/>
        <n v="258"/>
        <n v="108"/>
        <n v="288"/>
        <n v="22"/>
        <n v="20"/>
        <n v="242"/>
        <n v="269"/>
        <n v="118"/>
        <n v="120"/>
        <n v="116"/>
        <n v="188"/>
        <n v="2"/>
        <n v="23"/>
        <n v="176"/>
        <n v="89"/>
        <n v="97"/>
        <n v="93"/>
        <n v="83"/>
        <n v="321"/>
        <n v="190"/>
        <n v="100"/>
        <n v="113"/>
        <n v="41"/>
        <n v="160"/>
        <n v="236"/>
        <n v="15"/>
        <n v="251"/>
        <n v="10"/>
        <n v="57"/>
        <n v="324"/>
        <n v="17"/>
        <n v="40"/>
      </sharedItems>
    </cacheField>
    <cacheField name="план" numFmtId="0">
      <sharedItems containsString="0" containsBlank="1" containsNumber="1" containsInteger="1" minValue="800" maxValue="800"/>
    </cacheField>
    <cacheField name="01.01.2016" numFmtId="4">
      <sharedItems containsString="0" containsBlank="1" containsNumber="1" minValue="600" maxValue="31000"/>
    </cacheField>
    <cacheField name="01.02.2016" numFmtId="4">
      <sharedItems containsString="0" containsBlank="1" containsNumber="1" containsInteger="1" minValue="600" maxValue="12000"/>
    </cacheField>
    <cacheField name="01.03.2016" numFmtId="4">
      <sharedItems containsString="0" containsBlank="1" containsNumber="1" containsInteger="1" minValue="800" maxValue="12000"/>
    </cacheField>
    <cacheField name="01.04.2016" numFmtId="4">
      <sharedItems containsString="0" containsBlank="1" containsNumber="1" containsInteger="1" minValue="800" maxValue="14400"/>
    </cacheField>
    <cacheField name="01.05.2016" numFmtId="4">
      <sharedItems containsString="0" containsBlank="1" containsNumber="1" containsInteger="1" minValue="800" maxValue="25000"/>
    </cacheField>
    <cacheField name="01.06.2016" numFmtId="4">
      <sharedItems containsString="0" containsBlank="1" containsNumber="1" containsInteger="1" minValue="800" maxValue="26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">
  <r>
    <s v="84Абу Махади Мохаммед Ибрагим"/>
    <n v="84"/>
    <x v="0"/>
  </r>
  <r>
    <s v="35Абушаев Роман Шамильевич"/>
    <n v="35"/>
    <x v="1"/>
  </r>
  <r>
    <s v="273Аксенов Дмитрий Викторович"/>
    <n v="273"/>
    <x v="2"/>
  </r>
  <r>
    <s v="213Александров Владимир Александрович"/>
    <n v="213"/>
    <x v="3"/>
  </r>
  <r>
    <s v="306-307Алексеев Андрей Олегович"/>
    <s v="306-307"/>
    <x v="4"/>
  </r>
  <r>
    <s v="241Амплеева Мария Александровна "/>
    <n v="241"/>
    <x v="5"/>
  </r>
  <r>
    <s v="290Андреева Любовь Ивановна(у Севастьянова)"/>
    <n v="290"/>
    <x v="6"/>
  </r>
  <r>
    <s v="230Анисимова (Корнеева) Татьяна Николаевна"/>
    <n v="230"/>
    <x v="7"/>
  </r>
  <r>
    <s v="272Анисимова Елена Анатольевна"/>
    <n v="272"/>
    <x v="8"/>
  </r>
  <r>
    <s v="114Антипова Жанна Михайловна"/>
    <n v="114"/>
    <x v="9"/>
  </r>
  <r>
    <s v="137Анциферов Алексей Сергеевич"/>
    <n v="137"/>
    <x v="10"/>
  </r>
  <r>
    <s v="14Артемьев Сергей Иванович"/>
    <n v="14"/>
    <x v="11"/>
  </r>
  <r>
    <s v="7Артемьев Сергей Иванович"/>
    <n v="7"/>
    <x v="11"/>
  </r>
  <r>
    <s v="201Асташкин Павел Александрович(продал???)"/>
    <n v="201"/>
    <x v="12"/>
  </r>
  <r>
    <s v="186Афанасьева Злата Сергеевна"/>
    <n v="186"/>
    <x v="13"/>
  </r>
  <r>
    <s v="124Афян Сасун Аркадиевич"/>
    <n v="124"/>
    <x v="14"/>
  </r>
  <r>
    <s v="308Ахромеев Андрей Владимирович"/>
    <n v="308"/>
    <x v="15"/>
  </r>
  <r>
    <s v="199Бадирьян Тамара Викторовна"/>
    <n v="199"/>
    <x v="16"/>
  </r>
  <r>
    <s v="260Байбикова Рузалия Равилевна / Байбикова Руфия Равилевна"/>
    <n v="260"/>
    <x v="17"/>
  </r>
  <r>
    <s v="130Безбородова Людмила Михайловна"/>
    <n v="130"/>
    <x v="18"/>
  </r>
  <r>
    <s v="238Безменова Татьяна Игоревна"/>
    <n v="238"/>
    <x v="19"/>
  </r>
  <r>
    <s v="311Бекмансурова Динара Василевна"/>
    <n v="311"/>
    <x v="20"/>
  </r>
  <r>
    <s v="293Белов Семён Иванович          "/>
    <n v="293"/>
    <x v="21"/>
  </r>
  <r>
    <s v="206Белоглазова Людмила Ивановна"/>
    <n v="206"/>
    <x v="22"/>
  </r>
  <r>
    <s v="54Бельская Светлана Александровна (Владимир)"/>
    <n v="54"/>
    <x v="23"/>
  </r>
  <r>
    <s v="53Бельский Владимир Владимирович (Светлана)"/>
    <n v="53"/>
    <x v="24"/>
  </r>
  <r>
    <s v="144Беляков Виктор Михайлович"/>
    <n v="144"/>
    <x v="25"/>
  </r>
  <r>
    <s v="11Бенгя Владимир Михайлович (Диана)"/>
    <n v="11"/>
    <x v="26"/>
  </r>
  <r>
    <s v="119Беспаленко Зинаида Александровна"/>
    <n v="119"/>
    <x v="27"/>
  </r>
  <r>
    <s v="159Бирюков Александр Сергеевич"/>
    <n v="159"/>
    <x v="28"/>
  </r>
  <r>
    <s v="150Блинков Анатолий Сергеевич"/>
    <n v="150"/>
    <x v="29"/>
  </r>
  <r>
    <s v="256Бондарев Станислав Дмитриевич"/>
    <n v="256"/>
    <x v="30"/>
  </r>
  <r>
    <s v="197Бондаренко Владимир Иванович"/>
    <n v="197"/>
    <x v="31"/>
  </r>
  <r>
    <s v="196Бондаренко Владимир Иванович"/>
    <n v="196"/>
    <x v="31"/>
  </r>
  <r>
    <s v="228Бондарь Василий Дмитриевич"/>
    <n v="228"/>
    <x v="32"/>
  </r>
  <r>
    <s v="232Борисов Олег Александрович"/>
    <n v="232"/>
    <x v="33"/>
  </r>
  <r>
    <s v="145Бранцова Татьяна Валерьевна"/>
    <n v="145"/>
    <x v="34"/>
  </r>
  <r>
    <s v="110Брылёв Андрей Вячеславович"/>
    <n v="110"/>
    <x v="35"/>
  </r>
  <r>
    <s v="103Бугрова Вероника Артуровна"/>
    <n v="103"/>
    <x v="36"/>
  </r>
  <r>
    <s v="295Будаев Андрей Анатольевич"/>
    <n v="295"/>
    <x v="37"/>
  </r>
  <r>
    <s v="287Будаев Андрей Анатольевич"/>
    <n v="287"/>
    <x v="37"/>
  </r>
  <r>
    <s v="187Буланова Лилия Михайловна"/>
    <n v="187"/>
    <x v="38"/>
  </r>
  <r>
    <s v="183Буланова Лилия Михайловна"/>
    <n v="183"/>
    <x v="38"/>
  </r>
  <r>
    <s v="319Бурдух Юрие"/>
    <n v="319"/>
    <x v="39"/>
  </r>
  <r>
    <s v="318Бурдух Юрие"/>
    <n v="318"/>
    <x v="39"/>
  </r>
  <r>
    <s v="95Быданцева Нина Юрьевна"/>
    <n v="95"/>
    <x v="40"/>
  </r>
  <r>
    <s v="216Валеев Артур Рашидович"/>
    <n v="216"/>
    <x v="41"/>
  </r>
  <r>
    <s v="106Васильев Николай Владимирович"/>
    <n v="106"/>
    <x v="42"/>
  </r>
  <r>
    <s v="91Васильева Ольга Александровна"/>
    <n v="91"/>
    <x v="43"/>
  </r>
  <r>
    <s v="43Васильцова Елена Владимировна"/>
    <n v="43"/>
    <x v="44"/>
  </r>
  <r>
    <s v="25Вершинина Елена Анатольевна"/>
    <n v="25"/>
    <x v="45"/>
  </r>
  <r>
    <s v="146Виноградова Наталья Дмитриевна (Николай)"/>
    <n v="146"/>
    <x v="46"/>
  </r>
  <r>
    <s v="237Виртилецкий Денис Вячеславович"/>
    <n v="237"/>
    <x v="47"/>
  </r>
  <r>
    <s v="37Водянова Ольга Александровна"/>
    <n v="37"/>
    <x v="48"/>
  </r>
  <r>
    <s v="131Волгушев Дмитрий Геннадиевич"/>
    <n v="131"/>
    <x v="49"/>
  </r>
  <r>
    <s v="60Володина Инна Александровна"/>
    <n v="60"/>
    <x v="50"/>
  </r>
  <r>
    <s v="122Вольский Андрей Юрьевич"/>
    <n v="122"/>
    <x v="51"/>
  </r>
  <r>
    <s v="63Высоких Антон Маркович"/>
    <n v="63"/>
    <x v="52"/>
  </r>
  <r>
    <s v="309Гайкова (Дьякова) Мария Викторовна"/>
    <n v="309"/>
    <x v="53"/>
  </r>
  <r>
    <s v="298Ганин Александр Борисович"/>
    <n v="298"/>
    <x v="54"/>
  </r>
  <r>
    <s v="66Горбунов Владимир Александрович"/>
    <n v="66"/>
    <x v="55"/>
  </r>
  <r>
    <s v="99Горбунов Максим Николаевич"/>
    <n v="99"/>
    <x v="56"/>
  </r>
  <r>
    <s v="39Гордейчик Игорь Борисович"/>
    <n v="39"/>
    <x v="57"/>
  </r>
  <r>
    <s v="289Горянов Михаил Андреевич"/>
    <n v="289"/>
    <x v="58"/>
  </r>
  <r>
    <s v="156Горячев Дмитрий Николаевич"/>
    <n v="156"/>
    <x v="59"/>
  </r>
  <r>
    <s v="323Губарева Татьяна Григорьевна"/>
    <n v="323"/>
    <x v="60"/>
  </r>
  <r>
    <s v="71-72Гусева Светлана Григорьевна"/>
    <s v="71-72"/>
    <x v="61"/>
  </r>
  <r>
    <s v="245Давыдова Анна Сергеевна"/>
    <n v="245"/>
    <x v="62"/>
  </r>
  <r>
    <s v="235Данильянц Юрий Константинович   "/>
    <n v="235"/>
    <x v="63"/>
  </r>
  <r>
    <s v="297Даточный Алексей Валерьевич"/>
    <n v="297"/>
    <x v="64"/>
  </r>
  <r>
    <s v="24Двойрина Юлия Владимировна"/>
    <n v="24"/>
    <x v="65"/>
  </r>
  <r>
    <s v="50Денисов Дмитрий Алексеевич"/>
    <n v="50"/>
    <x v="66"/>
  </r>
  <r>
    <s v="127Денисов Сергей Александрович"/>
    <n v="127"/>
    <x v="67"/>
  </r>
  <r>
    <s v="316Десюкова Марина Александровна"/>
    <n v="316"/>
    <x v="68"/>
  </r>
  <r>
    <s v="18Дидушко Денис Васильевич (Василий)"/>
    <n v="18"/>
    <x v="69"/>
  </r>
  <r>
    <s v="163Дорошенко Владимир Алексеевич"/>
    <n v="163"/>
    <x v="70"/>
  </r>
  <r>
    <s v="44Дубов Александр Сергеевич"/>
    <n v="44"/>
    <x v="71"/>
  </r>
  <r>
    <s v="139Евглевская Ольга Борисовна"/>
    <n v="139"/>
    <x v="72"/>
  </r>
  <r>
    <s v="167Евсеев Александр Сергеевич"/>
    <n v="167"/>
    <x v="73"/>
  </r>
  <r>
    <s v="189Елисеев Сергей Вячеславович          "/>
    <n v="189"/>
    <x v="74"/>
  </r>
  <r>
    <s v="296Епанчинцева Людмила Филипповна"/>
    <n v="296"/>
    <x v="75"/>
  </r>
  <r>
    <s v="277Еременко Виктор Александрович (Валентина)"/>
    <n v="277"/>
    <x v="76"/>
  </r>
  <r>
    <s v="32Ермакова Татьяна Викторовна"/>
    <n v="32"/>
    <x v="77"/>
  </r>
  <r>
    <s v="49Ермолаева Виктория Александровна"/>
    <n v="49"/>
    <x v="78"/>
  </r>
  <r>
    <s v="243-244Ермошина Татьяна Евгеньевна (Владимир)"/>
    <s v="243-244"/>
    <x v="79"/>
  </r>
  <r>
    <s v="244Ермошина Татьяна Евгеньевна (Владимир)"/>
    <n v="244"/>
    <x v="79"/>
  </r>
  <r>
    <s v="243Ермошина Татьяна Евгеньевна (Владимир)"/>
    <n v="243"/>
    <x v="79"/>
  </r>
  <r>
    <s v="267Ершова Виктория Львовна"/>
    <n v="267"/>
    <x v="80"/>
  </r>
  <r>
    <s v="257Жарикова Светлана Юрьевна"/>
    <n v="257"/>
    <x v="81"/>
  </r>
  <r>
    <s v="239Жарикова Светлана Юрьевна"/>
    <n v="239"/>
    <x v="81"/>
  </r>
  <r>
    <s v="4Жигунов Юрий Александрович"/>
    <n v="4"/>
    <x v="82"/>
  </r>
  <r>
    <s v="222Жирная Татьяна Сергеевна"/>
    <n v="222"/>
    <x v="83"/>
  </r>
  <r>
    <s v="132Жохова Елена Сергеевна"/>
    <n v="132"/>
    <x v="84"/>
  </r>
  <r>
    <s v="68Заборская Светлана Анатольевна (Андрей)"/>
    <n v="68"/>
    <x v="85"/>
  </r>
  <r>
    <s v="36Закревская Марина Владимировна"/>
    <n v="36"/>
    <x v="86"/>
  </r>
  <r>
    <s v="255Заручинский Вячеслав Владимирович"/>
    <n v="255"/>
    <x v="87"/>
  </r>
  <r>
    <s v="38Заручинский Вячеслав Владимирович"/>
    <n v="38"/>
    <x v="87"/>
  </r>
  <r>
    <s v="12Захаренкова Светлана Евгеньевна"/>
    <n v="12"/>
    <x v="88"/>
  </r>
  <r>
    <s v="65Захаров Михаил Сергеевич"/>
    <n v="65"/>
    <x v="89"/>
  </r>
  <r>
    <s v="16Захарова Людмила Захаровна"/>
    <n v="16"/>
    <x v="90"/>
  </r>
  <r>
    <s v="126Зиннатов Рафаэль Шакурович"/>
    <n v="126"/>
    <x v="91"/>
  </r>
  <r>
    <s v="164Иваненко Петр Олегович"/>
    <n v="164"/>
    <x v="92"/>
  </r>
  <r>
    <s v="5Иванов Владимир Николаевич"/>
    <n v="5"/>
    <x v="93"/>
  </r>
  <r>
    <s v="223Иванов Денис Сильвестрович"/>
    <n v="223"/>
    <x v="94"/>
  </r>
  <r>
    <s v="291Иванова Светлана Сергеевна"/>
    <n v="291"/>
    <x v="95"/>
  </r>
  <r>
    <s v="205Иванова Татьяна Викторовна"/>
    <n v="205"/>
    <x v="96"/>
  </r>
  <r>
    <s v="310Измайлов Михаил Михайлович"/>
    <n v="310"/>
    <x v="97"/>
  </r>
  <r>
    <s v="204Казарин Сергей Викторович"/>
    <n v="204"/>
    <x v="98"/>
  </r>
  <r>
    <s v="129Казымов Горхмаз Гамид/Лавренчук Александр Владиславович"/>
    <n v="129"/>
    <x v="99"/>
  </r>
  <r>
    <s v="261Каляникова Наталья Сергеевна"/>
    <n v="261"/>
    <x v="100"/>
  </r>
  <r>
    <s v="161Канышкина Юлия Юрьевна"/>
    <n v="161"/>
    <x v="101"/>
  </r>
  <r>
    <s v="111Карпекина Лилия Рафаэльевна"/>
    <n v="111"/>
    <x v="102"/>
  </r>
  <r>
    <s v="231Карпова Елена Витальевна"/>
    <n v="231"/>
    <x v="103"/>
  </r>
  <r>
    <s v="218Катушкин Роман Юрьевич"/>
    <n v="218"/>
    <x v="104"/>
  </r>
  <r>
    <s v="217Катушкин Роман Юрьевич//Валеев Артур Рашидович"/>
    <n v="217"/>
    <x v="105"/>
  </r>
  <r>
    <s v="240Кашичкин Александр Борисович"/>
    <n v="240"/>
    <x v="106"/>
  </r>
  <r>
    <s v="82Киеня Валентина Александровна (Анатолий)"/>
    <n v="82"/>
    <x v="107"/>
  </r>
  <r>
    <s v="87Кикоть Наталья Петровна (Андрей)"/>
    <n v="87"/>
    <x v="108"/>
  </r>
  <r>
    <s v="8Кириенко Раиса Федоровна"/>
    <n v="8"/>
    <x v="109"/>
  </r>
  <r>
    <s v="157Кириллов Вадим Александрович"/>
    <n v="157"/>
    <x v="110"/>
  </r>
  <r>
    <s v="30Кириллов Дмитрий Александрович"/>
    <n v="30"/>
    <x v="111"/>
  </r>
  <r>
    <s v="282Коваленко Ирина Леонидовна"/>
    <n v="282"/>
    <x v="112"/>
  </r>
  <r>
    <s v="284Кожемякин Сергей Владимирович"/>
    <n v="284"/>
    <x v="113"/>
  </r>
  <r>
    <s v="278Козловский Алексей Гаврилович"/>
    <n v="278"/>
    <x v="114"/>
  </r>
  <r>
    <s v="181Колесников Никита Олегович(у Кряжковой Виктория Сергеевна"/>
    <n v="181"/>
    <x v="115"/>
  </r>
  <r>
    <s v="320Колесов Вадим Владимирович"/>
    <n v="320"/>
    <x v="116"/>
  </r>
  <r>
    <s v="76Колташ Анна Владимировна"/>
    <n v="76"/>
    <x v="117"/>
  </r>
  <r>
    <s v="75Колташ Анна Владимировна"/>
    <n v="75"/>
    <x v="117"/>
  </r>
  <r>
    <s v="1Колыгина Нина Николаевна"/>
    <n v="1"/>
    <x v="118"/>
  </r>
  <r>
    <s v="317Колышкина Александра Сергеевна"/>
    <n v="317"/>
    <x v="119"/>
  </r>
  <r>
    <s v="128Кондратьева Юлия Викторовна"/>
    <n v="128"/>
    <x v="120"/>
  </r>
  <r>
    <s v="171Кондратюк Наталья Петровна 1/2,  Соболев Олег Юрьевич 1/2"/>
    <n v="171"/>
    <x v="121"/>
  </r>
  <r>
    <s v="115Кондрашов Роман Вячеславович"/>
    <n v="115"/>
    <x v="122"/>
  </r>
  <r>
    <s v="117Кондрашов Сергей Вячеславович//Балыкин Александр Иванович"/>
    <n v="117"/>
    <x v="123"/>
  </r>
  <r>
    <s v="198Коновальцев Олег Серафимович"/>
    <n v="198"/>
    <x v="124"/>
  </r>
  <r>
    <s v="88Кононенко Алла Николаевна (Александр)"/>
    <n v="88"/>
    <x v="125"/>
  </r>
  <r>
    <s v="140Короткевич Наталья Владимировна"/>
    <n v="140"/>
    <x v="126"/>
  </r>
  <r>
    <s v="212Корчинская Ирина Анатольевна"/>
    <n v="212"/>
    <x v="127"/>
  </r>
  <r>
    <s v="200Косенков Степан Фед-ч(Галактионова)"/>
    <n v="200"/>
    <x v="128"/>
  </r>
  <r>
    <s v="301Косенкова Елизавета Евгеньевна"/>
    <n v="301"/>
    <x v="129"/>
  </r>
  <r>
    <s v="151Красникова Раиса Михайловна"/>
    <n v="151"/>
    <x v="130"/>
  </r>
  <r>
    <s v="64Кривой Владимир Аркадьевич"/>
    <n v="64"/>
    <x v="131"/>
  </r>
  <r>
    <s v="234Крупник Андрей Валерьевич"/>
    <n v="234"/>
    <x v="132"/>
  </r>
  <r>
    <s v="279Кудревцев Евгений Александрович"/>
    <n v="279"/>
    <x v="133"/>
  </r>
  <r>
    <s v="165Кудрявцева Наталья Викторовна"/>
    <n v="165"/>
    <x v="134"/>
  </r>
  <r>
    <s v="202Куликов Александр Владимирович"/>
    <n v="202"/>
    <x v="135"/>
  </r>
  <r>
    <s v="67Куликова Наталья Александровна "/>
    <n v="67"/>
    <x v="136"/>
  </r>
  <r>
    <s v="226Кулиш Сергей Александрович       "/>
    <n v="226"/>
    <x v="137"/>
  </r>
  <r>
    <s v="225Кулиш Сергей Александрович       "/>
    <n v="225"/>
    <x v="137"/>
  </r>
  <r>
    <s v="58Кушваха Виджай Шанкар"/>
    <n v="58"/>
    <x v="138"/>
  </r>
  <r>
    <s v="158Лайпанов Рустам Сеитбиевич"/>
    <n v="158"/>
    <x v="139"/>
  </r>
  <r>
    <s v="254Лапшин Сергей Николаевич"/>
    <n v="254"/>
    <x v="140"/>
  </r>
  <r>
    <s v="229Ларионова Наталья Владимировна"/>
    <n v="229"/>
    <x v="141"/>
  </r>
  <r>
    <s v="3Лебедев Андрей Анатольевич"/>
    <n v="3"/>
    <x v="142"/>
  </r>
  <r>
    <s v="166Лебедева Елена Александровна"/>
    <n v="166"/>
    <x v="143"/>
  </r>
  <r>
    <s v="149Левина Елена Александровна (Дмитрий)"/>
    <n v="149"/>
    <x v="144"/>
  </r>
  <r>
    <s v="148Левина Елена Александровна (Дмитрий)"/>
    <n v="148"/>
    <x v="144"/>
  </r>
  <r>
    <s v="147Левина Елена Александровна (Дмитрий)"/>
    <n v="147"/>
    <x v="144"/>
  </r>
  <r>
    <s v="275Леськов Олег Петрович"/>
    <n v="275"/>
    <x v="145"/>
  </r>
  <r>
    <s v="274Леськов Олег Петрович"/>
    <n v="274"/>
    <x v="145"/>
  </r>
  <r>
    <s v="78Лещёва Ольга Владимировна"/>
    <n v="78"/>
    <x v="146"/>
  </r>
  <r>
    <s v="300Ли Наталья Сергеевна"/>
    <n v="300"/>
    <x v="147"/>
  </r>
  <r>
    <s v="174Ловыгина Татьяна Александровна"/>
    <n v="174"/>
    <x v="148"/>
  </r>
  <r>
    <s v="123Лопухинова Надежда Михайловна"/>
    <n v="123"/>
    <x v="149"/>
  </r>
  <r>
    <s v="208Лошкарев Виктор Ильич"/>
    <n v="208"/>
    <x v="150"/>
  </r>
  <r>
    <s v="207Лошкарев Виктор Ильич"/>
    <n v="207"/>
    <x v="150"/>
  </r>
  <r>
    <s v="172Лунёв Денис Александрович"/>
    <n v="172"/>
    <x v="151"/>
  </r>
  <r>
    <s v="34Лунева Ольга Петровна"/>
    <n v="34"/>
    <x v="152"/>
  </r>
  <r>
    <s v="13Малов Алексей Викторович"/>
    <n v="13"/>
    <x v="153"/>
  </r>
  <r>
    <s v="286Маргиева Марина Евгеньевна"/>
    <n v="286"/>
    <x v="154"/>
  </r>
  <r>
    <s v="92Маркина Людмила Николаевна, Марина"/>
    <n v="92"/>
    <x v="155"/>
  </r>
  <r>
    <s v="162Марков Максим Юрьевич"/>
    <n v="162"/>
    <x v="156"/>
  </r>
  <r>
    <s v="283Маркова Тамара Ивановна"/>
    <n v="283"/>
    <x v="157"/>
  </r>
  <r>
    <s v="9Марковнина Светлана Викторовна"/>
    <n v="9"/>
    <x v="158"/>
  </r>
  <r>
    <s v="136Маслов Александр Александрович"/>
    <n v="136"/>
    <x v="159"/>
  </r>
  <r>
    <s v="42Маслов Андрей Геннадьевич (1/2)                 Щербакова Надежда Михайловна (1/2)"/>
    <n v="42"/>
    <x v="160"/>
  </r>
  <r>
    <s v="102Маслова Валентина Петровна"/>
    <n v="102"/>
    <x v="161"/>
  </r>
  <r>
    <s v="101Маслова Валентина Петровна"/>
    <n v="101"/>
    <x v="161"/>
  </r>
  <r>
    <s v="305Матвеев Денис Львович"/>
    <n v="305"/>
    <x v="162"/>
  </r>
  <r>
    <s v="219Мельников Михаил Вячеславович / Диденко"/>
    <n v="219"/>
    <x v="163"/>
  </r>
  <r>
    <s v="270Месхидзе Оксана Валерьевна"/>
    <n v="270"/>
    <x v="164"/>
  </r>
  <r>
    <s v="221Милишенко Надежда Ивановна"/>
    <n v="221"/>
    <x v="165"/>
  </r>
  <r>
    <s v="Милоянин Алексей Леонидович"/>
    <m/>
    <x v="166"/>
  </r>
  <r>
    <s v="194Мирошниченко Андрей Иванович Захарова Елена Александровна"/>
    <n v="194"/>
    <x v="167"/>
  </r>
  <r>
    <s v="195Мирошниченко Екатерина Олеговна"/>
    <n v="195"/>
    <x v="168"/>
  </r>
  <r>
    <s v="220Модин Игорь Николаевич"/>
    <n v="220"/>
    <x v="169"/>
  </r>
  <r>
    <s v="253Моисеев Андрей Валентинович"/>
    <n v="253"/>
    <x v="170"/>
  </r>
  <r>
    <s v="227Молчанова Ирина Владимировна"/>
    <n v="227"/>
    <x v="171"/>
  </r>
  <r>
    <s v="125Мудрак Владимир Григорьевич (Марина)"/>
    <n v="125"/>
    <x v="172"/>
  </r>
  <r>
    <s v="299Мурадова Альбина Сергеевна"/>
    <n v="299"/>
    <x v="173"/>
  </r>
  <r>
    <s v="179Науменко Дмитрий Александрович"/>
    <n v="179"/>
    <x v="174"/>
  </r>
  <r>
    <s v="178Науменко Дмитрий Александрович"/>
    <n v="178"/>
    <x v="174"/>
  </r>
  <r>
    <s v="303Недосенко Татьяна Сергеевна (Олег)"/>
    <n v="303"/>
    <x v="175"/>
  </r>
  <r>
    <s v="86Нелюбов Сергей Владимирович"/>
    <n v="86"/>
    <x v="176"/>
  </r>
  <r>
    <s v="31Нефедов Михаил Владимирович"/>
    <n v="31"/>
    <x v="177"/>
  </r>
  <r>
    <s v="109Никифоров Андрей Леонидович"/>
    <n v="109"/>
    <x v="178"/>
  </r>
  <r>
    <s v="90Новиков Виктор Викторович"/>
    <n v="90"/>
    <x v="179"/>
  </r>
  <r>
    <s v="315Новикова Наталья Петровна"/>
    <n v="315"/>
    <x v="180"/>
  </r>
  <r>
    <s v="47Новикова Светлана Владимировна (Анатолий)"/>
    <n v="47"/>
    <x v="181"/>
  </r>
  <r>
    <s v="294Нормуротов Анваржон Абдирайимович    "/>
    <n v="294"/>
    <x v="182"/>
  </r>
  <r>
    <s v="214Носикова Александра Васильевна "/>
    <n v="214"/>
    <x v="183"/>
  </r>
  <r>
    <s v="304Носикова Мария Леонидовна"/>
    <n v="304"/>
    <x v="184"/>
  </r>
  <r>
    <s v="94Олег (Гусев Николай Михайлович — был) "/>
    <n v="94"/>
    <x v="185"/>
  </r>
  <r>
    <s v="26Олейников Дмитрий Александрович "/>
    <n v="26"/>
    <x v="186"/>
  </r>
  <r>
    <s v="77Олейникова Евгения Александровна"/>
    <n v="77"/>
    <x v="187"/>
  </r>
  <r>
    <s v="6Осадчев Константин Владимирович"/>
    <n v="6"/>
    <x v="188"/>
  </r>
  <r>
    <s v="85Острикова Наталья Львовна"/>
    <n v="85"/>
    <x v="189"/>
  </r>
  <r>
    <s v="209Пархачева Эльвира Валентиновна (Алксандр)"/>
    <n v="209"/>
    <x v="190"/>
  </r>
  <r>
    <s v="155Пахарева Ольга Александровна (Дмитрий)"/>
    <n v="155"/>
    <x v="191"/>
  </r>
  <r>
    <s v="29Петрик Наталья Вячеславовна"/>
    <n v="29"/>
    <x v="192"/>
  </r>
  <r>
    <s v="33Петров Борис Викторович"/>
    <n v="33"/>
    <x v="193"/>
  </r>
  <r>
    <s v="177Петрова Елена Николаевна"/>
    <n v="177"/>
    <x v="194"/>
  </r>
  <r>
    <s v="193Петункин Игорь Минович"/>
    <n v="193"/>
    <x v="195"/>
  </r>
  <r>
    <s v="184Пикалёва Алла Григорьевна (Юрий)"/>
    <n v="184"/>
    <x v="196"/>
  </r>
  <r>
    <s v="322Поликарпова Наталья Дмитриевна"/>
    <n v="322"/>
    <x v="197"/>
  </r>
  <r>
    <s v="185Полякова Марина Александровна"/>
    <n v="185"/>
    <x v="198"/>
  </r>
  <r>
    <s v="168Пономарева Олеся Сергеевна"/>
    <n v="168"/>
    <x v="199"/>
  </r>
  <r>
    <s v="55Попова Нина Ивановна"/>
    <n v="55"/>
    <x v="200"/>
  </r>
  <r>
    <s v="107Постернак Татьяна Николаевна"/>
    <n v="107"/>
    <x v="201"/>
  </r>
  <r>
    <s v="182Просянов Александр Александрович"/>
    <n v="182"/>
    <x v="202"/>
  </r>
  <r>
    <s v="173Прохоров Владимир Михайлович        "/>
    <n v="173"/>
    <x v="203"/>
  </r>
  <r>
    <s v="262Пузанова Екатерина Вячеславовна        "/>
    <n v="262"/>
    <x v="204"/>
  </r>
  <r>
    <s v="265-266Ратников Алексей Сергеевич"/>
    <s v="265-266"/>
    <x v="205"/>
  </r>
  <r>
    <s v="306-307-210-211Решетов Владимир Генадьевич"/>
    <s v="306-307-210-211"/>
    <x v="206"/>
  </r>
  <r>
    <s v="203Родичева Наталья Николаевна - Завилевская Е.И. ???"/>
    <n v="203"/>
    <x v="207"/>
  </r>
  <r>
    <s v="153Рожкова Глафира Андреевна"/>
    <n v="153"/>
    <x v="208"/>
  </r>
  <r>
    <s v="152Рожкова Глафира Андреевна"/>
    <n v="152"/>
    <x v="208"/>
  </r>
  <r>
    <s v="81Розова Татьяна Викторовна"/>
    <n v="81"/>
    <x v="209"/>
  </r>
  <r>
    <s v="80Розова Татьяна Викторовна"/>
    <n v="80"/>
    <x v="209"/>
  </r>
  <r>
    <s v="70Рощина Ирина Михайловна"/>
    <n v="70"/>
    <x v="210"/>
  </r>
  <r>
    <s v="233Рудая Наталья Викторовна           "/>
    <n v="233"/>
    <x v="211"/>
  </r>
  <r>
    <s v="141Рыбалкин Андрей Сергеевич"/>
    <n v="141"/>
    <x v="212"/>
  </r>
  <r>
    <s v="280Рыжов Андрей Николаевич"/>
    <n v="280"/>
    <x v="213"/>
  </r>
  <r>
    <s v="271Савина Нина Ивановна"/>
    <n v="271"/>
    <x v="214"/>
  </r>
  <r>
    <s v="314Садовников Алексей Владимирович(Рошка Александр Николаевич)"/>
    <n v="314"/>
    <x v="215"/>
  </r>
  <r>
    <s v="219Сазонов Сергей Александрович - Диденко Оксана Владимировна"/>
    <n v="219"/>
    <x v="216"/>
  </r>
  <r>
    <s v="250Салопаева Татьяна Сергеевна"/>
    <n v="250"/>
    <x v="217"/>
  </r>
  <r>
    <s v="249Самоволькина Ирина Владимировна"/>
    <n v="249"/>
    <x v="218"/>
  </r>
  <r>
    <s v="83Самородов"/>
    <n v="83"/>
    <x v="219"/>
  </r>
  <r>
    <s v="312Саргсян Оганнес Ншанович"/>
    <n v="312"/>
    <x v="220"/>
  </r>
  <r>
    <s v="135Сафронова Наталья Михайловна (у Дедков Илья Егорьевич купила)"/>
    <n v="135"/>
    <x v="221"/>
  </r>
  <r>
    <s v="69Сбитнева Юлия Сергеевна"/>
    <n v="69"/>
    <x v="222"/>
  </r>
  <r>
    <s v="290Севастьянов Михаил Григорьевич"/>
    <n v="290"/>
    <x v="223"/>
  </r>
  <r>
    <s v="292Севрюгина Ольга Викторовна"/>
    <n v="292"/>
    <x v="224"/>
  </r>
  <r>
    <s v="224Семенова Рима Прановна    "/>
    <n v="224"/>
    <x v="225"/>
  </r>
  <r>
    <s v="252Сёмин Александр Иванович"/>
    <n v="252"/>
    <x v="226"/>
  </r>
  <r>
    <s v="169Сергиенко Николай Михайлович"/>
    <n v="169"/>
    <x v="227"/>
  </r>
  <r>
    <s v="285Серебряков Игорь Васильевич"/>
    <n v="285"/>
    <x v="228"/>
  </r>
  <r>
    <s v="19Серкин Сергей Львовович"/>
    <n v="19"/>
    <x v="229"/>
  </r>
  <r>
    <s v="133-134Сидельникова Ольга Петровна"/>
    <s v="133-134"/>
    <x v="230"/>
  </r>
  <r>
    <s v="215Сидоров Александр Юрьевич"/>
    <n v="215"/>
    <x v="231"/>
  </r>
  <r>
    <s v="112Сиротин Дмитрий Борисович (Приставалова)"/>
    <n v="112"/>
    <x v="232"/>
  </r>
  <r>
    <s v="48Сломов Константин Витальевич"/>
    <n v="48"/>
    <x v="233"/>
  </r>
  <r>
    <s v="248Смирнов Максим Анатольевич, Светлана"/>
    <n v="248"/>
    <x v="234"/>
  </r>
  <r>
    <s v="276Соколова Ирина Анатольевна"/>
    <n v="276"/>
    <x v="235"/>
  </r>
  <r>
    <s v="105Солодкий Дмитрий Павлович"/>
    <n v="105"/>
    <x v="236"/>
  </r>
  <r>
    <s v="138Спивак Сергей Николаевич"/>
    <n v="138"/>
    <x v="237"/>
  </r>
  <r>
    <s v="192Спиридонов Андрей Владимирович"/>
    <n v="192"/>
    <x v="238"/>
  </r>
  <r>
    <s v="191Спиридонов Андрей Владимирович"/>
    <n v="191"/>
    <x v="238"/>
  </r>
  <r>
    <s v="21Старостин Виктор Вячеславович"/>
    <n v="21"/>
    <x v="239"/>
  </r>
  <r>
    <s v="313Степанов Валерий Владимирович"/>
    <n v="313"/>
    <x v="240"/>
  </r>
  <r>
    <s v="96Степанова Марина Николаевна (Артем)"/>
    <n v="96"/>
    <x v="241"/>
  </r>
  <r>
    <s v="56Стрелков Андрей Вячеславович"/>
    <n v="56"/>
    <x v="242"/>
  </r>
  <r>
    <s v="51-52Стрелков Андрей Вячеславович  "/>
    <s v="51-52"/>
    <x v="243"/>
  </r>
  <r>
    <s v="281Стрелков Николай Валентинович"/>
    <n v="281"/>
    <x v="244"/>
  </r>
  <r>
    <s v="180Ступнев Евгений  Романович"/>
    <n v="180"/>
    <x v="245"/>
  </r>
  <r>
    <s v="121Суворов Сергей Анатольевич"/>
    <n v="121"/>
    <x v="246"/>
  </r>
  <r>
    <s v="59Суркова Татьяна Александровна"/>
    <n v="59"/>
    <x v="247"/>
  </r>
  <r>
    <s v="46Сысоев Евгений Анатольевич"/>
    <n v="46"/>
    <x v="248"/>
  </r>
  <r>
    <s v="79Сысоев Семен Евгеньевич"/>
    <n v="79"/>
    <x v="249"/>
  </r>
  <r>
    <s v="170Тадлов Виталий Петрович"/>
    <n v="170"/>
    <x v="250"/>
  </r>
  <r>
    <s v="264Тарасенко Анатолий Семенович"/>
    <n v="264"/>
    <x v="251"/>
  </r>
  <r>
    <s v="263Тарасенко Анатолий Семенович"/>
    <n v="263"/>
    <x v="251"/>
  </r>
  <r>
    <s v="45Темникова Елена Станиславовна"/>
    <n v="45"/>
    <x v="252"/>
  </r>
  <r>
    <s v="73-74Тимофеева Лариса Викторовна"/>
    <s v="73-74"/>
    <x v="253"/>
  </r>
  <r>
    <s v="98Тимофеева Татьяна Александровна (Денис)"/>
    <n v="98"/>
    <x v="254"/>
  </r>
  <r>
    <s v="268Толкова Елена Анатольевна (Олег)"/>
    <n v="268"/>
    <x v="255"/>
  </r>
  <r>
    <s v="175Трубченко Петр Александрович"/>
    <n v="175"/>
    <x v="256"/>
  </r>
  <r>
    <s v="104Трыкин Евгений Викторович"/>
    <n v="104"/>
    <x v="257"/>
  </r>
  <r>
    <s v="154Тюленев Вячеслав Рудольфович"/>
    <n v="154"/>
    <x v="258"/>
  </r>
  <r>
    <m/>
    <m/>
    <x v="259"/>
  </r>
  <r>
    <s v="28Федорова Наталья Владимировна"/>
    <n v="28"/>
    <x v="260"/>
  </r>
  <r>
    <s v="27Федорова Юлия Владимировна"/>
    <n v="27"/>
    <x v="261"/>
  </r>
  <r>
    <s v="142-143Финогин Сергей Александрович"/>
    <s v="142-143"/>
    <x v="262"/>
  </r>
  <r>
    <s v="143Финогин Сергей Александрович"/>
    <n v="143"/>
    <x v="262"/>
  </r>
  <r>
    <s v="142Финогин Сергей Александрович"/>
    <n v="142"/>
    <x v="262"/>
  </r>
  <r>
    <s v="61Фисенко Вадим Петрович"/>
    <n v="61"/>
    <x v="263"/>
  </r>
  <r>
    <s v="62Фисенко Дмитрий Петрович"/>
    <n v="62"/>
    <x v="264"/>
  </r>
  <r>
    <s v="259Фомин Андрей Анатольевич"/>
    <n v="259"/>
    <x v="265"/>
  </r>
  <r>
    <s v="258Фомин Игорь Анатольевич"/>
    <n v="258"/>
    <x v="266"/>
  </r>
  <r>
    <s v="108Фомичев Александр Петрович"/>
    <n v="108"/>
    <x v="267"/>
  </r>
  <r>
    <s v="288Хайлов Алексей Анатольевич"/>
    <n v="288"/>
    <x v="268"/>
  </r>
  <r>
    <s v="22Хан Виталий Борисович"/>
    <n v="22"/>
    <x v="269"/>
  </r>
  <r>
    <s v="20Харинкина Танзиля Гарафутдиновна"/>
    <n v="20"/>
    <x v="270"/>
  </r>
  <r>
    <s v="242Хаустова Люция Егоровна"/>
    <n v="242"/>
    <x v="271"/>
  </r>
  <r>
    <s v="269Хачатрян Алла Самвеловна"/>
    <n v="269"/>
    <x v="272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88Черешнева Виктория Викторовна"/>
    <n v="188"/>
    <x v="274"/>
  </r>
  <r>
    <s v="2Чернявская Оксана Юрьевна        "/>
    <n v="2"/>
    <x v="275"/>
  </r>
  <r>
    <s v="23Чигрины Анна Анатольевна и Геннадий Иванович"/>
    <n v="23"/>
    <x v="276"/>
  </r>
  <r>
    <s v="176Чикачёв Сергей Иванович"/>
    <n v="176"/>
    <x v="277"/>
  </r>
  <r>
    <s v="89Шабунина Светлана Николаевна"/>
    <n v="89"/>
    <x v="278"/>
  </r>
  <r>
    <s v="97+93Шалинов Андрей Вадимович"/>
    <s v="97+93"/>
    <x v="279"/>
  </r>
  <r>
    <s v="97+93Шалинов Андрей Вадимович"/>
    <s v="97+93"/>
    <x v="279"/>
  </r>
  <r>
    <s v="83Шелухина Мария Сергеевна"/>
    <n v="83"/>
    <x v="280"/>
  </r>
  <r>
    <s v="321Шептухина Александра Борисовна"/>
    <n v="321"/>
    <x v="281"/>
  </r>
  <r>
    <s v="190Широков Евгений Александрович"/>
    <n v="190"/>
    <x v="282"/>
  </r>
  <r>
    <s v="100Шорахматов Мухаммадхуджа Замшоевич"/>
    <n v="100"/>
    <x v="283"/>
  </r>
  <r>
    <s v="113Шурдук Лариса Анатольевна (Игорь)"/>
    <n v="113"/>
    <x v="284"/>
  </r>
  <r>
    <s v="41Шустов Василий Александрович"/>
    <n v="41"/>
    <x v="285"/>
  </r>
  <r>
    <s v="160Щербаков Павел Евгеньевич"/>
    <n v="160"/>
    <x v="286"/>
  </r>
  <r>
    <s v="236Щербакова Татьяна Дмитриевна      "/>
    <n v="236"/>
    <x v="287"/>
  </r>
  <r>
    <s v="15Элефтерова Евгения Викторовна (Михаил)"/>
    <n v="15"/>
    <x v="288"/>
  </r>
  <r>
    <s v="251Якиманский Александр Александрович"/>
    <n v="251"/>
    <x v="289"/>
  </r>
  <r>
    <s v="10Якушина Любовь Викторовна"/>
    <n v="10"/>
    <x v="290"/>
  </r>
  <r>
    <s v="57Янковская Елена Александровна"/>
    <n v="57"/>
    <x v="291"/>
  </r>
  <r>
    <s v="324Янковская Яна Валерьевна"/>
    <n v="324"/>
    <x v="292"/>
  </r>
  <r>
    <s v="17Яструб Валерий Викторович"/>
    <n v="17"/>
    <x v="293"/>
  </r>
  <r>
    <s v="40Яшин Евгений Иванович"/>
    <n v="40"/>
    <x v="2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2">
  <r>
    <x v="0"/>
    <x v="0"/>
    <n v="800"/>
    <m/>
    <n v="4000"/>
    <m/>
    <n v="2400"/>
    <m/>
    <m/>
  </r>
  <r>
    <x v="1"/>
    <x v="1"/>
    <n v="800"/>
    <m/>
    <m/>
    <m/>
    <m/>
    <m/>
    <m/>
  </r>
  <r>
    <x v="2"/>
    <x v="2"/>
    <n v="800"/>
    <m/>
    <n v="2000"/>
    <m/>
    <m/>
    <n v="1000"/>
    <n v="2000"/>
  </r>
  <r>
    <x v="3"/>
    <x v="3"/>
    <n v="800"/>
    <n v="2600"/>
    <m/>
    <m/>
    <m/>
    <n v="4200"/>
    <m/>
  </r>
  <r>
    <x v="4"/>
    <x v="4"/>
    <n v="800"/>
    <n v="800"/>
    <m/>
    <m/>
    <m/>
    <m/>
    <m/>
  </r>
  <r>
    <x v="5"/>
    <x v="5"/>
    <n v="800"/>
    <m/>
    <m/>
    <m/>
    <m/>
    <m/>
    <m/>
  </r>
  <r>
    <x v="6"/>
    <x v="6"/>
    <n v="800"/>
    <m/>
    <m/>
    <m/>
    <m/>
    <m/>
    <m/>
  </r>
  <r>
    <x v="7"/>
    <x v="7"/>
    <n v="800"/>
    <n v="12000"/>
    <m/>
    <m/>
    <m/>
    <m/>
    <m/>
  </r>
  <r>
    <x v="8"/>
    <x v="8"/>
    <n v="800"/>
    <m/>
    <m/>
    <m/>
    <m/>
    <m/>
    <m/>
  </r>
  <r>
    <x v="9"/>
    <x v="9"/>
    <n v="800"/>
    <m/>
    <n v="1000"/>
    <n v="1000"/>
    <m/>
    <m/>
    <m/>
  </r>
  <r>
    <x v="10"/>
    <x v="10"/>
    <n v="800"/>
    <m/>
    <n v="800"/>
    <m/>
    <m/>
    <m/>
    <n v="2400"/>
  </r>
  <r>
    <x v="11"/>
    <x v="11"/>
    <n v="800"/>
    <m/>
    <m/>
    <m/>
    <m/>
    <m/>
    <m/>
  </r>
  <r>
    <x v="11"/>
    <x v="12"/>
    <m/>
    <m/>
    <m/>
    <m/>
    <m/>
    <m/>
    <m/>
  </r>
  <r>
    <x v="12"/>
    <x v="13"/>
    <n v="800"/>
    <m/>
    <m/>
    <m/>
    <m/>
    <m/>
    <m/>
  </r>
  <r>
    <x v="13"/>
    <x v="14"/>
    <n v="800"/>
    <m/>
    <m/>
    <m/>
    <m/>
    <m/>
    <m/>
  </r>
  <r>
    <x v="14"/>
    <x v="15"/>
    <n v="800"/>
    <m/>
    <m/>
    <n v="3000"/>
    <m/>
    <m/>
    <m/>
  </r>
  <r>
    <x v="15"/>
    <x v="16"/>
    <n v="800"/>
    <m/>
    <m/>
    <m/>
    <m/>
    <m/>
    <m/>
  </r>
  <r>
    <x v="16"/>
    <x v="17"/>
    <n v="800"/>
    <m/>
    <m/>
    <m/>
    <m/>
    <m/>
    <m/>
  </r>
  <r>
    <x v="17"/>
    <x v="18"/>
    <n v="800"/>
    <m/>
    <m/>
    <m/>
    <m/>
    <m/>
    <m/>
  </r>
  <r>
    <x v="18"/>
    <x v="19"/>
    <n v="800"/>
    <m/>
    <m/>
    <m/>
    <m/>
    <m/>
    <m/>
  </r>
  <r>
    <x v="19"/>
    <x v="20"/>
    <n v="800"/>
    <m/>
    <m/>
    <m/>
    <m/>
    <m/>
    <n v="3000"/>
  </r>
  <r>
    <x v="20"/>
    <x v="21"/>
    <n v="800"/>
    <m/>
    <m/>
    <m/>
    <m/>
    <m/>
    <m/>
  </r>
  <r>
    <x v="21"/>
    <x v="22"/>
    <n v="800"/>
    <m/>
    <m/>
    <m/>
    <m/>
    <m/>
    <m/>
  </r>
  <r>
    <x v="22"/>
    <x v="23"/>
    <n v="800"/>
    <m/>
    <m/>
    <m/>
    <m/>
    <m/>
    <m/>
  </r>
  <r>
    <x v="23"/>
    <x v="24"/>
    <n v="800"/>
    <m/>
    <m/>
    <n v="3200"/>
    <m/>
    <n v="800"/>
    <m/>
  </r>
  <r>
    <x v="24"/>
    <x v="25"/>
    <n v="800"/>
    <n v="3000"/>
    <n v="2000"/>
    <n v="800"/>
    <m/>
    <n v="1600"/>
    <m/>
  </r>
  <r>
    <x v="25"/>
    <x v="26"/>
    <n v="800"/>
    <n v="3000"/>
    <n v="2000"/>
    <n v="800"/>
    <m/>
    <n v="1600"/>
    <m/>
  </r>
  <r>
    <x v="26"/>
    <x v="27"/>
    <n v="800"/>
    <m/>
    <m/>
    <m/>
    <m/>
    <m/>
    <m/>
  </r>
  <r>
    <x v="27"/>
    <x v="28"/>
    <n v="800"/>
    <m/>
    <m/>
    <m/>
    <m/>
    <m/>
    <m/>
  </r>
  <r>
    <x v="28"/>
    <x v="29"/>
    <n v="800"/>
    <m/>
    <m/>
    <m/>
    <m/>
    <m/>
    <m/>
  </r>
  <r>
    <x v="29"/>
    <x v="30"/>
    <n v="800"/>
    <m/>
    <m/>
    <m/>
    <m/>
    <m/>
    <m/>
  </r>
  <r>
    <x v="30"/>
    <x v="31"/>
    <n v="800"/>
    <m/>
    <m/>
    <m/>
    <m/>
    <m/>
    <m/>
  </r>
  <r>
    <x v="31"/>
    <x v="32"/>
    <n v="800"/>
    <m/>
    <m/>
    <m/>
    <m/>
    <m/>
    <n v="9000"/>
  </r>
  <r>
    <x v="32"/>
    <x v="33"/>
    <n v="800"/>
    <m/>
    <m/>
    <m/>
    <m/>
    <m/>
    <m/>
  </r>
  <r>
    <x v="32"/>
    <x v="34"/>
    <m/>
    <m/>
    <m/>
    <m/>
    <m/>
    <m/>
    <m/>
  </r>
  <r>
    <x v="33"/>
    <x v="35"/>
    <n v="800"/>
    <m/>
    <m/>
    <n v="3000"/>
    <m/>
    <m/>
    <n v="3000"/>
  </r>
  <r>
    <x v="34"/>
    <x v="36"/>
    <n v="800"/>
    <m/>
    <m/>
    <m/>
    <m/>
    <m/>
    <m/>
  </r>
  <r>
    <x v="35"/>
    <x v="37"/>
    <n v="800"/>
    <m/>
    <n v="1600"/>
    <m/>
    <m/>
    <m/>
    <n v="800"/>
  </r>
  <r>
    <x v="36"/>
    <x v="38"/>
    <n v="800"/>
    <n v="3000"/>
    <m/>
    <m/>
    <m/>
    <m/>
    <n v="800"/>
  </r>
  <r>
    <x v="37"/>
    <x v="39"/>
    <n v="800"/>
    <m/>
    <m/>
    <m/>
    <m/>
    <m/>
    <m/>
  </r>
  <r>
    <x v="38"/>
    <x v="40"/>
    <n v="800"/>
    <m/>
    <m/>
    <n v="1600"/>
    <m/>
    <m/>
    <n v="26800"/>
  </r>
  <r>
    <x v="38"/>
    <x v="41"/>
    <m/>
    <m/>
    <m/>
    <m/>
    <m/>
    <m/>
    <m/>
  </r>
  <r>
    <x v="39"/>
    <x v="42"/>
    <n v="800"/>
    <m/>
    <m/>
    <m/>
    <m/>
    <n v="21600"/>
    <m/>
  </r>
  <r>
    <x v="39"/>
    <x v="43"/>
    <m/>
    <m/>
    <m/>
    <m/>
    <m/>
    <m/>
    <m/>
  </r>
  <r>
    <x v="40"/>
    <x v="44"/>
    <n v="800"/>
    <m/>
    <m/>
    <m/>
    <m/>
    <m/>
    <m/>
  </r>
  <r>
    <x v="40"/>
    <x v="45"/>
    <m/>
    <m/>
    <m/>
    <m/>
    <m/>
    <m/>
    <m/>
  </r>
  <r>
    <x v="41"/>
    <x v="46"/>
    <n v="800"/>
    <m/>
    <m/>
    <m/>
    <n v="4800"/>
    <m/>
    <m/>
  </r>
  <r>
    <x v="42"/>
    <x v="47"/>
    <n v="800"/>
    <m/>
    <m/>
    <m/>
    <m/>
    <m/>
    <m/>
  </r>
  <r>
    <x v="43"/>
    <x v="48"/>
    <n v="800"/>
    <n v="7000"/>
    <m/>
    <m/>
    <m/>
    <m/>
    <m/>
  </r>
  <r>
    <x v="44"/>
    <x v="49"/>
    <n v="800"/>
    <m/>
    <n v="2000"/>
    <m/>
    <n v="1000"/>
    <m/>
    <n v="1600"/>
  </r>
  <r>
    <x v="45"/>
    <x v="50"/>
    <n v="800"/>
    <m/>
    <m/>
    <m/>
    <m/>
    <m/>
    <n v="2000"/>
  </r>
  <r>
    <x v="46"/>
    <x v="51"/>
    <n v="800"/>
    <m/>
    <m/>
    <n v="3000"/>
    <m/>
    <n v="3000"/>
    <n v="800"/>
  </r>
  <r>
    <x v="47"/>
    <x v="52"/>
    <n v="800"/>
    <m/>
    <n v="3000"/>
    <m/>
    <m/>
    <m/>
    <n v="2900"/>
  </r>
  <r>
    <x v="48"/>
    <x v="53"/>
    <n v="800"/>
    <m/>
    <m/>
    <m/>
    <m/>
    <m/>
    <m/>
  </r>
  <r>
    <x v="49"/>
    <x v="54"/>
    <n v="800"/>
    <m/>
    <m/>
    <m/>
    <m/>
    <m/>
    <m/>
  </r>
  <r>
    <x v="50"/>
    <x v="55"/>
    <n v="800"/>
    <m/>
    <m/>
    <n v="2400"/>
    <m/>
    <m/>
    <m/>
  </r>
  <r>
    <x v="51"/>
    <x v="56"/>
    <n v="800"/>
    <m/>
    <m/>
    <n v="2400"/>
    <m/>
    <m/>
    <n v="5600"/>
  </r>
  <r>
    <x v="52"/>
    <x v="57"/>
    <n v="800"/>
    <m/>
    <m/>
    <m/>
    <m/>
    <m/>
    <m/>
  </r>
  <r>
    <x v="53"/>
    <x v="58"/>
    <n v="800"/>
    <m/>
    <m/>
    <m/>
    <m/>
    <m/>
    <m/>
  </r>
  <r>
    <x v="54"/>
    <x v="59"/>
    <n v="800"/>
    <n v="9600"/>
    <m/>
    <m/>
    <m/>
    <m/>
    <m/>
  </r>
  <r>
    <x v="55"/>
    <x v="60"/>
    <n v="800"/>
    <m/>
    <n v="8000"/>
    <m/>
    <m/>
    <m/>
    <n v="4000"/>
  </r>
  <r>
    <x v="56"/>
    <x v="61"/>
    <n v="800"/>
    <n v="3000"/>
    <m/>
    <n v="1600"/>
    <m/>
    <m/>
    <n v="1600"/>
  </r>
  <r>
    <x v="57"/>
    <x v="62"/>
    <n v="800"/>
    <m/>
    <m/>
    <m/>
    <m/>
    <m/>
    <m/>
  </r>
  <r>
    <x v="58"/>
    <x v="63"/>
    <n v="800"/>
    <m/>
    <m/>
    <m/>
    <m/>
    <m/>
    <m/>
  </r>
  <r>
    <x v="59"/>
    <x v="64"/>
    <n v="800"/>
    <m/>
    <m/>
    <m/>
    <m/>
    <m/>
    <n v="21600"/>
  </r>
  <r>
    <x v="60"/>
    <x v="65"/>
    <n v="800"/>
    <m/>
    <n v="1800"/>
    <n v="1800"/>
    <n v="1800"/>
    <m/>
    <m/>
  </r>
  <r>
    <x v="61"/>
    <x v="66"/>
    <n v="800"/>
    <m/>
    <m/>
    <m/>
    <m/>
    <m/>
    <m/>
  </r>
  <r>
    <x v="62"/>
    <x v="67"/>
    <n v="800"/>
    <m/>
    <n v="4800"/>
    <m/>
    <n v="4800"/>
    <m/>
    <m/>
  </r>
  <r>
    <x v="63"/>
    <x v="68"/>
    <n v="800"/>
    <m/>
    <m/>
    <m/>
    <m/>
    <n v="25000"/>
    <m/>
  </r>
  <r>
    <x v="64"/>
    <x v="69"/>
    <n v="800"/>
    <m/>
    <m/>
    <m/>
    <m/>
    <m/>
    <m/>
  </r>
  <r>
    <x v="65"/>
    <x v="70"/>
    <n v="800"/>
    <m/>
    <n v="8000"/>
    <m/>
    <m/>
    <m/>
    <n v="4000"/>
  </r>
  <r>
    <x v="66"/>
    <x v="71"/>
    <n v="800"/>
    <m/>
    <m/>
    <m/>
    <m/>
    <m/>
    <m/>
  </r>
  <r>
    <x v="67"/>
    <x v="72"/>
    <n v="800"/>
    <m/>
    <m/>
    <n v="12000"/>
    <m/>
    <m/>
    <m/>
  </r>
  <r>
    <x v="68"/>
    <x v="73"/>
    <n v="800"/>
    <m/>
    <n v="2000"/>
    <m/>
    <n v="2000"/>
    <m/>
    <m/>
  </r>
  <r>
    <x v="69"/>
    <x v="74"/>
    <n v="800"/>
    <m/>
    <m/>
    <m/>
    <m/>
    <m/>
    <m/>
  </r>
  <r>
    <x v="70"/>
    <x v="75"/>
    <n v="800"/>
    <m/>
    <m/>
    <m/>
    <m/>
    <m/>
    <m/>
  </r>
  <r>
    <x v="71"/>
    <x v="76"/>
    <n v="800"/>
    <m/>
    <n v="600"/>
    <n v="1600"/>
    <m/>
    <n v="1600"/>
    <m/>
  </r>
  <r>
    <x v="72"/>
    <x v="77"/>
    <n v="800"/>
    <m/>
    <m/>
    <m/>
    <m/>
    <m/>
    <m/>
  </r>
  <r>
    <x v="73"/>
    <x v="78"/>
    <n v="800"/>
    <m/>
    <m/>
    <m/>
    <m/>
    <m/>
    <m/>
  </r>
  <r>
    <x v="74"/>
    <x v="79"/>
    <n v="800"/>
    <m/>
    <n v="12000"/>
    <m/>
    <m/>
    <m/>
    <m/>
  </r>
  <r>
    <x v="75"/>
    <x v="80"/>
    <n v="800"/>
    <m/>
    <m/>
    <m/>
    <m/>
    <n v="7000"/>
    <m/>
  </r>
  <r>
    <x v="76"/>
    <x v="81"/>
    <n v="800"/>
    <m/>
    <m/>
    <n v="6000"/>
    <m/>
    <m/>
    <m/>
  </r>
  <r>
    <x v="77"/>
    <x v="82"/>
    <n v="800"/>
    <n v="4000"/>
    <m/>
    <n v="2000"/>
    <m/>
    <m/>
    <m/>
  </r>
  <r>
    <x v="78"/>
    <x v="83"/>
    <n v="800"/>
    <n v="2400"/>
    <m/>
    <m/>
    <m/>
    <m/>
    <n v="2400"/>
  </r>
  <r>
    <x v="79"/>
    <x v="84"/>
    <n v="800"/>
    <m/>
    <m/>
    <m/>
    <m/>
    <n v="4800"/>
    <n v="10200"/>
  </r>
  <r>
    <x v="80"/>
    <x v="85"/>
    <m/>
    <m/>
    <n v="4800"/>
    <m/>
    <m/>
    <m/>
    <m/>
  </r>
  <r>
    <x v="80"/>
    <x v="86"/>
    <m/>
    <m/>
    <m/>
    <m/>
    <m/>
    <m/>
    <m/>
  </r>
  <r>
    <x v="80"/>
    <x v="87"/>
    <n v="800"/>
    <m/>
    <m/>
    <m/>
    <m/>
    <m/>
    <m/>
  </r>
  <r>
    <x v="81"/>
    <x v="88"/>
    <n v="800"/>
    <m/>
    <m/>
    <m/>
    <m/>
    <m/>
    <m/>
  </r>
  <r>
    <x v="82"/>
    <x v="89"/>
    <n v="800"/>
    <m/>
    <m/>
    <m/>
    <m/>
    <m/>
    <m/>
  </r>
  <r>
    <x v="82"/>
    <x v="90"/>
    <m/>
    <m/>
    <m/>
    <m/>
    <m/>
    <n v="3500"/>
    <m/>
  </r>
  <r>
    <x v="83"/>
    <x v="91"/>
    <n v="800"/>
    <m/>
    <m/>
    <m/>
    <m/>
    <n v="5000"/>
    <m/>
  </r>
  <r>
    <x v="84"/>
    <x v="92"/>
    <n v="800"/>
    <m/>
    <m/>
    <m/>
    <m/>
    <m/>
    <m/>
  </r>
  <r>
    <x v="85"/>
    <x v="93"/>
    <n v="800"/>
    <m/>
    <n v="1600"/>
    <m/>
    <m/>
    <m/>
    <m/>
  </r>
  <r>
    <x v="86"/>
    <x v="94"/>
    <n v="800"/>
    <m/>
    <m/>
    <m/>
    <m/>
    <m/>
    <m/>
  </r>
  <r>
    <x v="87"/>
    <x v="95"/>
    <n v="800"/>
    <m/>
    <m/>
    <m/>
    <m/>
    <m/>
    <m/>
  </r>
  <r>
    <x v="88"/>
    <x v="96"/>
    <m/>
    <m/>
    <m/>
    <m/>
    <m/>
    <m/>
    <n v="1600"/>
  </r>
  <r>
    <x v="88"/>
    <x v="97"/>
    <n v="800"/>
    <m/>
    <m/>
    <m/>
    <m/>
    <m/>
    <m/>
  </r>
  <r>
    <x v="89"/>
    <x v="98"/>
    <n v="800"/>
    <m/>
    <m/>
    <m/>
    <m/>
    <m/>
    <m/>
  </r>
  <r>
    <x v="90"/>
    <x v="99"/>
    <n v="800"/>
    <m/>
    <m/>
    <m/>
    <m/>
    <m/>
    <n v="800"/>
  </r>
  <r>
    <x v="91"/>
    <x v="100"/>
    <n v="800"/>
    <m/>
    <m/>
    <m/>
    <m/>
    <m/>
    <n v="12000"/>
  </r>
  <r>
    <x v="92"/>
    <x v="101"/>
    <n v="800"/>
    <n v="3000"/>
    <m/>
    <m/>
    <n v="3200"/>
    <m/>
    <m/>
  </r>
  <r>
    <x v="93"/>
    <x v="102"/>
    <n v="800"/>
    <m/>
    <n v="5000"/>
    <n v="1000"/>
    <n v="1000"/>
    <n v="1000"/>
    <n v="1000"/>
  </r>
  <r>
    <x v="94"/>
    <x v="103"/>
    <n v="800"/>
    <m/>
    <m/>
    <m/>
    <m/>
    <m/>
    <m/>
  </r>
  <r>
    <x v="95"/>
    <x v="104"/>
    <n v="800"/>
    <m/>
    <n v="3000"/>
    <m/>
    <m/>
    <m/>
    <n v="2000"/>
  </r>
  <r>
    <x v="96"/>
    <x v="105"/>
    <n v="800"/>
    <m/>
    <m/>
    <m/>
    <m/>
    <m/>
    <m/>
  </r>
  <r>
    <x v="97"/>
    <x v="106"/>
    <n v="800"/>
    <m/>
    <m/>
    <m/>
    <m/>
    <m/>
    <m/>
  </r>
  <r>
    <x v="98"/>
    <x v="107"/>
    <n v="800"/>
    <m/>
    <m/>
    <m/>
    <m/>
    <m/>
    <m/>
  </r>
  <r>
    <x v="99"/>
    <x v="108"/>
    <n v="800"/>
    <m/>
    <m/>
    <n v="4800"/>
    <m/>
    <m/>
    <m/>
  </r>
  <r>
    <x v="100"/>
    <x v="109"/>
    <n v="800"/>
    <m/>
    <m/>
    <m/>
    <m/>
    <m/>
    <m/>
  </r>
  <r>
    <x v="101"/>
    <x v="110"/>
    <n v="800"/>
    <m/>
    <m/>
    <n v="1000"/>
    <n v="1000"/>
    <n v="1000"/>
    <m/>
  </r>
  <r>
    <x v="102"/>
    <x v="111"/>
    <n v="800"/>
    <m/>
    <m/>
    <m/>
    <n v="7200"/>
    <m/>
    <m/>
  </r>
  <r>
    <x v="103"/>
    <x v="112"/>
    <n v="800"/>
    <m/>
    <m/>
    <m/>
    <m/>
    <m/>
    <m/>
  </r>
  <r>
    <x v="104"/>
    <x v="113"/>
    <n v="800"/>
    <m/>
    <n v="3200"/>
    <m/>
    <m/>
    <n v="4000"/>
    <m/>
  </r>
  <r>
    <x v="105"/>
    <x v="114"/>
    <n v="800"/>
    <m/>
    <m/>
    <m/>
    <m/>
    <m/>
    <m/>
  </r>
  <r>
    <x v="106"/>
    <x v="115"/>
    <n v="800"/>
    <m/>
    <m/>
    <m/>
    <m/>
    <m/>
    <m/>
  </r>
  <r>
    <x v="107"/>
    <x v="116"/>
    <n v="800"/>
    <m/>
    <n v="5000"/>
    <m/>
    <n v="1000"/>
    <m/>
    <m/>
  </r>
  <r>
    <x v="108"/>
    <x v="117"/>
    <n v="800"/>
    <m/>
    <n v="2400"/>
    <m/>
    <n v="2400"/>
    <m/>
    <m/>
  </r>
  <r>
    <x v="109"/>
    <x v="118"/>
    <n v="800"/>
    <n v="3000"/>
    <m/>
    <n v="3000"/>
    <m/>
    <m/>
    <m/>
  </r>
  <r>
    <x v="110"/>
    <x v="119"/>
    <n v="800"/>
    <m/>
    <m/>
    <m/>
    <m/>
    <m/>
    <n v="4000"/>
  </r>
  <r>
    <x v="111"/>
    <x v="120"/>
    <n v="800"/>
    <m/>
    <m/>
    <n v="1000"/>
    <m/>
    <n v="1000"/>
    <m/>
  </r>
  <r>
    <x v="112"/>
    <x v="121"/>
    <n v="800"/>
    <m/>
    <m/>
    <m/>
    <m/>
    <m/>
    <m/>
  </r>
  <r>
    <x v="113"/>
    <x v="122"/>
    <n v="800"/>
    <m/>
    <m/>
    <m/>
    <m/>
    <m/>
    <m/>
  </r>
  <r>
    <x v="114"/>
    <x v="123"/>
    <n v="800"/>
    <m/>
    <m/>
    <m/>
    <m/>
    <m/>
    <n v="5000"/>
  </r>
  <r>
    <x v="115"/>
    <x v="124"/>
    <n v="800"/>
    <m/>
    <m/>
    <n v="3000"/>
    <m/>
    <m/>
    <m/>
  </r>
  <r>
    <x v="116"/>
    <x v="125"/>
    <n v="800"/>
    <m/>
    <m/>
    <m/>
    <m/>
    <m/>
    <m/>
  </r>
  <r>
    <x v="117"/>
    <x v="126"/>
    <n v="800"/>
    <m/>
    <m/>
    <m/>
    <m/>
    <m/>
    <m/>
  </r>
  <r>
    <x v="118"/>
    <x v="127"/>
    <n v="800"/>
    <m/>
    <m/>
    <m/>
    <m/>
    <m/>
    <m/>
  </r>
  <r>
    <x v="118"/>
    <x v="128"/>
    <m/>
    <m/>
    <m/>
    <m/>
    <m/>
    <m/>
    <m/>
  </r>
  <r>
    <x v="119"/>
    <x v="129"/>
    <n v="800"/>
    <m/>
    <n v="4200"/>
    <m/>
    <m/>
    <m/>
    <m/>
  </r>
  <r>
    <x v="120"/>
    <x v="130"/>
    <n v="800"/>
    <m/>
    <m/>
    <m/>
    <m/>
    <m/>
    <m/>
  </r>
  <r>
    <x v="121"/>
    <x v="131"/>
    <n v="800"/>
    <m/>
    <m/>
    <m/>
    <m/>
    <m/>
    <m/>
  </r>
  <r>
    <x v="122"/>
    <x v="132"/>
    <n v="800"/>
    <m/>
    <m/>
    <m/>
    <m/>
    <m/>
    <m/>
  </r>
  <r>
    <x v="123"/>
    <x v="133"/>
    <n v="800"/>
    <m/>
    <m/>
    <m/>
    <m/>
    <m/>
    <m/>
  </r>
  <r>
    <x v="124"/>
    <x v="134"/>
    <n v="800"/>
    <m/>
    <n v="4800"/>
    <m/>
    <m/>
    <m/>
    <n v="4800"/>
  </r>
  <r>
    <x v="125"/>
    <x v="135"/>
    <n v="800"/>
    <m/>
    <m/>
    <m/>
    <m/>
    <m/>
    <n v="800"/>
  </r>
  <r>
    <x v="126"/>
    <x v="136"/>
    <n v="800"/>
    <n v="2800"/>
    <n v="800"/>
    <n v="800"/>
    <n v="800"/>
    <n v="800"/>
    <n v="800"/>
  </r>
  <r>
    <x v="127"/>
    <x v="137"/>
    <n v="800"/>
    <m/>
    <n v="1000"/>
    <n v="1000"/>
    <n v="1000"/>
    <n v="1000"/>
    <n v="1000"/>
  </r>
  <r>
    <x v="128"/>
    <x v="138"/>
    <n v="800"/>
    <m/>
    <m/>
    <m/>
    <m/>
    <m/>
    <m/>
  </r>
  <r>
    <x v="129"/>
    <x v="139"/>
    <n v="800"/>
    <m/>
    <m/>
    <m/>
    <m/>
    <m/>
    <m/>
  </r>
  <r>
    <x v="130"/>
    <x v="140"/>
    <n v="800"/>
    <m/>
    <m/>
    <m/>
    <m/>
    <m/>
    <m/>
  </r>
  <r>
    <x v="131"/>
    <x v="141"/>
    <n v="800"/>
    <m/>
    <m/>
    <m/>
    <m/>
    <m/>
    <n v="4800"/>
  </r>
  <r>
    <x v="132"/>
    <x v="142"/>
    <n v="800"/>
    <m/>
    <m/>
    <n v="3200"/>
    <m/>
    <m/>
    <m/>
  </r>
  <r>
    <x v="133"/>
    <x v="143"/>
    <n v="800"/>
    <m/>
    <m/>
    <m/>
    <m/>
    <m/>
    <m/>
  </r>
  <r>
    <x v="134"/>
    <x v="144"/>
    <n v="800"/>
    <m/>
    <m/>
    <m/>
    <m/>
    <m/>
    <m/>
  </r>
  <r>
    <x v="135"/>
    <x v="145"/>
    <n v="800"/>
    <n v="1000"/>
    <m/>
    <m/>
    <m/>
    <m/>
    <m/>
  </r>
  <r>
    <x v="136"/>
    <x v="146"/>
    <n v="800"/>
    <m/>
    <n v="5000"/>
    <m/>
    <m/>
    <m/>
    <m/>
  </r>
  <r>
    <x v="137"/>
    <x v="147"/>
    <n v="800"/>
    <m/>
    <m/>
    <m/>
    <m/>
    <m/>
    <m/>
  </r>
  <r>
    <x v="138"/>
    <x v="148"/>
    <n v="800"/>
    <m/>
    <n v="5200"/>
    <m/>
    <m/>
    <m/>
    <m/>
  </r>
  <r>
    <x v="138"/>
    <x v="149"/>
    <m/>
    <m/>
    <m/>
    <m/>
    <m/>
    <m/>
    <m/>
  </r>
  <r>
    <x v="139"/>
    <x v="150"/>
    <n v="800"/>
    <m/>
    <m/>
    <m/>
    <m/>
    <m/>
    <m/>
  </r>
  <r>
    <x v="140"/>
    <x v="151"/>
    <n v="800"/>
    <m/>
    <m/>
    <m/>
    <m/>
    <m/>
    <m/>
  </r>
  <r>
    <x v="141"/>
    <x v="152"/>
    <n v="800"/>
    <n v="5000"/>
    <n v="4800"/>
    <m/>
    <m/>
    <m/>
    <n v="4800"/>
  </r>
  <r>
    <x v="142"/>
    <x v="153"/>
    <n v="800"/>
    <m/>
    <m/>
    <m/>
    <m/>
    <m/>
    <m/>
  </r>
  <r>
    <x v="143"/>
    <x v="154"/>
    <n v="800"/>
    <m/>
    <m/>
    <m/>
    <m/>
    <m/>
    <m/>
  </r>
  <r>
    <x v="144"/>
    <x v="155"/>
    <n v="800"/>
    <m/>
    <m/>
    <m/>
    <m/>
    <m/>
    <m/>
  </r>
  <r>
    <x v="145"/>
    <x v="156"/>
    <m/>
    <m/>
    <m/>
    <m/>
    <m/>
    <n v="4800"/>
    <m/>
  </r>
  <r>
    <x v="145"/>
    <x v="157"/>
    <m/>
    <m/>
    <m/>
    <m/>
    <m/>
    <m/>
    <m/>
  </r>
  <r>
    <x v="145"/>
    <x v="158"/>
    <n v="800"/>
    <m/>
    <m/>
    <m/>
    <m/>
    <m/>
    <m/>
  </r>
  <r>
    <x v="146"/>
    <x v="159"/>
    <m/>
    <n v="2400"/>
    <m/>
    <m/>
    <n v="2400"/>
    <m/>
    <m/>
  </r>
  <r>
    <x v="146"/>
    <x v="160"/>
    <n v="800"/>
    <m/>
    <m/>
    <m/>
    <m/>
    <m/>
    <m/>
  </r>
  <r>
    <x v="147"/>
    <x v="161"/>
    <n v="800"/>
    <m/>
    <m/>
    <m/>
    <m/>
    <m/>
    <m/>
  </r>
  <r>
    <x v="148"/>
    <x v="162"/>
    <n v="800"/>
    <m/>
    <m/>
    <m/>
    <m/>
    <m/>
    <m/>
  </r>
  <r>
    <x v="149"/>
    <x v="163"/>
    <n v="800"/>
    <m/>
    <m/>
    <m/>
    <m/>
    <m/>
    <m/>
  </r>
  <r>
    <x v="150"/>
    <x v="164"/>
    <n v="800"/>
    <m/>
    <m/>
    <m/>
    <m/>
    <m/>
    <m/>
  </r>
  <r>
    <x v="150"/>
    <x v="165"/>
    <m/>
    <m/>
    <m/>
    <m/>
    <m/>
    <m/>
    <m/>
  </r>
  <r>
    <x v="151"/>
    <x v="166"/>
    <n v="800"/>
    <m/>
    <m/>
    <m/>
    <m/>
    <m/>
    <m/>
  </r>
  <r>
    <x v="152"/>
    <x v="167"/>
    <n v="800"/>
    <m/>
    <m/>
    <m/>
    <m/>
    <m/>
    <m/>
  </r>
  <r>
    <x v="153"/>
    <x v="168"/>
    <n v="800"/>
    <m/>
    <m/>
    <m/>
    <m/>
    <m/>
    <m/>
  </r>
  <r>
    <x v="154"/>
    <x v="169"/>
    <n v="800"/>
    <m/>
    <m/>
    <m/>
    <m/>
    <m/>
    <n v="8000"/>
  </r>
  <r>
    <x v="155"/>
    <x v="170"/>
    <n v="800"/>
    <m/>
    <m/>
    <m/>
    <m/>
    <m/>
    <m/>
  </r>
  <r>
    <x v="156"/>
    <x v="171"/>
    <n v="800"/>
    <m/>
    <m/>
    <m/>
    <n v="2400"/>
    <n v="800"/>
    <n v="1600"/>
  </r>
  <r>
    <x v="157"/>
    <x v="172"/>
    <n v="800"/>
    <m/>
    <m/>
    <m/>
    <m/>
    <m/>
    <m/>
  </r>
  <r>
    <x v="158"/>
    <x v="173"/>
    <n v="800"/>
    <m/>
    <m/>
    <m/>
    <m/>
    <n v="9000"/>
    <n v="1600"/>
  </r>
  <r>
    <x v="159"/>
    <x v="174"/>
    <n v="800"/>
    <m/>
    <n v="3000"/>
    <m/>
    <n v="3000"/>
    <m/>
    <m/>
  </r>
  <r>
    <x v="160"/>
    <x v="175"/>
    <n v="800"/>
    <n v="5000"/>
    <n v="1400"/>
    <m/>
    <n v="1600"/>
    <m/>
    <n v="1600"/>
  </r>
  <r>
    <x v="161"/>
    <x v="176"/>
    <m/>
    <n v="9000"/>
    <m/>
    <m/>
    <n v="2000"/>
    <m/>
    <n v="2000"/>
  </r>
  <r>
    <x v="161"/>
    <x v="177"/>
    <n v="800"/>
    <m/>
    <m/>
    <m/>
    <m/>
    <m/>
    <m/>
  </r>
  <r>
    <x v="162"/>
    <x v="178"/>
    <n v="800"/>
    <m/>
    <m/>
    <m/>
    <m/>
    <m/>
    <m/>
  </r>
  <r>
    <x v="163"/>
    <x v="179"/>
    <n v="800"/>
    <m/>
    <m/>
    <m/>
    <m/>
    <n v="2000"/>
    <n v="3000"/>
  </r>
  <r>
    <x v="164"/>
    <x v="180"/>
    <n v="800"/>
    <m/>
    <m/>
    <m/>
    <m/>
    <m/>
    <m/>
  </r>
  <r>
    <x v="165"/>
    <x v="181"/>
    <n v="800"/>
    <n v="600"/>
    <m/>
    <n v="1600"/>
    <n v="800"/>
    <m/>
    <m/>
  </r>
  <r>
    <x v="166"/>
    <x v="182"/>
    <n v="800"/>
    <m/>
    <m/>
    <m/>
    <n v="13200"/>
    <m/>
    <m/>
  </r>
  <r>
    <x v="167"/>
    <x v="183"/>
    <n v="800"/>
    <m/>
    <m/>
    <m/>
    <n v="5000"/>
    <m/>
    <m/>
  </r>
  <r>
    <x v="168"/>
    <x v="184"/>
    <n v="800"/>
    <m/>
    <m/>
    <m/>
    <n v="5000"/>
    <m/>
    <m/>
  </r>
  <r>
    <x v="169"/>
    <x v="185"/>
    <n v="800"/>
    <m/>
    <m/>
    <m/>
    <m/>
    <m/>
    <m/>
  </r>
  <r>
    <x v="170"/>
    <x v="186"/>
    <n v="800"/>
    <m/>
    <m/>
    <m/>
    <m/>
    <m/>
    <m/>
  </r>
  <r>
    <x v="171"/>
    <x v="187"/>
    <n v="800"/>
    <m/>
    <m/>
    <n v="1000"/>
    <m/>
    <m/>
    <n v="5000"/>
  </r>
  <r>
    <x v="172"/>
    <x v="188"/>
    <n v="800"/>
    <n v="5000"/>
    <n v="6600"/>
    <n v="2000"/>
    <m/>
    <m/>
    <n v="1200"/>
  </r>
  <r>
    <x v="173"/>
    <x v="189"/>
    <n v="800"/>
    <m/>
    <m/>
    <m/>
    <m/>
    <m/>
    <m/>
  </r>
  <r>
    <x v="174"/>
    <x v="190"/>
    <m/>
    <n v="2400"/>
    <m/>
    <n v="2400"/>
    <m/>
    <m/>
    <n v="2400"/>
  </r>
  <r>
    <x v="174"/>
    <x v="191"/>
    <n v="800"/>
    <m/>
    <m/>
    <m/>
    <m/>
    <m/>
    <m/>
  </r>
  <r>
    <x v="175"/>
    <x v="192"/>
    <n v="800"/>
    <m/>
    <m/>
    <m/>
    <m/>
    <n v="5000"/>
    <m/>
  </r>
  <r>
    <x v="176"/>
    <x v="193"/>
    <n v="800"/>
    <m/>
    <m/>
    <n v="3200"/>
    <m/>
    <m/>
    <m/>
  </r>
  <r>
    <x v="177"/>
    <x v="194"/>
    <n v="800"/>
    <m/>
    <m/>
    <m/>
    <n v="2400"/>
    <n v="2400"/>
    <m/>
  </r>
  <r>
    <x v="178"/>
    <x v="195"/>
    <n v="800"/>
    <m/>
    <m/>
    <m/>
    <m/>
    <m/>
    <m/>
  </r>
  <r>
    <x v="179"/>
    <x v="196"/>
    <n v="800"/>
    <m/>
    <m/>
    <m/>
    <n v="4800"/>
    <m/>
    <m/>
  </r>
  <r>
    <x v="180"/>
    <x v="197"/>
    <n v="800"/>
    <m/>
    <m/>
    <m/>
    <m/>
    <m/>
    <m/>
  </r>
  <r>
    <x v="181"/>
    <x v="198"/>
    <n v="800"/>
    <m/>
    <m/>
    <m/>
    <m/>
    <m/>
    <m/>
  </r>
  <r>
    <x v="182"/>
    <x v="199"/>
    <n v="800"/>
    <m/>
    <m/>
    <m/>
    <m/>
    <m/>
    <m/>
  </r>
  <r>
    <x v="183"/>
    <x v="200"/>
    <n v="800"/>
    <m/>
    <m/>
    <m/>
    <m/>
    <m/>
    <m/>
  </r>
  <r>
    <x v="184"/>
    <x v="201"/>
    <n v="800"/>
    <m/>
    <m/>
    <m/>
    <m/>
    <m/>
    <m/>
  </r>
  <r>
    <x v="185"/>
    <x v="202"/>
    <n v="800"/>
    <m/>
    <m/>
    <m/>
    <m/>
    <m/>
    <m/>
  </r>
  <r>
    <x v="186"/>
    <x v="203"/>
    <n v="800"/>
    <m/>
    <m/>
    <m/>
    <m/>
    <m/>
    <m/>
  </r>
  <r>
    <x v="187"/>
    <x v="204"/>
    <n v="800"/>
    <m/>
    <m/>
    <m/>
    <m/>
    <m/>
    <m/>
  </r>
  <r>
    <x v="188"/>
    <x v="205"/>
    <n v="800"/>
    <m/>
    <m/>
    <m/>
    <m/>
    <n v="4000"/>
    <m/>
  </r>
  <r>
    <x v="189"/>
    <x v="206"/>
    <n v="800"/>
    <m/>
    <m/>
    <m/>
    <m/>
    <m/>
    <n v="4000"/>
  </r>
  <r>
    <x v="190"/>
    <x v="207"/>
    <n v="800"/>
    <n v="4000"/>
    <m/>
    <m/>
    <m/>
    <n v="3200"/>
    <m/>
  </r>
  <r>
    <x v="191"/>
    <x v="208"/>
    <n v="800"/>
    <m/>
    <m/>
    <m/>
    <m/>
    <m/>
    <m/>
  </r>
  <r>
    <x v="192"/>
    <x v="209"/>
    <n v="800"/>
    <m/>
    <m/>
    <m/>
    <m/>
    <m/>
    <m/>
  </r>
  <r>
    <x v="193"/>
    <x v="210"/>
    <n v="800"/>
    <m/>
    <m/>
    <m/>
    <m/>
    <n v="10050"/>
    <m/>
  </r>
  <r>
    <x v="194"/>
    <x v="211"/>
    <n v="800"/>
    <m/>
    <m/>
    <n v="5400"/>
    <m/>
    <n v="2400"/>
    <m/>
  </r>
  <r>
    <x v="195"/>
    <x v="212"/>
    <n v="800"/>
    <m/>
    <m/>
    <m/>
    <m/>
    <m/>
    <m/>
  </r>
  <r>
    <x v="196"/>
    <x v="213"/>
    <n v="800"/>
    <n v="5000"/>
    <n v="3000"/>
    <m/>
    <m/>
    <n v="3000"/>
    <n v="3500"/>
  </r>
  <r>
    <x v="197"/>
    <x v="214"/>
    <n v="800"/>
    <m/>
    <m/>
    <m/>
    <m/>
    <n v="8000"/>
    <m/>
  </r>
  <r>
    <x v="198"/>
    <x v="215"/>
    <n v="800"/>
    <m/>
    <m/>
    <m/>
    <m/>
    <m/>
    <m/>
  </r>
  <r>
    <x v="199"/>
    <x v="216"/>
    <n v="800"/>
    <m/>
    <m/>
    <m/>
    <m/>
    <m/>
    <m/>
  </r>
  <r>
    <x v="200"/>
    <x v="217"/>
    <n v="800"/>
    <m/>
    <m/>
    <m/>
    <m/>
    <m/>
    <m/>
  </r>
  <r>
    <x v="201"/>
    <x v="218"/>
    <n v="800"/>
    <n v="800"/>
    <n v="800"/>
    <n v="800"/>
    <n v="800"/>
    <m/>
    <n v="800"/>
  </r>
  <r>
    <x v="202"/>
    <x v="219"/>
    <n v="800"/>
    <n v="1000"/>
    <m/>
    <m/>
    <m/>
    <n v="3000"/>
    <m/>
  </r>
  <r>
    <x v="203"/>
    <x v="220"/>
    <n v="800"/>
    <m/>
    <m/>
    <m/>
    <m/>
    <m/>
    <m/>
  </r>
  <r>
    <x v="204"/>
    <x v="221"/>
    <n v="800"/>
    <m/>
    <m/>
    <m/>
    <m/>
    <m/>
    <m/>
  </r>
  <r>
    <x v="205"/>
    <x v="222"/>
    <n v="800"/>
    <m/>
    <m/>
    <m/>
    <m/>
    <m/>
    <m/>
  </r>
  <r>
    <x v="206"/>
    <x v="223"/>
    <n v="800"/>
    <n v="2000"/>
    <m/>
    <m/>
    <n v="2000"/>
    <m/>
    <n v="2000"/>
  </r>
  <r>
    <x v="207"/>
    <x v="224"/>
    <n v="800"/>
    <m/>
    <m/>
    <m/>
    <m/>
    <m/>
    <m/>
  </r>
  <r>
    <x v="208"/>
    <x v="225"/>
    <n v="800"/>
    <m/>
    <m/>
    <m/>
    <m/>
    <m/>
    <n v="4000"/>
  </r>
  <r>
    <x v="209"/>
    <x v="226"/>
    <m/>
    <m/>
    <m/>
    <m/>
    <m/>
    <m/>
    <m/>
  </r>
  <r>
    <x v="209"/>
    <x v="227"/>
    <n v="800"/>
    <m/>
    <m/>
    <m/>
    <m/>
    <m/>
    <m/>
  </r>
  <r>
    <x v="210"/>
    <x v="228"/>
    <m/>
    <n v="6000"/>
    <m/>
    <m/>
    <m/>
    <n v="2400"/>
    <m/>
  </r>
  <r>
    <x v="210"/>
    <x v="229"/>
    <n v="800"/>
    <m/>
    <m/>
    <m/>
    <m/>
    <m/>
    <m/>
  </r>
  <r>
    <x v="211"/>
    <x v="230"/>
    <n v="800"/>
    <m/>
    <n v="1600"/>
    <n v="800"/>
    <m/>
    <n v="800"/>
    <n v="800"/>
  </r>
  <r>
    <x v="212"/>
    <x v="231"/>
    <n v="800"/>
    <m/>
    <m/>
    <m/>
    <m/>
    <m/>
    <m/>
  </r>
  <r>
    <x v="213"/>
    <x v="232"/>
    <n v="800"/>
    <n v="12000"/>
    <n v="4800"/>
    <m/>
    <m/>
    <m/>
    <m/>
  </r>
  <r>
    <x v="214"/>
    <x v="233"/>
    <n v="800"/>
    <m/>
    <n v="4000"/>
    <n v="2000"/>
    <n v="2000"/>
    <m/>
    <m/>
  </r>
  <r>
    <x v="215"/>
    <x v="234"/>
    <n v="800"/>
    <m/>
    <m/>
    <m/>
    <m/>
    <m/>
    <n v="4800"/>
  </r>
  <r>
    <x v="216"/>
    <x v="235"/>
    <n v="800"/>
    <m/>
    <m/>
    <m/>
    <m/>
    <m/>
    <m/>
  </r>
  <r>
    <x v="217"/>
    <x v="179"/>
    <n v="800"/>
    <m/>
    <m/>
    <m/>
    <m/>
    <m/>
    <m/>
  </r>
  <r>
    <x v="218"/>
    <x v="236"/>
    <n v="800"/>
    <m/>
    <m/>
    <m/>
    <m/>
    <m/>
    <m/>
  </r>
  <r>
    <x v="219"/>
    <x v="237"/>
    <n v="800"/>
    <m/>
    <m/>
    <m/>
    <m/>
    <m/>
    <m/>
  </r>
  <r>
    <x v="220"/>
    <x v="238"/>
    <n v="800"/>
    <m/>
    <m/>
    <m/>
    <m/>
    <m/>
    <m/>
  </r>
  <r>
    <x v="221"/>
    <x v="239"/>
    <n v="800"/>
    <n v="4000"/>
    <m/>
    <m/>
    <m/>
    <m/>
    <m/>
  </r>
  <r>
    <x v="222"/>
    <x v="240"/>
    <n v="800"/>
    <m/>
    <m/>
    <m/>
    <m/>
    <m/>
    <m/>
  </r>
  <r>
    <x v="223"/>
    <x v="6"/>
    <n v="800"/>
    <m/>
    <m/>
    <m/>
    <m/>
    <m/>
    <m/>
  </r>
  <r>
    <x v="224"/>
    <x v="241"/>
    <n v="800"/>
    <m/>
    <m/>
    <m/>
    <m/>
    <m/>
    <m/>
  </r>
  <r>
    <x v="225"/>
    <x v="242"/>
    <n v="800"/>
    <m/>
    <n v="7000"/>
    <m/>
    <m/>
    <m/>
    <m/>
  </r>
  <r>
    <x v="226"/>
    <x v="243"/>
    <n v="800"/>
    <n v="3000"/>
    <n v="800"/>
    <n v="800"/>
    <m/>
    <m/>
    <n v="2400"/>
  </r>
  <r>
    <x v="227"/>
    <x v="244"/>
    <n v="800"/>
    <m/>
    <m/>
    <m/>
    <m/>
    <m/>
    <m/>
  </r>
  <r>
    <x v="228"/>
    <x v="245"/>
    <n v="800"/>
    <m/>
    <m/>
    <m/>
    <m/>
    <m/>
    <m/>
  </r>
  <r>
    <x v="229"/>
    <x v="246"/>
    <n v="800"/>
    <m/>
    <m/>
    <m/>
    <m/>
    <m/>
    <n v="4000"/>
  </r>
  <r>
    <x v="230"/>
    <x v="247"/>
    <n v="800"/>
    <n v="5000"/>
    <m/>
    <n v="5000"/>
    <n v="4950"/>
    <n v="5000"/>
    <m/>
  </r>
  <r>
    <x v="231"/>
    <x v="248"/>
    <n v="800"/>
    <m/>
    <m/>
    <m/>
    <m/>
    <m/>
    <m/>
  </r>
  <r>
    <x v="232"/>
    <x v="249"/>
    <n v="800"/>
    <m/>
    <n v="2000"/>
    <n v="3600"/>
    <n v="1600"/>
    <m/>
    <n v="800"/>
  </r>
  <r>
    <x v="233"/>
    <x v="250"/>
    <n v="800"/>
    <m/>
    <m/>
    <m/>
    <m/>
    <m/>
    <m/>
  </r>
  <r>
    <x v="234"/>
    <x v="251"/>
    <n v="800"/>
    <n v="31000"/>
    <m/>
    <n v="2000"/>
    <m/>
    <m/>
    <m/>
  </r>
  <r>
    <x v="235"/>
    <x v="252"/>
    <n v="800"/>
    <m/>
    <n v="2600"/>
    <n v="800"/>
    <m/>
    <m/>
    <m/>
  </r>
  <r>
    <x v="236"/>
    <x v="253"/>
    <n v="800"/>
    <n v="5050.3"/>
    <m/>
    <m/>
    <m/>
    <m/>
    <m/>
  </r>
  <r>
    <x v="237"/>
    <x v="254"/>
    <n v="800"/>
    <m/>
    <m/>
    <m/>
    <n v="14400"/>
    <m/>
    <m/>
  </r>
  <r>
    <x v="238"/>
    <x v="255"/>
    <n v="800"/>
    <n v="20000"/>
    <m/>
    <m/>
    <m/>
    <m/>
    <m/>
  </r>
  <r>
    <x v="238"/>
    <x v="256"/>
    <m/>
    <m/>
    <m/>
    <m/>
    <m/>
    <m/>
    <m/>
  </r>
  <r>
    <x v="239"/>
    <x v="257"/>
    <n v="800"/>
    <m/>
    <m/>
    <m/>
    <m/>
    <m/>
    <m/>
  </r>
  <r>
    <x v="240"/>
    <x v="258"/>
    <n v="800"/>
    <m/>
    <n v="4800"/>
    <m/>
    <m/>
    <m/>
    <m/>
  </r>
  <r>
    <x v="241"/>
    <x v="259"/>
    <n v="800"/>
    <m/>
    <m/>
    <m/>
    <m/>
    <m/>
    <m/>
  </r>
  <r>
    <x v="242"/>
    <x v="260"/>
    <n v="800"/>
    <m/>
    <m/>
    <m/>
    <m/>
    <m/>
    <m/>
  </r>
  <r>
    <x v="243"/>
    <x v="261"/>
    <n v="800"/>
    <m/>
    <m/>
    <m/>
    <m/>
    <m/>
    <m/>
  </r>
  <r>
    <x v="244"/>
    <x v="262"/>
    <n v="800"/>
    <n v="3000"/>
    <m/>
    <m/>
    <n v="3000"/>
    <m/>
    <n v="3000"/>
  </r>
  <r>
    <x v="245"/>
    <x v="263"/>
    <n v="800"/>
    <m/>
    <m/>
    <m/>
    <m/>
    <m/>
    <m/>
  </r>
  <r>
    <x v="246"/>
    <x v="264"/>
    <n v="800"/>
    <m/>
    <m/>
    <n v="10000"/>
    <m/>
    <m/>
    <m/>
  </r>
  <r>
    <x v="247"/>
    <x v="265"/>
    <n v="800"/>
    <m/>
    <m/>
    <m/>
    <m/>
    <m/>
    <m/>
  </r>
  <r>
    <x v="248"/>
    <x v="266"/>
    <n v="800"/>
    <m/>
    <m/>
    <m/>
    <m/>
    <m/>
    <m/>
  </r>
  <r>
    <x v="249"/>
    <x v="267"/>
    <n v="800"/>
    <m/>
    <m/>
    <m/>
    <m/>
    <m/>
    <m/>
  </r>
  <r>
    <x v="250"/>
    <x v="268"/>
    <n v="800"/>
    <m/>
    <m/>
    <m/>
    <m/>
    <n v="12000"/>
    <m/>
  </r>
  <r>
    <x v="251"/>
    <x v="269"/>
    <n v="800"/>
    <m/>
    <n v="800"/>
    <n v="1600"/>
    <m/>
    <n v="1600"/>
    <m/>
  </r>
  <r>
    <x v="251"/>
    <x v="270"/>
    <m/>
    <m/>
    <m/>
    <m/>
    <m/>
    <m/>
    <m/>
  </r>
  <r>
    <x v="252"/>
    <x v="271"/>
    <n v="800"/>
    <n v="800"/>
    <n v="800"/>
    <n v="800"/>
    <n v="800"/>
    <n v="800"/>
    <n v="800"/>
  </r>
  <r>
    <x v="253"/>
    <x v="272"/>
    <n v="800"/>
    <m/>
    <n v="2000"/>
    <m/>
    <n v="4000"/>
    <n v="4000"/>
    <m/>
  </r>
  <r>
    <x v="254"/>
    <x v="273"/>
    <n v="800"/>
    <m/>
    <m/>
    <m/>
    <m/>
    <m/>
    <m/>
  </r>
  <r>
    <x v="255"/>
    <x v="274"/>
    <n v="800"/>
    <m/>
    <m/>
    <n v="3200"/>
    <m/>
    <n v="3200"/>
    <m/>
  </r>
  <r>
    <x v="256"/>
    <x v="275"/>
    <n v="800"/>
    <m/>
    <m/>
    <m/>
    <m/>
    <m/>
    <m/>
  </r>
  <r>
    <x v="257"/>
    <x v="276"/>
    <n v="800"/>
    <m/>
    <m/>
    <m/>
    <m/>
    <m/>
    <m/>
  </r>
  <r>
    <x v="258"/>
    <x v="277"/>
    <n v="800"/>
    <m/>
    <m/>
    <m/>
    <m/>
    <m/>
    <n v="26000"/>
  </r>
  <r>
    <x v="192"/>
    <x v="209"/>
    <n v="800"/>
    <n v="9000"/>
    <n v="1600"/>
    <n v="800"/>
    <n v="1600"/>
    <m/>
    <m/>
  </r>
  <r>
    <x v="259"/>
    <x v="278"/>
    <n v="800"/>
    <m/>
    <n v="4000"/>
    <m/>
    <n v="2400"/>
    <m/>
    <m/>
  </r>
  <r>
    <x v="260"/>
    <x v="279"/>
    <n v="800"/>
    <m/>
    <m/>
    <m/>
    <m/>
    <m/>
    <m/>
  </r>
  <r>
    <x v="261"/>
    <x v="280"/>
    <n v="800"/>
    <m/>
    <m/>
    <n v="8000"/>
    <m/>
    <m/>
    <n v="21000"/>
  </r>
  <r>
    <x v="261"/>
    <x v="281"/>
    <m/>
    <m/>
    <m/>
    <m/>
    <m/>
    <m/>
    <m/>
  </r>
  <r>
    <x v="261"/>
    <x v="282"/>
    <m/>
    <m/>
    <m/>
    <m/>
    <m/>
    <m/>
    <m/>
  </r>
  <r>
    <x v="262"/>
    <x v="283"/>
    <n v="800"/>
    <n v="2400"/>
    <m/>
    <m/>
    <m/>
    <m/>
    <m/>
  </r>
  <r>
    <x v="263"/>
    <x v="284"/>
    <n v="800"/>
    <m/>
    <m/>
    <m/>
    <m/>
    <m/>
    <m/>
  </r>
  <r>
    <x v="264"/>
    <x v="285"/>
    <n v="800"/>
    <m/>
    <m/>
    <m/>
    <m/>
    <m/>
    <n v="1700"/>
  </r>
  <r>
    <x v="265"/>
    <x v="286"/>
    <n v="800"/>
    <m/>
    <m/>
    <m/>
    <m/>
    <m/>
    <m/>
  </r>
  <r>
    <x v="266"/>
    <x v="287"/>
    <n v="800"/>
    <n v="6000"/>
    <m/>
    <n v="6000"/>
    <m/>
    <m/>
    <m/>
  </r>
  <r>
    <x v="267"/>
    <x v="288"/>
    <n v="800"/>
    <m/>
    <m/>
    <m/>
    <m/>
    <m/>
    <n v="16000"/>
  </r>
  <r>
    <x v="268"/>
    <x v="289"/>
    <n v="800"/>
    <m/>
    <m/>
    <m/>
    <m/>
    <m/>
    <m/>
  </r>
  <r>
    <x v="269"/>
    <x v="290"/>
    <n v="800"/>
    <m/>
    <m/>
    <m/>
    <m/>
    <m/>
    <m/>
  </r>
  <r>
    <x v="270"/>
    <x v="291"/>
    <n v="800"/>
    <m/>
    <m/>
    <m/>
    <m/>
    <m/>
    <n v="7000"/>
  </r>
  <r>
    <x v="271"/>
    <x v="292"/>
    <n v="800"/>
    <m/>
    <m/>
    <m/>
    <m/>
    <m/>
    <m/>
  </r>
  <r>
    <x v="272"/>
    <x v="293"/>
    <n v="800"/>
    <n v="6000"/>
    <m/>
    <m/>
    <m/>
    <m/>
    <m/>
  </r>
  <r>
    <x v="272"/>
    <x v="294"/>
    <m/>
    <m/>
    <m/>
    <m/>
    <m/>
    <m/>
    <m/>
  </r>
  <r>
    <x v="272"/>
    <x v="295"/>
    <m/>
    <m/>
    <m/>
    <m/>
    <n v="3000"/>
    <m/>
    <n v="3000"/>
  </r>
  <r>
    <x v="273"/>
    <x v="296"/>
    <n v="800"/>
    <m/>
    <m/>
    <m/>
    <m/>
    <n v="4800"/>
    <m/>
  </r>
  <r>
    <x v="274"/>
    <x v="297"/>
    <n v="800"/>
    <m/>
    <m/>
    <m/>
    <m/>
    <m/>
    <m/>
  </r>
  <r>
    <x v="275"/>
    <x v="298"/>
    <n v="800"/>
    <n v="11600"/>
    <m/>
    <m/>
    <m/>
    <m/>
    <m/>
  </r>
  <r>
    <x v="276"/>
    <x v="299"/>
    <n v="800"/>
    <m/>
    <n v="2000"/>
    <m/>
    <n v="2000"/>
    <n v="2000"/>
    <m/>
  </r>
  <r>
    <x v="277"/>
    <x v="300"/>
    <n v="800"/>
    <m/>
    <m/>
    <m/>
    <m/>
    <m/>
    <n v="4800"/>
  </r>
  <r>
    <x v="278"/>
    <x v="301"/>
    <n v="800"/>
    <n v="8000"/>
    <m/>
    <m/>
    <m/>
    <m/>
    <m/>
  </r>
  <r>
    <x v="278"/>
    <x v="302"/>
    <n v="800"/>
    <m/>
    <m/>
    <m/>
    <m/>
    <m/>
    <m/>
  </r>
  <r>
    <x v="279"/>
    <x v="303"/>
    <n v="800"/>
    <m/>
    <m/>
    <m/>
    <m/>
    <m/>
    <m/>
  </r>
  <r>
    <x v="280"/>
    <x v="303"/>
    <n v="800"/>
    <m/>
    <m/>
    <m/>
    <m/>
    <m/>
    <m/>
  </r>
  <r>
    <x v="281"/>
    <x v="304"/>
    <n v="800"/>
    <m/>
    <m/>
    <m/>
    <m/>
    <m/>
    <m/>
  </r>
  <r>
    <x v="282"/>
    <x v="305"/>
    <n v="800"/>
    <m/>
    <m/>
    <m/>
    <m/>
    <n v="9200"/>
    <m/>
  </r>
  <r>
    <x v="283"/>
    <x v="306"/>
    <n v="800"/>
    <m/>
    <m/>
    <m/>
    <m/>
    <m/>
    <n v="9000"/>
  </r>
  <r>
    <x v="284"/>
    <x v="307"/>
    <n v="800"/>
    <m/>
    <n v="4000"/>
    <n v="2400"/>
    <m/>
    <m/>
    <n v="2400"/>
  </r>
  <r>
    <x v="285"/>
    <x v="308"/>
    <n v="800"/>
    <m/>
    <m/>
    <m/>
    <m/>
    <m/>
    <m/>
  </r>
  <r>
    <x v="286"/>
    <x v="309"/>
    <n v="800"/>
    <m/>
    <m/>
    <m/>
    <m/>
    <m/>
    <m/>
  </r>
  <r>
    <x v="287"/>
    <x v="310"/>
    <n v="800"/>
    <m/>
    <n v="3800"/>
    <n v="4800"/>
    <m/>
    <m/>
    <m/>
  </r>
  <r>
    <x v="288"/>
    <x v="311"/>
    <n v="800"/>
    <m/>
    <n v="4000"/>
    <m/>
    <m/>
    <m/>
    <n v="4800"/>
  </r>
  <r>
    <x v="289"/>
    <x v="312"/>
    <n v="800"/>
    <m/>
    <m/>
    <m/>
    <m/>
    <m/>
    <m/>
  </r>
  <r>
    <x v="290"/>
    <x v="313"/>
    <n v="800"/>
    <m/>
    <m/>
    <m/>
    <m/>
    <m/>
    <m/>
  </r>
  <r>
    <x v="291"/>
    <x v="314"/>
    <n v="800"/>
    <m/>
    <m/>
    <n v="3200"/>
    <m/>
    <m/>
    <m/>
  </r>
  <r>
    <x v="292"/>
    <x v="315"/>
    <n v="800"/>
    <m/>
    <m/>
    <m/>
    <m/>
    <m/>
    <m/>
  </r>
  <r>
    <x v="293"/>
    <x v="316"/>
    <n v="800"/>
    <n v="3000"/>
    <m/>
    <n v="2000"/>
    <m/>
    <m/>
    <n v="2000"/>
  </r>
  <r>
    <x v="294"/>
    <x v="317"/>
    <n v="80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V1:W297" firstHeaderRow="1" firstDataRow="1" firstDataCol="1"/>
  <pivotFields count="3">
    <pivotField showAll="0" defaultSubtotal="0"/>
    <pivotField dataField="1" showAll="0"/>
    <pivotField axis="axisRow" showAll="0" sortType="descending">
      <items count="301">
        <item x="1"/>
        <item x="11"/>
        <item x="23"/>
        <item x="24"/>
        <item x="26"/>
        <item x="44"/>
        <item x="45"/>
        <item x="48"/>
        <item x="50"/>
        <item x="52"/>
        <item x="55"/>
        <item x="57"/>
        <item x="65"/>
        <item x="66"/>
        <item x="69"/>
        <item x="71"/>
        <item x="77"/>
        <item x="78"/>
        <item x="82"/>
        <item x="85"/>
        <item x="86"/>
        <item x="87"/>
        <item x="88"/>
        <item x="89"/>
        <item x="90"/>
        <item x="93"/>
        <item x="107"/>
        <item x="109"/>
        <item x="111"/>
        <item x="117"/>
        <item x="118"/>
        <item x="131"/>
        <item x="136"/>
        <item x="138"/>
        <item x="142"/>
        <item x="146"/>
        <item x="152"/>
        <item x="153"/>
        <item x="158"/>
        <item x="160"/>
        <item x="177"/>
        <item x="181"/>
        <item x="186"/>
        <item x="187"/>
        <item x="188"/>
        <item m="1" x="295"/>
        <item x="193"/>
        <item x="200"/>
        <item x="209"/>
        <item x="210"/>
        <item x="222"/>
        <item x="229"/>
        <item x="233"/>
        <item x="239"/>
        <item x="242"/>
        <item x="247"/>
        <item x="248"/>
        <item x="249"/>
        <item x="252"/>
        <item m="1" x="298"/>
        <item x="260"/>
        <item x="261"/>
        <item x="263"/>
        <item x="264"/>
        <item x="269"/>
        <item x="270"/>
        <item x="275"/>
        <item x="276"/>
        <item x="285"/>
        <item x="288"/>
        <item x="290"/>
        <item x="291"/>
        <item x="293"/>
        <item x="294"/>
        <item x="219"/>
        <item x="280"/>
        <item x="0"/>
        <item x="189"/>
        <item x="176"/>
        <item x="108"/>
        <item x="125"/>
        <item x="278"/>
        <item x="179"/>
        <item x="43"/>
        <item x="155"/>
        <item m="1" x="299"/>
        <item x="185"/>
        <item x="40"/>
        <item x="241"/>
        <item x="279"/>
        <item x="254"/>
        <item x="56"/>
        <item x="283"/>
        <item x="161"/>
        <item x="36"/>
        <item x="257"/>
        <item x="236"/>
        <item x="42"/>
        <item x="201"/>
        <item x="267"/>
        <item x="178"/>
        <item x="35"/>
        <item x="102"/>
        <item x="232"/>
        <item x="284"/>
        <item x="9"/>
        <item x="122"/>
        <item m="1" x="296"/>
        <item x="123"/>
        <item x="273"/>
        <item x="27"/>
        <item x="246"/>
        <item x="51"/>
        <item x="149"/>
        <item x="14"/>
        <item x="172"/>
        <item x="91"/>
        <item x="67"/>
        <item x="120"/>
        <item x="99"/>
        <item x="18"/>
        <item x="49"/>
        <item x="84"/>
        <item x="221"/>
        <item x="159"/>
        <item x="10"/>
        <item x="237"/>
        <item x="72"/>
        <item x="126"/>
        <item x="212"/>
        <item x="262"/>
        <item x="25"/>
        <item x="34"/>
        <item x="46"/>
        <item x="144"/>
        <item x="29"/>
        <item x="130"/>
        <item x="208"/>
        <item x="258"/>
        <item x="191"/>
        <item x="59"/>
        <item x="110"/>
        <item x="139"/>
        <item x="28"/>
        <item x="286"/>
        <item x="101"/>
        <item x="156"/>
        <item x="70"/>
        <item x="92"/>
        <item x="134"/>
        <item x="143"/>
        <item x="73"/>
        <item x="199"/>
        <item x="227"/>
        <item x="250"/>
        <item x="121"/>
        <item x="151"/>
        <item x="203"/>
        <item x="148"/>
        <item x="256"/>
        <item x="277"/>
        <item x="194"/>
        <item x="174"/>
        <item x="245"/>
        <item x="115"/>
        <item x="202"/>
        <item x="38"/>
        <item x="196"/>
        <item x="198"/>
        <item x="13"/>
        <item x="274"/>
        <item x="74"/>
        <item x="282"/>
        <item x="238"/>
        <item x="195"/>
        <item x="167"/>
        <item x="168"/>
        <item x="31"/>
        <item x="124"/>
        <item x="16"/>
        <item x="128"/>
        <item x="12"/>
        <item x="135"/>
        <item x="207"/>
        <item x="98"/>
        <item x="96"/>
        <item x="22"/>
        <item x="150"/>
        <item x="190"/>
        <item x="127"/>
        <item x="3"/>
        <item x="183"/>
        <item x="231"/>
        <item x="41"/>
        <item x="105"/>
        <item x="104"/>
        <item x="163"/>
        <item x="216"/>
        <item x="169"/>
        <item x="165"/>
        <item x="83"/>
        <item x="94"/>
        <item x="225"/>
        <item x="137"/>
        <item x="171"/>
        <item x="32"/>
        <item x="141"/>
        <item x="7"/>
        <item x="103"/>
        <item x="33"/>
        <item x="211"/>
        <item x="132"/>
        <item x="63"/>
        <item x="287"/>
        <item x="47"/>
        <item x="19"/>
        <item x="81"/>
        <item x="106"/>
        <item x="5"/>
        <item x="271"/>
        <item x="79"/>
        <item x="62"/>
        <item x="234"/>
        <item x="218"/>
        <item x="217"/>
        <item x="289"/>
        <item x="226"/>
        <item x="170"/>
        <item x="140"/>
        <item x="30"/>
        <item x="266"/>
        <item x="265"/>
        <item x="17"/>
        <item x="100"/>
        <item x="204"/>
        <item x="251"/>
        <item x="80"/>
        <item x="255"/>
        <item x="272"/>
        <item x="164"/>
        <item x="214"/>
        <item x="8"/>
        <item x="2"/>
        <item x="145"/>
        <item x="235"/>
        <item x="76"/>
        <item x="114"/>
        <item x="133"/>
        <item x="213"/>
        <item x="244"/>
        <item x="112"/>
        <item x="157"/>
        <item x="113"/>
        <item x="228"/>
        <item x="154"/>
        <item x="37"/>
        <item x="268"/>
        <item x="58"/>
        <item x="6"/>
        <item x="223"/>
        <item x="95"/>
        <item x="224"/>
        <item x="21"/>
        <item x="182"/>
        <item x="75"/>
        <item x="64"/>
        <item x="54"/>
        <item x="173"/>
        <item x="147"/>
        <item x="129"/>
        <item x="175"/>
        <item x="184"/>
        <item x="162"/>
        <item x="15"/>
        <item x="53"/>
        <item x="97"/>
        <item x="20"/>
        <item x="220"/>
        <item x="240"/>
        <item x="215"/>
        <item x="180"/>
        <item x="68"/>
        <item x="119"/>
        <item x="39"/>
        <item x="116"/>
        <item x="281"/>
        <item x="197"/>
        <item x="60"/>
        <item x="292"/>
        <item x="230"/>
        <item x="206"/>
        <item m="1" x="297"/>
        <item x="205"/>
        <item x="4"/>
        <item x="243"/>
        <item x="61"/>
        <item x="253"/>
        <item x="166"/>
        <item x="192"/>
        <item x="25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296">
    <i>
      <x v="220"/>
    </i>
    <i>
      <x v="130"/>
    </i>
    <i>
      <x v="109"/>
    </i>
    <i>
      <x v="134"/>
    </i>
    <i>
      <x v="235"/>
    </i>
    <i>
      <x v="187"/>
    </i>
    <i>
      <x v="173"/>
    </i>
    <i>
      <x v="89"/>
    </i>
    <i>
      <x v="216"/>
    </i>
    <i>
      <x v="93"/>
    </i>
    <i>
      <x v="166"/>
    </i>
    <i>
      <x v="1"/>
    </i>
    <i>
      <x v="177"/>
    </i>
    <i>
      <x v="21"/>
    </i>
    <i>
      <x v="203"/>
    </i>
    <i>
      <x v="243"/>
    </i>
    <i>
      <x v="29"/>
    </i>
    <i>
      <x v="255"/>
    </i>
    <i>
      <x v="48"/>
    </i>
    <i>
      <x v="162"/>
    </i>
    <i>
      <x v="283"/>
    </i>
    <i>
      <x v="137"/>
    </i>
    <i>
      <x v="153"/>
    </i>
    <i>
      <x v="217"/>
    </i>
    <i>
      <x v="185"/>
    </i>
    <i>
      <x v="23"/>
    </i>
    <i>
      <x v="249"/>
    </i>
    <i>
      <x v="24"/>
    </i>
    <i>
      <x v="169"/>
    </i>
    <i>
      <x v="25"/>
    </i>
    <i>
      <x v="201"/>
    </i>
    <i>
      <x v="26"/>
    </i>
    <i>
      <x v="233"/>
    </i>
    <i>
      <x v="27"/>
    </i>
    <i>
      <x v="265"/>
    </i>
    <i>
      <x v="28"/>
    </i>
    <i>
      <x v="161"/>
    </i>
    <i>
      <x v="3"/>
    </i>
    <i>
      <x v="14"/>
    </i>
    <i>
      <x v="30"/>
    </i>
    <i>
      <x v="193"/>
    </i>
    <i>
      <x v="31"/>
    </i>
    <i>
      <x v="209"/>
    </i>
    <i>
      <x v="32"/>
    </i>
    <i>
      <x v="225"/>
    </i>
    <i>
      <x v="33"/>
    </i>
    <i>
      <x v="241"/>
    </i>
    <i>
      <x v="34"/>
    </i>
    <i>
      <x v="257"/>
    </i>
    <i>
      <x v="35"/>
    </i>
    <i>
      <x v="296"/>
    </i>
    <i>
      <x v="36"/>
    </i>
    <i>
      <x v="157"/>
    </i>
    <i>
      <x v="37"/>
    </i>
    <i>
      <x v="165"/>
    </i>
    <i>
      <x v="38"/>
    </i>
    <i>
      <x v="13"/>
    </i>
    <i>
      <x v="39"/>
    </i>
    <i>
      <x v="181"/>
    </i>
    <i>
      <x v="40"/>
    </i>
    <i>
      <x v="189"/>
    </i>
    <i>
      <x v="41"/>
    </i>
    <i>
      <x v="197"/>
    </i>
    <i>
      <x v="42"/>
    </i>
    <i>
      <x v="205"/>
    </i>
    <i>
      <x v="43"/>
    </i>
    <i>
      <x v="213"/>
    </i>
    <i>
      <x v="44"/>
    </i>
    <i>
      <x v="221"/>
    </i>
    <i>
      <x v="46"/>
    </i>
    <i>
      <x v="229"/>
    </i>
    <i>
      <x v="47"/>
    </i>
    <i>
      <x v="237"/>
    </i>
    <i>
      <x v="4"/>
    </i>
    <i>
      <x v="245"/>
    </i>
    <i>
      <x v="49"/>
    </i>
    <i>
      <x v="253"/>
    </i>
    <i>
      <x v="50"/>
    </i>
    <i>
      <x v="261"/>
    </i>
    <i>
      <x v="51"/>
    </i>
    <i>
      <x v="269"/>
    </i>
    <i>
      <x v="52"/>
    </i>
    <i>
      <x/>
    </i>
    <i>
      <x v="53"/>
    </i>
    <i>
      <x v="155"/>
    </i>
    <i>
      <x v="54"/>
    </i>
    <i>
      <x v="159"/>
    </i>
    <i>
      <x v="55"/>
    </i>
    <i>
      <x v="163"/>
    </i>
    <i>
      <x v="56"/>
    </i>
    <i>
      <x v="167"/>
    </i>
    <i>
      <x v="57"/>
    </i>
    <i>
      <x v="171"/>
    </i>
    <i>
      <x v="58"/>
    </i>
    <i>
      <x v="175"/>
    </i>
    <i>
      <x v="60"/>
    </i>
    <i>
      <x v="179"/>
    </i>
    <i>
      <x v="61"/>
    </i>
    <i>
      <x v="183"/>
    </i>
    <i>
      <x v="62"/>
    </i>
    <i>
      <x v="15"/>
    </i>
    <i>
      <x v="63"/>
    </i>
    <i>
      <x v="191"/>
    </i>
    <i>
      <x v="64"/>
    </i>
    <i>
      <x v="195"/>
    </i>
    <i>
      <x v="65"/>
    </i>
    <i>
      <x v="199"/>
    </i>
    <i>
      <x v="66"/>
    </i>
    <i>
      <x v="16"/>
    </i>
    <i>
      <x v="67"/>
    </i>
    <i>
      <x v="207"/>
    </i>
    <i>
      <x v="68"/>
    </i>
    <i>
      <x v="211"/>
    </i>
    <i>
      <x v="69"/>
    </i>
    <i>
      <x v="215"/>
    </i>
    <i>
      <x v="70"/>
    </i>
    <i>
      <x v="219"/>
    </i>
    <i>
      <x v="71"/>
    </i>
    <i>
      <x v="223"/>
    </i>
    <i>
      <x v="72"/>
    </i>
    <i>
      <x v="227"/>
    </i>
    <i>
      <x v="73"/>
    </i>
    <i>
      <x v="231"/>
    </i>
    <i>
      <x v="74"/>
    </i>
    <i>
      <x v="19"/>
    </i>
    <i>
      <x v="75"/>
    </i>
    <i>
      <x v="239"/>
    </i>
    <i>
      <x v="76"/>
    </i>
    <i>
      <x v="20"/>
    </i>
    <i>
      <x v="77"/>
    </i>
    <i>
      <x v="247"/>
    </i>
    <i>
      <x v="78"/>
    </i>
    <i>
      <x v="251"/>
    </i>
    <i>
      <x v="79"/>
    </i>
    <i>
      <x v="2"/>
    </i>
    <i>
      <x v="80"/>
    </i>
    <i>
      <x v="259"/>
    </i>
    <i>
      <x v="81"/>
    </i>
    <i>
      <x v="263"/>
    </i>
    <i>
      <x v="82"/>
    </i>
    <i>
      <x v="267"/>
    </i>
    <i>
      <x v="83"/>
    </i>
    <i>
      <x v="271"/>
    </i>
    <i>
      <x v="84"/>
    </i>
    <i>
      <x v="150"/>
    </i>
    <i>
      <x v="86"/>
    </i>
    <i>
      <x v="152"/>
    </i>
    <i>
      <x v="87"/>
    </i>
    <i>
      <x v="154"/>
    </i>
    <i>
      <x v="88"/>
    </i>
    <i>
      <x v="156"/>
    </i>
    <i>
      <x v="5"/>
    </i>
    <i>
      <x v="158"/>
    </i>
    <i>
      <x v="90"/>
    </i>
    <i>
      <x v="160"/>
    </i>
    <i>
      <x v="91"/>
    </i>
    <i>
      <x v="11"/>
    </i>
    <i>
      <x v="92"/>
    </i>
    <i>
      <x v="164"/>
    </i>
    <i>
      <x v="6"/>
    </i>
    <i>
      <x v="12"/>
    </i>
    <i>
      <x v="94"/>
    </i>
    <i>
      <x v="168"/>
    </i>
    <i>
      <x v="95"/>
    </i>
    <i>
      <x v="170"/>
    </i>
    <i>
      <x v="96"/>
    </i>
    <i>
      <x v="172"/>
    </i>
    <i>
      <x v="97"/>
    </i>
    <i>
      <x v="174"/>
    </i>
    <i>
      <x v="98"/>
    </i>
    <i>
      <x v="176"/>
    </i>
    <i>
      <x v="99"/>
    </i>
    <i>
      <x v="178"/>
    </i>
    <i>
      <x v="100"/>
    </i>
    <i>
      <x v="180"/>
    </i>
    <i>
      <x v="101"/>
    </i>
    <i>
      <x v="182"/>
    </i>
    <i>
      <x v="102"/>
    </i>
    <i>
      <x v="184"/>
    </i>
    <i>
      <x v="103"/>
    </i>
    <i>
      <x v="186"/>
    </i>
    <i>
      <x v="104"/>
    </i>
    <i>
      <x v="188"/>
    </i>
    <i>
      <x v="105"/>
    </i>
    <i>
      <x v="190"/>
    </i>
    <i>
      <x v="106"/>
    </i>
    <i>
      <x v="192"/>
    </i>
    <i>
      <x v="108"/>
    </i>
    <i>
      <x v="194"/>
    </i>
    <i>
      <x v="7"/>
    </i>
    <i>
      <x v="196"/>
    </i>
    <i>
      <x v="110"/>
    </i>
    <i>
      <x v="198"/>
    </i>
    <i>
      <x v="111"/>
    </i>
    <i>
      <x v="200"/>
    </i>
    <i>
      <x v="112"/>
    </i>
    <i>
      <x v="202"/>
    </i>
    <i>
      <x v="113"/>
    </i>
    <i>
      <x v="204"/>
    </i>
    <i>
      <x v="114"/>
    </i>
    <i>
      <x v="206"/>
    </i>
    <i>
      <x v="115"/>
    </i>
    <i>
      <x v="208"/>
    </i>
    <i>
      <x v="116"/>
    </i>
    <i>
      <x v="210"/>
    </i>
    <i>
      <x v="117"/>
    </i>
    <i>
      <x v="212"/>
    </i>
    <i>
      <x v="118"/>
    </i>
    <i>
      <x v="214"/>
    </i>
    <i>
      <x v="119"/>
    </i>
    <i>
      <x v="17"/>
    </i>
    <i>
      <x v="120"/>
    </i>
    <i>
      <x v="218"/>
    </i>
    <i>
      <x v="121"/>
    </i>
    <i>
      <x v="18"/>
    </i>
    <i>
      <x v="122"/>
    </i>
    <i>
      <x v="222"/>
    </i>
    <i>
      <x v="123"/>
    </i>
    <i>
      <x v="224"/>
    </i>
    <i>
      <x v="124"/>
    </i>
    <i>
      <x v="226"/>
    </i>
    <i>
      <x v="125"/>
    </i>
    <i>
      <x v="228"/>
    </i>
    <i>
      <x v="126"/>
    </i>
    <i>
      <x v="230"/>
    </i>
    <i>
      <x v="127"/>
    </i>
    <i>
      <x v="232"/>
    </i>
    <i>
      <x v="128"/>
    </i>
    <i>
      <x v="234"/>
    </i>
    <i>
      <x v="129"/>
    </i>
    <i>
      <x v="236"/>
    </i>
    <i>
      <x v="8"/>
    </i>
    <i>
      <x v="238"/>
    </i>
    <i>
      <x v="131"/>
    </i>
    <i>
      <x v="240"/>
    </i>
    <i>
      <x v="132"/>
    </i>
    <i>
      <x v="242"/>
    </i>
    <i>
      <x v="133"/>
    </i>
    <i>
      <x v="244"/>
    </i>
    <i>
      <x v="9"/>
    </i>
    <i>
      <x v="246"/>
    </i>
    <i>
      <x v="135"/>
    </i>
    <i>
      <x v="248"/>
    </i>
    <i>
      <x v="136"/>
    </i>
    <i>
      <x v="250"/>
    </i>
    <i>
      <x v="272"/>
    </i>
    <i>
      <x v="252"/>
    </i>
    <i>
      <x v="273"/>
    </i>
    <i>
      <x v="254"/>
    </i>
    <i>
      <x v="275"/>
    </i>
    <i>
      <x v="256"/>
    </i>
    <i>
      <x v="277"/>
    </i>
    <i>
      <x v="258"/>
    </i>
    <i>
      <x v="279"/>
    </i>
    <i>
      <x v="260"/>
    </i>
    <i>
      <x v="281"/>
    </i>
    <i>
      <x v="262"/>
    </i>
    <i>
      <x v="10"/>
    </i>
    <i>
      <x v="264"/>
    </i>
    <i>
      <x v="285"/>
    </i>
    <i>
      <x v="266"/>
    </i>
    <i>
      <x v="287"/>
    </i>
    <i>
      <x v="268"/>
    </i>
    <i>
      <x v="289"/>
    </i>
    <i>
      <x v="270"/>
    </i>
    <i>
      <x v="292"/>
    </i>
    <i>
      <x v="22"/>
    </i>
    <i>
      <x v="294"/>
    </i>
    <i>
      <x v="274"/>
    </i>
    <i>
      <x v="138"/>
    </i>
    <i>
      <x v="276"/>
    </i>
    <i>
      <x v="139"/>
    </i>
    <i>
      <x v="278"/>
    </i>
    <i>
      <x v="140"/>
    </i>
    <i>
      <x v="280"/>
    </i>
    <i>
      <x v="141"/>
    </i>
    <i>
      <x v="282"/>
    </i>
    <i>
      <x v="142"/>
    </i>
    <i>
      <x v="284"/>
    </i>
    <i>
      <x v="143"/>
    </i>
    <i>
      <x v="286"/>
    </i>
    <i>
      <x v="144"/>
    </i>
    <i>
      <x v="288"/>
    </i>
    <i>
      <x v="145"/>
    </i>
    <i>
      <x v="290"/>
    </i>
    <i>
      <x v="146"/>
    </i>
    <i>
      <x v="293"/>
    </i>
    <i>
      <x v="147"/>
    </i>
    <i>
      <x v="295"/>
    </i>
    <i>
      <x v="148"/>
    </i>
    <i>
      <x v="298"/>
    </i>
    <i>
      <x v="149"/>
    </i>
    <i>
      <x v="151"/>
    </i>
    <i>
      <x v="299"/>
    </i>
    <i>
      <x v="297"/>
    </i>
    <i t="grand">
      <x/>
    </i>
  </rowItems>
  <colItems count="1">
    <i/>
  </colItems>
  <dataFields count="1">
    <dataField name="Количество по полю Номер участка" fld="1" subtotal="count" baseField="2" baseItem="5"/>
  </dataFields>
  <formats count="8">
    <format dxfId="7">
      <pivotArea outline="0" collapsedLevelsAreSubtotals="1" fieldPosition="0"/>
    </format>
    <format dxfId="6">
      <pivotArea dataOnly="0" labelOnly="1" fieldPosition="0">
        <references count="1">
          <reference field="2" count="50">
            <x v="1"/>
            <x v="2"/>
            <x v="3"/>
            <x v="17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48"/>
            <x v="93"/>
            <x v="109"/>
            <x v="130"/>
            <x v="134"/>
            <x v="137"/>
            <x v="156"/>
            <x v="162"/>
            <x v="164"/>
            <x v="166"/>
            <x v="172"/>
            <x v="173"/>
            <x v="177"/>
            <x v="180"/>
            <x v="187"/>
            <x v="188"/>
            <x v="196"/>
            <x v="203"/>
            <x v="204"/>
            <x v="212"/>
            <x v="216"/>
            <x v="220"/>
            <x v="228"/>
            <x v="235"/>
            <x v="236"/>
            <x v="243"/>
            <x v="244"/>
            <x v="252"/>
            <x v="255"/>
            <x v="260"/>
            <x v="268"/>
            <x v="283"/>
          </reference>
        </references>
      </pivotArea>
    </format>
    <format dxfId="5">
      <pivotArea dataOnly="0" labelOnly="1" fieldPosition="0">
        <references count="1">
          <reference field="2" count="50">
            <x v="4"/>
            <x v="10"/>
            <x v="11"/>
            <x v="16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150"/>
            <x v="152"/>
            <x v="154"/>
            <x v="158"/>
            <x v="160"/>
            <x v="168"/>
            <x v="170"/>
            <x v="174"/>
            <x v="176"/>
            <x v="178"/>
            <x v="182"/>
            <x v="184"/>
            <x v="192"/>
            <x v="200"/>
            <x v="208"/>
            <x v="224"/>
            <x v="232"/>
            <x v="240"/>
            <x v="248"/>
            <x v="256"/>
            <x v="264"/>
            <x v="272"/>
          </reference>
        </references>
      </pivotArea>
    </format>
    <format dxfId="4">
      <pivotArea dataOnly="0" labelOnly="1" fieldPosition="0">
        <references count="1">
          <reference field="2" count="50"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149"/>
            <x v="151"/>
            <x v="186"/>
            <x v="190"/>
            <x v="194"/>
            <x v="198"/>
            <x v="202"/>
            <x v="206"/>
            <x v="210"/>
            <x v="214"/>
            <x v="218"/>
            <x v="222"/>
            <x v="226"/>
            <x v="230"/>
            <x v="234"/>
            <x v="238"/>
            <x v="242"/>
            <x v="246"/>
            <x v="250"/>
            <x v="254"/>
            <x v="258"/>
            <x v="262"/>
            <x v="266"/>
            <x v="270"/>
            <x v="274"/>
          </reference>
        </references>
      </pivotArea>
    </format>
    <format dxfId="3">
      <pivotArea dataOnly="0" labelOnly="1" fieldPosition="0">
        <references count="1">
          <reference field="2" count="50">
            <x v="5"/>
            <x v="6"/>
            <x v="12"/>
            <x v="13"/>
            <x v="14"/>
            <x v="85"/>
            <x v="86"/>
            <x v="87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53"/>
            <x v="155"/>
            <x v="157"/>
            <x v="159"/>
            <x v="161"/>
            <x v="163"/>
            <x v="165"/>
            <x v="167"/>
            <x v="169"/>
            <x v="171"/>
            <x v="175"/>
            <x v="179"/>
            <x v="181"/>
            <x v="183"/>
            <x v="185"/>
            <x v="189"/>
            <x v="191"/>
            <x v="193"/>
            <x v="195"/>
            <x v="197"/>
            <x v="199"/>
            <x v="201"/>
          </reference>
        </references>
      </pivotArea>
    </format>
    <format dxfId="2">
      <pivotArea dataOnly="0" labelOnly="1" fieldPosition="0">
        <references count="1">
          <reference field="2" count="50">
            <x v="7"/>
            <x v="8"/>
            <x v="15"/>
            <x v="18"/>
            <x v="1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1"/>
            <x v="132"/>
            <x v="133"/>
            <x v="205"/>
            <x v="207"/>
            <x v="209"/>
            <x v="211"/>
            <x v="213"/>
            <x v="215"/>
            <x v="217"/>
            <x v="219"/>
            <x v="221"/>
            <x v="223"/>
            <x v="225"/>
            <x v="227"/>
            <x v="229"/>
            <x v="231"/>
            <x v="233"/>
            <x v="237"/>
            <x v="239"/>
            <x v="241"/>
            <x v="245"/>
            <x v="247"/>
            <x v="249"/>
            <x v="251"/>
          </reference>
        </references>
      </pivotArea>
    </format>
    <format dxfId="1">
      <pivotArea dataOnly="0" labelOnly="1" fieldPosition="0">
        <references count="1">
          <reference field="2" count="48">
            <x v="0"/>
            <x v="9"/>
            <x v="20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253"/>
            <x v="257"/>
            <x v="259"/>
            <x v="261"/>
            <x v="263"/>
            <x v="265"/>
            <x v="267"/>
            <x v="269"/>
            <x v="271"/>
            <x v="273"/>
            <x v="275"/>
            <x v="276"/>
            <x v="277"/>
            <x v="278"/>
            <x v="279"/>
            <x v="280"/>
            <x v="281"/>
            <x v="282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9" cacheId="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compact="0" compactData="0" multipleFieldFilters="0">
  <location ref="C329:D625" firstHeaderRow="1" firstDataRow="1" firstDataCol="1" rowPageCount="1" colPageCount="1"/>
  <pivotFields count="9">
    <pivotField axis="axisRow" compact="0" outline="0" showAll="0" sortType="descending" defaultSubtotal="0">
      <items count="295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18">
        <item x="129"/>
        <item x="297"/>
        <item x="154"/>
        <item x="91"/>
        <item x="103"/>
        <item x="205"/>
        <item x="11"/>
        <item x="119"/>
        <item x="173"/>
        <item x="313"/>
        <item x="28"/>
        <item x="98"/>
        <item x="168"/>
        <item x="12"/>
        <item x="311"/>
        <item x="100"/>
        <item x="316"/>
        <item x="75"/>
        <item x="246"/>
        <item x="290"/>
        <item x="257"/>
        <item x="289"/>
        <item x="298"/>
        <item x="71"/>
        <item x="51"/>
        <item x="203"/>
        <item x="279"/>
        <item x="278"/>
        <item x="209"/>
        <item x="121"/>
        <item x="194"/>
        <item x="83"/>
        <item x="210"/>
        <item x="167"/>
        <item x="1"/>
        <item x="95"/>
        <item x="54"/>
        <item x="97"/>
        <item x="63"/>
        <item x="317"/>
        <item x="308"/>
        <item x="175"/>
        <item x="50"/>
        <item x="77"/>
        <item x="271"/>
        <item x="266"/>
        <item x="198"/>
        <item x="250"/>
        <item x="84"/>
        <item x="72"/>
        <item x="26"/>
        <item x="25"/>
        <item x="217"/>
        <item x="260"/>
        <item x="314"/>
        <item x="150"/>
        <item x="265"/>
        <item x="56"/>
        <item x="283"/>
        <item x="284"/>
        <item x="58"/>
        <item x="142"/>
        <item x="99"/>
        <item x="61"/>
        <item x="147"/>
        <item x="94"/>
        <item x="240"/>
        <item x="230"/>
        <item x="127"/>
        <item x="128"/>
        <item x="204"/>
        <item x="19"/>
        <item x="267"/>
        <item x="228"/>
        <item x="229"/>
        <item x="117"/>
        <item x="303"/>
        <item x="0"/>
        <item x="206"/>
        <item x="193"/>
        <item x="118"/>
        <item x="136"/>
        <item x="300"/>
        <item x="196"/>
        <item x="49"/>
        <item x="170"/>
        <item x="302"/>
        <item x="202"/>
        <item x="46"/>
        <item x="259"/>
        <item x="301"/>
        <item x="273"/>
        <item x="62"/>
        <item x="306"/>
        <item x="176"/>
        <item x="177"/>
        <item x="39"/>
        <item x="276"/>
        <item x="253"/>
        <item x="48"/>
        <item x="218"/>
        <item x="287"/>
        <item x="195"/>
        <item x="38"/>
        <item x="112"/>
        <item x="249"/>
        <item x="307"/>
        <item x="9"/>
        <item x="133"/>
        <item x="295"/>
        <item x="134"/>
        <item x="293"/>
        <item x="29"/>
        <item x="294"/>
        <item x="264"/>
        <item x="57"/>
        <item x="163"/>
        <item x="15"/>
        <item x="188"/>
        <item x="101"/>
        <item x="73"/>
        <item x="131"/>
        <item x="109"/>
        <item x="20"/>
        <item x="55"/>
        <item x="93"/>
        <item x="239"/>
        <item x="174"/>
        <item x="10"/>
        <item x="254"/>
        <item x="78"/>
        <item x="137"/>
        <item x="232"/>
        <item x="280"/>
        <item x="281"/>
        <item x="27"/>
        <item x="37"/>
        <item x="52"/>
        <item x="157"/>
        <item x="158"/>
        <item x="156"/>
        <item x="31"/>
        <item x="141"/>
        <item x="226"/>
        <item x="227"/>
        <item x="277"/>
        <item x="208"/>
        <item x="65"/>
        <item x="120"/>
        <item x="151"/>
        <item x="30"/>
        <item x="309"/>
        <item x="111"/>
        <item x="171"/>
        <item x="76"/>
        <item x="102"/>
        <item x="145"/>
        <item x="155"/>
        <item x="79"/>
        <item x="216"/>
        <item x="244"/>
        <item x="268"/>
        <item x="132"/>
        <item x="166"/>
        <item x="220"/>
        <item x="162"/>
        <item x="275"/>
        <item x="299"/>
        <item x="211"/>
        <item x="190"/>
        <item x="191"/>
        <item x="263"/>
        <item x="125"/>
        <item x="219"/>
        <item x="42"/>
        <item x="213"/>
        <item x="215"/>
        <item x="14"/>
        <item x="43"/>
        <item x="296"/>
        <item x="80"/>
        <item x="305"/>
        <item x="255"/>
        <item x="256"/>
        <item x="212"/>
        <item x="183"/>
        <item x="184"/>
        <item x="33"/>
        <item x="34"/>
        <item x="135"/>
        <item x="17"/>
        <item x="139"/>
        <item x="13"/>
        <item x="146"/>
        <item x="225"/>
        <item x="108"/>
        <item x="106"/>
        <item x="24"/>
        <item x="164"/>
        <item x="165"/>
        <item x="207"/>
        <item x="138"/>
        <item x="3"/>
        <item x="200"/>
        <item x="248"/>
        <item x="47"/>
        <item x="115"/>
        <item x="114"/>
        <item x="179"/>
        <item x="185"/>
        <item x="181"/>
        <item x="92"/>
        <item x="104"/>
        <item x="242"/>
        <item x="148"/>
        <item x="149"/>
        <item x="187"/>
        <item x="35"/>
        <item x="153"/>
        <item x="7"/>
        <item x="113"/>
        <item x="36"/>
        <item x="231"/>
        <item x="143"/>
        <item x="69"/>
        <item x="310"/>
        <item x="53"/>
        <item x="21"/>
        <item x="89"/>
        <item x="116"/>
        <item x="5"/>
        <item x="291"/>
        <item x="85"/>
        <item x="86"/>
        <item x="68"/>
        <item x="251"/>
        <item x="237"/>
        <item x="236"/>
        <item x="312"/>
        <item x="243"/>
        <item x="186"/>
        <item x="152"/>
        <item x="96"/>
        <item x="32"/>
        <item x="90"/>
        <item x="286"/>
        <item x="285"/>
        <item x="18"/>
        <item x="110"/>
        <item x="221"/>
        <item x="269"/>
        <item x="270"/>
        <item x="88"/>
        <item x="274"/>
        <item x="292"/>
        <item x="180"/>
        <item x="234"/>
        <item x="8"/>
        <item x="2"/>
        <item x="159"/>
        <item x="160"/>
        <item x="252"/>
        <item x="82"/>
        <item x="124"/>
        <item x="144"/>
        <item x="233"/>
        <item x="262"/>
        <item x="122"/>
        <item x="172"/>
        <item x="123"/>
        <item x="245"/>
        <item x="169"/>
        <item x="40"/>
        <item x="288"/>
        <item x="64"/>
        <item x="6"/>
        <item x="105"/>
        <item x="241"/>
        <item x="23"/>
        <item x="199"/>
        <item x="41"/>
        <item x="81"/>
        <item x="70"/>
        <item x="60"/>
        <item x="189"/>
        <item x="161"/>
        <item x="140"/>
        <item x="192"/>
        <item x="201"/>
        <item x="178"/>
        <item x="16"/>
        <item x="59"/>
        <item x="107"/>
        <item x="22"/>
        <item x="238"/>
        <item x="258"/>
        <item x="235"/>
        <item x="197"/>
        <item x="74"/>
        <item x="130"/>
        <item x="44"/>
        <item x="45"/>
        <item x="126"/>
        <item x="304"/>
        <item x="214"/>
        <item x="66"/>
        <item x="315"/>
        <item x="247"/>
        <item x="282"/>
        <item x="223"/>
        <item x="87"/>
        <item x="224"/>
        <item x="222"/>
        <item x="4"/>
        <item x="261"/>
        <item x="67"/>
        <item x="272"/>
        <item x="1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96">
    <i>
      <x v="27"/>
    </i>
    <i>
      <x v="84"/>
    </i>
    <i>
      <x v="259"/>
    </i>
    <i>
      <x v="195"/>
    </i>
    <i>
      <x v="161"/>
    </i>
    <i>
      <x v="3"/>
    </i>
    <i>
      <x v="227"/>
    </i>
    <i>
      <x v="4"/>
    </i>
    <i>
      <x v="291"/>
    </i>
    <i>
      <x v="5"/>
    </i>
    <i>
      <x v="179"/>
    </i>
    <i>
      <x v="6"/>
    </i>
    <i>
      <x v="211"/>
    </i>
    <i>
      <x v="7"/>
    </i>
    <i>
      <x v="243"/>
    </i>
    <i>
      <x v="8"/>
    </i>
    <i>
      <x v="275"/>
    </i>
    <i>
      <x v="9"/>
    </i>
    <i>
      <x v="153"/>
    </i>
    <i>
      <x v="10"/>
    </i>
    <i>
      <x v="169"/>
    </i>
    <i>
      <x v="11"/>
    </i>
    <i>
      <x v="187"/>
    </i>
    <i>
      <x v="12"/>
    </i>
    <i>
      <x v="203"/>
    </i>
    <i>
      <x v="13"/>
    </i>
    <i>
      <x v="219"/>
    </i>
    <i>
      <x v="14"/>
    </i>
    <i>
      <x v="235"/>
    </i>
    <i>
      <x v="15"/>
    </i>
    <i>
      <x v="251"/>
    </i>
    <i>
      <x v="16"/>
    </i>
    <i>
      <x v="267"/>
    </i>
    <i>
      <x v="17"/>
    </i>
    <i>
      <x v="283"/>
    </i>
    <i>
      <x v="18"/>
    </i>
    <i>
      <x v="149"/>
    </i>
    <i>
      <x v="19"/>
    </i>
    <i>
      <x v="157"/>
    </i>
    <i>
      <x v="20"/>
    </i>
    <i>
      <x v="165"/>
    </i>
    <i>
      <x v="21"/>
    </i>
    <i>
      <x v="175"/>
    </i>
    <i>
      <x v="22"/>
    </i>
    <i>
      <x v="183"/>
    </i>
    <i>
      <x v="23"/>
    </i>
    <i>
      <x v="191"/>
    </i>
    <i>
      <x v="24"/>
    </i>
    <i>
      <x v="199"/>
    </i>
    <i>
      <x v="25"/>
    </i>
    <i>
      <x v="207"/>
    </i>
    <i>
      <x v="26"/>
    </i>
    <i>
      <x v="215"/>
    </i>
    <i>
      <x v="1"/>
    </i>
    <i>
      <x v="223"/>
    </i>
    <i>
      <x v="28"/>
    </i>
    <i>
      <x v="231"/>
    </i>
    <i>
      <x v="29"/>
    </i>
    <i>
      <x v="239"/>
    </i>
    <i>
      <x v="30"/>
    </i>
    <i>
      <x v="247"/>
    </i>
    <i>
      <x v="31"/>
    </i>
    <i>
      <x v="255"/>
    </i>
    <i>
      <x v="32"/>
    </i>
    <i>
      <x v="263"/>
    </i>
    <i>
      <x v="33"/>
    </i>
    <i>
      <x v="271"/>
    </i>
    <i>
      <x v="34"/>
    </i>
    <i>
      <x v="279"/>
    </i>
    <i>
      <x v="35"/>
    </i>
    <i>
      <x v="287"/>
    </i>
    <i>
      <x v="36"/>
    </i>
    <i>
      <x/>
    </i>
    <i>
      <x v="37"/>
    </i>
    <i>
      <x v="151"/>
    </i>
    <i>
      <x v="38"/>
    </i>
    <i>
      <x v="155"/>
    </i>
    <i>
      <x v="39"/>
    </i>
    <i>
      <x v="159"/>
    </i>
    <i>
      <x v="40"/>
    </i>
    <i>
      <x v="163"/>
    </i>
    <i>
      <x v="41"/>
    </i>
    <i>
      <x v="167"/>
    </i>
    <i>
      <x v="42"/>
    </i>
    <i>
      <x v="173"/>
    </i>
    <i>
      <x v="43"/>
    </i>
    <i>
      <x v="177"/>
    </i>
    <i>
      <x v="44"/>
    </i>
    <i>
      <x v="181"/>
    </i>
    <i>
      <x v="45"/>
    </i>
    <i>
      <x v="185"/>
    </i>
    <i>
      <x v="46"/>
    </i>
    <i>
      <x v="189"/>
    </i>
    <i>
      <x v="47"/>
    </i>
    <i>
      <x v="193"/>
    </i>
    <i>
      <x v="48"/>
    </i>
    <i>
      <x v="197"/>
    </i>
    <i>
      <x v="49"/>
    </i>
    <i>
      <x v="201"/>
    </i>
    <i>
      <x v="50"/>
    </i>
    <i>
      <x v="205"/>
    </i>
    <i>
      <x v="51"/>
    </i>
    <i>
      <x v="209"/>
    </i>
    <i>
      <x v="52"/>
    </i>
    <i>
      <x v="213"/>
    </i>
    <i>
      <x v="53"/>
    </i>
    <i>
      <x v="217"/>
    </i>
    <i>
      <x v="54"/>
    </i>
    <i>
      <x v="221"/>
    </i>
    <i>
      <x v="55"/>
    </i>
    <i>
      <x v="225"/>
    </i>
    <i>
      <x v="56"/>
    </i>
    <i>
      <x v="229"/>
    </i>
    <i>
      <x v="57"/>
    </i>
    <i>
      <x v="233"/>
    </i>
    <i>
      <x v="58"/>
    </i>
    <i>
      <x v="237"/>
    </i>
    <i>
      <x v="59"/>
    </i>
    <i>
      <x v="241"/>
    </i>
    <i>
      <x v="60"/>
    </i>
    <i>
      <x v="245"/>
    </i>
    <i>
      <x v="61"/>
    </i>
    <i>
      <x v="249"/>
    </i>
    <i>
      <x v="62"/>
    </i>
    <i>
      <x v="253"/>
    </i>
    <i>
      <x v="63"/>
    </i>
    <i>
      <x v="257"/>
    </i>
    <i>
      <x v="64"/>
    </i>
    <i>
      <x v="261"/>
    </i>
    <i>
      <x v="65"/>
    </i>
    <i>
      <x v="265"/>
    </i>
    <i>
      <x v="66"/>
    </i>
    <i>
      <x v="269"/>
    </i>
    <i>
      <x v="67"/>
    </i>
    <i>
      <x v="273"/>
    </i>
    <i>
      <x v="68"/>
    </i>
    <i>
      <x v="277"/>
    </i>
    <i>
      <x v="69"/>
    </i>
    <i>
      <x v="281"/>
    </i>
    <i>
      <x v="70"/>
    </i>
    <i>
      <x v="285"/>
    </i>
    <i>
      <x v="71"/>
    </i>
    <i>
      <x v="289"/>
    </i>
    <i>
      <x v="72"/>
    </i>
    <i>
      <x v="293"/>
    </i>
    <i>
      <x v="73"/>
    </i>
    <i>
      <x v="148"/>
    </i>
    <i>
      <x v="74"/>
    </i>
    <i>
      <x v="150"/>
    </i>
    <i>
      <x v="75"/>
    </i>
    <i>
      <x v="152"/>
    </i>
    <i>
      <x v="76"/>
    </i>
    <i>
      <x v="154"/>
    </i>
    <i>
      <x v="77"/>
    </i>
    <i>
      <x v="156"/>
    </i>
    <i>
      <x v="78"/>
    </i>
    <i>
      <x v="158"/>
    </i>
    <i>
      <x v="79"/>
    </i>
    <i>
      <x v="160"/>
    </i>
    <i>
      <x v="80"/>
    </i>
    <i>
      <x v="162"/>
    </i>
    <i>
      <x v="81"/>
    </i>
    <i>
      <x v="164"/>
    </i>
    <i>
      <x v="82"/>
    </i>
    <i>
      <x v="166"/>
    </i>
    <i>
      <x v="83"/>
    </i>
    <i>
      <x v="168"/>
    </i>
    <i>
      <x v="170"/>
    </i>
    <i>
      <x v="2"/>
    </i>
    <i>
      <x v="171"/>
    </i>
    <i>
      <x v="172"/>
    </i>
    <i>
      <x v="85"/>
    </i>
    <i>
      <x v="174"/>
    </i>
    <i>
      <x v="86"/>
    </i>
    <i>
      <x v="176"/>
    </i>
    <i>
      <x v="87"/>
    </i>
    <i>
      <x v="178"/>
    </i>
    <i>
      <x v="88"/>
    </i>
    <i>
      <x v="180"/>
    </i>
    <i>
      <x v="89"/>
    </i>
    <i>
      <x v="182"/>
    </i>
    <i>
      <x v="90"/>
    </i>
    <i>
      <x v="184"/>
    </i>
    <i>
      <x v="91"/>
    </i>
    <i>
      <x v="186"/>
    </i>
    <i>
      <x v="92"/>
    </i>
    <i>
      <x v="188"/>
    </i>
    <i>
      <x v="93"/>
    </i>
    <i>
      <x v="190"/>
    </i>
    <i>
      <x v="94"/>
    </i>
    <i>
      <x v="192"/>
    </i>
    <i>
      <x v="95"/>
    </i>
    <i>
      <x v="194"/>
    </i>
    <i>
      <x v="96"/>
    </i>
    <i>
      <x v="196"/>
    </i>
    <i>
      <x v="97"/>
    </i>
    <i>
      <x v="198"/>
    </i>
    <i>
      <x v="98"/>
    </i>
    <i>
      <x v="200"/>
    </i>
    <i>
      <x v="99"/>
    </i>
    <i>
      <x v="202"/>
    </i>
    <i>
      <x v="100"/>
    </i>
    <i>
      <x v="204"/>
    </i>
    <i>
      <x v="101"/>
    </i>
    <i>
      <x v="206"/>
    </i>
    <i>
      <x v="102"/>
    </i>
    <i>
      <x v="208"/>
    </i>
    <i>
      <x v="103"/>
    </i>
    <i>
      <x v="210"/>
    </i>
    <i>
      <x v="104"/>
    </i>
    <i>
      <x v="212"/>
    </i>
    <i>
      <x v="105"/>
    </i>
    <i>
      <x v="214"/>
    </i>
    <i>
      <x v="106"/>
    </i>
    <i>
      <x v="216"/>
    </i>
    <i>
      <x v="107"/>
    </i>
    <i>
      <x v="218"/>
    </i>
    <i>
      <x v="108"/>
    </i>
    <i>
      <x v="220"/>
    </i>
    <i>
      <x v="109"/>
    </i>
    <i>
      <x v="222"/>
    </i>
    <i>
      <x v="110"/>
    </i>
    <i>
      <x v="224"/>
    </i>
    <i>
      <x v="111"/>
    </i>
    <i>
      <x v="226"/>
    </i>
    <i>
      <x v="112"/>
    </i>
    <i>
      <x v="228"/>
    </i>
    <i>
      <x v="113"/>
    </i>
    <i>
      <x v="230"/>
    </i>
    <i>
      <x v="114"/>
    </i>
    <i>
      <x v="232"/>
    </i>
    <i>
      <x v="115"/>
    </i>
    <i>
      <x v="234"/>
    </i>
    <i>
      <x v="116"/>
    </i>
    <i>
      <x v="236"/>
    </i>
    <i>
      <x v="117"/>
    </i>
    <i>
      <x v="238"/>
    </i>
    <i>
      <x v="118"/>
    </i>
    <i>
      <x v="240"/>
    </i>
    <i>
      <x v="119"/>
    </i>
    <i>
      <x v="242"/>
    </i>
    <i>
      <x v="120"/>
    </i>
    <i>
      <x v="244"/>
    </i>
    <i>
      <x v="121"/>
    </i>
    <i>
      <x v="246"/>
    </i>
    <i>
      <x v="122"/>
    </i>
    <i>
      <x v="248"/>
    </i>
    <i>
      <x v="123"/>
    </i>
    <i>
      <x v="250"/>
    </i>
    <i>
      <x v="124"/>
    </i>
    <i>
      <x v="252"/>
    </i>
    <i>
      <x v="125"/>
    </i>
    <i>
      <x v="254"/>
    </i>
    <i>
      <x v="126"/>
    </i>
    <i>
      <x v="256"/>
    </i>
    <i>
      <x v="127"/>
    </i>
    <i>
      <x v="258"/>
    </i>
    <i>
      <x v="128"/>
    </i>
    <i>
      <x v="260"/>
    </i>
    <i>
      <x v="129"/>
    </i>
    <i>
      <x v="262"/>
    </i>
    <i>
      <x v="130"/>
    </i>
    <i>
      <x v="264"/>
    </i>
    <i>
      <x v="131"/>
    </i>
    <i>
      <x v="266"/>
    </i>
    <i>
      <x v="132"/>
    </i>
    <i>
      <x v="268"/>
    </i>
    <i>
      <x v="133"/>
    </i>
    <i>
      <x v="270"/>
    </i>
    <i>
      <x v="134"/>
    </i>
    <i>
      <x v="272"/>
    </i>
    <i>
      <x v="135"/>
    </i>
    <i>
      <x v="274"/>
    </i>
    <i>
      <x v="136"/>
    </i>
    <i>
      <x v="276"/>
    </i>
    <i>
      <x v="137"/>
    </i>
    <i>
      <x v="278"/>
    </i>
    <i>
      <x v="138"/>
    </i>
    <i>
      <x v="280"/>
    </i>
    <i>
      <x v="139"/>
    </i>
    <i>
      <x v="282"/>
    </i>
    <i>
      <x v="140"/>
    </i>
    <i>
      <x v="284"/>
    </i>
    <i>
      <x v="141"/>
    </i>
    <i>
      <x v="286"/>
    </i>
    <i>
      <x v="142"/>
    </i>
    <i>
      <x v="288"/>
    </i>
    <i>
      <x v="143"/>
    </i>
    <i>
      <x v="290"/>
    </i>
    <i>
      <x v="144"/>
    </i>
    <i>
      <x v="292"/>
    </i>
    <i>
      <x v="145"/>
    </i>
    <i>
      <x v="294"/>
    </i>
    <i>
      <x v="146"/>
    </i>
    <i>
      <x v="147"/>
    </i>
    <i t="grand">
      <x/>
    </i>
  </rowItems>
  <colItems count="1">
    <i/>
  </colItems>
  <pageFields count="1">
    <pageField fld="1" hier="-1"/>
  </pageFields>
  <dataFields count="1">
    <dataField name="Количество по полю план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8" cacheId="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O2:U298" firstHeaderRow="0" firstDataRow="1" firstDataCol="1"/>
  <pivotFields count="9">
    <pivotField axis="axisRow" showAll="0">
      <items count="296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  <item t="default"/>
      </items>
    </pivotField>
    <pivotField showAll="0" defaultSubtota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Количество по полю 01.01.2016" fld="3" subtotal="count" baseField="0" baseItem="0"/>
    <dataField name="Количество по полю 01.02.2016" fld="4" subtotal="count" baseField="0" baseItem="0"/>
    <dataField name="Количество по полю 01.03.2016" fld="5" subtotal="count" baseField="0" baseItem="0"/>
    <dataField name="Количество по полю 01.04.2016" fld="6" subtotal="count" baseField="0" baseItem="0"/>
    <dataField name="Количество по полю 01.05.2016" fld="7" subtotal="count" baseField="0" baseItem="0"/>
    <dataField name="Количество по полю 01.06.2016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3:D19" totalsRowCount="1" headerRowDxfId="30">
  <autoFilter ref="A3:D18"/>
  <tableColumns count="4">
    <tableColumn id="1" name="номер участка" dataDxfId="29" totalsRowDxfId="28"/>
    <tableColumn id="2" name="ID" dataDxfId="27" totalsRowDxfId="26"/>
    <tableColumn id="3" name="Ф.И.О."/>
    <tableColumn id="4" name="Сумма по полю 01.08.2016" totalsRowFunction="custom" dataDxfId="25" totalsRowDxfId="24">
      <totalsRowFormula>SUM(D16:D18,D14,D13,D4:D11)</totalsRow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2:H34" totalsRowShown="0" headerRowDxfId="23">
  <autoFilter ref="A22:H34"/>
  <tableColumns count="8">
    <tableColumn id="1" name="куратор"/>
    <tableColumn id="2" name="телефонный номер"/>
    <tableColumn id="3" name="номер участка" dataDxfId="22"/>
    <tableColumn id="4" name="ID" dataDxfId="21"/>
    <tableColumn id="5" name="Ф.И.О."/>
    <tableColumn id="6" name="Сумма по полю 01.08.2016" dataDxfId="20"/>
    <tableColumn id="7" name="Член правления"/>
    <tableColumn id="8" name="Город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39:H49" totalsRowShown="0" dataDxfId="19">
  <autoFilter ref="A39:H49"/>
  <tableColumns count="8">
    <tableColumn id="1" name="куратор" dataDxfId="18"/>
    <tableColumn id="2" name="телефонный номер" dataDxfId="17"/>
    <tableColumn id="3" name="номер участка" dataDxfId="16"/>
    <tableColumn id="4" name="ID" dataDxfId="15"/>
    <tableColumn id="5" name="Ф.И.О." dataDxfId="14"/>
    <tableColumn id="6" name="Сумма по полю 01.08.2016" dataDxfId="13"/>
    <tableColumn id="7" name="Член правления" dataDxfId="12"/>
    <tableColumn id="8" name="Город" dataDxfId="11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2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305"/>
  <sheetViews>
    <sheetView workbookViewId="0">
      <pane xSplit="6" ySplit="6" topLeftCell="L284" activePane="bottomRight" state="frozen"/>
      <selection pane="topRight" activeCell="E1" sqref="E1"/>
      <selection pane="bottomLeft" activeCell="A7" sqref="A7"/>
      <selection pane="bottomRight" activeCell="M8" sqref="M8:M305"/>
    </sheetView>
  </sheetViews>
  <sheetFormatPr defaultRowHeight="15"/>
  <cols>
    <col min="1" max="1" width="11.85546875" bestFit="1" customWidth="1"/>
    <col min="2" max="2" width="25.28515625" customWidth="1"/>
    <col min="3" max="3" width="14.42578125" bestFit="1" customWidth="1"/>
    <col min="4" max="4" width="20.5703125" hidden="1" customWidth="1"/>
    <col min="5" max="5" width="19.7109375" bestFit="1" customWidth="1"/>
    <col min="6" max="6" width="46.42578125" customWidth="1"/>
    <col min="7" max="18" width="25.5703125" bestFit="1" customWidth="1"/>
  </cols>
  <sheetData>
    <row r="1" spans="1:18">
      <c r="A1" s="53"/>
      <c r="B1" t="s">
        <v>675</v>
      </c>
    </row>
    <row r="2" spans="1:18">
      <c r="A2" s="54"/>
      <c r="B2" t="s">
        <v>674</v>
      </c>
    </row>
    <row r="3" spans="1:18">
      <c r="B3" t="s">
        <v>673</v>
      </c>
    </row>
    <row r="4" spans="1:18">
      <c r="A4" s="55"/>
      <c r="B4" t="s">
        <v>672</v>
      </c>
    </row>
    <row r="6" spans="1:18">
      <c r="A6" s="51" t="s">
        <v>617</v>
      </c>
      <c r="B6" s="51" t="s">
        <v>1</v>
      </c>
      <c r="C6" s="51" t="s">
        <v>639</v>
      </c>
      <c r="D6" s="64" t="s">
        <v>677</v>
      </c>
      <c r="E6" s="64" t="s">
        <v>676</v>
      </c>
      <c r="F6" s="51" t="s">
        <v>640</v>
      </c>
      <c r="G6" s="51" t="s">
        <v>626</v>
      </c>
      <c r="H6" s="51" t="s">
        <v>627</v>
      </c>
      <c r="I6" s="51" t="s">
        <v>628</v>
      </c>
      <c r="J6" s="51" t="s">
        <v>629</v>
      </c>
      <c r="K6" s="51" t="s">
        <v>630</v>
      </c>
      <c r="L6" s="51" t="s">
        <v>631</v>
      </c>
      <c r="M6" s="51" t="s">
        <v>632</v>
      </c>
      <c r="N6" s="51" t="s">
        <v>633</v>
      </c>
      <c r="O6" s="51" t="s">
        <v>634</v>
      </c>
      <c r="P6" s="51" t="s">
        <v>635</v>
      </c>
      <c r="Q6" s="51" t="s">
        <v>636</v>
      </c>
      <c r="R6" s="51" t="s">
        <v>637</v>
      </c>
    </row>
    <row r="7" spans="1:18">
      <c r="A7" s="51" t="s">
        <v>619</v>
      </c>
      <c r="B7" s="64"/>
      <c r="C7" s="64"/>
      <c r="D7" s="64"/>
      <c r="E7" s="64"/>
      <c r="F7" s="64"/>
      <c r="G7" s="66">
        <v>3756757.7</v>
      </c>
      <c r="H7" s="66">
        <v>3822557.7</v>
      </c>
      <c r="I7" s="66">
        <v>3920957.7</v>
      </c>
      <c r="J7" s="66">
        <v>4039007.7</v>
      </c>
      <c r="K7" s="66">
        <v>4083657.7</v>
      </c>
      <c r="L7" s="66">
        <v>4018357.7</v>
      </c>
      <c r="M7" s="66">
        <v>4255957.7</v>
      </c>
      <c r="N7" s="66">
        <v>4493557.7</v>
      </c>
      <c r="O7" s="66">
        <v>4731157.7</v>
      </c>
      <c r="P7" s="66">
        <v>4968757.7</v>
      </c>
      <c r="Q7" s="66">
        <v>5206357.7</v>
      </c>
      <c r="R7" s="66">
        <v>5443957.7000000002</v>
      </c>
    </row>
    <row r="8" spans="1:18">
      <c r="A8" s="59">
        <v>144</v>
      </c>
      <c r="B8" t="s">
        <v>217</v>
      </c>
      <c r="C8">
        <f>VLOOKUP(A8,справочник!$A$2:$C$322,3,FALSE)</f>
        <v>153</v>
      </c>
      <c r="D8" t="str">
        <f>IFERROR(VLOOKUP(B8,справочник!$AF$2:$AF$15,1,FALSE),"")</f>
        <v/>
      </c>
      <c r="F8" t="s">
        <v>641</v>
      </c>
      <c r="G8" s="62">
        <v>102800</v>
      </c>
      <c r="H8" s="62">
        <v>103600</v>
      </c>
      <c r="I8" s="62">
        <v>104400</v>
      </c>
      <c r="J8" s="62">
        <v>105200</v>
      </c>
      <c r="K8" s="62">
        <v>106000</v>
      </c>
      <c r="L8" s="62">
        <v>106800</v>
      </c>
      <c r="M8" s="62">
        <v>107600</v>
      </c>
      <c r="N8" s="62">
        <v>108400</v>
      </c>
      <c r="O8" s="62">
        <v>109200</v>
      </c>
      <c r="P8" s="62">
        <v>110000</v>
      </c>
      <c r="Q8" s="62">
        <v>110800</v>
      </c>
      <c r="R8" s="62">
        <v>111600</v>
      </c>
    </row>
    <row r="9" spans="1:18">
      <c r="A9" s="59">
        <v>199</v>
      </c>
      <c r="B9" t="s">
        <v>155</v>
      </c>
      <c r="C9">
        <f>VLOOKUP(A9,справочник!$A$2:$C$322,3,FALSE)</f>
        <v>208</v>
      </c>
      <c r="D9" t="str">
        <f>IFERROR(VLOOKUP(B9,справочник!$AF$2:$AF$15,1,FALSE),"")</f>
        <v/>
      </c>
      <c r="F9" t="s">
        <v>37</v>
      </c>
      <c r="G9" s="62">
        <v>86800</v>
      </c>
      <c r="H9" s="62">
        <v>87600</v>
      </c>
      <c r="I9" s="62">
        <v>88400</v>
      </c>
      <c r="J9" s="62">
        <v>89200</v>
      </c>
      <c r="K9" s="62">
        <v>90000</v>
      </c>
      <c r="L9" s="62">
        <v>90800</v>
      </c>
      <c r="M9" s="62">
        <v>91600</v>
      </c>
      <c r="N9" s="62">
        <v>92400</v>
      </c>
      <c r="O9" s="62">
        <v>93200</v>
      </c>
      <c r="P9" s="62">
        <v>94000</v>
      </c>
      <c r="Q9" s="62">
        <v>94800</v>
      </c>
      <c r="R9" s="62">
        <v>95600</v>
      </c>
    </row>
    <row r="10" spans="1:18">
      <c r="A10" s="59">
        <v>56</v>
      </c>
      <c r="B10" t="s">
        <v>144</v>
      </c>
      <c r="C10">
        <f>VLOOKUP(A10,справочник!$A$2:$C$322,3,FALSE)</f>
        <v>58</v>
      </c>
      <c r="D10" t="str">
        <f>IFERROR(VLOOKUP(B10,справочник!$AF$2:$AF$15,1,FALSE),"")</f>
        <v/>
      </c>
      <c r="F10" t="s">
        <v>642</v>
      </c>
      <c r="G10" s="62">
        <v>53800</v>
      </c>
      <c r="H10" s="62">
        <v>54600</v>
      </c>
      <c r="I10" s="62">
        <v>55400</v>
      </c>
      <c r="J10" s="62">
        <v>56200</v>
      </c>
      <c r="K10" s="62">
        <v>57000</v>
      </c>
      <c r="L10" s="62">
        <v>57800</v>
      </c>
      <c r="M10" s="62">
        <v>58600</v>
      </c>
      <c r="N10" s="62">
        <v>59400</v>
      </c>
      <c r="O10" s="62">
        <v>60200</v>
      </c>
      <c r="P10" s="62">
        <v>61000</v>
      </c>
      <c r="Q10" s="62">
        <v>61800</v>
      </c>
      <c r="R10" s="62">
        <v>62600</v>
      </c>
    </row>
    <row r="11" spans="1:18">
      <c r="A11" s="59">
        <v>26</v>
      </c>
      <c r="B11" t="s">
        <v>191</v>
      </c>
      <c r="C11">
        <f>VLOOKUP(A11,справочник!$A$2:$C$322,3,FALSE)</f>
        <v>26</v>
      </c>
      <c r="D11" t="str">
        <f>IFERROR(VLOOKUP(B11,справочник!$AF$2:$AF$15,1,FALSE),"")</f>
        <v/>
      </c>
      <c r="F11" t="s">
        <v>90</v>
      </c>
      <c r="G11" s="62">
        <v>52800</v>
      </c>
      <c r="H11" s="62">
        <v>53600</v>
      </c>
      <c r="I11" s="62">
        <v>54400</v>
      </c>
      <c r="J11" s="62">
        <v>55200</v>
      </c>
      <c r="K11" s="62">
        <v>56000</v>
      </c>
      <c r="L11" s="62">
        <v>56800</v>
      </c>
      <c r="M11" s="62">
        <v>57600</v>
      </c>
      <c r="N11" s="62">
        <v>58400</v>
      </c>
      <c r="O11" s="62">
        <v>59200</v>
      </c>
      <c r="P11" s="62">
        <v>60000</v>
      </c>
      <c r="Q11" s="62">
        <v>60800</v>
      </c>
      <c r="R11" s="62">
        <v>61600</v>
      </c>
    </row>
    <row r="12" spans="1:18">
      <c r="A12" s="59">
        <v>173</v>
      </c>
      <c r="B12" t="s">
        <v>121</v>
      </c>
      <c r="C12">
        <f>VLOOKUP(A12,справочник!$A$2:$C$322,3,FALSE)</f>
        <v>181</v>
      </c>
      <c r="D12" t="str">
        <f>IFERROR(VLOOKUP(B12,справочник!$AF$2:$AF$15,1,FALSE),"")</f>
        <v/>
      </c>
      <c r="F12" t="s">
        <v>247</v>
      </c>
      <c r="G12" s="62">
        <v>51800</v>
      </c>
      <c r="H12" s="62">
        <v>52600</v>
      </c>
      <c r="I12" s="62">
        <v>53400</v>
      </c>
      <c r="J12" s="62">
        <v>54200</v>
      </c>
      <c r="K12" s="62">
        <v>55000</v>
      </c>
      <c r="L12" s="62">
        <v>55800</v>
      </c>
      <c r="M12" s="62">
        <v>56600</v>
      </c>
      <c r="N12" s="62">
        <v>57400</v>
      </c>
      <c r="O12" s="62">
        <v>58200</v>
      </c>
      <c r="P12" s="62">
        <v>59000</v>
      </c>
      <c r="Q12" s="62">
        <v>59800</v>
      </c>
      <c r="R12" s="62">
        <v>60600</v>
      </c>
    </row>
    <row r="13" spans="1:18">
      <c r="A13" s="59">
        <v>278</v>
      </c>
      <c r="B13" t="s">
        <v>231</v>
      </c>
      <c r="C13">
        <f>VLOOKUP(A13,справочник!$A$2:$C$322,3,FALSE)</f>
        <v>290</v>
      </c>
      <c r="D13" t="str">
        <f>IFERROR(VLOOKUP(B13,справочник!$AF$2:$AF$15,1,FALSE),"")</f>
        <v/>
      </c>
      <c r="F13" t="s">
        <v>643</v>
      </c>
      <c r="G13" s="62">
        <v>48800</v>
      </c>
      <c r="H13" s="62">
        <v>49600</v>
      </c>
      <c r="I13" s="62">
        <v>50400</v>
      </c>
      <c r="J13" s="62">
        <v>51200</v>
      </c>
      <c r="K13" s="62">
        <v>52000</v>
      </c>
      <c r="L13" s="62">
        <v>52800</v>
      </c>
      <c r="M13" s="62">
        <v>53600</v>
      </c>
      <c r="N13" s="62">
        <v>54400</v>
      </c>
      <c r="O13" s="62">
        <v>55200</v>
      </c>
      <c r="P13" s="62">
        <v>56000</v>
      </c>
      <c r="Q13" s="62">
        <v>56800</v>
      </c>
      <c r="R13" s="62">
        <v>57600</v>
      </c>
    </row>
    <row r="14" spans="1:18">
      <c r="A14" s="59">
        <v>149</v>
      </c>
      <c r="B14" t="s">
        <v>116</v>
      </c>
      <c r="C14">
        <f>VLOOKUP(A14,справочник!$A$2:$C$322,3,FALSE)</f>
        <v>157</v>
      </c>
      <c r="D14" t="str">
        <f>IFERROR(VLOOKUP(B14,справочник!$AF$2:$AF$15,1,FALSE),"")</f>
        <v/>
      </c>
      <c r="F14" t="s">
        <v>13</v>
      </c>
      <c r="G14" s="62">
        <v>49800</v>
      </c>
      <c r="H14" s="62">
        <v>50600</v>
      </c>
      <c r="I14" s="62">
        <v>50400</v>
      </c>
      <c r="J14" s="62">
        <v>51200</v>
      </c>
      <c r="K14" s="62">
        <v>51000</v>
      </c>
      <c r="L14" s="62">
        <v>51800</v>
      </c>
      <c r="M14" s="62">
        <v>52600</v>
      </c>
      <c r="N14" s="62">
        <v>53400</v>
      </c>
      <c r="O14" s="62">
        <v>54200</v>
      </c>
      <c r="P14" s="62">
        <v>55000</v>
      </c>
      <c r="Q14" s="62">
        <v>55800</v>
      </c>
      <c r="R14" s="62">
        <v>56600</v>
      </c>
    </row>
    <row r="15" spans="1:18">
      <c r="A15" s="59">
        <v>30</v>
      </c>
      <c r="B15" t="s">
        <v>117</v>
      </c>
      <c r="C15">
        <f>VLOOKUP(A15,справочник!$A$2:$C$322,3,FALSE)</f>
        <v>30</v>
      </c>
      <c r="D15" t="str">
        <f>IFERROR(VLOOKUP(B15,справочник!$AF$2:$AF$15,1,FALSE),"")</f>
        <v/>
      </c>
      <c r="F15" t="s">
        <v>90</v>
      </c>
      <c r="G15" s="62">
        <v>47800</v>
      </c>
      <c r="H15" s="62">
        <v>48600</v>
      </c>
      <c r="I15" s="62">
        <v>49400</v>
      </c>
      <c r="J15" s="62">
        <v>50200</v>
      </c>
      <c r="K15" s="62">
        <v>51000</v>
      </c>
      <c r="L15" s="62">
        <v>51800</v>
      </c>
      <c r="M15" s="62">
        <v>52600</v>
      </c>
      <c r="N15" s="62">
        <v>53400</v>
      </c>
      <c r="O15" s="62">
        <v>54200</v>
      </c>
      <c r="P15" s="62">
        <v>55000</v>
      </c>
      <c r="Q15" s="62">
        <v>55800</v>
      </c>
      <c r="R15" s="62">
        <v>56600</v>
      </c>
    </row>
    <row r="16" spans="1:18">
      <c r="A16" s="59">
        <v>223</v>
      </c>
      <c r="B16" s="53" t="s">
        <v>37</v>
      </c>
      <c r="C16">
        <f>VLOOKUP(A16,справочник!$A$2:$C$322,3,FALSE)</f>
        <v>232</v>
      </c>
      <c r="D16" t="str">
        <f>IFERROR(VLOOKUP(B16,справочник!$AF$2:$AF$15,1,FALSE),"")</f>
        <v>Борисов Олег Александрович</v>
      </c>
      <c r="F16" t="s">
        <v>109</v>
      </c>
      <c r="G16" s="62">
        <v>46800</v>
      </c>
      <c r="H16" s="62">
        <v>47600</v>
      </c>
      <c r="I16" s="62">
        <v>48400</v>
      </c>
      <c r="J16" s="62">
        <v>49200</v>
      </c>
      <c r="K16" s="62">
        <v>50000</v>
      </c>
      <c r="L16" s="62">
        <v>50800</v>
      </c>
      <c r="M16" s="62">
        <v>51600</v>
      </c>
      <c r="N16" s="62">
        <v>52400</v>
      </c>
      <c r="O16" s="62">
        <v>53200</v>
      </c>
      <c r="P16" s="62">
        <v>54000</v>
      </c>
      <c r="Q16" s="62">
        <v>54800</v>
      </c>
      <c r="R16" s="62">
        <v>55600</v>
      </c>
    </row>
    <row r="17" spans="1:18">
      <c r="A17" s="59">
        <v>296</v>
      </c>
      <c r="B17" t="s">
        <v>24</v>
      </c>
      <c r="C17">
        <f>VLOOKUP(A17,справочник!$A$2:$C$322,3,FALSE)</f>
        <v>311</v>
      </c>
      <c r="D17" t="str">
        <f>IFERROR(VLOOKUP(B17,справочник!$AF$2:$AF$15,1,FALSE),"")</f>
        <v/>
      </c>
      <c r="F17" t="s">
        <v>103</v>
      </c>
      <c r="G17" s="62">
        <v>44800</v>
      </c>
      <c r="H17" s="62">
        <v>45600</v>
      </c>
      <c r="I17" s="62">
        <v>46400</v>
      </c>
      <c r="J17" s="62">
        <v>47200</v>
      </c>
      <c r="K17" s="62">
        <v>48000</v>
      </c>
      <c r="L17" s="62">
        <v>48800</v>
      </c>
      <c r="M17" s="62">
        <v>49600</v>
      </c>
      <c r="N17" s="62">
        <v>50400</v>
      </c>
      <c r="O17" s="62">
        <v>51200</v>
      </c>
      <c r="P17" s="62">
        <v>52000</v>
      </c>
      <c r="Q17" s="62">
        <v>52800</v>
      </c>
      <c r="R17" s="62">
        <v>53600</v>
      </c>
    </row>
    <row r="18" spans="1:18">
      <c r="A18" s="59">
        <v>67</v>
      </c>
      <c r="B18" t="s">
        <v>230</v>
      </c>
      <c r="C18">
        <f>VLOOKUP(A18,справочник!$A$2:$C$322,3,FALSE)</f>
        <v>69</v>
      </c>
      <c r="D18" t="str">
        <f>IFERROR(VLOOKUP(B18,справочник!$AF$2:$AF$15,1,FALSE),"")</f>
        <v/>
      </c>
      <c r="F18" t="s">
        <v>181</v>
      </c>
      <c r="G18" s="62">
        <v>44800</v>
      </c>
      <c r="H18" s="62">
        <v>45600</v>
      </c>
      <c r="I18" s="62">
        <v>46400</v>
      </c>
      <c r="J18" s="62">
        <v>47200</v>
      </c>
      <c r="K18" s="62">
        <v>48000</v>
      </c>
      <c r="L18" s="62">
        <v>48800</v>
      </c>
      <c r="M18" s="62">
        <v>49600</v>
      </c>
      <c r="N18" s="62">
        <v>50400</v>
      </c>
      <c r="O18" s="62">
        <v>51200</v>
      </c>
      <c r="P18" s="62">
        <v>52000</v>
      </c>
      <c r="Q18" s="62">
        <v>52800</v>
      </c>
      <c r="R18" s="62">
        <v>53600</v>
      </c>
    </row>
    <row r="19" spans="1:18">
      <c r="A19" s="59">
        <v>238</v>
      </c>
      <c r="B19" t="s">
        <v>227</v>
      </c>
      <c r="C19">
        <f>VLOOKUP(A19,справочник!$A$2:$C$322,3,FALSE)</f>
        <v>249</v>
      </c>
      <c r="D19" t="str">
        <f>IFERROR(VLOOKUP(B19,справочник!$AF$2:$AF$15,1,FALSE),"")</f>
        <v/>
      </c>
      <c r="F19" t="s">
        <v>644</v>
      </c>
      <c r="G19" s="62">
        <v>43800</v>
      </c>
      <c r="H19" s="62">
        <v>44600</v>
      </c>
      <c r="I19" s="62">
        <v>45400</v>
      </c>
      <c r="J19" s="62">
        <v>46200</v>
      </c>
      <c r="K19" s="62">
        <v>47000</v>
      </c>
      <c r="L19" s="62">
        <v>47800</v>
      </c>
      <c r="M19" s="62">
        <v>48600</v>
      </c>
      <c r="N19" s="62">
        <v>49400</v>
      </c>
      <c r="O19" s="62">
        <v>50200</v>
      </c>
      <c r="P19" s="62">
        <v>51000</v>
      </c>
      <c r="Q19" s="62">
        <v>51800</v>
      </c>
      <c r="R19" s="62">
        <v>52600</v>
      </c>
    </row>
    <row r="20" spans="1:18">
      <c r="A20" s="59">
        <v>69</v>
      </c>
      <c r="B20" t="s">
        <v>123</v>
      </c>
      <c r="C20">
        <f>VLOOKUP(A20,справочник!$A$2:$C$322,3,FALSE)</f>
        <v>76</v>
      </c>
      <c r="D20" t="str">
        <f>IFERROR(VLOOKUP(B20,справочник!$AF$2:$AF$15,1,FALSE),"")</f>
        <v/>
      </c>
      <c r="F20" t="s">
        <v>181</v>
      </c>
      <c r="G20" s="62">
        <v>39800</v>
      </c>
      <c r="H20" s="62">
        <v>40600</v>
      </c>
      <c r="I20" s="62">
        <v>41400</v>
      </c>
      <c r="J20" s="62">
        <v>42200</v>
      </c>
      <c r="K20" s="62">
        <v>43000</v>
      </c>
      <c r="L20" s="62">
        <v>43800</v>
      </c>
      <c r="M20" s="62">
        <v>44600</v>
      </c>
      <c r="N20" s="62">
        <v>45400</v>
      </c>
      <c r="O20" s="62">
        <v>46200</v>
      </c>
      <c r="P20" s="62">
        <v>47000</v>
      </c>
      <c r="Q20" s="62">
        <v>47800</v>
      </c>
      <c r="R20" s="62">
        <v>48600</v>
      </c>
    </row>
    <row r="21" spans="1:18">
      <c r="A21" s="59">
        <v>7</v>
      </c>
      <c r="B21" t="s">
        <v>14</v>
      </c>
      <c r="C21">
        <f>VLOOKUP(A21,справочник!$A$2:$C$322,3,FALSE)</f>
        <v>14</v>
      </c>
      <c r="D21" t="str">
        <f>IFERROR(VLOOKUP(B21,справочник!$AF$2:$AF$15,1,FALSE),"")</f>
        <v/>
      </c>
      <c r="F21" t="s">
        <v>90</v>
      </c>
      <c r="G21" s="62">
        <v>39800</v>
      </c>
      <c r="H21" s="62">
        <v>40600</v>
      </c>
      <c r="I21" s="62">
        <v>41400</v>
      </c>
      <c r="J21" s="62">
        <v>42200</v>
      </c>
      <c r="K21" s="62">
        <v>43000</v>
      </c>
      <c r="L21" s="62">
        <v>43800</v>
      </c>
      <c r="M21" s="62">
        <v>44600</v>
      </c>
      <c r="N21" s="62">
        <v>45400</v>
      </c>
      <c r="O21" s="62">
        <v>46200</v>
      </c>
      <c r="P21" s="62">
        <v>47000</v>
      </c>
      <c r="Q21" s="62">
        <v>47800</v>
      </c>
      <c r="R21" s="62">
        <v>48600</v>
      </c>
    </row>
    <row r="22" spans="1:18">
      <c r="A22" s="59">
        <v>172</v>
      </c>
      <c r="B22" t="s">
        <v>255</v>
      </c>
      <c r="C22">
        <f>VLOOKUP(A22,справочник!$A$2:$C$322,3,FALSE)</f>
        <v>180</v>
      </c>
      <c r="D22" t="str">
        <f>IFERROR(VLOOKUP(B22,справочник!$AF$2:$AF$15,1,FALSE),"")</f>
        <v/>
      </c>
      <c r="F22" t="s">
        <v>13</v>
      </c>
      <c r="G22" s="62">
        <v>38800</v>
      </c>
      <c r="H22" s="62">
        <v>39600</v>
      </c>
      <c r="I22" s="62">
        <v>40400</v>
      </c>
      <c r="J22" s="62">
        <v>41200</v>
      </c>
      <c r="K22" s="62">
        <v>42000</v>
      </c>
      <c r="L22" s="62">
        <v>42800</v>
      </c>
      <c r="M22" s="62">
        <v>43600</v>
      </c>
      <c r="N22" s="62">
        <v>44400</v>
      </c>
      <c r="O22" s="62">
        <v>45200</v>
      </c>
      <c r="P22" s="62">
        <v>46000</v>
      </c>
      <c r="Q22" s="62">
        <v>46800</v>
      </c>
      <c r="R22" s="62">
        <v>47600</v>
      </c>
    </row>
    <row r="23" spans="1:18">
      <c r="A23" s="59">
        <v>114</v>
      </c>
      <c r="B23" t="s">
        <v>31</v>
      </c>
      <c r="C23">
        <f>VLOOKUP(A23,справочник!$A$2:$C$322,3,FALSE)</f>
        <v>119</v>
      </c>
      <c r="D23" t="str">
        <f>IFERROR(VLOOKUP(B23,справочник!$AF$2:$AF$15,1,FALSE),"")</f>
        <v/>
      </c>
      <c r="F23" t="s">
        <v>645</v>
      </c>
      <c r="G23" s="62">
        <v>35800</v>
      </c>
      <c r="H23" s="62">
        <v>36600</v>
      </c>
      <c r="I23" s="62">
        <v>37400</v>
      </c>
      <c r="J23" s="62">
        <v>38200</v>
      </c>
      <c r="K23" s="62">
        <v>39000</v>
      </c>
      <c r="L23" s="62">
        <v>39800</v>
      </c>
      <c r="M23" s="62">
        <v>40600</v>
      </c>
      <c r="N23" s="62">
        <v>41400</v>
      </c>
      <c r="O23" s="62">
        <v>42200</v>
      </c>
      <c r="P23" s="62">
        <v>43000</v>
      </c>
      <c r="Q23" s="62">
        <v>43800</v>
      </c>
      <c r="R23" s="62">
        <v>44600</v>
      </c>
    </row>
    <row r="24" spans="1:18">
      <c r="A24" s="59">
        <v>106</v>
      </c>
      <c r="B24" t="s">
        <v>108</v>
      </c>
      <c r="C24">
        <f>VLOOKUP(A24,справочник!$A$2:$C$322,3,FALSE)</f>
        <v>111</v>
      </c>
      <c r="D24" t="str">
        <f>IFERROR(VLOOKUP(B24,справочник!$AF$2:$AF$15,1,FALSE),"")</f>
        <v/>
      </c>
      <c r="F24" t="s">
        <v>645</v>
      </c>
      <c r="G24" s="62">
        <v>35800</v>
      </c>
      <c r="H24" s="62">
        <v>36600</v>
      </c>
      <c r="I24" s="62">
        <v>37400</v>
      </c>
      <c r="J24" s="62">
        <v>38200</v>
      </c>
      <c r="K24" s="62">
        <v>39000</v>
      </c>
      <c r="L24" s="62">
        <v>39800</v>
      </c>
      <c r="M24" s="62">
        <v>40600</v>
      </c>
      <c r="N24" s="62">
        <v>41400</v>
      </c>
      <c r="O24" s="62">
        <v>42200</v>
      </c>
      <c r="P24" s="62">
        <v>43000</v>
      </c>
      <c r="Q24" s="62">
        <v>43800</v>
      </c>
      <c r="R24" s="62">
        <v>44600</v>
      </c>
    </row>
    <row r="25" spans="1:18">
      <c r="A25" s="59">
        <v>139</v>
      </c>
      <c r="B25" t="s">
        <v>150</v>
      </c>
      <c r="C25">
        <f>VLOOKUP(A25,справочник!$A$2:$C$322,3,FALSE)</f>
        <v>149</v>
      </c>
      <c r="D25" t="str">
        <f>IFERROR(VLOOKUP(B25,справочник!$AF$2:$AF$15,1,FALSE),"")</f>
        <v/>
      </c>
      <c r="F25" t="s">
        <v>641</v>
      </c>
      <c r="G25" s="62">
        <v>39800</v>
      </c>
      <c r="H25" s="62">
        <v>40600</v>
      </c>
      <c r="I25" s="62">
        <v>41400</v>
      </c>
      <c r="J25" s="62">
        <v>42200</v>
      </c>
      <c r="K25" s="62">
        <v>38200</v>
      </c>
      <c r="L25" s="62">
        <v>39000</v>
      </c>
      <c r="M25" s="62">
        <v>39800</v>
      </c>
      <c r="N25" s="62">
        <v>40600</v>
      </c>
      <c r="O25" s="62">
        <v>41400</v>
      </c>
      <c r="P25" s="62">
        <v>42200</v>
      </c>
      <c r="Q25" s="62">
        <v>43000</v>
      </c>
      <c r="R25" s="62">
        <v>43800</v>
      </c>
    </row>
    <row r="26" spans="1:18">
      <c r="A26" s="59">
        <v>197</v>
      </c>
      <c r="B26" t="s">
        <v>102</v>
      </c>
      <c r="C26">
        <f>VLOOKUP(A26,справочник!$A$2:$C$322,3,FALSE)</f>
        <v>205</v>
      </c>
      <c r="D26" t="str">
        <f>IFERROR(VLOOKUP(B26,справочник!$AF$2:$AF$15,1,FALSE),"")</f>
        <v/>
      </c>
      <c r="F26" t="s">
        <v>37</v>
      </c>
      <c r="G26" s="62">
        <v>34800</v>
      </c>
      <c r="H26" s="62">
        <v>35600</v>
      </c>
      <c r="I26" s="62">
        <v>36400</v>
      </c>
      <c r="J26" s="62">
        <v>37200</v>
      </c>
      <c r="K26" s="62">
        <v>38000</v>
      </c>
      <c r="L26" s="62">
        <v>38800</v>
      </c>
      <c r="M26" s="62">
        <v>39600</v>
      </c>
      <c r="N26" s="62">
        <v>40400</v>
      </c>
      <c r="O26" s="62">
        <v>41200</v>
      </c>
      <c r="P26" s="62">
        <v>42000</v>
      </c>
      <c r="Q26" s="62">
        <v>42800</v>
      </c>
      <c r="R26" s="62">
        <v>43600</v>
      </c>
    </row>
    <row r="27" spans="1:18">
      <c r="A27" s="59">
        <v>188</v>
      </c>
      <c r="B27" t="s">
        <v>35</v>
      </c>
      <c r="C27">
        <f>VLOOKUP(A27,справочник!$A$2:$C$322,3,FALSE)</f>
        <v>197</v>
      </c>
      <c r="D27" t="str">
        <f>IFERROR(VLOOKUP(B27,справочник!$AF$2:$AF$15,1,FALSE),"")</f>
        <v/>
      </c>
      <c r="F27" t="s">
        <v>247</v>
      </c>
      <c r="G27" s="62">
        <v>34800</v>
      </c>
      <c r="H27" s="62">
        <v>35600</v>
      </c>
      <c r="I27" s="62">
        <v>36400</v>
      </c>
      <c r="J27" s="62">
        <v>37200</v>
      </c>
      <c r="K27" s="62">
        <v>38000</v>
      </c>
      <c r="L27" s="62">
        <v>38800</v>
      </c>
      <c r="M27" s="62">
        <v>39600</v>
      </c>
      <c r="N27" s="62">
        <v>40400</v>
      </c>
      <c r="O27" s="62">
        <v>41200</v>
      </c>
      <c r="P27" s="62">
        <v>42000</v>
      </c>
      <c r="Q27" s="62">
        <v>42800</v>
      </c>
      <c r="R27" s="62">
        <v>43600</v>
      </c>
    </row>
    <row r="28" spans="1:18">
      <c r="A28" s="59">
        <v>183</v>
      </c>
      <c r="B28" s="53" t="s">
        <v>247</v>
      </c>
      <c r="C28">
        <f>VLOOKUP(A28,справочник!$A$2:$C$322,3,FALSE)</f>
        <v>192</v>
      </c>
      <c r="D28" t="str">
        <f>IFERROR(VLOOKUP(B28,справочник!$AF$2:$AF$15,1,FALSE),"")</f>
        <v>Спиридонов Андрей Владимирович</v>
      </c>
      <c r="F28" t="s">
        <v>247</v>
      </c>
      <c r="G28" s="62">
        <v>34800</v>
      </c>
      <c r="H28" s="62">
        <v>35600</v>
      </c>
      <c r="I28" s="62">
        <v>36400</v>
      </c>
      <c r="J28" s="62">
        <v>37200</v>
      </c>
      <c r="K28" s="62">
        <v>38000</v>
      </c>
      <c r="L28" s="62">
        <v>38800</v>
      </c>
      <c r="M28" s="62">
        <v>39600</v>
      </c>
      <c r="N28" s="62">
        <v>40400</v>
      </c>
      <c r="O28" s="62">
        <v>41200</v>
      </c>
      <c r="P28" s="62">
        <v>42000</v>
      </c>
      <c r="Q28" s="62">
        <v>42800</v>
      </c>
      <c r="R28" s="62">
        <v>43600</v>
      </c>
    </row>
    <row r="29" spans="1:18">
      <c r="A29" s="59">
        <v>77</v>
      </c>
      <c r="B29" t="s">
        <v>295</v>
      </c>
      <c r="C29">
        <f>VLOOKUP(A29,справочник!$A$2:$C$322,3,FALSE)</f>
        <v>83</v>
      </c>
      <c r="D29" t="str">
        <f>IFERROR(VLOOKUP(B29,справочник!$AF$2:$AF$15,1,FALSE),"")</f>
        <v/>
      </c>
      <c r="F29" t="s">
        <v>2</v>
      </c>
      <c r="G29" s="62">
        <v>33800</v>
      </c>
      <c r="H29" s="62">
        <v>34600</v>
      </c>
      <c r="I29" s="62">
        <v>35400</v>
      </c>
      <c r="J29" s="62">
        <v>36200</v>
      </c>
      <c r="K29" s="62">
        <v>37000</v>
      </c>
      <c r="L29" s="62">
        <v>37800</v>
      </c>
      <c r="M29" s="62">
        <v>38600</v>
      </c>
      <c r="N29" s="62">
        <v>39400</v>
      </c>
      <c r="O29" s="62">
        <v>40200</v>
      </c>
      <c r="P29" s="62">
        <v>41000</v>
      </c>
      <c r="Q29" s="62">
        <v>41800</v>
      </c>
      <c r="R29" s="62">
        <v>42600</v>
      </c>
    </row>
    <row r="30" spans="1:18">
      <c r="A30" s="59">
        <v>299</v>
      </c>
      <c r="B30" t="s">
        <v>224</v>
      </c>
      <c r="C30">
        <f>VLOOKUP(A30,справочник!$A$2:$C$322,3,FALSE)</f>
        <v>314</v>
      </c>
      <c r="D30" t="str">
        <f>IFERROR(VLOOKUP(B30,справочник!$AF$2:$AF$15,1,FALSE),"")</f>
        <v/>
      </c>
      <c r="F30" t="s">
        <v>103</v>
      </c>
      <c r="G30" s="62">
        <v>32800</v>
      </c>
      <c r="H30" s="62">
        <v>33600</v>
      </c>
      <c r="I30" s="62">
        <v>34400</v>
      </c>
      <c r="J30" s="62">
        <v>35200</v>
      </c>
      <c r="K30" s="62">
        <v>36000</v>
      </c>
      <c r="L30" s="62">
        <v>36800</v>
      </c>
      <c r="M30" s="62">
        <v>37600</v>
      </c>
      <c r="N30" s="62">
        <v>38400</v>
      </c>
      <c r="O30" s="62">
        <v>39200</v>
      </c>
      <c r="P30" s="62">
        <v>40000</v>
      </c>
      <c r="Q30" s="62">
        <v>40800</v>
      </c>
      <c r="R30" s="62">
        <v>41600</v>
      </c>
    </row>
    <row r="31" spans="1:18">
      <c r="A31" s="59">
        <v>306</v>
      </c>
      <c r="B31" t="s">
        <v>296</v>
      </c>
      <c r="C31">
        <f>VLOOKUP(A31,справочник!$A$2:$C$322,3,FALSE)</f>
        <v>321</v>
      </c>
      <c r="D31" t="str">
        <f>IFERROR(VLOOKUP(B31,справочник!$AF$2:$AF$15,1,FALSE),"")</f>
        <v/>
      </c>
      <c r="F31" t="s">
        <v>103</v>
      </c>
      <c r="G31" s="62">
        <v>31800</v>
      </c>
      <c r="H31" s="62">
        <v>32600</v>
      </c>
      <c r="I31" s="62">
        <v>33400</v>
      </c>
      <c r="J31" s="62">
        <v>34200</v>
      </c>
      <c r="K31" s="62">
        <v>35000</v>
      </c>
      <c r="L31" s="62">
        <v>35800</v>
      </c>
      <c r="M31" s="62">
        <v>36600</v>
      </c>
      <c r="N31" s="62">
        <v>37400</v>
      </c>
      <c r="O31" s="62">
        <v>38200</v>
      </c>
      <c r="P31" s="62">
        <v>39000</v>
      </c>
      <c r="Q31" s="62">
        <v>39800</v>
      </c>
      <c r="R31" s="62">
        <v>40600</v>
      </c>
    </row>
    <row r="32" spans="1:18">
      <c r="A32" s="59">
        <v>91</v>
      </c>
      <c r="B32" t="s">
        <v>250</v>
      </c>
      <c r="C32">
        <f>VLOOKUP(A32,справочник!$A$2:$C$322,3,FALSE)</f>
        <v>96</v>
      </c>
      <c r="D32" t="str">
        <f>IFERROR(VLOOKUP(B32,справочник!$AF$2:$AF$15,1,FALSE),"")</f>
        <v/>
      </c>
      <c r="F32" t="s">
        <v>2</v>
      </c>
      <c r="G32" s="62">
        <v>31800</v>
      </c>
      <c r="H32" s="62">
        <v>32600</v>
      </c>
      <c r="I32" s="62">
        <v>33400</v>
      </c>
      <c r="J32" s="62">
        <v>34200</v>
      </c>
      <c r="K32" s="62">
        <v>35000</v>
      </c>
      <c r="L32" s="62">
        <v>35800</v>
      </c>
      <c r="M32" s="62">
        <v>36600</v>
      </c>
      <c r="N32" s="62">
        <v>37400</v>
      </c>
      <c r="O32" s="62">
        <v>38200</v>
      </c>
      <c r="P32" s="62">
        <v>39000</v>
      </c>
      <c r="Q32" s="62">
        <v>39800</v>
      </c>
      <c r="R32" s="62">
        <v>40600</v>
      </c>
    </row>
    <row r="33" spans="1:18">
      <c r="A33" s="59">
        <v>150</v>
      </c>
      <c r="B33" t="s">
        <v>145</v>
      </c>
      <c r="C33">
        <f>VLOOKUP(A33,справочник!$A$2:$C$322,3,FALSE)</f>
        <v>158</v>
      </c>
      <c r="D33" t="str">
        <f>IFERROR(VLOOKUP(B33,справочник!$AF$2:$AF$15,1,FALSE),"")</f>
        <v/>
      </c>
      <c r="F33" t="s">
        <v>13</v>
      </c>
      <c r="G33" s="62">
        <v>30800</v>
      </c>
      <c r="H33" s="62">
        <v>31600</v>
      </c>
      <c r="I33" s="62">
        <v>32400</v>
      </c>
      <c r="J33" s="62">
        <v>33200</v>
      </c>
      <c r="K33" s="62">
        <v>34000</v>
      </c>
      <c r="L33" s="62">
        <v>34800</v>
      </c>
      <c r="M33" s="62">
        <v>35600</v>
      </c>
      <c r="N33" s="62">
        <v>36400</v>
      </c>
      <c r="O33" s="62">
        <v>37200</v>
      </c>
      <c r="P33" s="62">
        <v>38000</v>
      </c>
      <c r="Q33" s="62">
        <v>38800</v>
      </c>
      <c r="R33" s="62">
        <v>39600</v>
      </c>
    </row>
    <row r="34" spans="1:18">
      <c r="A34" s="60">
        <v>135</v>
      </c>
      <c r="B34" t="s">
        <v>273</v>
      </c>
      <c r="C34">
        <v>142</v>
      </c>
      <c r="D34" t="str">
        <f>IFERROR(VLOOKUP(B34,справочник!$AF$2:$AF$15,1,FALSE),"")</f>
        <v/>
      </c>
      <c r="F34" t="s">
        <v>641</v>
      </c>
      <c r="G34" s="62">
        <v>59800</v>
      </c>
      <c r="H34" s="62">
        <v>60600</v>
      </c>
      <c r="I34" s="62">
        <v>53400</v>
      </c>
      <c r="J34" s="62">
        <v>54200</v>
      </c>
      <c r="K34" s="62">
        <v>55000</v>
      </c>
      <c r="L34" s="62">
        <v>34800</v>
      </c>
      <c r="M34" s="62">
        <v>35600</v>
      </c>
      <c r="N34" s="62">
        <v>36400</v>
      </c>
      <c r="O34" s="62">
        <v>37200</v>
      </c>
      <c r="P34" s="62">
        <v>38000</v>
      </c>
      <c r="Q34" s="62">
        <v>38800</v>
      </c>
      <c r="R34" s="62">
        <v>39600</v>
      </c>
    </row>
    <row r="35" spans="1:18">
      <c r="A35" s="59">
        <v>78</v>
      </c>
      <c r="B35" t="s">
        <v>294</v>
      </c>
      <c r="C35">
        <f>VLOOKUP(A35,справочник!$A$2:$C$322,3,FALSE)</f>
        <v>83</v>
      </c>
      <c r="D35" t="str">
        <f>IFERROR(VLOOKUP(B35,справочник!$AF$2:$AF$15,1,FALSE),"")</f>
        <v/>
      </c>
      <c r="F35" t="s">
        <v>2</v>
      </c>
      <c r="G35" s="62">
        <v>30800</v>
      </c>
      <c r="H35" s="62">
        <v>31600</v>
      </c>
      <c r="I35" s="62">
        <v>32400</v>
      </c>
      <c r="J35" s="62">
        <v>33200</v>
      </c>
      <c r="K35" s="62">
        <v>34000</v>
      </c>
      <c r="L35" s="62">
        <v>34800</v>
      </c>
      <c r="M35" s="62">
        <v>35600</v>
      </c>
      <c r="N35" s="62">
        <v>36400</v>
      </c>
      <c r="O35" s="62">
        <v>37200</v>
      </c>
      <c r="P35" s="62">
        <v>38000</v>
      </c>
      <c r="Q35" s="62">
        <v>38800</v>
      </c>
      <c r="R35" s="62">
        <v>39600</v>
      </c>
    </row>
    <row r="36" spans="1:18">
      <c r="A36" s="59">
        <v>113</v>
      </c>
      <c r="B36" t="s">
        <v>286</v>
      </c>
      <c r="C36" t="str">
        <f>VLOOKUP(A36,справочник!$A$2:$C$322,3,FALSE)</f>
        <v>116+118+120</v>
      </c>
      <c r="D36" t="str">
        <f>IFERROR(VLOOKUP(B36,справочник!$AF$2:$AF$15,1,FALSE),"")</f>
        <v/>
      </c>
      <c r="F36" t="s">
        <v>645</v>
      </c>
      <c r="G36" s="62">
        <v>41000</v>
      </c>
      <c r="H36" s="62">
        <v>41000</v>
      </c>
      <c r="I36" s="62">
        <v>41000</v>
      </c>
      <c r="J36" s="62">
        <v>38000</v>
      </c>
      <c r="K36" s="62">
        <v>38000</v>
      </c>
      <c r="L36" s="62">
        <v>35000</v>
      </c>
      <c r="M36" s="62">
        <v>35000</v>
      </c>
      <c r="N36" s="62">
        <v>35000</v>
      </c>
      <c r="O36" s="62">
        <v>35000</v>
      </c>
      <c r="P36" s="62">
        <v>35000</v>
      </c>
      <c r="Q36" s="62">
        <v>35000</v>
      </c>
      <c r="R36" s="62">
        <v>35000</v>
      </c>
    </row>
    <row r="37" spans="1:18">
      <c r="A37" s="59">
        <v>242</v>
      </c>
      <c r="B37" t="s">
        <v>175</v>
      </c>
      <c r="C37">
        <f>VLOOKUP(A37,справочник!$A$2:$C$322,3,FALSE)</f>
        <v>253</v>
      </c>
      <c r="D37" t="str">
        <f>IFERROR(VLOOKUP(B37,справочник!$AF$2:$AF$15,1,FALSE),"")</f>
        <v/>
      </c>
      <c r="F37" t="s">
        <v>644</v>
      </c>
      <c r="G37" s="62">
        <v>29800</v>
      </c>
      <c r="H37" s="62">
        <v>30600</v>
      </c>
      <c r="I37" s="62">
        <v>31400</v>
      </c>
      <c r="J37" s="62">
        <v>32200</v>
      </c>
      <c r="K37" s="62">
        <v>33000</v>
      </c>
      <c r="L37" s="62">
        <v>33800</v>
      </c>
      <c r="M37" s="62">
        <v>34600</v>
      </c>
      <c r="N37" s="62">
        <v>35400</v>
      </c>
      <c r="O37" s="62">
        <v>36200</v>
      </c>
      <c r="P37" s="62">
        <v>37000</v>
      </c>
      <c r="Q37" s="62">
        <v>37800</v>
      </c>
      <c r="R37" s="62">
        <v>38600</v>
      </c>
    </row>
    <row r="38" spans="1:18">
      <c r="A38" s="59">
        <v>99</v>
      </c>
      <c r="B38" t="s">
        <v>268</v>
      </c>
      <c r="C38">
        <f>VLOOKUP(A38,справочник!$A$2:$C$322,3,FALSE)</f>
        <v>104</v>
      </c>
      <c r="D38" t="str">
        <f>IFERROR(VLOOKUP(B38,справочник!$AF$2:$AF$15,1,FALSE),"")</f>
        <v/>
      </c>
      <c r="F38" t="s">
        <v>645</v>
      </c>
      <c r="G38" s="62">
        <v>29800</v>
      </c>
      <c r="H38" s="62">
        <v>30600</v>
      </c>
      <c r="I38" s="62">
        <v>31400</v>
      </c>
      <c r="J38" s="62">
        <v>32200</v>
      </c>
      <c r="K38" s="62">
        <v>33000</v>
      </c>
      <c r="L38" s="62">
        <v>33800</v>
      </c>
      <c r="M38" s="62">
        <v>34600</v>
      </c>
      <c r="N38" s="62">
        <v>35400</v>
      </c>
      <c r="O38" s="62">
        <v>36200</v>
      </c>
      <c r="P38" s="62">
        <v>37000</v>
      </c>
      <c r="Q38" s="62">
        <v>37800</v>
      </c>
      <c r="R38" s="62">
        <v>38600</v>
      </c>
    </row>
    <row r="39" spans="1:18">
      <c r="A39" s="59">
        <v>48</v>
      </c>
      <c r="B39" t="s">
        <v>242</v>
      </c>
      <c r="C39">
        <f>VLOOKUP(A39,справочник!$A$2:$C$322,3,FALSE)</f>
        <v>48</v>
      </c>
      <c r="D39" t="str">
        <f>IFERROR(VLOOKUP(B39,справочник!$AF$2:$AF$15,1,FALSE),"")</f>
        <v/>
      </c>
      <c r="F39" t="s">
        <v>642</v>
      </c>
      <c r="G39" s="62">
        <v>29800</v>
      </c>
      <c r="H39" s="62">
        <v>30600</v>
      </c>
      <c r="I39" s="62">
        <v>31400</v>
      </c>
      <c r="J39" s="62">
        <v>32200</v>
      </c>
      <c r="K39" s="62">
        <v>33000</v>
      </c>
      <c r="L39" s="62">
        <v>33800</v>
      </c>
      <c r="M39" s="62">
        <v>34600</v>
      </c>
      <c r="N39" s="62">
        <v>35400</v>
      </c>
      <c r="O39" s="62">
        <v>36200</v>
      </c>
      <c r="P39" s="62">
        <v>37000</v>
      </c>
      <c r="Q39" s="62">
        <v>37800</v>
      </c>
      <c r="R39" s="62">
        <v>38600</v>
      </c>
    </row>
    <row r="40" spans="1:18">
      <c r="A40" s="59">
        <v>288</v>
      </c>
      <c r="B40" t="s">
        <v>152</v>
      </c>
      <c r="C40">
        <f>VLOOKUP(A40,справочник!$A$2:$C$322,3,FALSE)</f>
        <v>300</v>
      </c>
      <c r="D40" t="str">
        <f>IFERROR(VLOOKUP(B40,справочник!$AF$2:$AF$15,1,FALSE),"")</f>
        <v/>
      </c>
      <c r="F40" t="s">
        <v>643</v>
      </c>
      <c r="G40" s="62">
        <v>28800</v>
      </c>
      <c r="H40" s="62">
        <v>29600</v>
      </c>
      <c r="I40" s="62">
        <v>30400</v>
      </c>
      <c r="J40" s="62">
        <v>31200</v>
      </c>
      <c r="K40" s="62">
        <v>32000</v>
      </c>
      <c r="L40" s="62">
        <v>32800</v>
      </c>
      <c r="M40" s="62">
        <v>33600</v>
      </c>
      <c r="N40" s="62">
        <v>34400</v>
      </c>
      <c r="O40" s="62">
        <v>35200</v>
      </c>
      <c r="P40" s="62">
        <v>36000</v>
      </c>
      <c r="Q40" s="62">
        <v>36800</v>
      </c>
      <c r="R40" s="62">
        <v>37600</v>
      </c>
    </row>
    <row r="41" spans="1:18">
      <c r="A41" s="59">
        <v>148</v>
      </c>
      <c r="B41" t="s">
        <v>63</v>
      </c>
      <c r="C41">
        <f>VLOOKUP(A41,справочник!$A$2:$C$322,3,FALSE)</f>
        <v>156</v>
      </c>
      <c r="D41" t="str">
        <f>IFERROR(VLOOKUP(B41,справочник!$AF$2:$AF$15,1,FALSE),"")</f>
        <v/>
      </c>
      <c r="F41" t="s">
        <v>13</v>
      </c>
      <c r="G41" s="62">
        <v>33800</v>
      </c>
      <c r="H41" s="62">
        <v>32800</v>
      </c>
      <c r="I41" s="62">
        <v>31800</v>
      </c>
      <c r="J41" s="62">
        <v>30800</v>
      </c>
      <c r="K41" s="62">
        <v>31600</v>
      </c>
      <c r="L41" s="62">
        <v>32400</v>
      </c>
      <c r="M41" s="62">
        <v>33200</v>
      </c>
      <c r="N41" s="62">
        <v>34000</v>
      </c>
      <c r="O41" s="62">
        <v>34800</v>
      </c>
      <c r="P41" s="62">
        <v>35600</v>
      </c>
      <c r="Q41" s="62">
        <v>36400</v>
      </c>
      <c r="R41" s="62">
        <v>37200</v>
      </c>
    </row>
    <row r="42" spans="1:18">
      <c r="A42" s="59">
        <v>63</v>
      </c>
      <c r="B42" t="s">
        <v>95</v>
      </c>
      <c r="C42">
        <f>VLOOKUP(A42,справочник!$A$2:$C$322,3,FALSE)</f>
        <v>65</v>
      </c>
      <c r="D42" t="str">
        <f>IFERROR(VLOOKUP(B42,справочник!$AF$2:$AF$15,1,FALSE),"")</f>
        <v/>
      </c>
      <c r="F42" t="s">
        <v>181</v>
      </c>
      <c r="G42" s="62">
        <v>28800</v>
      </c>
      <c r="H42" s="62">
        <v>29600</v>
      </c>
      <c r="I42" s="62">
        <v>30400</v>
      </c>
      <c r="J42" s="62">
        <v>31200</v>
      </c>
      <c r="K42" s="62">
        <v>32000</v>
      </c>
      <c r="L42" s="62">
        <v>32000</v>
      </c>
      <c r="M42" s="62">
        <v>32800</v>
      </c>
      <c r="N42" s="62">
        <v>33600</v>
      </c>
      <c r="O42" s="62">
        <v>34400</v>
      </c>
      <c r="P42" s="62">
        <v>35200</v>
      </c>
      <c r="Q42" s="62">
        <v>36000</v>
      </c>
      <c r="R42" s="62">
        <v>36800</v>
      </c>
    </row>
    <row r="43" spans="1:18">
      <c r="A43" s="59">
        <v>257</v>
      </c>
      <c r="B43" t="s">
        <v>169</v>
      </c>
      <c r="C43">
        <f>VLOOKUP(A43,справочник!$A$2:$C$322,3,FALSE)</f>
        <v>270</v>
      </c>
      <c r="D43" t="str">
        <f>IFERROR(VLOOKUP(B43,справочник!$AF$2:$AF$15,1,FALSE),"")</f>
        <v/>
      </c>
      <c r="F43" t="s">
        <v>146</v>
      </c>
      <c r="G43" s="62">
        <v>26800</v>
      </c>
      <c r="H43" s="62">
        <v>27600</v>
      </c>
      <c r="I43" s="62">
        <v>28400</v>
      </c>
      <c r="J43" s="62">
        <v>29200</v>
      </c>
      <c r="K43" s="62">
        <v>30000</v>
      </c>
      <c r="L43" s="62">
        <v>30800</v>
      </c>
      <c r="M43" s="62">
        <v>31600</v>
      </c>
      <c r="N43" s="62">
        <v>32400</v>
      </c>
      <c r="O43" s="62">
        <v>33200</v>
      </c>
      <c r="P43" s="62">
        <v>34000</v>
      </c>
      <c r="Q43" s="62">
        <v>34800</v>
      </c>
      <c r="R43" s="62">
        <v>35600</v>
      </c>
    </row>
    <row r="44" spans="1:18">
      <c r="A44" s="59">
        <v>12</v>
      </c>
      <c r="B44" t="s">
        <v>94</v>
      </c>
      <c r="C44">
        <f>VLOOKUP(A44,справочник!$A$2:$C$322,3,FALSE)</f>
        <v>12</v>
      </c>
      <c r="D44" t="str">
        <f>IFERROR(VLOOKUP(B44,справочник!$AF$2:$AF$15,1,FALSE),"")</f>
        <v/>
      </c>
      <c r="F44" t="s">
        <v>90</v>
      </c>
      <c r="G44" s="62">
        <v>26800</v>
      </c>
      <c r="H44" s="62">
        <v>27600</v>
      </c>
      <c r="I44" s="62">
        <v>28400</v>
      </c>
      <c r="J44" s="62">
        <v>29200</v>
      </c>
      <c r="K44" s="62">
        <v>30000</v>
      </c>
      <c r="L44" s="62">
        <v>30800</v>
      </c>
      <c r="M44" s="62">
        <v>31600</v>
      </c>
      <c r="N44" s="62">
        <v>32400</v>
      </c>
      <c r="O44" s="62">
        <v>33200</v>
      </c>
      <c r="P44" s="62">
        <v>34000</v>
      </c>
      <c r="Q44" s="62">
        <v>34800</v>
      </c>
      <c r="R44" s="62">
        <v>35600</v>
      </c>
    </row>
    <row r="45" spans="1:18">
      <c r="A45" s="59">
        <v>261</v>
      </c>
      <c r="B45" t="s">
        <v>151</v>
      </c>
      <c r="C45">
        <f>VLOOKUP(A45,справочник!$A$2:$C$322,3,FALSE)</f>
        <v>275</v>
      </c>
      <c r="D45" t="str">
        <f>IFERROR(VLOOKUP(B45,справочник!$AF$2:$AF$15,1,FALSE),"")</f>
        <v/>
      </c>
      <c r="F45" t="s">
        <v>146</v>
      </c>
      <c r="G45" s="62">
        <v>28400</v>
      </c>
      <c r="H45" s="62">
        <v>29200</v>
      </c>
      <c r="I45" s="62">
        <v>30000</v>
      </c>
      <c r="J45" s="62">
        <v>28400</v>
      </c>
      <c r="K45" s="62">
        <v>29200</v>
      </c>
      <c r="L45" s="62">
        <v>30000</v>
      </c>
      <c r="M45" s="62">
        <v>30800</v>
      </c>
      <c r="N45" s="62">
        <v>31600</v>
      </c>
      <c r="O45" s="62">
        <v>32400</v>
      </c>
      <c r="P45" s="62">
        <v>33200</v>
      </c>
      <c r="Q45" s="62">
        <v>34000</v>
      </c>
      <c r="R45" s="62">
        <v>34800</v>
      </c>
    </row>
    <row r="46" spans="1:18">
      <c r="A46" s="59">
        <v>164</v>
      </c>
      <c r="B46" t="s">
        <v>156</v>
      </c>
      <c r="C46">
        <f>VLOOKUP(A46,справочник!$A$2:$C$322,3,FALSE)</f>
        <v>172</v>
      </c>
      <c r="D46" t="str">
        <f>IFERROR(VLOOKUP(B46,справочник!$AF$2:$AF$15,1,FALSE),"")</f>
        <v/>
      </c>
      <c r="F46" t="s">
        <v>13</v>
      </c>
      <c r="G46" s="62">
        <v>25800</v>
      </c>
      <c r="H46" s="62">
        <v>26600</v>
      </c>
      <c r="I46" s="62">
        <v>27400</v>
      </c>
      <c r="J46" s="62">
        <v>28200</v>
      </c>
      <c r="K46" s="62">
        <v>29000</v>
      </c>
      <c r="L46" s="62">
        <v>29800</v>
      </c>
      <c r="M46" s="62">
        <v>30600</v>
      </c>
      <c r="N46" s="62">
        <v>31400</v>
      </c>
      <c r="O46" s="62">
        <v>32200</v>
      </c>
      <c r="P46" s="62">
        <v>33000</v>
      </c>
      <c r="Q46" s="62">
        <v>33800</v>
      </c>
      <c r="R46" s="62">
        <v>34600</v>
      </c>
    </row>
    <row r="47" spans="1:18">
      <c r="A47" s="59">
        <v>303</v>
      </c>
      <c r="B47" t="s">
        <v>43</v>
      </c>
      <c r="C47">
        <f>VLOOKUP(A47,справочник!$A$2:$C$322,3,FALSE)</f>
        <v>319</v>
      </c>
      <c r="D47" t="str">
        <f>IFERROR(VLOOKUP(B47,справочник!$AF$2:$AF$15,1,FALSE),"")</f>
        <v/>
      </c>
      <c r="F47" t="s">
        <v>103</v>
      </c>
      <c r="G47" s="62">
        <v>24800</v>
      </c>
      <c r="H47" s="62">
        <v>25600</v>
      </c>
      <c r="I47" s="62">
        <v>26400</v>
      </c>
      <c r="J47" s="62">
        <v>27200</v>
      </c>
      <c r="K47" s="62">
        <v>28000</v>
      </c>
      <c r="L47" s="62">
        <v>28800</v>
      </c>
      <c r="M47" s="62">
        <v>29600</v>
      </c>
      <c r="N47" s="62">
        <v>30400</v>
      </c>
      <c r="O47" s="62">
        <v>31200</v>
      </c>
      <c r="P47" s="62">
        <v>32000</v>
      </c>
      <c r="Q47" s="62">
        <v>32800</v>
      </c>
      <c r="R47" s="62">
        <v>33600</v>
      </c>
    </row>
    <row r="48" spans="1:18">
      <c r="A48" s="59">
        <v>249</v>
      </c>
      <c r="B48" t="s">
        <v>20</v>
      </c>
      <c r="C48">
        <f>VLOOKUP(A48,справочник!$A$2:$C$322,3,FALSE)</f>
        <v>260</v>
      </c>
      <c r="D48" t="str">
        <f>IFERROR(VLOOKUP(B48,справочник!$AF$2:$AF$15,1,FALSE),"")</f>
        <v/>
      </c>
      <c r="F48" t="s">
        <v>644</v>
      </c>
      <c r="G48" s="62">
        <v>24800</v>
      </c>
      <c r="H48" s="62">
        <v>25600</v>
      </c>
      <c r="I48" s="62">
        <v>26400</v>
      </c>
      <c r="J48" s="62">
        <v>27200</v>
      </c>
      <c r="K48" s="62">
        <v>28000</v>
      </c>
      <c r="L48" s="62">
        <v>28800</v>
      </c>
      <c r="M48" s="62">
        <v>29600</v>
      </c>
      <c r="N48" s="62">
        <v>30400</v>
      </c>
      <c r="O48" s="62">
        <v>31200</v>
      </c>
      <c r="P48" s="62">
        <v>32000</v>
      </c>
      <c r="Q48" s="62">
        <v>32800</v>
      </c>
      <c r="R48" s="62">
        <v>33600</v>
      </c>
    </row>
    <row r="49" spans="1:18">
      <c r="A49" s="59">
        <v>232</v>
      </c>
      <c r="B49" t="s">
        <v>8</v>
      </c>
      <c r="C49">
        <f>VLOOKUP(A49,справочник!$A$2:$C$322,3,FALSE)</f>
        <v>241</v>
      </c>
      <c r="D49" t="str">
        <f>IFERROR(VLOOKUP(B49,справочник!$AF$2:$AF$15,1,FALSE),"")</f>
        <v/>
      </c>
      <c r="F49" t="s">
        <v>644</v>
      </c>
      <c r="G49" s="62">
        <v>24800</v>
      </c>
      <c r="H49" s="62">
        <v>25600</v>
      </c>
      <c r="I49" s="62">
        <v>26400</v>
      </c>
      <c r="J49" s="62">
        <v>27200</v>
      </c>
      <c r="K49" s="62">
        <v>28000</v>
      </c>
      <c r="L49" s="62">
        <v>28800</v>
      </c>
      <c r="M49" s="62">
        <v>29600</v>
      </c>
      <c r="N49" s="62">
        <v>30400</v>
      </c>
      <c r="O49" s="62">
        <v>31200</v>
      </c>
      <c r="P49" s="62">
        <v>32000</v>
      </c>
      <c r="Q49" s="62">
        <v>32800</v>
      </c>
      <c r="R49" s="62">
        <v>33600</v>
      </c>
    </row>
    <row r="50" spans="1:18">
      <c r="A50" s="59">
        <v>202</v>
      </c>
      <c r="B50" t="s">
        <v>133</v>
      </c>
      <c r="C50">
        <f>VLOOKUP(A50,справочник!$A$2:$C$322,3,FALSE)</f>
        <v>212</v>
      </c>
      <c r="D50" t="str">
        <f>IFERROR(VLOOKUP(B50,справочник!$AF$2:$AF$15,1,FALSE),"")</f>
        <v/>
      </c>
      <c r="F50" t="s">
        <v>37</v>
      </c>
      <c r="G50" s="62">
        <v>24800</v>
      </c>
      <c r="H50" s="62">
        <v>25600</v>
      </c>
      <c r="I50" s="62">
        <v>26400</v>
      </c>
      <c r="J50" s="62">
        <v>27200</v>
      </c>
      <c r="K50" s="62">
        <v>28000</v>
      </c>
      <c r="L50" s="62">
        <v>28800</v>
      </c>
      <c r="M50" s="62">
        <v>29600</v>
      </c>
      <c r="N50" s="62">
        <v>30400</v>
      </c>
      <c r="O50" s="62">
        <v>31200</v>
      </c>
      <c r="P50" s="62">
        <v>32000</v>
      </c>
      <c r="Q50" s="62">
        <v>32800</v>
      </c>
      <c r="R50" s="62">
        <v>33600</v>
      </c>
    </row>
    <row r="51" spans="1:18">
      <c r="A51" s="59">
        <v>151</v>
      </c>
      <c r="B51" t="s">
        <v>32</v>
      </c>
      <c r="C51">
        <f>VLOOKUP(A51,справочник!$A$2:$C$322,3,FALSE)</f>
        <v>159</v>
      </c>
      <c r="D51" t="str">
        <f>IFERROR(VLOOKUP(B51,справочник!$AF$2:$AF$15,1,FALSE),"")</f>
        <v/>
      </c>
      <c r="F51" t="s">
        <v>13</v>
      </c>
      <c r="G51" s="62">
        <v>24800</v>
      </c>
      <c r="H51" s="62">
        <v>25600</v>
      </c>
      <c r="I51" s="62">
        <v>26400</v>
      </c>
      <c r="J51" s="62">
        <v>27200</v>
      </c>
      <c r="K51" s="62">
        <v>28000</v>
      </c>
      <c r="L51" s="62">
        <v>28800</v>
      </c>
      <c r="M51" s="62">
        <v>29600</v>
      </c>
      <c r="N51" s="62">
        <v>30400</v>
      </c>
      <c r="O51" s="62">
        <v>31200</v>
      </c>
      <c r="P51" s="62">
        <v>32000</v>
      </c>
      <c r="Q51" s="62">
        <v>32800</v>
      </c>
      <c r="R51" s="62">
        <v>33600</v>
      </c>
    </row>
    <row r="52" spans="1:18">
      <c r="A52" s="59">
        <v>229</v>
      </c>
      <c r="B52" t="s">
        <v>23</v>
      </c>
      <c r="C52">
        <f>VLOOKUP(A52,справочник!$A$2:$C$322,3,FALSE)</f>
        <v>238</v>
      </c>
      <c r="D52" t="str">
        <f>IFERROR(VLOOKUP(B52,справочник!$AF$2:$AF$15,1,FALSE),"")</f>
        <v/>
      </c>
      <c r="F52" t="s">
        <v>109</v>
      </c>
      <c r="G52" s="62">
        <v>23800</v>
      </c>
      <c r="H52" s="62">
        <v>24600</v>
      </c>
      <c r="I52" s="62">
        <v>25400</v>
      </c>
      <c r="J52" s="62">
        <v>26200</v>
      </c>
      <c r="K52" s="62">
        <v>27000</v>
      </c>
      <c r="L52" s="62">
        <v>27800</v>
      </c>
      <c r="M52" s="62">
        <v>28600</v>
      </c>
      <c r="N52" s="62">
        <v>29400</v>
      </c>
      <c r="O52" s="62">
        <v>30200</v>
      </c>
      <c r="P52" s="62">
        <v>31000</v>
      </c>
      <c r="Q52" s="62">
        <v>31800</v>
      </c>
      <c r="R52" s="62">
        <v>32600</v>
      </c>
    </row>
    <row r="53" spans="1:18">
      <c r="A53" s="59">
        <v>157</v>
      </c>
      <c r="B53" t="s">
        <v>140</v>
      </c>
      <c r="C53">
        <f>VLOOKUP(A53,справочник!$A$2:$C$322,3,FALSE)</f>
        <v>165</v>
      </c>
      <c r="D53" t="str">
        <f>IFERROR(VLOOKUP(B53,справочник!$AF$2:$AF$15,1,FALSE),"")</f>
        <v/>
      </c>
      <c r="F53" t="s">
        <v>13</v>
      </c>
      <c r="G53" s="62">
        <v>23800</v>
      </c>
      <c r="H53" s="62">
        <v>24600</v>
      </c>
      <c r="I53" s="62">
        <v>25400</v>
      </c>
      <c r="J53" s="62">
        <v>26200</v>
      </c>
      <c r="K53" s="62">
        <v>27000</v>
      </c>
      <c r="L53" s="62">
        <v>27800</v>
      </c>
      <c r="M53" s="62">
        <v>28600</v>
      </c>
      <c r="N53" s="62">
        <v>29400</v>
      </c>
      <c r="O53" s="62">
        <v>30200</v>
      </c>
      <c r="P53" s="62">
        <v>31000</v>
      </c>
      <c r="Q53" s="62">
        <v>31800</v>
      </c>
      <c r="R53" s="62">
        <v>32600</v>
      </c>
    </row>
    <row r="54" spans="1:18">
      <c r="A54" s="59">
        <v>47</v>
      </c>
      <c r="B54" t="s">
        <v>186</v>
      </c>
      <c r="C54">
        <f>VLOOKUP(A54,справочник!$A$2:$C$322,3,FALSE)</f>
        <v>47</v>
      </c>
      <c r="D54" t="str">
        <f>IFERROR(VLOOKUP(B54,справочник!$AF$2:$AF$15,1,FALSE),"")</f>
        <v/>
      </c>
      <c r="F54" t="s">
        <v>642</v>
      </c>
      <c r="G54" s="62">
        <v>23800</v>
      </c>
      <c r="H54" s="62">
        <v>24600</v>
      </c>
      <c r="I54" s="62">
        <v>25400</v>
      </c>
      <c r="J54" s="62">
        <v>26200</v>
      </c>
      <c r="K54" s="62">
        <v>27000</v>
      </c>
      <c r="L54" s="62">
        <v>27800</v>
      </c>
      <c r="M54" s="62">
        <v>28600</v>
      </c>
      <c r="N54" s="62">
        <v>29400</v>
      </c>
      <c r="O54" s="62">
        <v>30200</v>
      </c>
      <c r="P54" s="62">
        <v>31000</v>
      </c>
      <c r="Q54" s="62">
        <v>31800</v>
      </c>
      <c r="R54" s="62">
        <v>32600</v>
      </c>
    </row>
    <row r="55" spans="1:18">
      <c r="A55" s="59">
        <v>309</v>
      </c>
      <c r="B55" t="s">
        <v>307</v>
      </c>
      <c r="C55">
        <f>VLOOKUP(A55,справочник!$A$2:$C$322,3,FALSE)</f>
        <v>324</v>
      </c>
      <c r="D55" t="str">
        <f>IFERROR(VLOOKUP(B55,справочник!$AF$2:$AF$15,1,FALSE),"")</f>
        <v/>
      </c>
      <c r="F55" t="s">
        <v>103</v>
      </c>
      <c r="G55" s="62">
        <v>22800</v>
      </c>
      <c r="H55" s="62">
        <v>23600</v>
      </c>
      <c r="I55" s="62">
        <v>24400</v>
      </c>
      <c r="J55" s="62">
        <v>25200</v>
      </c>
      <c r="K55" s="62">
        <v>26000</v>
      </c>
      <c r="L55" s="62">
        <v>26800</v>
      </c>
      <c r="M55" s="62">
        <v>27600</v>
      </c>
      <c r="N55" s="62">
        <v>28400</v>
      </c>
      <c r="O55" s="62">
        <v>29200</v>
      </c>
      <c r="P55" s="62">
        <v>30000</v>
      </c>
      <c r="Q55" s="62">
        <v>30800</v>
      </c>
      <c r="R55" s="62">
        <v>31600</v>
      </c>
    </row>
    <row r="56" spans="1:18">
      <c r="A56" s="59">
        <v>187</v>
      </c>
      <c r="B56" t="s">
        <v>173</v>
      </c>
      <c r="C56">
        <f>VLOOKUP(A56,справочник!$A$2:$C$322,3,FALSE)</f>
        <v>195</v>
      </c>
      <c r="D56" t="str">
        <f>IFERROR(VLOOKUP(B56,справочник!$AF$2:$AF$15,1,FALSE),"")</f>
        <v/>
      </c>
      <c r="F56" t="s">
        <v>247</v>
      </c>
      <c r="G56" s="62">
        <v>27800</v>
      </c>
      <c r="H56" s="62">
        <v>28600</v>
      </c>
      <c r="I56" s="62">
        <v>29400</v>
      </c>
      <c r="J56" s="62">
        <v>25200</v>
      </c>
      <c r="K56" s="62">
        <v>26000</v>
      </c>
      <c r="L56" s="62">
        <v>26800</v>
      </c>
      <c r="M56" s="62">
        <v>27600</v>
      </c>
      <c r="N56" s="62">
        <v>28400</v>
      </c>
      <c r="O56" s="62">
        <v>29200</v>
      </c>
      <c r="P56" s="62">
        <v>30000</v>
      </c>
      <c r="Q56" s="62">
        <v>30800</v>
      </c>
      <c r="R56" s="62">
        <v>31600</v>
      </c>
    </row>
    <row r="57" spans="1:18">
      <c r="A57" s="59">
        <v>158</v>
      </c>
      <c r="B57" t="s">
        <v>149</v>
      </c>
      <c r="C57">
        <f>VLOOKUP(A57,справочник!$A$2:$C$322,3,FALSE)</f>
        <v>166</v>
      </c>
      <c r="D57" t="str">
        <f>IFERROR(VLOOKUP(B57,справочник!$AF$2:$AF$15,1,FALSE),"")</f>
        <v/>
      </c>
      <c r="F57" t="s">
        <v>13</v>
      </c>
      <c r="G57" s="62">
        <v>22800</v>
      </c>
      <c r="H57" s="62">
        <v>23600</v>
      </c>
      <c r="I57" s="62">
        <v>24400</v>
      </c>
      <c r="J57" s="62">
        <v>25200</v>
      </c>
      <c r="K57" s="62">
        <v>26000</v>
      </c>
      <c r="L57" s="62">
        <v>26800</v>
      </c>
      <c r="M57" s="62">
        <v>27600</v>
      </c>
      <c r="N57" s="62">
        <v>28400</v>
      </c>
      <c r="O57" s="62">
        <v>29200</v>
      </c>
      <c r="P57" s="62">
        <v>30000</v>
      </c>
      <c r="Q57" s="62">
        <v>30800</v>
      </c>
      <c r="R57" s="62">
        <v>31600</v>
      </c>
    </row>
    <row r="58" spans="1:18">
      <c r="A58" s="59">
        <v>228</v>
      </c>
      <c r="B58" t="s">
        <v>51</v>
      </c>
      <c r="C58">
        <f>VLOOKUP(A58,справочник!$A$2:$C$322,3,FALSE)</f>
        <v>237</v>
      </c>
      <c r="D58" t="str">
        <f>IFERROR(VLOOKUP(B58,справочник!$AF$2:$AF$15,1,FALSE),"")</f>
        <v/>
      </c>
      <c r="F58" t="s">
        <v>109</v>
      </c>
      <c r="G58" s="62">
        <v>21800</v>
      </c>
      <c r="H58" s="62">
        <v>22600</v>
      </c>
      <c r="I58" s="62">
        <v>23400</v>
      </c>
      <c r="J58" s="62">
        <v>24200</v>
      </c>
      <c r="K58" s="62">
        <v>25000</v>
      </c>
      <c r="L58" s="62">
        <v>25800</v>
      </c>
      <c r="M58" s="62">
        <v>26600</v>
      </c>
      <c r="N58" s="62">
        <v>27400</v>
      </c>
      <c r="O58" s="62">
        <v>28200</v>
      </c>
      <c r="P58" s="62">
        <v>29000</v>
      </c>
      <c r="Q58" s="62">
        <v>29800</v>
      </c>
      <c r="R58" s="62">
        <v>30600</v>
      </c>
    </row>
    <row r="59" spans="1:18">
      <c r="A59" s="59">
        <v>160</v>
      </c>
      <c r="B59" t="s">
        <v>204</v>
      </c>
      <c r="C59">
        <f>VLOOKUP(A59,справочник!$A$2:$C$322,3,FALSE)</f>
        <v>168</v>
      </c>
      <c r="D59" t="str">
        <f>IFERROR(VLOOKUP(B59,справочник!$AF$2:$AF$15,1,FALSE),"")</f>
        <v/>
      </c>
      <c r="F59" t="s">
        <v>13</v>
      </c>
      <c r="G59" s="62">
        <v>21800</v>
      </c>
      <c r="H59" s="62">
        <v>22600</v>
      </c>
      <c r="I59" s="62">
        <v>23400</v>
      </c>
      <c r="J59" s="62">
        <v>24200</v>
      </c>
      <c r="K59" s="62">
        <v>25000</v>
      </c>
      <c r="L59" s="62">
        <v>25800</v>
      </c>
      <c r="M59" s="62">
        <v>26600</v>
      </c>
      <c r="N59" s="62">
        <v>27400</v>
      </c>
      <c r="O59" s="62">
        <v>28200</v>
      </c>
      <c r="P59" s="62">
        <v>29000</v>
      </c>
      <c r="Q59" s="62">
        <v>29800</v>
      </c>
      <c r="R59" s="62">
        <v>30600</v>
      </c>
    </row>
    <row r="60" spans="1:18">
      <c r="A60" s="59">
        <v>89</v>
      </c>
      <c r="B60" t="s">
        <v>190</v>
      </c>
      <c r="C60">
        <f>VLOOKUP(A60,справочник!$A$2:$C$322,3,FALSE)</f>
        <v>94</v>
      </c>
      <c r="D60" t="str">
        <f>IFERROR(VLOOKUP(B60,справочник!$AF$2:$AF$15,1,FALSE),"")</f>
        <v/>
      </c>
      <c r="F60" t="s">
        <v>2</v>
      </c>
      <c r="G60" s="62">
        <v>21800</v>
      </c>
      <c r="H60" s="62">
        <v>22600</v>
      </c>
      <c r="I60" s="62">
        <v>23400</v>
      </c>
      <c r="J60" s="62">
        <v>24200</v>
      </c>
      <c r="K60" s="62">
        <v>25000</v>
      </c>
      <c r="L60" s="62">
        <v>25800</v>
      </c>
      <c r="M60" s="62">
        <v>26600</v>
      </c>
      <c r="N60" s="62">
        <v>27400</v>
      </c>
      <c r="O60" s="62">
        <v>28200</v>
      </c>
      <c r="P60" s="62">
        <v>29000</v>
      </c>
      <c r="Q60" s="62">
        <v>29800</v>
      </c>
      <c r="R60" s="62">
        <v>30600</v>
      </c>
    </row>
    <row r="61" spans="1:18">
      <c r="A61" s="59">
        <v>61</v>
      </c>
      <c r="B61" t="s">
        <v>56</v>
      </c>
      <c r="C61">
        <f>VLOOKUP(A61,справочник!$A$2:$C$322,3,FALSE)</f>
        <v>63</v>
      </c>
      <c r="D61" t="str">
        <f>IFERROR(VLOOKUP(B61,справочник!$AF$2:$AF$15,1,FALSE),"")</f>
        <v/>
      </c>
      <c r="F61" t="s">
        <v>181</v>
      </c>
      <c r="G61" s="62">
        <v>21800</v>
      </c>
      <c r="H61" s="62">
        <v>22600</v>
      </c>
      <c r="I61" s="62">
        <v>23400</v>
      </c>
      <c r="J61" s="62">
        <v>24200</v>
      </c>
      <c r="K61" s="62">
        <v>25000</v>
      </c>
      <c r="L61" s="62">
        <v>25800</v>
      </c>
      <c r="M61" s="62">
        <v>26600</v>
      </c>
      <c r="N61" s="62">
        <v>27400</v>
      </c>
      <c r="O61" s="62">
        <v>28200</v>
      </c>
      <c r="P61" s="62">
        <v>29000</v>
      </c>
      <c r="Q61" s="62">
        <v>29800</v>
      </c>
      <c r="R61" s="62">
        <v>30600</v>
      </c>
    </row>
    <row r="62" spans="1:18">
      <c r="A62" s="59">
        <v>43</v>
      </c>
      <c r="B62" t="s">
        <v>48</v>
      </c>
      <c r="C62">
        <f>VLOOKUP(A62,справочник!$A$2:$C$322,3,FALSE)</f>
        <v>43</v>
      </c>
      <c r="D62" t="str">
        <f>IFERROR(VLOOKUP(B62,справочник!$AF$2:$AF$15,1,FALSE),"")</f>
        <v/>
      </c>
      <c r="F62" t="s">
        <v>642</v>
      </c>
      <c r="G62" s="62">
        <v>23800</v>
      </c>
      <c r="H62" s="62">
        <v>24600</v>
      </c>
      <c r="I62" s="62">
        <v>25400</v>
      </c>
      <c r="J62" s="62">
        <v>26200</v>
      </c>
      <c r="K62" s="62">
        <v>27000</v>
      </c>
      <c r="L62" s="62">
        <v>25800</v>
      </c>
      <c r="M62" s="62">
        <v>26600</v>
      </c>
      <c r="N62" s="62">
        <v>27400</v>
      </c>
      <c r="O62" s="62">
        <v>28200</v>
      </c>
      <c r="P62" s="62">
        <v>29000</v>
      </c>
      <c r="Q62" s="62">
        <v>29800</v>
      </c>
      <c r="R62" s="62">
        <v>30600</v>
      </c>
    </row>
    <row r="63" spans="1:18">
      <c r="A63" s="59">
        <v>3</v>
      </c>
      <c r="B63" t="s">
        <v>148</v>
      </c>
      <c r="C63">
        <f>VLOOKUP(A63,справочник!$A$2:$C$322,3,FALSE)</f>
        <v>3</v>
      </c>
      <c r="D63" t="str">
        <f>IFERROR(VLOOKUP(B63,справочник!$AF$2:$AF$15,1,FALSE),"")</f>
        <v/>
      </c>
      <c r="F63" t="s">
        <v>90</v>
      </c>
      <c r="G63" s="62">
        <v>21800</v>
      </c>
      <c r="H63" s="62">
        <v>22600</v>
      </c>
      <c r="I63" s="62">
        <v>23400</v>
      </c>
      <c r="J63" s="62">
        <v>24200</v>
      </c>
      <c r="K63" s="62">
        <v>25000</v>
      </c>
      <c r="L63" s="62">
        <v>25800</v>
      </c>
      <c r="M63" s="62">
        <v>26600</v>
      </c>
      <c r="N63" s="62">
        <v>27400</v>
      </c>
      <c r="O63" s="62">
        <v>28200</v>
      </c>
      <c r="P63" s="62">
        <v>29000</v>
      </c>
      <c r="Q63" s="62">
        <v>29800</v>
      </c>
      <c r="R63" s="62">
        <v>30600</v>
      </c>
    </row>
    <row r="64" spans="1:18">
      <c r="A64" s="59">
        <v>310</v>
      </c>
      <c r="B64" t="s">
        <v>239</v>
      </c>
      <c r="C64" t="str">
        <f>VLOOKUP(A64,справочник!$A$2:$C$322,3,FALSE)</f>
        <v>133-134</v>
      </c>
      <c r="D64" t="str">
        <f>IFERROR(VLOOKUP(B64,справочник!$AF$2:$AF$15,1,FALSE),"")</f>
        <v/>
      </c>
      <c r="F64" t="e">
        <v>#N/A</v>
      </c>
      <c r="G64" s="62">
        <v>35800</v>
      </c>
      <c r="H64" s="62">
        <v>36600</v>
      </c>
      <c r="I64" s="62">
        <v>32400</v>
      </c>
      <c r="J64" s="62">
        <v>28250</v>
      </c>
      <c r="K64" s="62">
        <v>24050</v>
      </c>
      <c r="L64" s="62">
        <v>24850</v>
      </c>
      <c r="M64" s="62">
        <v>25650</v>
      </c>
      <c r="N64" s="62">
        <v>26450</v>
      </c>
      <c r="O64" s="62">
        <v>27250</v>
      </c>
      <c r="P64" s="62">
        <v>28050</v>
      </c>
      <c r="Q64" s="62">
        <v>28850</v>
      </c>
      <c r="R64" s="62">
        <v>29650</v>
      </c>
    </row>
    <row r="65" spans="1:18">
      <c r="A65" s="59">
        <v>265</v>
      </c>
      <c r="B65" t="s">
        <v>120</v>
      </c>
      <c r="C65">
        <f>VLOOKUP(A65,справочник!$A$2:$C$322,3,FALSE)</f>
        <v>278</v>
      </c>
      <c r="D65" t="str">
        <f>IFERROR(VLOOKUP(B65,справочник!$AF$2:$AF$15,1,FALSE),"")</f>
        <v/>
      </c>
      <c r="F65" t="s">
        <v>146</v>
      </c>
      <c r="G65" s="62">
        <v>23800</v>
      </c>
      <c r="H65" s="62">
        <v>24600</v>
      </c>
      <c r="I65" s="62">
        <v>22400</v>
      </c>
      <c r="J65" s="62">
        <v>23200</v>
      </c>
      <c r="K65" s="62">
        <v>24000</v>
      </c>
      <c r="L65" s="62">
        <v>24800</v>
      </c>
      <c r="M65" s="62">
        <v>25600</v>
      </c>
      <c r="N65" s="62">
        <v>26400</v>
      </c>
      <c r="O65" s="62">
        <v>27200</v>
      </c>
      <c r="P65" s="62">
        <v>28000</v>
      </c>
      <c r="Q65" s="62">
        <v>28800</v>
      </c>
      <c r="R65" s="62">
        <v>29600</v>
      </c>
    </row>
    <row r="66" spans="1:18">
      <c r="A66" s="59">
        <v>251</v>
      </c>
      <c r="B66" t="s">
        <v>209</v>
      </c>
      <c r="C66">
        <f>VLOOKUP(A66,справочник!$A$2:$C$322,3,FALSE)</f>
        <v>262</v>
      </c>
      <c r="D66" t="str">
        <f>IFERROR(VLOOKUP(B66,справочник!$AF$2:$AF$15,1,FALSE),"")</f>
        <v/>
      </c>
      <c r="F66" t="s">
        <v>146</v>
      </c>
      <c r="G66" s="62">
        <v>20800</v>
      </c>
      <c r="H66" s="62">
        <v>21600</v>
      </c>
      <c r="I66" s="62">
        <v>22400</v>
      </c>
      <c r="J66" s="62">
        <v>23200</v>
      </c>
      <c r="K66" s="62">
        <v>24000</v>
      </c>
      <c r="L66" s="62">
        <v>24800</v>
      </c>
      <c r="M66" s="62">
        <v>25600</v>
      </c>
      <c r="N66" s="62">
        <v>26400</v>
      </c>
      <c r="O66" s="62">
        <v>27200</v>
      </c>
      <c r="P66" s="62">
        <v>28000</v>
      </c>
      <c r="Q66" s="62">
        <v>28800</v>
      </c>
      <c r="R66" s="62">
        <v>29600</v>
      </c>
    </row>
    <row r="67" spans="1:18">
      <c r="A67" s="59">
        <v>239</v>
      </c>
      <c r="B67" t="s">
        <v>226</v>
      </c>
      <c r="C67">
        <f>VLOOKUP(A67,справочник!$A$2:$C$322,3,FALSE)</f>
        <v>250</v>
      </c>
      <c r="D67" t="str">
        <f>IFERROR(VLOOKUP(B67,справочник!$AF$2:$AF$15,1,FALSE),"")</f>
        <v/>
      </c>
      <c r="F67" t="s">
        <v>644</v>
      </c>
      <c r="G67" s="62">
        <v>20800</v>
      </c>
      <c r="H67" s="62">
        <v>21600</v>
      </c>
      <c r="I67" s="62">
        <v>22400</v>
      </c>
      <c r="J67" s="62">
        <v>23200</v>
      </c>
      <c r="K67" s="62">
        <v>24000</v>
      </c>
      <c r="L67" s="62">
        <v>24800</v>
      </c>
      <c r="M67" s="62">
        <v>25600</v>
      </c>
      <c r="N67" s="62">
        <v>26400</v>
      </c>
      <c r="O67" s="62">
        <v>27200</v>
      </c>
      <c r="P67" s="62">
        <v>28000</v>
      </c>
      <c r="Q67" s="62">
        <v>28800</v>
      </c>
      <c r="R67" s="62">
        <v>29600</v>
      </c>
    </row>
    <row r="68" spans="1:18">
      <c r="A68" s="59">
        <v>226</v>
      </c>
      <c r="B68" t="s">
        <v>68</v>
      </c>
      <c r="C68">
        <f>VLOOKUP(A68,справочник!$A$2:$C$322,3,FALSE)</f>
        <v>235</v>
      </c>
      <c r="D68" t="str">
        <f>IFERROR(VLOOKUP(B68,справочник!$AF$2:$AF$15,1,FALSE),"")</f>
        <v/>
      </c>
      <c r="F68" t="s">
        <v>109</v>
      </c>
      <c r="G68" s="62">
        <v>20800</v>
      </c>
      <c r="H68" s="62">
        <v>21600</v>
      </c>
      <c r="I68" s="62">
        <v>22400</v>
      </c>
      <c r="J68" s="62">
        <v>23200</v>
      </c>
      <c r="K68" s="62">
        <v>24000</v>
      </c>
      <c r="L68" s="62">
        <v>24800</v>
      </c>
      <c r="M68" s="62">
        <v>25600</v>
      </c>
      <c r="N68" s="62">
        <v>26400</v>
      </c>
      <c r="O68" s="62">
        <v>27200</v>
      </c>
      <c r="P68" s="62">
        <v>28000</v>
      </c>
      <c r="Q68" s="62">
        <v>28800</v>
      </c>
      <c r="R68" s="62">
        <v>29600</v>
      </c>
    </row>
    <row r="69" spans="1:18">
      <c r="A69" s="59">
        <v>224</v>
      </c>
      <c r="B69" t="s">
        <v>220</v>
      </c>
      <c r="C69">
        <f>VLOOKUP(A69,справочник!$A$2:$C$322,3,FALSE)</f>
        <v>233</v>
      </c>
      <c r="D69" t="str">
        <f>IFERROR(VLOOKUP(B69,справочник!$AF$2:$AF$15,1,FALSE),"")</f>
        <v/>
      </c>
      <c r="F69" t="s">
        <v>109</v>
      </c>
      <c r="G69" s="62">
        <v>20800</v>
      </c>
      <c r="H69" s="62">
        <v>21600</v>
      </c>
      <c r="I69" s="62">
        <v>22400</v>
      </c>
      <c r="J69" s="62">
        <v>23200</v>
      </c>
      <c r="K69" s="62">
        <v>24000</v>
      </c>
      <c r="L69" s="62">
        <v>24800</v>
      </c>
      <c r="M69" s="62">
        <v>25600</v>
      </c>
      <c r="N69" s="62">
        <v>26400</v>
      </c>
      <c r="O69" s="62">
        <v>27200</v>
      </c>
      <c r="P69" s="62">
        <v>28000</v>
      </c>
      <c r="Q69" s="62">
        <v>28800</v>
      </c>
      <c r="R69" s="62">
        <v>29600</v>
      </c>
    </row>
    <row r="70" spans="1:18">
      <c r="A70" s="59">
        <v>195</v>
      </c>
      <c r="B70" t="s">
        <v>216</v>
      </c>
      <c r="C70">
        <f>VLOOKUP(A70,справочник!$A$2:$C$322,3,FALSE)</f>
        <v>203</v>
      </c>
      <c r="D70" t="str">
        <f>IFERROR(VLOOKUP(B70,справочник!$AF$2:$AF$15,1,FALSE),"")</f>
        <v/>
      </c>
      <c r="F70" t="s">
        <v>37</v>
      </c>
      <c r="G70" s="62">
        <v>24800</v>
      </c>
      <c r="H70" s="62">
        <v>25600</v>
      </c>
      <c r="I70" s="62">
        <v>26400</v>
      </c>
      <c r="J70" s="62">
        <v>27200</v>
      </c>
      <c r="K70" s="62">
        <v>28000</v>
      </c>
      <c r="L70" s="62">
        <v>24800</v>
      </c>
      <c r="M70" s="62">
        <v>25600</v>
      </c>
      <c r="N70" s="62">
        <v>26400</v>
      </c>
      <c r="O70" s="62">
        <v>27200</v>
      </c>
      <c r="P70" s="62">
        <v>28000</v>
      </c>
      <c r="Q70" s="62">
        <v>28800</v>
      </c>
      <c r="R70" s="62">
        <v>29600</v>
      </c>
    </row>
    <row r="71" spans="1:18">
      <c r="A71" s="59">
        <v>65</v>
      </c>
      <c r="B71" t="s">
        <v>142</v>
      </c>
      <c r="C71">
        <f>VLOOKUP(A71,справочник!$A$2:$C$322,3,FALSE)</f>
        <v>67</v>
      </c>
      <c r="D71" t="str">
        <f>IFERROR(VLOOKUP(B71,справочник!$AF$2:$AF$15,1,FALSE),"")</f>
        <v/>
      </c>
      <c r="F71" t="s">
        <v>181</v>
      </c>
      <c r="G71" s="62">
        <v>20800</v>
      </c>
      <c r="H71" s="62">
        <v>21600</v>
      </c>
      <c r="I71" s="62">
        <v>22400</v>
      </c>
      <c r="J71" s="62">
        <v>23200</v>
      </c>
      <c r="K71" s="62">
        <v>24000</v>
      </c>
      <c r="L71" s="62">
        <v>24800</v>
      </c>
      <c r="M71" s="62">
        <v>25600</v>
      </c>
      <c r="N71" s="62">
        <v>26400</v>
      </c>
      <c r="O71" s="62">
        <v>27200</v>
      </c>
      <c r="P71" s="62">
        <v>28000</v>
      </c>
      <c r="Q71" s="62">
        <v>28800</v>
      </c>
      <c r="R71" s="62">
        <v>29600</v>
      </c>
    </row>
    <row r="72" spans="1:18">
      <c r="A72" s="59">
        <v>315</v>
      </c>
      <c r="B72" t="s">
        <v>211</v>
      </c>
      <c r="C72" t="str">
        <f>VLOOKUP(A72,справочник!$A$2:$C$322,3,FALSE)</f>
        <v>265-266</v>
      </c>
      <c r="D72" t="str">
        <f>IFERROR(VLOOKUP(B72,справочник!$AF$2:$AF$15,1,FALSE),"")</f>
        <v/>
      </c>
      <c r="F72" t="e">
        <v>#N/A</v>
      </c>
      <c r="G72" s="62">
        <v>19800</v>
      </c>
      <c r="H72" s="62">
        <v>20600</v>
      </c>
      <c r="I72" s="62">
        <v>21400</v>
      </c>
      <c r="J72" s="62">
        <v>22200</v>
      </c>
      <c r="K72" s="62">
        <v>23000</v>
      </c>
      <c r="L72" s="62">
        <v>23800</v>
      </c>
      <c r="M72" s="62">
        <v>24600</v>
      </c>
      <c r="N72" s="62">
        <v>25400</v>
      </c>
      <c r="O72" s="62">
        <v>26200</v>
      </c>
      <c r="P72" s="62">
        <v>27000</v>
      </c>
      <c r="Q72" s="62">
        <v>27800</v>
      </c>
      <c r="R72" s="62">
        <v>28600</v>
      </c>
    </row>
    <row r="73" spans="1:18">
      <c r="A73" s="59">
        <v>117</v>
      </c>
      <c r="B73" t="s">
        <v>55</v>
      </c>
      <c r="C73">
        <f>VLOOKUP(A73,справочник!$A$2:$C$322,3,FALSE)</f>
        <v>122</v>
      </c>
      <c r="D73" t="str">
        <f>IFERROR(VLOOKUP(B73,справочник!$AF$2:$AF$15,1,FALSE),"")</f>
        <v/>
      </c>
      <c r="F73" t="s">
        <v>645</v>
      </c>
      <c r="G73" s="62">
        <v>19800</v>
      </c>
      <c r="H73" s="62">
        <v>20600</v>
      </c>
      <c r="I73" s="62">
        <v>21400</v>
      </c>
      <c r="J73" s="62">
        <v>22200</v>
      </c>
      <c r="K73" s="62">
        <v>23000</v>
      </c>
      <c r="L73" s="62">
        <v>23800</v>
      </c>
      <c r="M73" s="62">
        <v>24600</v>
      </c>
      <c r="N73" s="62">
        <v>25400</v>
      </c>
      <c r="O73" s="62">
        <v>26200</v>
      </c>
      <c r="P73" s="62">
        <v>27000</v>
      </c>
      <c r="Q73" s="62">
        <v>27800</v>
      </c>
      <c r="R73" s="62">
        <v>28600</v>
      </c>
    </row>
    <row r="74" spans="1:18">
      <c r="A74" s="59">
        <v>110</v>
      </c>
      <c r="B74" t="s">
        <v>128</v>
      </c>
      <c r="C74">
        <f>VLOOKUP(A74,справочник!$A$2:$C$322,3,FALSE)</f>
        <v>115</v>
      </c>
      <c r="D74" t="str">
        <f>IFERROR(VLOOKUP(B74,справочник!$AF$2:$AF$15,1,FALSE),"")</f>
        <v/>
      </c>
      <c r="F74" t="s">
        <v>645</v>
      </c>
      <c r="G74" s="62">
        <v>19800</v>
      </c>
      <c r="H74" s="62">
        <v>20600</v>
      </c>
      <c r="I74" s="62">
        <v>21400</v>
      </c>
      <c r="J74" s="62">
        <v>22200</v>
      </c>
      <c r="K74" s="62">
        <v>23000</v>
      </c>
      <c r="L74" s="62">
        <v>23800</v>
      </c>
      <c r="M74" s="62">
        <v>24600</v>
      </c>
      <c r="N74" s="62">
        <v>25400</v>
      </c>
      <c r="O74" s="62">
        <v>26200</v>
      </c>
      <c r="P74" s="62">
        <v>27000</v>
      </c>
      <c r="Q74" s="62">
        <v>27800</v>
      </c>
      <c r="R74" s="62">
        <v>28600</v>
      </c>
    </row>
    <row r="75" spans="1:18">
      <c r="A75" s="59">
        <v>109</v>
      </c>
      <c r="B75" t="s">
        <v>12</v>
      </c>
      <c r="C75">
        <f>VLOOKUP(A75,справочник!$A$2:$C$322,3,FALSE)</f>
        <v>114</v>
      </c>
      <c r="D75" t="str">
        <f>IFERROR(VLOOKUP(B75,справочник!$AF$2:$AF$15,1,FALSE),"")</f>
        <v/>
      </c>
      <c r="F75" t="s">
        <v>645</v>
      </c>
      <c r="G75" s="62">
        <v>21800</v>
      </c>
      <c r="H75" s="62">
        <v>21600</v>
      </c>
      <c r="I75" s="62">
        <v>21400</v>
      </c>
      <c r="J75" s="62">
        <v>22200</v>
      </c>
      <c r="K75" s="62">
        <v>23000</v>
      </c>
      <c r="L75" s="62">
        <v>23800</v>
      </c>
      <c r="M75" s="62">
        <v>24600</v>
      </c>
      <c r="N75" s="62">
        <v>25400</v>
      </c>
      <c r="O75" s="62">
        <v>26200</v>
      </c>
      <c r="P75" s="62">
        <v>27000</v>
      </c>
      <c r="Q75" s="62">
        <v>27800</v>
      </c>
      <c r="R75" s="62">
        <v>28600</v>
      </c>
    </row>
    <row r="76" spans="1:18">
      <c r="A76" s="59">
        <v>98</v>
      </c>
      <c r="B76" t="s">
        <v>40</v>
      </c>
      <c r="C76">
        <f>VLOOKUP(A76,справочник!$A$2:$C$322,3,FALSE)</f>
        <v>103</v>
      </c>
      <c r="D76" t="str">
        <f>IFERROR(VLOOKUP(B76,справочник!$AF$2:$AF$15,1,FALSE),"")</f>
        <v/>
      </c>
      <c r="F76" t="s">
        <v>645</v>
      </c>
      <c r="G76" s="62">
        <v>19800</v>
      </c>
      <c r="H76" s="62">
        <v>20600</v>
      </c>
      <c r="I76" s="62">
        <v>21400</v>
      </c>
      <c r="J76" s="62">
        <v>22200</v>
      </c>
      <c r="K76" s="62">
        <v>23000</v>
      </c>
      <c r="L76" s="62">
        <v>23800</v>
      </c>
      <c r="M76" s="62">
        <v>24600</v>
      </c>
      <c r="N76" s="62">
        <v>25400</v>
      </c>
      <c r="O76" s="62">
        <v>26200</v>
      </c>
      <c r="P76" s="62">
        <v>27000</v>
      </c>
      <c r="Q76" s="62">
        <v>27800</v>
      </c>
      <c r="R76" s="62">
        <v>28600</v>
      </c>
    </row>
    <row r="77" spans="1:18">
      <c r="A77" s="59">
        <v>213</v>
      </c>
      <c r="B77" t="s">
        <v>89</v>
      </c>
      <c r="C77">
        <f>VLOOKUP(A77,справочник!$A$2:$C$322,3,FALSE)</f>
        <v>222</v>
      </c>
      <c r="D77" t="str">
        <f>IFERROR(VLOOKUP(B77,справочник!$AF$2:$AF$15,1,FALSE),"")</f>
        <v/>
      </c>
      <c r="F77" t="s">
        <v>109</v>
      </c>
      <c r="G77" s="62">
        <v>19300</v>
      </c>
      <c r="H77" s="62">
        <v>20100</v>
      </c>
      <c r="I77" s="62">
        <v>20900</v>
      </c>
      <c r="J77" s="62">
        <v>21700</v>
      </c>
      <c r="K77" s="62">
        <v>22500</v>
      </c>
      <c r="L77" s="62">
        <v>23300</v>
      </c>
      <c r="M77" s="62">
        <v>24100</v>
      </c>
      <c r="N77" s="62">
        <v>24900</v>
      </c>
      <c r="O77" s="62">
        <v>25700</v>
      </c>
      <c r="P77" s="62">
        <v>26500</v>
      </c>
      <c r="Q77" s="62">
        <v>27300</v>
      </c>
      <c r="R77" s="62">
        <v>28100</v>
      </c>
    </row>
    <row r="78" spans="1:18">
      <c r="A78" s="59">
        <v>281</v>
      </c>
      <c r="B78" t="s">
        <v>25</v>
      </c>
      <c r="C78">
        <f>VLOOKUP(A78,справочник!$A$2:$C$322,3,FALSE)</f>
        <v>293</v>
      </c>
      <c r="D78" t="str">
        <f>IFERROR(VLOOKUP(B78,справочник!$AF$2:$AF$15,1,FALSE),"")</f>
        <v/>
      </c>
      <c r="F78" t="s">
        <v>643</v>
      </c>
      <c r="G78" s="62">
        <v>18800</v>
      </c>
      <c r="H78" s="62">
        <v>19600</v>
      </c>
      <c r="I78" s="62">
        <v>20400</v>
      </c>
      <c r="J78" s="62">
        <v>21200</v>
      </c>
      <c r="K78" s="62">
        <v>22000</v>
      </c>
      <c r="L78" s="62">
        <v>22800</v>
      </c>
      <c r="M78" s="62">
        <v>23600</v>
      </c>
      <c r="N78" s="62">
        <v>24400</v>
      </c>
      <c r="O78" s="62">
        <v>25200</v>
      </c>
      <c r="P78" s="62">
        <v>26000</v>
      </c>
      <c r="Q78" s="62">
        <v>26800</v>
      </c>
      <c r="R78" s="62">
        <v>27600</v>
      </c>
    </row>
    <row r="79" spans="1:18">
      <c r="A79" s="59">
        <v>269</v>
      </c>
      <c r="B79" t="s">
        <v>118</v>
      </c>
      <c r="C79">
        <f>VLOOKUP(A79,справочник!$A$2:$C$322,3,FALSE)</f>
        <v>282</v>
      </c>
      <c r="D79" t="str">
        <f>IFERROR(VLOOKUP(B79,справочник!$AF$2:$AF$15,1,FALSE),"")</f>
        <v/>
      </c>
      <c r="F79" t="s">
        <v>643</v>
      </c>
      <c r="G79" s="62">
        <v>18800</v>
      </c>
      <c r="H79" s="62">
        <v>19600</v>
      </c>
      <c r="I79" s="62">
        <v>20400</v>
      </c>
      <c r="J79" s="62">
        <v>21200</v>
      </c>
      <c r="K79" s="62">
        <v>22000</v>
      </c>
      <c r="L79" s="62">
        <v>22800</v>
      </c>
      <c r="M79" s="62">
        <v>23600</v>
      </c>
      <c r="N79" s="62">
        <v>24400</v>
      </c>
      <c r="O79" s="62">
        <v>25200</v>
      </c>
      <c r="P79" s="62">
        <v>26000</v>
      </c>
      <c r="Q79" s="62">
        <v>26800</v>
      </c>
      <c r="R79" s="62">
        <v>27600</v>
      </c>
    </row>
    <row r="80" spans="1:18">
      <c r="A80" s="59">
        <v>93</v>
      </c>
      <c r="B80" t="s">
        <v>265</v>
      </c>
      <c r="C80">
        <f>VLOOKUP(A80,справочник!$A$2:$C$322,3,FALSE)</f>
        <v>98</v>
      </c>
      <c r="D80" t="str">
        <f>IFERROR(VLOOKUP(B80,справочник!$AF$2:$AF$15,1,FALSE),"")</f>
        <v/>
      </c>
      <c r="F80" t="s">
        <v>2</v>
      </c>
      <c r="G80" s="62">
        <v>18800</v>
      </c>
      <c r="H80" s="62">
        <v>19600</v>
      </c>
      <c r="I80" s="62">
        <v>20400</v>
      </c>
      <c r="J80" s="62">
        <v>21200</v>
      </c>
      <c r="K80" s="62">
        <v>22000</v>
      </c>
      <c r="L80" s="62">
        <v>22800</v>
      </c>
      <c r="M80" s="62">
        <v>23600</v>
      </c>
      <c r="N80" s="62">
        <v>24400</v>
      </c>
      <c r="O80" s="62">
        <v>25200</v>
      </c>
      <c r="P80" s="62">
        <v>26000</v>
      </c>
      <c r="Q80" s="62">
        <v>26800</v>
      </c>
      <c r="R80" s="62">
        <v>27600</v>
      </c>
    </row>
    <row r="81" spans="1:18">
      <c r="A81" s="59">
        <v>220</v>
      </c>
      <c r="B81" t="s">
        <v>147</v>
      </c>
      <c r="C81">
        <f>VLOOKUP(A81,справочник!$A$2:$C$322,3,FALSE)</f>
        <v>229</v>
      </c>
      <c r="D81" t="str">
        <f>IFERROR(VLOOKUP(B81,справочник!$AF$2:$AF$15,1,FALSE),"")</f>
        <v/>
      </c>
      <c r="F81" t="s">
        <v>109</v>
      </c>
      <c r="G81" s="62">
        <v>17800</v>
      </c>
      <c r="H81" s="62">
        <v>18600</v>
      </c>
      <c r="I81" s="62">
        <v>19400</v>
      </c>
      <c r="J81" s="62">
        <v>20200</v>
      </c>
      <c r="K81" s="62">
        <v>21000</v>
      </c>
      <c r="L81" s="62">
        <v>21800</v>
      </c>
      <c r="M81" s="62">
        <v>22600</v>
      </c>
      <c r="N81" s="62">
        <v>23400</v>
      </c>
      <c r="O81" s="62">
        <v>24200</v>
      </c>
      <c r="P81" s="62">
        <v>25000</v>
      </c>
      <c r="Q81" s="62">
        <v>25800</v>
      </c>
      <c r="R81" s="62">
        <v>26600</v>
      </c>
    </row>
    <row r="82" spans="1:18">
      <c r="A82" s="59">
        <v>192</v>
      </c>
      <c r="B82" t="s">
        <v>134</v>
      </c>
      <c r="C82">
        <f>VLOOKUP(A82,справочник!$A$2:$C$322,3,FALSE)</f>
        <v>200</v>
      </c>
      <c r="D82" t="str">
        <f>IFERROR(VLOOKUP(B82,справочник!$AF$2:$AF$15,1,FALSE),"")</f>
        <v/>
      </c>
      <c r="F82" t="s">
        <v>247</v>
      </c>
      <c r="G82" s="62">
        <v>17800</v>
      </c>
      <c r="H82" s="62">
        <v>18600</v>
      </c>
      <c r="I82" s="62">
        <v>19400</v>
      </c>
      <c r="J82" s="62">
        <v>20200</v>
      </c>
      <c r="K82" s="62">
        <v>21000</v>
      </c>
      <c r="L82" s="62">
        <v>21800</v>
      </c>
      <c r="M82" s="62">
        <v>22600</v>
      </c>
      <c r="N82" s="62">
        <v>23400</v>
      </c>
      <c r="O82" s="62">
        <v>24200</v>
      </c>
      <c r="P82" s="62">
        <v>25000</v>
      </c>
      <c r="Q82" s="62">
        <v>25800</v>
      </c>
      <c r="R82" s="62">
        <v>26600</v>
      </c>
    </row>
    <row r="83" spans="1:18">
      <c r="A83" s="59">
        <v>119</v>
      </c>
      <c r="B83" t="s">
        <v>17</v>
      </c>
      <c r="C83">
        <f>VLOOKUP(A83,справочник!$A$2:$C$322,3,FALSE)</f>
        <v>124</v>
      </c>
      <c r="D83" t="str">
        <f>IFERROR(VLOOKUP(B83,справочник!$AF$2:$AF$15,1,FALSE),"")</f>
        <v/>
      </c>
      <c r="F83" t="s">
        <v>645</v>
      </c>
      <c r="G83" s="62">
        <v>20800</v>
      </c>
      <c r="H83" s="62">
        <v>21600</v>
      </c>
      <c r="I83" s="62">
        <v>19400</v>
      </c>
      <c r="J83" s="62">
        <v>20200</v>
      </c>
      <c r="K83" s="62">
        <v>21000</v>
      </c>
      <c r="L83" s="62">
        <v>21800</v>
      </c>
      <c r="M83" s="62">
        <v>22600</v>
      </c>
      <c r="N83" s="62">
        <v>23400</v>
      </c>
      <c r="O83" s="62">
        <v>24200</v>
      </c>
      <c r="P83" s="62">
        <v>25000</v>
      </c>
      <c r="Q83" s="62">
        <v>25800</v>
      </c>
      <c r="R83" s="62">
        <v>26600</v>
      </c>
    </row>
    <row r="84" spans="1:18">
      <c r="A84" s="59">
        <v>20</v>
      </c>
      <c r="B84" t="s">
        <v>282</v>
      </c>
      <c r="C84">
        <f>VLOOKUP(A84,справочник!$A$2:$C$322,3,FALSE)</f>
        <v>20</v>
      </c>
      <c r="D84" t="str">
        <f>IFERROR(VLOOKUP(B84,справочник!$AF$2:$AF$15,1,FALSE),"")</f>
        <v/>
      </c>
      <c r="F84" t="s">
        <v>90</v>
      </c>
      <c r="G84" s="62">
        <v>17800</v>
      </c>
      <c r="H84" s="62">
        <v>18600</v>
      </c>
      <c r="I84" s="62">
        <v>19400</v>
      </c>
      <c r="J84" s="62">
        <v>20200</v>
      </c>
      <c r="K84" s="62">
        <v>21000</v>
      </c>
      <c r="L84" s="62">
        <v>21800</v>
      </c>
      <c r="M84" s="62">
        <v>22600</v>
      </c>
      <c r="N84" s="62">
        <v>23400</v>
      </c>
      <c r="O84" s="62">
        <v>24200</v>
      </c>
      <c r="P84" s="62">
        <v>25000</v>
      </c>
      <c r="Q84" s="62">
        <v>25800</v>
      </c>
      <c r="R84" s="62">
        <v>26600</v>
      </c>
    </row>
    <row r="85" spans="1:18">
      <c r="A85" s="59">
        <v>316</v>
      </c>
      <c r="B85" t="s">
        <v>7</v>
      </c>
      <c r="C85" t="str">
        <f>VLOOKUP(A85,справочник!$A$2:$C$322,3,FALSE)</f>
        <v>306-307</v>
      </c>
      <c r="D85" t="str">
        <f>IFERROR(VLOOKUP(B85,справочник!$AF$2:$AF$15,1,FALSE),"")</f>
        <v/>
      </c>
      <c r="F85" t="e">
        <v>#N/A</v>
      </c>
      <c r="G85" s="62">
        <v>17000</v>
      </c>
      <c r="H85" s="62">
        <v>17800</v>
      </c>
      <c r="I85" s="62">
        <v>18600</v>
      </c>
      <c r="J85" s="62">
        <v>19400</v>
      </c>
      <c r="K85" s="62">
        <v>20200</v>
      </c>
      <c r="L85" s="62">
        <v>21000</v>
      </c>
      <c r="M85" s="62">
        <v>21800</v>
      </c>
      <c r="N85" s="62">
        <v>22600</v>
      </c>
      <c r="O85" s="62">
        <v>23400</v>
      </c>
      <c r="P85" s="62">
        <v>24200</v>
      </c>
      <c r="Q85" s="62">
        <v>25000</v>
      </c>
      <c r="R85" s="62">
        <v>25800</v>
      </c>
    </row>
    <row r="86" spans="1:18">
      <c r="A86" s="59">
        <v>105</v>
      </c>
      <c r="B86" t="s">
        <v>39</v>
      </c>
      <c r="C86">
        <f>VLOOKUP(A86,справочник!$A$2:$C$322,3,FALSE)</f>
        <v>110</v>
      </c>
      <c r="D86" t="str">
        <f>IFERROR(VLOOKUP(B86,справочник!$AF$2:$AF$15,1,FALSE),"")</f>
        <v/>
      </c>
      <c r="F86" t="s">
        <v>645</v>
      </c>
      <c r="G86" s="62">
        <v>17800</v>
      </c>
      <c r="H86" s="62">
        <v>18600</v>
      </c>
      <c r="I86" s="62">
        <v>19400</v>
      </c>
      <c r="J86" s="62">
        <v>20200</v>
      </c>
      <c r="K86" s="62">
        <v>21000</v>
      </c>
      <c r="L86" s="62">
        <v>21000</v>
      </c>
      <c r="M86" s="62">
        <v>21800</v>
      </c>
      <c r="N86" s="62">
        <v>22600</v>
      </c>
      <c r="O86" s="62">
        <v>23400</v>
      </c>
      <c r="P86" s="62">
        <v>24200</v>
      </c>
      <c r="Q86" s="62">
        <v>25000</v>
      </c>
      <c r="R86" s="62">
        <v>25800</v>
      </c>
    </row>
    <row r="87" spans="1:18">
      <c r="A87" s="59">
        <v>225</v>
      </c>
      <c r="B87" t="s">
        <v>138</v>
      </c>
      <c r="C87">
        <f>VLOOKUP(A87,справочник!$A$2:$C$322,3,FALSE)</f>
        <v>234</v>
      </c>
      <c r="D87" t="str">
        <f>IFERROR(VLOOKUP(B87,справочник!$AF$2:$AF$15,1,FALSE),"")</f>
        <v/>
      </c>
      <c r="F87" t="s">
        <v>109</v>
      </c>
      <c r="G87" s="62">
        <v>16800</v>
      </c>
      <c r="H87" s="62">
        <v>17600</v>
      </c>
      <c r="I87" s="62">
        <v>18400</v>
      </c>
      <c r="J87" s="62">
        <v>19200</v>
      </c>
      <c r="K87" s="62">
        <v>20000</v>
      </c>
      <c r="L87" s="62">
        <v>20800</v>
      </c>
      <c r="M87" s="62">
        <v>21600</v>
      </c>
      <c r="N87" s="62">
        <v>22400</v>
      </c>
      <c r="O87" s="62">
        <v>23200</v>
      </c>
      <c r="P87" s="62">
        <v>24000</v>
      </c>
      <c r="Q87" s="62">
        <v>24800</v>
      </c>
      <c r="R87" s="62">
        <v>25600</v>
      </c>
    </row>
    <row r="88" spans="1:18">
      <c r="A88" s="59">
        <v>35</v>
      </c>
      <c r="B88" t="s">
        <v>3</v>
      </c>
      <c r="C88">
        <f>VLOOKUP(A88,справочник!$A$2:$C$322,3,FALSE)</f>
        <v>35</v>
      </c>
      <c r="D88" t="str">
        <f>IFERROR(VLOOKUP(B88,справочник!$AF$2:$AF$15,1,FALSE),"")</f>
        <v/>
      </c>
      <c r="F88" t="s">
        <v>642</v>
      </c>
      <c r="G88" s="62">
        <v>16800</v>
      </c>
      <c r="H88" s="62">
        <v>17600</v>
      </c>
      <c r="I88" s="62">
        <v>18400</v>
      </c>
      <c r="J88" s="62">
        <v>19200</v>
      </c>
      <c r="K88" s="62">
        <v>20000</v>
      </c>
      <c r="L88" s="62">
        <v>20800</v>
      </c>
      <c r="M88" s="62">
        <v>21600</v>
      </c>
      <c r="N88" s="62">
        <v>22400</v>
      </c>
      <c r="O88" s="62">
        <v>23200</v>
      </c>
      <c r="P88" s="62">
        <v>24000</v>
      </c>
      <c r="Q88" s="62">
        <v>24800</v>
      </c>
      <c r="R88" s="62">
        <v>25600</v>
      </c>
    </row>
    <row r="89" spans="1:18">
      <c r="A89" s="59">
        <v>13</v>
      </c>
      <c r="B89" t="s">
        <v>158</v>
      </c>
      <c r="C89">
        <f>VLOOKUP(A89,справочник!$A$2:$C$322,3,FALSE)</f>
        <v>13</v>
      </c>
      <c r="D89" t="str">
        <f>IFERROR(VLOOKUP(B89,справочник!$AF$2:$AF$15,1,FALSE),"")</f>
        <v/>
      </c>
      <c r="F89" t="s">
        <v>90</v>
      </c>
      <c r="G89" s="62">
        <v>16800</v>
      </c>
      <c r="H89" s="62">
        <v>17600</v>
      </c>
      <c r="I89" s="62">
        <v>18400</v>
      </c>
      <c r="J89" s="62">
        <v>19200</v>
      </c>
      <c r="K89" s="62">
        <v>20000</v>
      </c>
      <c r="L89" s="62">
        <v>20800</v>
      </c>
      <c r="M89" s="62">
        <v>21600</v>
      </c>
      <c r="N89" s="62">
        <v>22400</v>
      </c>
      <c r="O89" s="62">
        <v>23200</v>
      </c>
      <c r="P89" s="62">
        <v>24000</v>
      </c>
      <c r="Q89" s="62">
        <v>24800</v>
      </c>
      <c r="R89" s="62">
        <v>25600</v>
      </c>
    </row>
    <row r="90" spans="1:18">
      <c r="A90" s="59">
        <v>190</v>
      </c>
      <c r="B90" t="s">
        <v>130</v>
      </c>
      <c r="C90">
        <f>VLOOKUP(A90,справочник!$A$2:$C$322,3,FALSE)</f>
        <v>198</v>
      </c>
      <c r="D90" t="str">
        <f>IFERROR(VLOOKUP(B90,справочник!$AF$2:$AF$15,1,FALSE),"")</f>
        <v/>
      </c>
      <c r="F90" t="s">
        <v>247</v>
      </c>
      <c r="G90" s="62">
        <v>16800</v>
      </c>
      <c r="H90" s="62">
        <v>17600</v>
      </c>
      <c r="I90" s="62">
        <v>18400</v>
      </c>
      <c r="J90" s="62">
        <v>19200</v>
      </c>
      <c r="K90" s="62">
        <v>20000</v>
      </c>
      <c r="L90" s="62">
        <v>20000</v>
      </c>
      <c r="M90" s="62">
        <v>20800</v>
      </c>
      <c r="N90" s="62">
        <v>21600</v>
      </c>
      <c r="O90" s="62">
        <v>22400</v>
      </c>
      <c r="P90" s="62">
        <v>23200</v>
      </c>
      <c r="Q90" s="62">
        <v>24000</v>
      </c>
      <c r="R90" s="62">
        <v>24800</v>
      </c>
    </row>
    <row r="91" spans="1:18">
      <c r="A91" s="59">
        <v>209</v>
      </c>
      <c r="B91" t="s">
        <v>168</v>
      </c>
      <c r="C91">
        <f>VLOOKUP(A91,справочник!$A$2:$C$322,3,FALSE)</f>
        <v>219</v>
      </c>
      <c r="D91" t="str">
        <f>IFERROR(VLOOKUP(B91,справочник!$AF$2:$AF$15,1,FALSE),"")</f>
        <v/>
      </c>
      <c r="F91" t="s">
        <v>37</v>
      </c>
      <c r="G91" s="62">
        <v>20800</v>
      </c>
      <c r="H91" s="62">
        <v>21600</v>
      </c>
      <c r="I91" s="62">
        <v>22400</v>
      </c>
      <c r="J91" s="62">
        <v>23200</v>
      </c>
      <c r="K91" s="62">
        <v>22000</v>
      </c>
      <c r="L91" s="62">
        <v>19800</v>
      </c>
      <c r="M91" s="62">
        <v>20600</v>
      </c>
      <c r="N91" s="62">
        <v>21400</v>
      </c>
      <c r="O91" s="62">
        <v>22200</v>
      </c>
      <c r="P91" s="62">
        <v>23000</v>
      </c>
      <c r="Q91" s="62">
        <v>23800</v>
      </c>
      <c r="R91" s="62">
        <v>24600</v>
      </c>
    </row>
    <row r="92" spans="1:18">
      <c r="A92" s="60">
        <v>147</v>
      </c>
      <c r="B92" t="s">
        <v>196</v>
      </c>
      <c r="C92">
        <f>VLOOKUP(A92,справочник!$A$2:$C$322,3,FALSE)</f>
        <v>155</v>
      </c>
      <c r="D92" t="str">
        <f>IFERROR(VLOOKUP(B92,справочник!$AF$2:$AF$15,1,FALSE),"")</f>
        <v/>
      </c>
      <c r="F92" t="s">
        <v>641</v>
      </c>
      <c r="G92" s="62">
        <v>15800</v>
      </c>
      <c r="H92" s="62">
        <v>16600</v>
      </c>
      <c r="I92" s="62">
        <v>17400</v>
      </c>
      <c r="J92" s="62">
        <v>18200</v>
      </c>
      <c r="K92" s="62">
        <v>19000</v>
      </c>
      <c r="L92" s="62">
        <v>19800</v>
      </c>
      <c r="M92" s="62">
        <v>20600</v>
      </c>
      <c r="N92" s="62">
        <v>21400</v>
      </c>
      <c r="O92" s="62">
        <v>22200</v>
      </c>
      <c r="P92" s="62">
        <v>23000</v>
      </c>
      <c r="Q92" s="62">
        <v>23800</v>
      </c>
      <c r="R92" s="62">
        <v>24600</v>
      </c>
    </row>
    <row r="93" spans="1:18">
      <c r="A93" s="59">
        <v>113</v>
      </c>
      <c r="B93" t="s">
        <v>285</v>
      </c>
      <c r="C93" t="str">
        <f>VLOOKUP(A93,справочник!$A$2:$C$322,3,FALSE)</f>
        <v>116+118+120</v>
      </c>
      <c r="D93" t="str">
        <f>IFERROR(VLOOKUP(B93,справочник!$AF$2:$AF$15,1,FALSE),"")</f>
        <v/>
      </c>
      <c r="F93" t="s">
        <v>645</v>
      </c>
      <c r="G93" s="62">
        <v>15800</v>
      </c>
      <c r="H93" s="62">
        <v>16600</v>
      </c>
      <c r="I93" s="62">
        <v>17400</v>
      </c>
      <c r="J93" s="62">
        <v>18200</v>
      </c>
      <c r="K93" s="62">
        <v>19000</v>
      </c>
      <c r="L93" s="62">
        <v>19800</v>
      </c>
      <c r="M93" s="62">
        <v>20600</v>
      </c>
      <c r="N93" s="62">
        <v>21400</v>
      </c>
      <c r="O93" s="62">
        <v>22200</v>
      </c>
      <c r="P93" s="62">
        <v>23000</v>
      </c>
      <c r="Q93" s="62">
        <v>23800</v>
      </c>
      <c r="R93" s="62">
        <v>24600</v>
      </c>
    </row>
    <row r="94" spans="1:18">
      <c r="A94" s="59">
        <v>46</v>
      </c>
      <c r="B94" t="s">
        <v>258</v>
      </c>
      <c r="C94">
        <f>VLOOKUP(A94,справочник!$A$2:$C$322,3,FALSE)</f>
        <v>46</v>
      </c>
      <c r="D94" t="str">
        <f>IFERROR(VLOOKUP(B94,справочник!$AF$2:$AF$15,1,FALSE),"")</f>
        <v/>
      </c>
      <c r="F94" t="s">
        <v>642</v>
      </c>
      <c r="G94" s="62">
        <v>15800</v>
      </c>
      <c r="H94" s="62">
        <v>16600</v>
      </c>
      <c r="I94" s="62">
        <v>17400</v>
      </c>
      <c r="J94" s="62">
        <v>18200</v>
      </c>
      <c r="K94" s="62">
        <v>19000</v>
      </c>
      <c r="L94" s="62">
        <v>19800</v>
      </c>
      <c r="M94" s="62">
        <v>20600</v>
      </c>
      <c r="N94" s="62">
        <v>21400</v>
      </c>
      <c r="O94" s="62">
        <v>22200</v>
      </c>
      <c r="P94" s="62">
        <v>23000</v>
      </c>
      <c r="Q94" s="62">
        <v>23800</v>
      </c>
      <c r="R94" s="62">
        <v>24600</v>
      </c>
    </row>
    <row r="95" spans="1:18">
      <c r="A95" s="59">
        <v>41</v>
      </c>
      <c r="B95" t="s">
        <v>300</v>
      </c>
      <c r="C95">
        <f>VLOOKUP(A95,справочник!$A$2:$C$322,3,FALSE)</f>
        <v>41</v>
      </c>
      <c r="D95" t="str">
        <f>IFERROR(VLOOKUP(B95,справочник!$AF$2:$AF$15,1,FALSE),"")</f>
        <v/>
      </c>
      <c r="F95" t="s">
        <v>642</v>
      </c>
      <c r="G95" s="62">
        <v>15800</v>
      </c>
      <c r="H95" s="62">
        <v>16600</v>
      </c>
      <c r="I95" s="62">
        <v>17400</v>
      </c>
      <c r="J95" s="62">
        <v>18200</v>
      </c>
      <c r="K95" s="62">
        <v>19000</v>
      </c>
      <c r="L95" s="62">
        <v>19800</v>
      </c>
      <c r="M95" s="62">
        <v>20600</v>
      </c>
      <c r="N95" s="62">
        <v>21400</v>
      </c>
      <c r="O95" s="62">
        <v>22200</v>
      </c>
      <c r="P95" s="62">
        <v>23000</v>
      </c>
      <c r="Q95" s="62">
        <v>23800</v>
      </c>
      <c r="R95" s="62">
        <v>24600</v>
      </c>
    </row>
    <row r="96" spans="1:18">
      <c r="A96" s="59">
        <v>40</v>
      </c>
      <c r="B96" t="s">
        <v>309</v>
      </c>
      <c r="C96">
        <f>VLOOKUP(A96,справочник!$A$2:$C$322,3,FALSE)</f>
        <v>40</v>
      </c>
      <c r="D96" t="str">
        <f>IFERROR(VLOOKUP(B96,справочник!$AF$2:$AF$15,1,FALSE),"")</f>
        <v/>
      </c>
      <c r="F96" t="s">
        <v>642</v>
      </c>
      <c r="G96" s="62">
        <v>15800</v>
      </c>
      <c r="H96" s="62">
        <v>16600</v>
      </c>
      <c r="I96" s="62">
        <v>17400</v>
      </c>
      <c r="J96" s="62">
        <v>18200</v>
      </c>
      <c r="K96" s="62">
        <v>19000</v>
      </c>
      <c r="L96" s="62">
        <v>19800</v>
      </c>
      <c r="M96" s="62">
        <v>20600</v>
      </c>
      <c r="N96" s="62">
        <v>21400</v>
      </c>
      <c r="O96" s="62">
        <v>22200</v>
      </c>
      <c r="P96" s="62">
        <v>23000</v>
      </c>
      <c r="Q96" s="62">
        <v>23800</v>
      </c>
      <c r="R96" s="62">
        <v>24600</v>
      </c>
    </row>
    <row r="97" spans="1:18">
      <c r="A97" s="59">
        <v>185</v>
      </c>
      <c r="B97" t="s">
        <v>200</v>
      </c>
      <c r="C97">
        <f>VLOOKUP(A97,справочник!$A$2:$C$322,3,FALSE)</f>
        <v>193</v>
      </c>
      <c r="D97" t="str">
        <f>IFERROR(VLOOKUP(B97,справочник!$AF$2:$AF$15,1,FALSE),"")</f>
        <v/>
      </c>
      <c r="F97" t="s">
        <v>247</v>
      </c>
      <c r="G97" s="62">
        <v>14800</v>
      </c>
      <c r="H97" s="62">
        <v>15600</v>
      </c>
      <c r="I97" s="62">
        <v>16400</v>
      </c>
      <c r="J97" s="62">
        <v>17200</v>
      </c>
      <c r="K97" s="62">
        <v>18000</v>
      </c>
      <c r="L97" s="62">
        <v>18800</v>
      </c>
      <c r="M97" s="62">
        <v>19600</v>
      </c>
      <c r="N97" s="62">
        <v>20400</v>
      </c>
      <c r="O97" s="62">
        <v>21200</v>
      </c>
      <c r="P97" s="62">
        <v>22000</v>
      </c>
      <c r="Q97" s="62">
        <v>22800</v>
      </c>
      <c r="R97" s="62">
        <v>23600</v>
      </c>
    </row>
    <row r="98" spans="1:18">
      <c r="A98" s="59">
        <v>124</v>
      </c>
      <c r="B98" t="s">
        <v>105</v>
      </c>
      <c r="C98">
        <f>VLOOKUP(A98,справочник!$A$2:$C$322,3,FALSE)</f>
        <v>129</v>
      </c>
      <c r="D98" t="str">
        <f>IFERROR(VLOOKUP(B98,справочник!$AF$2:$AF$15,1,FALSE),"")</f>
        <v/>
      </c>
      <c r="F98" t="s">
        <v>645</v>
      </c>
      <c r="G98" s="62">
        <v>14300</v>
      </c>
      <c r="H98" s="62">
        <v>15100</v>
      </c>
      <c r="I98" s="62">
        <v>15900</v>
      </c>
      <c r="J98" s="62">
        <v>16700</v>
      </c>
      <c r="K98" s="62">
        <v>17500</v>
      </c>
      <c r="L98" s="62">
        <v>18300</v>
      </c>
      <c r="M98" s="62">
        <v>19100</v>
      </c>
      <c r="N98" s="62">
        <v>19900</v>
      </c>
      <c r="O98" s="62">
        <v>20700</v>
      </c>
      <c r="P98" s="62">
        <v>21500</v>
      </c>
      <c r="Q98" s="62">
        <v>22300</v>
      </c>
      <c r="R98" s="62">
        <v>23100</v>
      </c>
    </row>
    <row r="99" spans="1:18">
      <c r="A99" s="59">
        <v>305</v>
      </c>
      <c r="B99" t="s">
        <v>122</v>
      </c>
      <c r="C99">
        <f>VLOOKUP(A99,справочник!$A$2:$C$322,3,FALSE)</f>
        <v>320</v>
      </c>
      <c r="D99" t="str">
        <f>IFERROR(VLOOKUP(B99,справочник!$AF$2:$AF$15,1,FALSE),"")</f>
        <v/>
      </c>
      <c r="F99" t="s">
        <v>103</v>
      </c>
      <c r="G99" s="62">
        <v>13800</v>
      </c>
      <c r="H99" s="62">
        <v>14600</v>
      </c>
      <c r="I99" s="62">
        <v>15400</v>
      </c>
      <c r="J99" s="62">
        <v>16200</v>
      </c>
      <c r="K99" s="62">
        <v>17000</v>
      </c>
      <c r="L99" s="62">
        <v>17800</v>
      </c>
      <c r="M99" s="62">
        <v>18600</v>
      </c>
      <c r="N99" s="62">
        <v>19400</v>
      </c>
      <c r="O99" s="62">
        <v>20200</v>
      </c>
      <c r="P99" s="62">
        <v>21000</v>
      </c>
      <c r="Q99" s="62">
        <v>21800</v>
      </c>
      <c r="R99" s="62">
        <v>22600</v>
      </c>
    </row>
    <row r="100" spans="1:18">
      <c r="A100" s="59">
        <v>302</v>
      </c>
      <c r="B100" t="s">
        <v>125</v>
      </c>
      <c r="C100">
        <f>VLOOKUP(A100,справочник!$A$2:$C$322,3,FALSE)</f>
        <v>317</v>
      </c>
      <c r="D100" t="str">
        <f>IFERROR(VLOOKUP(B100,справочник!$AF$2:$AF$15,1,FALSE),"")</f>
        <v/>
      </c>
      <c r="F100" t="s">
        <v>103</v>
      </c>
      <c r="G100" s="62">
        <v>13800</v>
      </c>
      <c r="H100" s="62">
        <v>14600</v>
      </c>
      <c r="I100" s="62">
        <v>15400</v>
      </c>
      <c r="J100" s="62">
        <v>16200</v>
      </c>
      <c r="K100" s="62">
        <v>17000</v>
      </c>
      <c r="L100" s="62">
        <v>17800</v>
      </c>
      <c r="M100" s="62">
        <v>18600</v>
      </c>
      <c r="N100" s="62">
        <v>19400</v>
      </c>
      <c r="O100" s="62">
        <v>20200</v>
      </c>
      <c r="P100" s="62">
        <v>21000</v>
      </c>
      <c r="Q100" s="62">
        <v>21800</v>
      </c>
      <c r="R100" s="62">
        <v>22600</v>
      </c>
    </row>
    <row r="101" spans="1:18">
      <c r="A101" s="59">
        <v>178</v>
      </c>
      <c r="B101" t="s">
        <v>16</v>
      </c>
      <c r="C101">
        <f>VLOOKUP(A101,справочник!$A$2:$C$322,3,FALSE)</f>
        <v>186</v>
      </c>
      <c r="D101" t="str">
        <f>IFERROR(VLOOKUP(B101,справочник!$AF$2:$AF$15,1,FALSE),"")</f>
        <v/>
      </c>
      <c r="F101" t="s">
        <v>247</v>
      </c>
      <c r="G101" s="62">
        <v>13800</v>
      </c>
      <c r="H101" s="62">
        <v>14600</v>
      </c>
      <c r="I101" s="62">
        <v>15400</v>
      </c>
      <c r="J101" s="62">
        <v>16200</v>
      </c>
      <c r="K101" s="62">
        <v>17000</v>
      </c>
      <c r="L101" s="62">
        <v>17800</v>
      </c>
      <c r="M101" s="62">
        <v>18600</v>
      </c>
      <c r="N101" s="62">
        <v>19400</v>
      </c>
      <c r="O101" s="62">
        <v>20200</v>
      </c>
      <c r="P101" s="62">
        <v>21000</v>
      </c>
      <c r="Q101" s="62">
        <v>21800</v>
      </c>
      <c r="R101" s="62">
        <v>22600</v>
      </c>
    </row>
    <row r="102" spans="1:18">
      <c r="A102" s="59">
        <v>132</v>
      </c>
      <c r="B102" t="s">
        <v>77</v>
      </c>
      <c r="C102">
        <f>VLOOKUP(A102,справочник!$A$2:$C$322,3,FALSE)</f>
        <v>139</v>
      </c>
      <c r="D102" t="str">
        <f>IFERROR(VLOOKUP(B102,справочник!$AF$2:$AF$15,1,FALSE),"")</f>
        <v/>
      </c>
      <c r="F102" t="s">
        <v>641</v>
      </c>
      <c r="G102" s="62">
        <v>13800</v>
      </c>
      <c r="H102" s="62">
        <v>14600</v>
      </c>
      <c r="I102" s="62">
        <v>15400</v>
      </c>
      <c r="J102" s="62">
        <v>16200</v>
      </c>
      <c r="K102" s="62">
        <v>17000</v>
      </c>
      <c r="L102" s="62">
        <v>17800</v>
      </c>
      <c r="M102" s="62">
        <v>18600</v>
      </c>
      <c r="N102" s="62">
        <v>19400</v>
      </c>
      <c r="O102" s="62">
        <v>20200</v>
      </c>
      <c r="P102" s="62">
        <v>21000</v>
      </c>
      <c r="Q102" s="62">
        <v>21800</v>
      </c>
      <c r="R102" s="62">
        <v>22600</v>
      </c>
    </row>
    <row r="103" spans="1:18">
      <c r="A103" s="59">
        <v>123</v>
      </c>
      <c r="B103" t="s">
        <v>126</v>
      </c>
      <c r="C103">
        <f>VLOOKUP(A103,справочник!$A$2:$C$322,3,FALSE)</f>
        <v>128</v>
      </c>
      <c r="D103" t="str">
        <f>IFERROR(VLOOKUP(B103,справочник!$AF$2:$AF$15,1,FALSE),"")</f>
        <v/>
      </c>
      <c r="F103" t="s">
        <v>645</v>
      </c>
      <c r="G103" s="62">
        <v>13800</v>
      </c>
      <c r="H103" s="62">
        <v>14600</v>
      </c>
      <c r="I103" s="62">
        <v>15400</v>
      </c>
      <c r="J103" s="62">
        <v>16200</v>
      </c>
      <c r="K103" s="62">
        <v>17000</v>
      </c>
      <c r="L103" s="62">
        <v>17800</v>
      </c>
      <c r="M103" s="62">
        <v>18600</v>
      </c>
      <c r="N103" s="62">
        <v>19400</v>
      </c>
      <c r="O103" s="62">
        <v>20200</v>
      </c>
      <c r="P103" s="62">
        <v>21000</v>
      </c>
      <c r="Q103" s="62">
        <v>21800</v>
      </c>
      <c r="R103" s="62">
        <v>22600</v>
      </c>
    </row>
    <row r="104" spans="1:18">
      <c r="A104" s="59">
        <v>96</v>
      </c>
      <c r="B104" t="s">
        <v>166</v>
      </c>
      <c r="C104">
        <f>VLOOKUP(A104,справочник!$A$2:$C$322,3,FALSE)</f>
        <v>102</v>
      </c>
      <c r="D104" t="str">
        <f>IFERROR(VLOOKUP(B104,справочник!$AF$2:$AF$15,1,FALSE),"")</f>
        <v/>
      </c>
      <c r="F104" t="s">
        <v>645</v>
      </c>
      <c r="G104" s="62">
        <v>17788</v>
      </c>
      <c r="H104" s="62">
        <v>18588</v>
      </c>
      <c r="I104" s="62">
        <v>19388</v>
      </c>
      <c r="J104" s="62">
        <v>18188</v>
      </c>
      <c r="K104" s="62">
        <v>18988</v>
      </c>
      <c r="L104" s="62">
        <v>17788</v>
      </c>
      <c r="M104" s="62">
        <v>18588</v>
      </c>
      <c r="N104" s="62">
        <v>19388</v>
      </c>
      <c r="O104" s="62">
        <v>20188</v>
      </c>
      <c r="P104" s="62">
        <v>20988</v>
      </c>
      <c r="Q104" s="62">
        <v>21788</v>
      </c>
      <c r="R104" s="62">
        <v>22588</v>
      </c>
    </row>
    <row r="105" spans="1:18">
      <c r="A105" s="59">
        <v>9</v>
      </c>
      <c r="B105" t="s">
        <v>163</v>
      </c>
      <c r="C105">
        <f>VLOOKUP(A105,справочник!$A$2:$C$322,3,FALSE)</f>
        <v>9</v>
      </c>
      <c r="D105" t="str">
        <f>IFERROR(VLOOKUP(B105,справочник!$AF$2:$AF$15,1,FALSE),"")</f>
        <v/>
      </c>
      <c r="F105" t="s">
        <v>90</v>
      </c>
      <c r="G105" s="62">
        <v>23800</v>
      </c>
      <c r="H105" s="62">
        <v>24600</v>
      </c>
      <c r="I105" s="62">
        <v>25400</v>
      </c>
      <c r="J105" s="62">
        <v>26200</v>
      </c>
      <c r="K105" s="62">
        <v>18000</v>
      </c>
      <c r="L105" s="62">
        <v>17200</v>
      </c>
      <c r="M105" s="62">
        <v>18000</v>
      </c>
      <c r="N105" s="62">
        <v>18800</v>
      </c>
      <c r="O105" s="62">
        <v>19600</v>
      </c>
      <c r="P105" s="62">
        <v>20400</v>
      </c>
      <c r="Q105" s="62">
        <v>21200</v>
      </c>
      <c r="R105" s="62">
        <v>22000</v>
      </c>
    </row>
    <row r="106" spans="1:18">
      <c r="A106" s="59">
        <v>301</v>
      </c>
      <c r="B106" t="s">
        <v>73</v>
      </c>
      <c r="C106">
        <f>VLOOKUP(A106,справочник!$A$2:$C$322,3,FALSE)</f>
        <v>316</v>
      </c>
      <c r="D106" t="str">
        <f>IFERROR(VLOOKUP(B106,справочник!$AF$2:$AF$15,1,FALSE),"")</f>
        <v/>
      </c>
      <c r="F106" t="s">
        <v>103</v>
      </c>
      <c r="G106" s="62">
        <v>12800</v>
      </c>
      <c r="H106" s="62">
        <v>13600</v>
      </c>
      <c r="I106" s="62">
        <v>14400</v>
      </c>
      <c r="J106" s="62">
        <v>15200</v>
      </c>
      <c r="K106" s="62">
        <v>16000</v>
      </c>
      <c r="L106" s="62">
        <v>16800</v>
      </c>
      <c r="M106" s="62">
        <v>17600</v>
      </c>
      <c r="N106" s="62">
        <v>18400</v>
      </c>
      <c r="O106" s="62">
        <v>19200</v>
      </c>
      <c r="P106" s="62">
        <v>20000</v>
      </c>
      <c r="Q106" s="62">
        <v>20800</v>
      </c>
      <c r="R106" s="62">
        <v>21600</v>
      </c>
    </row>
    <row r="107" spans="1:18">
      <c r="A107" s="59">
        <v>297</v>
      </c>
      <c r="B107" t="s">
        <v>228</v>
      </c>
      <c r="C107">
        <f>VLOOKUP(A107,справочник!$A$2:$C$322,3,FALSE)</f>
        <v>312</v>
      </c>
      <c r="D107" t="str">
        <f>IFERROR(VLOOKUP(B107,справочник!$AF$2:$AF$15,1,FALSE),"")</f>
        <v/>
      </c>
      <c r="F107" t="s">
        <v>103</v>
      </c>
      <c r="G107" s="62">
        <v>12800</v>
      </c>
      <c r="H107" s="62">
        <v>13600</v>
      </c>
      <c r="I107" s="62">
        <v>14400</v>
      </c>
      <c r="J107" s="62">
        <v>15200</v>
      </c>
      <c r="K107" s="62">
        <v>16000</v>
      </c>
      <c r="L107" s="62">
        <v>16800</v>
      </c>
      <c r="M107" s="62">
        <v>17600</v>
      </c>
      <c r="N107" s="62">
        <v>18400</v>
      </c>
      <c r="O107" s="62">
        <v>19200</v>
      </c>
      <c r="P107" s="62">
        <v>20000</v>
      </c>
      <c r="Q107" s="62">
        <v>20800</v>
      </c>
      <c r="R107" s="62">
        <v>21600</v>
      </c>
    </row>
    <row r="108" spans="1:18">
      <c r="A108" s="59">
        <v>295</v>
      </c>
      <c r="B108" s="53" t="s">
        <v>103</v>
      </c>
      <c r="C108">
        <f>VLOOKUP(A108,справочник!$A$2:$C$322,3,FALSE)</f>
        <v>310</v>
      </c>
      <c r="D108" t="str">
        <f>IFERROR(VLOOKUP(B108,справочник!$AF$2:$AF$15,1,FALSE),"")</f>
        <v>Измайлов Михаил Михайлович</v>
      </c>
      <c r="F108" t="s">
        <v>103</v>
      </c>
      <c r="G108" s="62">
        <v>12800</v>
      </c>
      <c r="H108" s="62">
        <v>13600</v>
      </c>
      <c r="I108" s="62">
        <v>14400</v>
      </c>
      <c r="J108" s="62">
        <v>15200</v>
      </c>
      <c r="K108" s="62">
        <v>16000</v>
      </c>
      <c r="L108" s="62">
        <v>16800</v>
      </c>
      <c r="M108" s="62">
        <v>17600</v>
      </c>
      <c r="N108" s="62">
        <v>18400</v>
      </c>
      <c r="O108" s="62">
        <v>19200</v>
      </c>
      <c r="P108" s="62">
        <v>20000</v>
      </c>
      <c r="Q108" s="62">
        <v>20800</v>
      </c>
      <c r="R108" s="62">
        <v>21600</v>
      </c>
    </row>
    <row r="109" spans="1:18">
      <c r="A109" s="59">
        <v>293</v>
      </c>
      <c r="B109" t="s">
        <v>18</v>
      </c>
      <c r="C109">
        <f>VLOOKUP(A109,справочник!$A$2:$C$322,3,FALSE)</f>
        <v>308</v>
      </c>
      <c r="D109" t="str">
        <f>IFERROR(VLOOKUP(B109,справочник!$AF$2:$AF$15,1,FALSE),"")</f>
        <v/>
      </c>
      <c r="F109" t="s">
        <v>103</v>
      </c>
      <c r="G109" s="62">
        <v>12800</v>
      </c>
      <c r="H109" s="62">
        <v>13600</v>
      </c>
      <c r="I109" s="62">
        <v>14400</v>
      </c>
      <c r="J109" s="62">
        <v>15200</v>
      </c>
      <c r="K109" s="62">
        <v>16000</v>
      </c>
      <c r="L109" s="62">
        <v>16800</v>
      </c>
      <c r="M109" s="62">
        <v>17600</v>
      </c>
      <c r="N109" s="62">
        <v>18400</v>
      </c>
      <c r="O109" s="62">
        <v>19200</v>
      </c>
      <c r="P109" s="62">
        <v>20000</v>
      </c>
      <c r="Q109" s="62">
        <v>20800</v>
      </c>
      <c r="R109" s="62">
        <v>21600</v>
      </c>
    </row>
    <row r="110" spans="1:18">
      <c r="A110" s="59">
        <v>205</v>
      </c>
      <c r="B110" t="s">
        <v>240</v>
      </c>
      <c r="C110">
        <f>VLOOKUP(A110,справочник!$A$2:$C$322,3,FALSE)</f>
        <v>215</v>
      </c>
      <c r="D110" t="str">
        <f>IFERROR(VLOOKUP(B110,справочник!$AF$2:$AF$15,1,FALSE),"")</f>
        <v/>
      </c>
      <c r="F110" t="s">
        <v>37</v>
      </c>
      <c r="G110" s="62">
        <v>12800</v>
      </c>
      <c r="H110" s="62">
        <v>13600</v>
      </c>
      <c r="I110" s="62">
        <v>14400</v>
      </c>
      <c r="J110" s="62">
        <v>15200</v>
      </c>
      <c r="K110" s="62">
        <v>16000</v>
      </c>
      <c r="L110" s="62">
        <v>16800</v>
      </c>
      <c r="M110" s="62">
        <v>17600</v>
      </c>
      <c r="N110" s="62">
        <v>18400</v>
      </c>
      <c r="O110" s="62">
        <v>19200</v>
      </c>
      <c r="P110" s="62">
        <v>20000</v>
      </c>
      <c r="Q110" s="62">
        <v>20800</v>
      </c>
      <c r="R110" s="62">
        <v>21600</v>
      </c>
    </row>
    <row r="111" spans="1:18">
      <c r="A111" s="59">
        <v>167</v>
      </c>
      <c r="B111" t="s">
        <v>267</v>
      </c>
      <c r="C111">
        <f>VLOOKUP(A111,справочник!$A$2:$C$322,3,FALSE)</f>
        <v>175</v>
      </c>
      <c r="D111" t="str">
        <f>IFERROR(VLOOKUP(B111,справочник!$AF$2:$AF$15,1,FALSE),"")</f>
        <v/>
      </c>
      <c r="F111" t="s">
        <v>13</v>
      </c>
      <c r="G111" s="62">
        <v>12800</v>
      </c>
      <c r="H111" s="62">
        <v>13600</v>
      </c>
      <c r="I111" s="62">
        <v>14400</v>
      </c>
      <c r="J111" s="62">
        <v>15200</v>
      </c>
      <c r="K111" s="62">
        <v>16000</v>
      </c>
      <c r="L111" s="62">
        <v>16800</v>
      </c>
      <c r="M111" s="62">
        <v>17600</v>
      </c>
      <c r="N111" s="62">
        <v>18400</v>
      </c>
      <c r="O111" s="62">
        <v>19200</v>
      </c>
      <c r="P111" s="62">
        <v>20000</v>
      </c>
      <c r="Q111" s="62">
        <v>20800</v>
      </c>
      <c r="R111" s="62">
        <v>21600</v>
      </c>
    </row>
    <row r="112" spans="1:18">
      <c r="A112" s="59">
        <v>166</v>
      </c>
      <c r="B112" t="s">
        <v>153</v>
      </c>
      <c r="C112">
        <f>VLOOKUP(A112,справочник!$A$2:$C$322,3,FALSE)</f>
        <v>174</v>
      </c>
      <c r="D112" t="str">
        <f>IFERROR(VLOOKUP(B112,справочник!$AF$2:$AF$15,1,FALSE),"")</f>
        <v/>
      </c>
      <c r="F112" t="s">
        <v>13</v>
      </c>
      <c r="G112" s="62">
        <v>12800</v>
      </c>
      <c r="H112" s="62">
        <v>13600</v>
      </c>
      <c r="I112" s="62">
        <v>14400</v>
      </c>
      <c r="J112" s="62">
        <v>15200</v>
      </c>
      <c r="K112" s="62">
        <v>16000</v>
      </c>
      <c r="L112" s="62">
        <v>16800</v>
      </c>
      <c r="M112" s="62">
        <v>17600</v>
      </c>
      <c r="N112" s="62">
        <v>18400</v>
      </c>
      <c r="O112" s="62">
        <v>19200</v>
      </c>
      <c r="P112" s="62">
        <v>20000</v>
      </c>
      <c r="Q112" s="62">
        <v>20800</v>
      </c>
      <c r="R112" s="62">
        <v>21600</v>
      </c>
    </row>
    <row r="113" spans="1:18">
      <c r="A113" s="59">
        <v>71</v>
      </c>
      <c r="B113" t="s">
        <v>192</v>
      </c>
      <c r="C113">
        <f>VLOOKUP(A113,справочник!$A$2:$C$322,3,FALSE)</f>
        <v>77</v>
      </c>
      <c r="D113" t="str">
        <f>IFERROR(VLOOKUP(B113,справочник!$AF$2:$AF$15,1,FALSE),"")</f>
        <v/>
      </c>
      <c r="F113" t="s">
        <v>181</v>
      </c>
      <c r="G113" s="62">
        <v>12800</v>
      </c>
      <c r="H113" s="62">
        <v>13600</v>
      </c>
      <c r="I113" s="62">
        <v>14400</v>
      </c>
      <c r="J113" s="62">
        <v>15200</v>
      </c>
      <c r="K113" s="62">
        <v>16000</v>
      </c>
      <c r="L113" s="62">
        <v>16800</v>
      </c>
      <c r="M113" s="62">
        <v>17600</v>
      </c>
      <c r="N113" s="62">
        <v>18400</v>
      </c>
      <c r="O113" s="62">
        <v>19200</v>
      </c>
      <c r="P113" s="62">
        <v>20000</v>
      </c>
      <c r="Q113" s="62">
        <v>20800</v>
      </c>
      <c r="R113" s="62">
        <v>21600</v>
      </c>
    </row>
    <row r="114" spans="1:18">
      <c r="A114" s="59">
        <v>39</v>
      </c>
      <c r="B114" t="s">
        <v>61</v>
      </c>
      <c r="C114">
        <f>VLOOKUP(A114,справочник!$A$2:$C$322,3,FALSE)</f>
        <v>39</v>
      </c>
      <c r="D114" t="str">
        <f>IFERROR(VLOOKUP(B114,справочник!$AF$2:$AF$15,1,FALSE),"")</f>
        <v/>
      </c>
      <c r="F114" t="s">
        <v>642</v>
      </c>
      <c r="G114" s="62">
        <v>12800</v>
      </c>
      <c r="H114" s="62">
        <v>13600</v>
      </c>
      <c r="I114" s="62">
        <v>14400</v>
      </c>
      <c r="J114" s="62">
        <v>15200</v>
      </c>
      <c r="K114" s="62">
        <v>16000</v>
      </c>
      <c r="L114" s="62">
        <v>16800</v>
      </c>
      <c r="M114" s="62">
        <v>17600</v>
      </c>
      <c r="N114" s="62">
        <v>18400</v>
      </c>
      <c r="O114" s="62">
        <v>19200</v>
      </c>
      <c r="P114" s="62">
        <v>20000</v>
      </c>
      <c r="Q114" s="62">
        <v>20800</v>
      </c>
      <c r="R114" s="62">
        <v>21600</v>
      </c>
    </row>
    <row r="115" spans="1:18">
      <c r="A115" s="60">
        <v>27</v>
      </c>
      <c r="B115" t="s">
        <v>272</v>
      </c>
      <c r="C115">
        <f>VLOOKUP(A115,справочник!$A$2:$C$322,3,FALSE)</f>
        <v>27</v>
      </c>
      <c r="D115" t="str">
        <f>IFERROR(VLOOKUP(B115,справочник!$AF$2:$AF$15,1,FALSE),"")</f>
        <v/>
      </c>
      <c r="F115" t="s">
        <v>90</v>
      </c>
      <c r="G115" s="62">
        <v>12800</v>
      </c>
      <c r="H115" s="62">
        <v>13600</v>
      </c>
      <c r="I115" s="62">
        <v>14400</v>
      </c>
      <c r="J115" s="62">
        <v>15200</v>
      </c>
      <c r="K115" s="62">
        <v>16000</v>
      </c>
      <c r="L115" s="62">
        <v>16800</v>
      </c>
      <c r="M115" s="62">
        <v>17600</v>
      </c>
      <c r="N115" s="62">
        <v>18400</v>
      </c>
      <c r="O115" s="62">
        <v>19200</v>
      </c>
      <c r="P115" s="62">
        <v>20000</v>
      </c>
      <c r="Q115" s="62">
        <v>20800</v>
      </c>
      <c r="R115" s="62">
        <v>21600</v>
      </c>
    </row>
    <row r="116" spans="1:18">
      <c r="A116" s="59">
        <v>11</v>
      </c>
      <c r="B116" t="s">
        <v>30</v>
      </c>
      <c r="C116">
        <f>VLOOKUP(A116,справочник!$A$2:$C$322,3,FALSE)</f>
        <v>11</v>
      </c>
      <c r="D116" t="str">
        <f>IFERROR(VLOOKUP(B116,справочник!$AF$2:$AF$15,1,FALSE),"")</f>
        <v/>
      </c>
      <c r="F116" t="s">
        <v>90</v>
      </c>
      <c r="G116" s="62">
        <v>12800</v>
      </c>
      <c r="H116" s="62">
        <v>13600</v>
      </c>
      <c r="I116" s="62">
        <v>14400</v>
      </c>
      <c r="J116" s="62">
        <v>15200</v>
      </c>
      <c r="K116" s="62">
        <v>16000</v>
      </c>
      <c r="L116" s="62">
        <v>16800</v>
      </c>
      <c r="M116" s="62">
        <v>17600</v>
      </c>
      <c r="N116" s="62">
        <v>18400</v>
      </c>
      <c r="O116" s="62">
        <v>19200</v>
      </c>
      <c r="P116" s="62">
        <v>20000</v>
      </c>
      <c r="Q116" s="62">
        <v>20800</v>
      </c>
      <c r="R116" s="62">
        <v>21600</v>
      </c>
    </row>
    <row r="117" spans="1:18">
      <c r="A117" s="59">
        <v>300</v>
      </c>
      <c r="B117" t="s">
        <v>185</v>
      </c>
      <c r="C117">
        <f>VLOOKUP(A117,справочник!$A$2:$C$322,3,FALSE)</f>
        <v>315</v>
      </c>
      <c r="D117" t="str">
        <f>IFERROR(VLOOKUP(B117,справочник!$AF$2:$AF$15,1,FALSE),"")</f>
        <v/>
      </c>
      <c r="F117" t="s">
        <v>103</v>
      </c>
      <c r="G117" s="62">
        <v>11800</v>
      </c>
      <c r="H117" s="62">
        <v>12600</v>
      </c>
      <c r="I117" s="62">
        <v>13400</v>
      </c>
      <c r="J117" s="62">
        <v>14200</v>
      </c>
      <c r="K117" s="62">
        <v>15000</v>
      </c>
      <c r="L117" s="62">
        <v>15800</v>
      </c>
      <c r="M117" s="62">
        <v>16600</v>
      </c>
      <c r="N117" s="62">
        <v>17400</v>
      </c>
      <c r="O117" s="62">
        <v>18200</v>
      </c>
      <c r="P117" s="62">
        <v>19000</v>
      </c>
      <c r="Q117" s="62">
        <v>19800</v>
      </c>
      <c r="R117" s="62">
        <v>20600</v>
      </c>
    </row>
    <row r="118" spans="1:18">
      <c r="A118" s="59">
        <v>292</v>
      </c>
      <c r="B118" t="s">
        <v>167</v>
      </c>
      <c r="C118">
        <f>VLOOKUP(A118,справочник!$A$2:$C$322,3,FALSE)</f>
        <v>305</v>
      </c>
      <c r="D118" t="str">
        <f>IFERROR(VLOOKUP(B118,справочник!$AF$2:$AF$15,1,FALSE),"")</f>
        <v/>
      </c>
      <c r="F118" t="s">
        <v>103</v>
      </c>
      <c r="G118" s="62">
        <v>11800</v>
      </c>
      <c r="H118" s="62">
        <v>12600</v>
      </c>
      <c r="I118" s="62">
        <v>13400</v>
      </c>
      <c r="J118" s="62">
        <v>14200</v>
      </c>
      <c r="K118" s="62">
        <v>15000</v>
      </c>
      <c r="L118" s="62">
        <v>15800</v>
      </c>
      <c r="M118" s="62">
        <v>16600</v>
      </c>
      <c r="N118" s="62">
        <v>17400</v>
      </c>
      <c r="O118" s="62">
        <v>18200</v>
      </c>
      <c r="P118" s="62">
        <v>19000</v>
      </c>
      <c r="Q118" s="62">
        <v>19800</v>
      </c>
      <c r="R118" s="62">
        <v>20600</v>
      </c>
    </row>
    <row r="119" spans="1:18">
      <c r="A119" s="59">
        <v>266</v>
      </c>
      <c r="B119" t="s">
        <v>139</v>
      </c>
      <c r="C119">
        <f>VLOOKUP(A119,справочник!$A$2:$C$322,3,FALSE)</f>
        <v>279</v>
      </c>
      <c r="D119" t="str">
        <f>IFERROR(VLOOKUP(B119,справочник!$AF$2:$AF$15,1,FALSE),"")</f>
        <v/>
      </c>
      <c r="F119" t="s">
        <v>146</v>
      </c>
      <c r="G119" s="62">
        <v>11800</v>
      </c>
      <c r="H119" s="62">
        <v>12600</v>
      </c>
      <c r="I119" s="62">
        <v>13400</v>
      </c>
      <c r="J119" s="62">
        <v>14200</v>
      </c>
      <c r="K119" s="62">
        <v>15000</v>
      </c>
      <c r="L119" s="62">
        <v>15800</v>
      </c>
      <c r="M119" s="62">
        <v>16600</v>
      </c>
      <c r="N119" s="62">
        <v>17400</v>
      </c>
      <c r="O119" s="62">
        <v>18200</v>
      </c>
      <c r="P119" s="62">
        <v>19000</v>
      </c>
      <c r="Q119" s="62">
        <v>19800</v>
      </c>
      <c r="R119" s="62">
        <v>20600</v>
      </c>
    </row>
    <row r="120" spans="1:18">
      <c r="A120" s="59">
        <v>250</v>
      </c>
      <c r="B120" t="s">
        <v>106</v>
      </c>
      <c r="C120">
        <f>VLOOKUP(A120,справочник!$A$2:$C$322,3,FALSE)</f>
        <v>261</v>
      </c>
      <c r="D120" t="str">
        <f>IFERROR(VLOOKUP(B120,справочник!$AF$2:$AF$15,1,FALSE),"")</f>
        <v/>
      </c>
      <c r="F120" t="s">
        <v>146</v>
      </c>
      <c r="G120" s="62">
        <v>14800</v>
      </c>
      <c r="H120" s="62">
        <v>15600</v>
      </c>
      <c r="I120" s="62">
        <v>15400</v>
      </c>
      <c r="J120" s="62">
        <v>15200</v>
      </c>
      <c r="K120" s="62">
        <v>15000</v>
      </c>
      <c r="L120" s="62">
        <v>15800</v>
      </c>
      <c r="M120" s="62">
        <v>16600</v>
      </c>
      <c r="N120" s="62">
        <v>17400</v>
      </c>
      <c r="O120" s="62">
        <v>18200</v>
      </c>
      <c r="P120" s="62">
        <v>19000</v>
      </c>
      <c r="Q120" s="62">
        <v>19800</v>
      </c>
      <c r="R120" s="62">
        <v>20600</v>
      </c>
    </row>
    <row r="121" spans="1:18">
      <c r="A121" s="59">
        <v>247</v>
      </c>
      <c r="B121" t="s">
        <v>278</v>
      </c>
      <c r="C121">
        <f>VLOOKUP(A121,справочник!$A$2:$C$322,3,FALSE)</f>
        <v>258</v>
      </c>
      <c r="D121" t="str">
        <f>IFERROR(VLOOKUP(B121,справочник!$AF$2:$AF$15,1,FALSE),"")</f>
        <v/>
      </c>
      <c r="F121" t="s">
        <v>644</v>
      </c>
      <c r="G121" s="62">
        <v>11800</v>
      </c>
      <c r="H121" s="62">
        <v>12600</v>
      </c>
      <c r="I121" s="62">
        <v>13400</v>
      </c>
      <c r="J121" s="62">
        <v>14200</v>
      </c>
      <c r="K121" s="62">
        <v>15000</v>
      </c>
      <c r="L121" s="62">
        <v>15800</v>
      </c>
      <c r="M121" s="62">
        <v>16600</v>
      </c>
      <c r="N121" s="62">
        <v>17400</v>
      </c>
      <c r="O121" s="62">
        <v>18200</v>
      </c>
      <c r="P121" s="62">
        <v>19000</v>
      </c>
      <c r="Q121" s="62">
        <v>19800</v>
      </c>
      <c r="R121" s="62">
        <v>20600</v>
      </c>
    </row>
    <row r="122" spans="1:18">
      <c r="A122" s="59">
        <v>73</v>
      </c>
      <c r="B122" t="s">
        <v>259</v>
      </c>
      <c r="C122">
        <f>VLOOKUP(A122,справочник!$A$2:$C$322,3,FALSE)</f>
        <v>79</v>
      </c>
      <c r="D122" t="str">
        <f>IFERROR(VLOOKUP(B122,справочник!$AF$2:$AF$15,1,FALSE),"")</f>
        <v/>
      </c>
      <c r="F122" t="s">
        <v>181</v>
      </c>
      <c r="G122" s="62">
        <v>11800</v>
      </c>
      <c r="H122" s="62">
        <v>12600</v>
      </c>
      <c r="I122" s="62">
        <v>13400</v>
      </c>
      <c r="J122" s="62">
        <v>14200</v>
      </c>
      <c r="K122" s="62">
        <v>15000</v>
      </c>
      <c r="L122" s="62">
        <v>15800</v>
      </c>
      <c r="M122" s="62">
        <v>16600</v>
      </c>
      <c r="N122" s="62">
        <v>17400</v>
      </c>
      <c r="O122" s="62">
        <v>18200</v>
      </c>
      <c r="P122" s="62">
        <v>19000</v>
      </c>
      <c r="Q122" s="62">
        <v>19800</v>
      </c>
      <c r="R122" s="62">
        <v>20600</v>
      </c>
    </row>
    <row r="123" spans="1:18">
      <c r="A123" s="59">
        <v>5</v>
      </c>
      <c r="B123" t="s">
        <v>99</v>
      </c>
      <c r="C123">
        <f>VLOOKUP(A123,справочник!$A$2:$C$322,3,FALSE)</f>
        <v>5</v>
      </c>
      <c r="D123" t="str">
        <f>IFERROR(VLOOKUP(B123,справочник!$AF$2:$AF$15,1,FALSE),"")</f>
        <v/>
      </c>
      <c r="F123" t="s">
        <v>90</v>
      </c>
      <c r="G123" s="62">
        <v>11800</v>
      </c>
      <c r="H123" s="62">
        <v>12600</v>
      </c>
      <c r="I123" s="62">
        <v>13400</v>
      </c>
      <c r="J123" s="62">
        <v>14200</v>
      </c>
      <c r="K123" s="62">
        <v>15000</v>
      </c>
      <c r="L123" s="62">
        <v>15800</v>
      </c>
      <c r="M123" s="62">
        <v>16600</v>
      </c>
      <c r="N123" s="62">
        <v>17400</v>
      </c>
      <c r="O123" s="62">
        <v>18200</v>
      </c>
      <c r="P123" s="62">
        <v>19000</v>
      </c>
      <c r="Q123" s="62">
        <v>19800</v>
      </c>
      <c r="R123" s="62">
        <v>20600</v>
      </c>
    </row>
    <row r="124" spans="1:18">
      <c r="A124" s="59">
        <v>175</v>
      </c>
      <c r="B124" t="s">
        <v>42</v>
      </c>
      <c r="C124">
        <f>VLOOKUP(A124,справочник!$A$2:$C$322,3,FALSE)</f>
        <v>187</v>
      </c>
      <c r="D124" t="str">
        <f>IFERROR(VLOOKUP(B124,справочник!$AF$2:$AF$15,1,FALSE),"")</f>
        <v/>
      </c>
      <c r="F124" t="s">
        <v>247</v>
      </c>
      <c r="G124" s="62">
        <v>32800</v>
      </c>
      <c r="H124" s="62">
        <v>33600</v>
      </c>
      <c r="I124" s="62">
        <v>34400</v>
      </c>
      <c r="J124" s="62">
        <v>35200</v>
      </c>
      <c r="K124" s="62">
        <v>14400</v>
      </c>
      <c r="L124" s="62">
        <v>15200</v>
      </c>
      <c r="M124" s="62">
        <v>16000</v>
      </c>
      <c r="N124" s="62">
        <v>16800</v>
      </c>
      <c r="O124" s="62">
        <v>17600</v>
      </c>
      <c r="P124" s="62">
        <v>18400</v>
      </c>
      <c r="Q124" s="62">
        <v>19200</v>
      </c>
      <c r="R124" s="62">
        <v>20000</v>
      </c>
    </row>
    <row r="125" spans="1:18">
      <c r="A125" s="59">
        <v>127</v>
      </c>
      <c r="B125" s="53" t="s">
        <v>90</v>
      </c>
      <c r="C125">
        <f>VLOOKUP(A125,справочник!$A$2:$C$322,3,FALSE)</f>
        <v>132</v>
      </c>
      <c r="D125" t="str">
        <f>IFERROR(VLOOKUP(B125,справочник!$AF$2:$AF$15,1,FALSE),"")</f>
        <v>Жохова Елена Сергеевна</v>
      </c>
      <c r="F125" t="s">
        <v>641</v>
      </c>
      <c r="G125" s="62">
        <v>12800</v>
      </c>
      <c r="H125" s="62">
        <v>12000</v>
      </c>
      <c r="I125" s="62">
        <v>12800</v>
      </c>
      <c r="J125" s="62">
        <v>13600</v>
      </c>
      <c r="K125" s="62">
        <v>14400</v>
      </c>
      <c r="L125" s="62">
        <v>15200</v>
      </c>
      <c r="M125" s="62">
        <v>16000</v>
      </c>
      <c r="N125" s="62">
        <v>16800</v>
      </c>
      <c r="O125" s="62">
        <v>17600</v>
      </c>
      <c r="P125" s="62">
        <v>18400</v>
      </c>
      <c r="Q125" s="62">
        <v>19200</v>
      </c>
      <c r="R125" s="62">
        <v>20000</v>
      </c>
    </row>
    <row r="126" spans="1:18">
      <c r="A126" s="59">
        <v>270</v>
      </c>
      <c r="B126" t="s">
        <v>162</v>
      </c>
      <c r="C126">
        <f>VLOOKUP(A126,справочник!$A$2:$C$322,3,FALSE)</f>
        <v>283</v>
      </c>
      <c r="D126" t="str">
        <f>IFERROR(VLOOKUP(B126,справочник!$AF$2:$AF$15,1,FALSE),"")</f>
        <v/>
      </c>
      <c r="F126" t="s">
        <v>643</v>
      </c>
      <c r="G126" s="62">
        <v>10800</v>
      </c>
      <c r="H126" s="62">
        <v>11600</v>
      </c>
      <c r="I126" s="62">
        <v>12400</v>
      </c>
      <c r="J126" s="62">
        <v>13200</v>
      </c>
      <c r="K126" s="62">
        <v>14000</v>
      </c>
      <c r="L126" s="62">
        <v>14800</v>
      </c>
      <c r="M126" s="62">
        <v>15600</v>
      </c>
      <c r="N126" s="62">
        <v>16400</v>
      </c>
      <c r="O126" s="62">
        <v>17200</v>
      </c>
      <c r="P126" s="62">
        <v>18000</v>
      </c>
      <c r="Q126" s="62">
        <v>18800</v>
      </c>
      <c r="R126" s="62">
        <v>19600</v>
      </c>
    </row>
    <row r="127" spans="1:18">
      <c r="A127" s="59">
        <v>136</v>
      </c>
      <c r="B127" t="s">
        <v>29</v>
      </c>
      <c r="C127">
        <f>VLOOKUP(A127,справочник!$A$2:$C$322,3,FALSE)</f>
        <v>144</v>
      </c>
      <c r="D127" t="str">
        <f>IFERROR(VLOOKUP(B127,справочник!$AF$2:$AF$15,1,FALSE),"")</f>
        <v/>
      </c>
      <c r="F127" t="s">
        <v>641</v>
      </c>
      <c r="G127" s="62">
        <v>10800</v>
      </c>
      <c r="H127" s="62">
        <v>11600</v>
      </c>
      <c r="I127" s="62">
        <v>12400</v>
      </c>
      <c r="J127" s="62">
        <v>13200</v>
      </c>
      <c r="K127" s="62">
        <v>14000</v>
      </c>
      <c r="L127" s="62">
        <v>14800</v>
      </c>
      <c r="M127" s="62">
        <v>15600</v>
      </c>
      <c r="N127" s="62">
        <v>16400</v>
      </c>
      <c r="O127" s="62">
        <v>17200</v>
      </c>
      <c r="P127" s="62">
        <v>18000</v>
      </c>
      <c r="Q127" s="62">
        <v>18800</v>
      </c>
      <c r="R127" s="62">
        <v>19600</v>
      </c>
    </row>
    <row r="128" spans="1:18">
      <c r="A128" s="59">
        <v>57</v>
      </c>
      <c r="B128" t="s">
        <v>257</v>
      </c>
      <c r="C128">
        <f>VLOOKUP(A128,справочник!$A$2:$C$322,3,FALSE)</f>
        <v>59</v>
      </c>
      <c r="D128" t="str">
        <f>IFERROR(VLOOKUP(B128,справочник!$AF$2:$AF$15,1,FALSE),"")</f>
        <v/>
      </c>
      <c r="F128" t="s">
        <v>642</v>
      </c>
      <c r="G128" s="62">
        <v>10800</v>
      </c>
      <c r="H128" s="62">
        <v>11600</v>
      </c>
      <c r="I128" s="62">
        <v>12400</v>
      </c>
      <c r="J128" s="62">
        <v>13200</v>
      </c>
      <c r="K128" s="62">
        <v>14000</v>
      </c>
      <c r="L128" s="62">
        <v>14800</v>
      </c>
      <c r="M128" s="62">
        <v>15600</v>
      </c>
      <c r="N128" s="62">
        <v>16400</v>
      </c>
      <c r="O128" s="62">
        <v>17200</v>
      </c>
      <c r="P128" s="62">
        <v>18000</v>
      </c>
      <c r="Q128" s="62">
        <v>18800</v>
      </c>
      <c r="R128" s="62">
        <v>19600</v>
      </c>
    </row>
    <row r="129" spans="1:18">
      <c r="A129" s="59">
        <v>36</v>
      </c>
      <c r="B129" t="s">
        <v>92</v>
      </c>
      <c r="C129">
        <f>VLOOKUP(A129,справочник!$A$2:$C$322,3,FALSE)</f>
        <v>36</v>
      </c>
      <c r="D129" t="str">
        <f>IFERROR(VLOOKUP(B129,справочник!$AF$2:$AF$15,1,FALSE),"")</f>
        <v/>
      </c>
      <c r="F129" t="s">
        <v>642</v>
      </c>
      <c r="G129" s="62">
        <v>10800</v>
      </c>
      <c r="H129" s="62">
        <v>11600</v>
      </c>
      <c r="I129" s="62">
        <v>12400</v>
      </c>
      <c r="J129" s="62">
        <v>13200</v>
      </c>
      <c r="K129" s="62">
        <v>14000</v>
      </c>
      <c r="L129" s="62">
        <v>14800</v>
      </c>
      <c r="M129" s="62">
        <v>15600</v>
      </c>
      <c r="N129" s="62">
        <v>16400</v>
      </c>
      <c r="O129" s="62">
        <v>17200</v>
      </c>
      <c r="P129" s="62">
        <v>18000</v>
      </c>
      <c r="Q129" s="62">
        <v>18800</v>
      </c>
      <c r="R129" s="62">
        <v>19600</v>
      </c>
    </row>
    <row r="130" spans="1:18">
      <c r="A130" s="59">
        <v>24</v>
      </c>
      <c r="B130" t="s">
        <v>70</v>
      </c>
      <c r="C130">
        <f>VLOOKUP(A130,справочник!$A$2:$C$322,3,FALSE)</f>
        <v>24</v>
      </c>
      <c r="D130" t="str">
        <f>IFERROR(VLOOKUP(B130,справочник!$AF$2:$AF$15,1,FALSE),"")</f>
        <v/>
      </c>
      <c r="F130" t="s">
        <v>90</v>
      </c>
      <c r="G130" s="62">
        <v>10800</v>
      </c>
      <c r="H130" s="62">
        <v>11600</v>
      </c>
      <c r="I130" s="62">
        <v>12400</v>
      </c>
      <c r="J130" s="62">
        <v>13200</v>
      </c>
      <c r="K130" s="62">
        <v>14000</v>
      </c>
      <c r="L130" s="62">
        <v>14800</v>
      </c>
      <c r="M130" s="62">
        <v>15600</v>
      </c>
      <c r="N130" s="62">
        <v>16400</v>
      </c>
      <c r="O130" s="62">
        <v>17200</v>
      </c>
      <c r="P130" s="62">
        <v>18000</v>
      </c>
      <c r="Q130" s="62">
        <v>18800</v>
      </c>
      <c r="R130" s="62">
        <v>19600</v>
      </c>
    </row>
    <row r="131" spans="1:18">
      <c r="A131" s="59">
        <v>6</v>
      </c>
      <c r="B131" t="s">
        <v>193</v>
      </c>
      <c r="C131">
        <f>VLOOKUP(A131,справочник!$A$2:$C$322,3,FALSE)</f>
        <v>6</v>
      </c>
      <c r="D131" t="str">
        <f>IFERROR(VLOOKUP(B131,справочник!$AF$2:$AF$15,1,FALSE),"")</f>
        <v/>
      </c>
      <c r="F131" t="s">
        <v>90</v>
      </c>
      <c r="G131" s="62">
        <v>14800</v>
      </c>
      <c r="H131" s="62">
        <v>15600</v>
      </c>
      <c r="I131" s="62">
        <v>16400</v>
      </c>
      <c r="J131" s="62">
        <v>17200</v>
      </c>
      <c r="K131" s="62">
        <v>14000</v>
      </c>
      <c r="L131" s="62">
        <v>14800</v>
      </c>
      <c r="M131" s="62">
        <v>15600</v>
      </c>
      <c r="N131" s="62">
        <v>16400</v>
      </c>
      <c r="O131" s="62">
        <v>17200</v>
      </c>
      <c r="P131" s="62">
        <v>18000</v>
      </c>
      <c r="Q131" s="62">
        <v>18800</v>
      </c>
      <c r="R131" s="62">
        <v>19600</v>
      </c>
    </row>
    <row r="132" spans="1:18">
      <c r="A132" s="59">
        <v>100</v>
      </c>
      <c r="B132" t="s">
        <v>245</v>
      </c>
      <c r="C132">
        <f>VLOOKUP(A132,справочник!$A$2:$C$322,3,FALSE)</f>
        <v>105</v>
      </c>
      <c r="D132" t="str">
        <f>IFERROR(VLOOKUP(B132,справочник!$AF$2:$AF$15,1,FALSE),"")</f>
        <v/>
      </c>
      <c r="F132" t="s">
        <v>645</v>
      </c>
      <c r="G132" s="62">
        <v>10749.7</v>
      </c>
      <c r="H132" s="62">
        <v>11549.7</v>
      </c>
      <c r="I132" s="62">
        <v>12349.7</v>
      </c>
      <c r="J132" s="62">
        <v>13149.7</v>
      </c>
      <c r="K132" s="62">
        <v>13949.7</v>
      </c>
      <c r="L132" s="62">
        <v>14749.7</v>
      </c>
      <c r="M132" s="62">
        <v>15549.7</v>
      </c>
      <c r="N132" s="62">
        <v>16349.7</v>
      </c>
      <c r="O132" s="62">
        <v>17149.7</v>
      </c>
      <c r="P132" s="62">
        <v>17949.7</v>
      </c>
      <c r="Q132" s="62">
        <v>18749.7</v>
      </c>
      <c r="R132" s="62">
        <v>19549.7</v>
      </c>
    </row>
    <row r="133" spans="1:18">
      <c r="A133" s="59">
        <v>289</v>
      </c>
      <c r="B133" t="s">
        <v>135</v>
      </c>
      <c r="C133">
        <f>VLOOKUP(A133,справочник!$A$2:$C$322,3,FALSE)</f>
        <v>301</v>
      </c>
      <c r="D133" t="str">
        <f>IFERROR(VLOOKUP(B133,справочник!$AF$2:$AF$15,1,FALSE),"")</f>
        <v/>
      </c>
      <c r="F133" t="s">
        <v>103</v>
      </c>
      <c r="G133" s="62">
        <v>9800</v>
      </c>
      <c r="H133" s="62">
        <v>10600</v>
      </c>
      <c r="I133" s="62">
        <v>11400</v>
      </c>
      <c r="J133" s="62">
        <v>12200</v>
      </c>
      <c r="K133" s="62">
        <v>13000</v>
      </c>
      <c r="L133" s="62">
        <v>13800</v>
      </c>
      <c r="M133" s="62">
        <v>14600</v>
      </c>
      <c r="N133" s="62">
        <v>15400</v>
      </c>
      <c r="O133" s="62">
        <v>16200</v>
      </c>
      <c r="P133" s="62">
        <v>17000</v>
      </c>
      <c r="Q133" s="62">
        <v>17800</v>
      </c>
      <c r="R133" s="62">
        <v>18600</v>
      </c>
    </row>
    <row r="134" spans="1:18">
      <c r="A134" s="59">
        <v>206</v>
      </c>
      <c r="B134" t="s">
        <v>45</v>
      </c>
      <c r="C134">
        <f>VLOOKUP(A134,справочник!$A$2:$C$322,3,FALSE)</f>
        <v>216</v>
      </c>
      <c r="D134" t="str">
        <f>IFERROR(VLOOKUP(B134,справочник!$AF$2:$AF$15,1,FALSE),"")</f>
        <v/>
      </c>
      <c r="F134" t="s">
        <v>37</v>
      </c>
      <c r="G134" s="62">
        <v>9800</v>
      </c>
      <c r="H134" s="62">
        <v>10600</v>
      </c>
      <c r="I134" s="62">
        <v>11400</v>
      </c>
      <c r="J134" s="62">
        <v>12200</v>
      </c>
      <c r="K134" s="62">
        <v>13000</v>
      </c>
      <c r="L134" s="62">
        <v>13800</v>
      </c>
      <c r="M134" s="62">
        <v>14600</v>
      </c>
      <c r="N134" s="62">
        <v>15400</v>
      </c>
      <c r="O134" s="62">
        <v>16200</v>
      </c>
      <c r="P134" s="62">
        <v>17000</v>
      </c>
      <c r="Q134" s="62">
        <v>17800</v>
      </c>
      <c r="R134" s="62">
        <v>18600</v>
      </c>
    </row>
    <row r="135" spans="1:18">
      <c r="A135" s="59">
        <v>163</v>
      </c>
      <c r="B135" t="s">
        <v>127</v>
      </c>
      <c r="C135">
        <f>VLOOKUP(A135,справочник!$A$2:$C$322,3,FALSE)</f>
        <v>171</v>
      </c>
      <c r="D135" t="str">
        <f>IFERROR(VLOOKUP(B135,справочник!$AF$2:$AF$15,1,FALSE),"")</f>
        <v/>
      </c>
      <c r="F135" t="s">
        <v>13</v>
      </c>
      <c r="G135" s="62">
        <v>9800</v>
      </c>
      <c r="H135" s="62">
        <v>10600</v>
      </c>
      <c r="I135" s="62">
        <v>11400</v>
      </c>
      <c r="J135" s="62">
        <v>12200</v>
      </c>
      <c r="K135" s="62">
        <v>13000</v>
      </c>
      <c r="L135" s="62">
        <v>13800</v>
      </c>
      <c r="M135" s="62">
        <v>14600</v>
      </c>
      <c r="N135" s="62">
        <v>15400</v>
      </c>
      <c r="O135" s="62">
        <v>16200</v>
      </c>
      <c r="P135" s="62">
        <v>17000</v>
      </c>
      <c r="Q135" s="62">
        <v>17800</v>
      </c>
      <c r="R135" s="62">
        <v>18600</v>
      </c>
    </row>
    <row r="136" spans="1:18">
      <c r="A136" s="59">
        <v>2</v>
      </c>
      <c r="B136" t="s">
        <v>288</v>
      </c>
      <c r="C136">
        <f>VLOOKUP(A136,справочник!$A$2:$C$322,3,FALSE)</f>
        <v>2</v>
      </c>
      <c r="D136" t="str">
        <f>IFERROR(VLOOKUP(B136,справочник!$AF$2:$AF$15,1,FALSE),"")</f>
        <v/>
      </c>
      <c r="F136" t="s">
        <v>90</v>
      </c>
      <c r="G136" s="62">
        <v>9800</v>
      </c>
      <c r="H136" s="62">
        <v>10600</v>
      </c>
      <c r="I136" s="62">
        <v>11400</v>
      </c>
      <c r="J136" s="62">
        <v>12200</v>
      </c>
      <c r="K136" s="62">
        <v>13000</v>
      </c>
      <c r="L136" s="62">
        <v>13800</v>
      </c>
      <c r="M136" s="62">
        <v>14600</v>
      </c>
      <c r="N136" s="62">
        <v>15400</v>
      </c>
      <c r="O136" s="62">
        <v>16200</v>
      </c>
      <c r="P136" s="62">
        <v>17000</v>
      </c>
      <c r="Q136" s="62">
        <v>17800</v>
      </c>
      <c r="R136" s="62">
        <v>18600</v>
      </c>
    </row>
    <row r="137" spans="1:18">
      <c r="A137" s="59">
        <v>143</v>
      </c>
      <c r="B137" t="s">
        <v>136</v>
      </c>
      <c r="C137">
        <f>VLOOKUP(A137,справочник!$A$2:$C$322,3,FALSE)</f>
        <v>151</v>
      </c>
      <c r="D137" t="str">
        <f>IFERROR(VLOOKUP(B137,справочник!$AF$2:$AF$15,1,FALSE),"")</f>
        <v/>
      </c>
      <c r="F137" t="s">
        <v>641</v>
      </c>
      <c r="G137" s="62">
        <v>13800</v>
      </c>
      <c r="H137" s="62">
        <v>14600</v>
      </c>
      <c r="I137" s="62">
        <v>15400</v>
      </c>
      <c r="J137" s="62">
        <v>16200</v>
      </c>
      <c r="K137" s="62">
        <v>17000</v>
      </c>
      <c r="L137" s="62">
        <v>13000</v>
      </c>
      <c r="M137" s="62">
        <v>13800</v>
      </c>
      <c r="N137" s="62">
        <v>14600</v>
      </c>
      <c r="O137" s="62">
        <v>15400</v>
      </c>
      <c r="P137" s="62">
        <v>16200</v>
      </c>
      <c r="Q137" s="62">
        <v>17000</v>
      </c>
      <c r="R137" s="62">
        <v>17800</v>
      </c>
    </row>
    <row r="138" spans="1:18">
      <c r="A138" s="59">
        <v>308</v>
      </c>
      <c r="B138" t="s">
        <v>64</v>
      </c>
      <c r="C138">
        <f>VLOOKUP(A138,справочник!$A$2:$C$322,3,FALSE)</f>
        <v>323</v>
      </c>
      <c r="D138" t="str">
        <f>IFERROR(VLOOKUP(B138,справочник!$AF$2:$AF$15,1,FALSE),"")</f>
        <v/>
      </c>
      <c r="F138" t="s">
        <v>103</v>
      </c>
      <c r="G138" s="62">
        <v>8800</v>
      </c>
      <c r="H138" s="62">
        <v>9600</v>
      </c>
      <c r="I138" s="62">
        <v>10400</v>
      </c>
      <c r="J138" s="62">
        <v>11200</v>
      </c>
      <c r="K138" s="62">
        <v>12000</v>
      </c>
      <c r="L138" s="62">
        <v>12800</v>
      </c>
      <c r="M138" s="62">
        <v>13600</v>
      </c>
      <c r="N138" s="62">
        <v>14400</v>
      </c>
      <c r="O138" s="62">
        <v>15200</v>
      </c>
      <c r="P138" s="62">
        <v>16000</v>
      </c>
      <c r="Q138" s="62">
        <v>16800</v>
      </c>
      <c r="R138" s="62">
        <v>17600</v>
      </c>
    </row>
    <row r="139" spans="1:18">
      <c r="A139" s="59">
        <v>218</v>
      </c>
      <c r="B139" t="s">
        <v>176</v>
      </c>
      <c r="C139">
        <f>VLOOKUP(A139,справочник!$A$2:$C$322,3,FALSE)</f>
        <v>227</v>
      </c>
      <c r="D139" t="str">
        <f>IFERROR(VLOOKUP(B139,справочник!$AF$2:$AF$15,1,FALSE),"")</f>
        <v/>
      </c>
      <c r="F139" t="s">
        <v>109</v>
      </c>
      <c r="G139" s="62">
        <v>14800</v>
      </c>
      <c r="H139" s="62">
        <v>15600</v>
      </c>
      <c r="I139" s="62">
        <v>15400</v>
      </c>
      <c r="J139" s="62">
        <v>16200</v>
      </c>
      <c r="K139" s="62">
        <v>17000</v>
      </c>
      <c r="L139" s="62">
        <v>12800</v>
      </c>
      <c r="M139" s="62">
        <v>13600</v>
      </c>
      <c r="N139" s="62">
        <v>14400</v>
      </c>
      <c r="O139" s="62">
        <v>15200</v>
      </c>
      <c r="P139" s="62">
        <v>16000</v>
      </c>
      <c r="Q139" s="62">
        <v>16800</v>
      </c>
      <c r="R139" s="62">
        <v>17600</v>
      </c>
    </row>
    <row r="140" spans="1:18">
      <c r="A140" s="59">
        <v>210</v>
      </c>
      <c r="B140" t="s">
        <v>225</v>
      </c>
      <c r="C140">
        <f>VLOOKUP(A140,справочник!$A$2:$C$322,3,FALSE)</f>
        <v>219</v>
      </c>
      <c r="D140" t="str">
        <f>IFERROR(VLOOKUP(B140,справочник!$AF$2:$AF$15,1,FALSE),"")</f>
        <v/>
      </c>
      <c r="F140" t="s">
        <v>37</v>
      </c>
      <c r="G140" s="62">
        <v>8800</v>
      </c>
      <c r="H140" s="62">
        <v>9600</v>
      </c>
      <c r="I140" s="62">
        <v>10400</v>
      </c>
      <c r="J140" s="62">
        <v>11200</v>
      </c>
      <c r="K140" s="62">
        <v>12000</v>
      </c>
      <c r="L140" s="62">
        <v>12800</v>
      </c>
      <c r="M140" s="62">
        <v>13600</v>
      </c>
      <c r="N140" s="62">
        <v>14400</v>
      </c>
      <c r="O140" s="62">
        <v>15200</v>
      </c>
      <c r="P140" s="62">
        <v>16000</v>
      </c>
      <c r="Q140" s="62">
        <v>16800</v>
      </c>
      <c r="R140" s="62">
        <v>17600</v>
      </c>
    </row>
    <row r="141" spans="1:18">
      <c r="A141" s="59">
        <v>112</v>
      </c>
      <c r="B141" t="s">
        <v>129</v>
      </c>
      <c r="C141">
        <f>VLOOKUP(A141,справочник!$A$2:$C$322,3,FALSE)</f>
        <v>117</v>
      </c>
      <c r="D141" t="str">
        <f>IFERROR(VLOOKUP(B141,справочник!$AF$2:$AF$15,1,FALSE),"")</f>
        <v/>
      </c>
      <c r="F141" t="s">
        <v>645</v>
      </c>
      <c r="G141" s="62">
        <v>17800</v>
      </c>
      <c r="H141" s="62">
        <v>13800</v>
      </c>
      <c r="I141" s="62">
        <v>14600</v>
      </c>
      <c r="J141" s="62">
        <v>15400</v>
      </c>
      <c r="K141" s="62">
        <v>16200</v>
      </c>
      <c r="L141" s="62">
        <v>12200</v>
      </c>
      <c r="M141" s="62">
        <v>13000</v>
      </c>
      <c r="N141" s="62">
        <v>13800</v>
      </c>
      <c r="O141" s="62">
        <v>14600</v>
      </c>
      <c r="P141" s="62">
        <v>15400</v>
      </c>
      <c r="Q141" s="62">
        <v>16200</v>
      </c>
      <c r="R141" s="62">
        <v>17000</v>
      </c>
    </row>
    <row r="142" spans="1:18">
      <c r="A142" s="59">
        <v>118</v>
      </c>
      <c r="B142" t="s">
        <v>154</v>
      </c>
      <c r="C142">
        <f>VLOOKUP(A142,справочник!$A$2:$C$322,3,FALSE)</f>
        <v>123</v>
      </c>
      <c r="D142" t="str">
        <f>IFERROR(VLOOKUP(B142,справочник!$AF$2:$AF$15,1,FALSE),"")</f>
        <v/>
      </c>
      <c r="F142" t="s">
        <v>645</v>
      </c>
      <c r="G142" s="62">
        <v>7800</v>
      </c>
      <c r="H142" s="62">
        <v>8600</v>
      </c>
      <c r="I142" s="62">
        <v>9400</v>
      </c>
      <c r="J142" s="62">
        <v>10200</v>
      </c>
      <c r="K142" s="62">
        <v>11000</v>
      </c>
      <c r="L142" s="62">
        <v>11800</v>
      </c>
      <c r="M142" s="62">
        <v>12600</v>
      </c>
      <c r="N142" s="62">
        <v>13400</v>
      </c>
      <c r="O142" s="62">
        <v>14200</v>
      </c>
      <c r="P142" s="62">
        <v>15000</v>
      </c>
      <c r="Q142" s="62">
        <v>15800</v>
      </c>
      <c r="R142" s="62">
        <v>16600</v>
      </c>
    </row>
    <row r="143" spans="1:18">
      <c r="A143" s="59">
        <v>230</v>
      </c>
      <c r="B143" t="s">
        <v>87</v>
      </c>
      <c r="C143">
        <f>VLOOKUP(A143,справочник!$A$2:$C$322,3,FALSE)</f>
        <v>257</v>
      </c>
      <c r="D143" t="str">
        <f>IFERROR(VLOOKUP(B143,справочник!$AF$2:$AF$15,1,FALSE),"")</f>
        <v/>
      </c>
      <c r="F143" t="s">
        <v>644</v>
      </c>
      <c r="G143" s="62">
        <v>10800</v>
      </c>
      <c r="H143" s="62">
        <v>11600</v>
      </c>
      <c r="I143" s="62">
        <v>12400</v>
      </c>
      <c r="J143" s="62">
        <v>13200</v>
      </c>
      <c r="K143" s="62">
        <v>10500</v>
      </c>
      <c r="L143" s="62">
        <v>11300</v>
      </c>
      <c r="M143" s="62">
        <v>12100</v>
      </c>
      <c r="N143" s="62">
        <v>12900</v>
      </c>
      <c r="O143" s="62">
        <v>13700</v>
      </c>
      <c r="P143" s="62">
        <v>14500</v>
      </c>
      <c r="Q143" s="62">
        <v>15300</v>
      </c>
      <c r="R143" s="62">
        <v>16100</v>
      </c>
    </row>
    <row r="144" spans="1:18">
      <c r="A144" s="59">
        <v>307</v>
      </c>
      <c r="B144" t="s">
        <v>202</v>
      </c>
      <c r="C144">
        <f>VLOOKUP(A144,справочник!$A$2:$C$322,3,FALSE)</f>
        <v>322</v>
      </c>
      <c r="D144" t="str">
        <f>IFERROR(VLOOKUP(B144,справочник!$AF$2:$AF$15,1,FALSE),"")</f>
        <v/>
      </c>
      <c r="F144" t="s">
        <v>103</v>
      </c>
      <c r="G144" s="62">
        <v>14800</v>
      </c>
      <c r="H144" s="62">
        <v>15600</v>
      </c>
      <c r="I144" s="62">
        <v>16400</v>
      </c>
      <c r="J144" s="62">
        <v>17200</v>
      </c>
      <c r="K144" s="62">
        <v>10000</v>
      </c>
      <c r="L144" s="62">
        <v>10800</v>
      </c>
      <c r="M144" s="62">
        <v>11600</v>
      </c>
      <c r="N144" s="62">
        <v>12400</v>
      </c>
      <c r="O144" s="62">
        <v>13200</v>
      </c>
      <c r="P144" s="62">
        <v>14000</v>
      </c>
      <c r="Q144" s="62">
        <v>14800</v>
      </c>
      <c r="R144" s="62">
        <v>15600</v>
      </c>
    </row>
    <row r="145" spans="1:18">
      <c r="A145" s="59">
        <v>279</v>
      </c>
      <c r="B145" t="s">
        <v>101</v>
      </c>
      <c r="C145">
        <f>VLOOKUP(A145,справочник!$A$2:$C$322,3,FALSE)</f>
        <v>291</v>
      </c>
      <c r="D145" t="str">
        <f>IFERROR(VLOOKUP(B145,справочник!$AF$2:$AF$15,1,FALSE),"")</f>
        <v/>
      </c>
      <c r="F145" t="s">
        <v>643</v>
      </c>
      <c r="G145" s="62">
        <v>6800</v>
      </c>
      <c r="H145" s="62">
        <v>7600</v>
      </c>
      <c r="I145" s="62">
        <v>8400</v>
      </c>
      <c r="J145" s="62">
        <v>9200</v>
      </c>
      <c r="K145" s="62">
        <v>10000</v>
      </c>
      <c r="L145" s="62">
        <v>10800</v>
      </c>
      <c r="M145" s="62">
        <v>11600</v>
      </c>
      <c r="N145" s="62">
        <v>12400</v>
      </c>
      <c r="O145" s="62">
        <v>13200</v>
      </c>
      <c r="P145" s="62">
        <v>14000</v>
      </c>
      <c r="Q145" s="62">
        <v>14800</v>
      </c>
      <c r="R145" s="62">
        <v>15600</v>
      </c>
    </row>
    <row r="146" spans="1:18">
      <c r="A146" s="59">
        <v>252</v>
      </c>
      <c r="B146" t="s">
        <v>261</v>
      </c>
      <c r="C146">
        <f>VLOOKUP(A146,справочник!$A$2:$C$322,3,FALSE)</f>
        <v>264</v>
      </c>
      <c r="D146" t="str">
        <f>IFERROR(VLOOKUP(B146,справочник!$AF$2:$AF$15,1,FALSE),"")</f>
        <v/>
      </c>
      <c r="F146" t="s">
        <v>146</v>
      </c>
      <c r="G146" s="62">
        <v>10800</v>
      </c>
      <c r="H146" s="62">
        <v>10800</v>
      </c>
      <c r="I146" s="62">
        <v>10000</v>
      </c>
      <c r="J146" s="62">
        <v>10800</v>
      </c>
      <c r="K146" s="62">
        <v>10000</v>
      </c>
      <c r="L146" s="62">
        <v>10800</v>
      </c>
      <c r="M146" s="62">
        <v>11600</v>
      </c>
      <c r="N146" s="62">
        <v>12400</v>
      </c>
      <c r="O146" s="62">
        <v>13200</v>
      </c>
      <c r="P146" s="62">
        <v>14000</v>
      </c>
      <c r="Q146" s="62">
        <v>14800</v>
      </c>
      <c r="R146" s="62">
        <v>15600</v>
      </c>
    </row>
    <row r="147" spans="1:18">
      <c r="A147" s="59">
        <v>161</v>
      </c>
      <c r="B147" t="s">
        <v>235</v>
      </c>
      <c r="C147">
        <f>VLOOKUP(A147,справочник!$A$2:$C$322,3,FALSE)</f>
        <v>169</v>
      </c>
      <c r="D147" t="str">
        <f>IFERROR(VLOOKUP(B147,справочник!$AF$2:$AF$15,1,FALSE),"")</f>
        <v/>
      </c>
      <c r="F147" t="s">
        <v>13</v>
      </c>
      <c r="G147" s="62">
        <v>6800</v>
      </c>
      <c r="H147" s="62">
        <v>7600</v>
      </c>
      <c r="I147" s="62">
        <v>8400</v>
      </c>
      <c r="J147" s="62">
        <v>9200</v>
      </c>
      <c r="K147" s="62">
        <v>10000</v>
      </c>
      <c r="L147" s="62">
        <v>10800</v>
      </c>
      <c r="M147" s="62">
        <v>11600</v>
      </c>
      <c r="N147" s="62">
        <v>12400</v>
      </c>
      <c r="O147" s="62">
        <v>13200</v>
      </c>
      <c r="P147" s="62">
        <v>14000</v>
      </c>
      <c r="Q147" s="62">
        <v>14800</v>
      </c>
      <c r="R147" s="62">
        <v>15600</v>
      </c>
    </row>
    <row r="148" spans="1:18">
      <c r="A148" s="59">
        <v>94</v>
      </c>
      <c r="B148" t="s">
        <v>60</v>
      </c>
      <c r="C148">
        <f>VLOOKUP(A148,справочник!$A$2:$C$322,3,FALSE)</f>
        <v>99</v>
      </c>
      <c r="D148" t="str">
        <f>IFERROR(VLOOKUP(B148,справочник!$AF$2:$AF$15,1,FALSE),"")</f>
        <v/>
      </c>
      <c r="F148" t="s">
        <v>2</v>
      </c>
      <c r="G148" s="62">
        <v>6800</v>
      </c>
      <c r="H148" s="62">
        <v>7600</v>
      </c>
      <c r="I148" s="62">
        <v>8400</v>
      </c>
      <c r="J148" s="62">
        <v>9200</v>
      </c>
      <c r="K148" s="62">
        <v>10000</v>
      </c>
      <c r="L148" s="62">
        <v>10800</v>
      </c>
      <c r="M148" s="62">
        <v>11600</v>
      </c>
      <c r="N148" s="62">
        <v>12400</v>
      </c>
      <c r="O148" s="62">
        <v>13200</v>
      </c>
      <c r="P148" s="62">
        <v>14000</v>
      </c>
      <c r="Q148" s="62">
        <v>14800</v>
      </c>
      <c r="R148" s="62">
        <v>15600</v>
      </c>
    </row>
    <row r="149" spans="1:18">
      <c r="A149" s="59">
        <v>72</v>
      </c>
      <c r="B149" t="s">
        <v>21</v>
      </c>
      <c r="C149">
        <f>VLOOKUP(A149,справочник!$A$2:$C$322,3,FALSE)</f>
        <v>78</v>
      </c>
      <c r="D149" t="str">
        <f>IFERROR(VLOOKUP(B149,справочник!$AF$2:$AF$15,1,FALSE),"")</f>
        <v/>
      </c>
      <c r="F149" t="s">
        <v>181</v>
      </c>
      <c r="G149" s="62">
        <v>6800</v>
      </c>
      <c r="H149" s="62">
        <v>7600</v>
      </c>
      <c r="I149" s="62">
        <v>8400</v>
      </c>
      <c r="J149" s="62">
        <v>9200</v>
      </c>
      <c r="K149" s="62">
        <v>10000</v>
      </c>
      <c r="L149" s="62">
        <v>10800</v>
      </c>
      <c r="M149" s="62">
        <v>11600</v>
      </c>
      <c r="N149" s="62">
        <v>12400</v>
      </c>
      <c r="O149" s="62">
        <v>13200</v>
      </c>
      <c r="P149" s="62">
        <v>14000</v>
      </c>
      <c r="Q149" s="62">
        <v>14800</v>
      </c>
      <c r="R149" s="62">
        <v>15600</v>
      </c>
    </row>
    <row r="150" spans="1:18">
      <c r="A150" s="59">
        <v>38</v>
      </c>
      <c r="B150" t="s">
        <v>93</v>
      </c>
      <c r="C150">
        <f>VLOOKUP(A150,справочник!$A$2:$C$322,3,FALSE)</f>
        <v>255</v>
      </c>
      <c r="D150" t="str">
        <f>IFERROR(VLOOKUP(B150,справочник!$AF$2:$AF$15,1,FALSE),"")</f>
        <v/>
      </c>
      <c r="F150" t="s">
        <v>644</v>
      </c>
      <c r="G150" s="62">
        <v>7800</v>
      </c>
      <c r="H150" s="62">
        <v>8600</v>
      </c>
      <c r="I150" s="62">
        <v>9400</v>
      </c>
      <c r="J150" s="62">
        <v>10200</v>
      </c>
      <c r="K150" s="62">
        <v>11000</v>
      </c>
      <c r="L150" s="62">
        <v>10200</v>
      </c>
      <c r="M150" s="62">
        <v>11000</v>
      </c>
      <c r="N150" s="62">
        <v>11800</v>
      </c>
      <c r="O150" s="62">
        <v>12600</v>
      </c>
      <c r="P150" s="62">
        <v>13400</v>
      </c>
      <c r="Q150" s="62">
        <v>14200</v>
      </c>
      <c r="R150" s="62">
        <v>15000</v>
      </c>
    </row>
    <row r="151" spans="1:18">
      <c r="A151" s="59">
        <v>280</v>
      </c>
      <c r="B151" t="s">
        <v>232</v>
      </c>
      <c r="C151">
        <f>VLOOKUP(A151,справочник!$A$2:$C$322,3,FALSE)</f>
        <v>292</v>
      </c>
      <c r="D151" t="str">
        <f>IFERROR(VLOOKUP(B151,справочник!$AF$2:$AF$15,1,FALSE),"")</f>
        <v/>
      </c>
      <c r="F151" t="s">
        <v>643</v>
      </c>
      <c r="G151" s="62">
        <v>5800</v>
      </c>
      <c r="H151" s="62">
        <v>6600</v>
      </c>
      <c r="I151" s="62">
        <v>7400</v>
      </c>
      <c r="J151" s="62">
        <v>8200</v>
      </c>
      <c r="K151" s="62">
        <v>9000</v>
      </c>
      <c r="L151" s="62">
        <v>9800</v>
      </c>
      <c r="M151" s="62">
        <v>10600</v>
      </c>
      <c r="N151" s="62">
        <v>11400</v>
      </c>
      <c r="O151" s="62">
        <v>12200</v>
      </c>
      <c r="P151" s="62">
        <v>13000</v>
      </c>
      <c r="Q151" s="62">
        <v>13800</v>
      </c>
      <c r="R151" s="62">
        <v>14600</v>
      </c>
    </row>
    <row r="152" spans="1:18">
      <c r="A152" s="59">
        <v>272</v>
      </c>
      <c r="B152" t="s">
        <v>236</v>
      </c>
      <c r="C152">
        <f>VLOOKUP(A152,справочник!$A$2:$C$322,3,FALSE)</f>
        <v>285</v>
      </c>
      <c r="D152" t="str">
        <f>IFERROR(VLOOKUP(B152,справочник!$AF$2:$AF$15,1,FALSE),"")</f>
        <v/>
      </c>
      <c r="F152" t="s">
        <v>643</v>
      </c>
      <c r="G152" s="62">
        <v>5800</v>
      </c>
      <c r="H152" s="62">
        <v>6600</v>
      </c>
      <c r="I152" s="62">
        <v>7400</v>
      </c>
      <c r="J152" s="62">
        <v>8200</v>
      </c>
      <c r="K152" s="62">
        <v>9000</v>
      </c>
      <c r="L152" s="62">
        <v>9800</v>
      </c>
      <c r="M152" s="62">
        <v>10600</v>
      </c>
      <c r="N152" s="62">
        <v>11400</v>
      </c>
      <c r="O152" s="62">
        <v>12200</v>
      </c>
      <c r="P152" s="62">
        <v>13000</v>
      </c>
      <c r="Q152" s="62">
        <v>13800</v>
      </c>
      <c r="R152" s="62">
        <v>14600</v>
      </c>
    </row>
    <row r="153" spans="1:18">
      <c r="A153" s="59">
        <v>259</v>
      </c>
      <c r="B153" t="s">
        <v>11</v>
      </c>
      <c r="C153">
        <f>VLOOKUP(A153,справочник!$A$2:$C$322,3,FALSE)</f>
        <v>272</v>
      </c>
      <c r="D153" t="str">
        <f>IFERROR(VLOOKUP(B153,справочник!$AF$2:$AF$15,1,FALSE),"")</f>
        <v/>
      </c>
      <c r="F153" t="s">
        <v>146</v>
      </c>
      <c r="G153" s="62">
        <v>4800</v>
      </c>
      <c r="H153" s="62">
        <v>5600</v>
      </c>
      <c r="I153" s="62">
        <v>6400</v>
      </c>
      <c r="J153" s="62">
        <v>7200</v>
      </c>
      <c r="K153" s="62">
        <v>8000</v>
      </c>
      <c r="L153" s="62">
        <v>8800</v>
      </c>
      <c r="M153" s="62">
        <v>9600</v>
      </c>
      <c r="N153" s="62">
        <v>10400</v>
      </c>
      <c r="O153" s="62">
        <v>11200</v>
      </c>
      <c r="P153" s="62">
        <v>12000</v>
      </c>
      <c r="Q153" s="62">
        <v>12800</v>
      </c>
      <c r="R153" s="62">
        <v>13600</v>
      </c>
    </row>
    <row r="154" spans="1:18">
      <c r="A154" s="59">
        <v>88</v>
      </c>
      <c r="B154" t="s">
        <v>293</v>
      </c>
      <c r="C154" t="str">
        <f>VLOOKUP(A154,справочник!$A$2:$C$322,3,FALSE)</f>
        <v>97+93</v>
      </c>
      <c r="D154" t="str">
        <f>IFERROR(VLOOKUP(B154,справочник!$AF$2:$AF$15,1,FALSE),"")</f>
        <v/>
      </c>
      <c r="F154" t="s">
        <v>2</v>
      </c>
      <c r="G154" s="62">
        <v>4800</v>
      </c>
      <c r="H154" s="62">
        <v>5600</v>
      </c>
      <c r="I154" s="62">
        <v>6400</v>
      </c>
      <c r="J154" s="62">
        <v>7200</v>
      </c>
      <c r="K154" s="62">
        <v>8000</v>
      </c>
      <c r="L154" s="62">
        <v>8800</v>
      </c>
      <c r="M154" s="62">
        <v>9600</v>
      </c>
      <c r="N154" s="62">
        <v>10400</v>
      </c>
      <c r="O154" s="62">
        <v>11200</v>
      </c>
      <c r="P154" s="62">
        <v>12000</v>
      </c>
      <c r="Q154" s="62">
        <v>12800</v>
      </c>
      <c r="R154" s="62">
        <v>13600</v>
      </c>
    </row>
    <row r="155" spans="1:18">
      <c r="A155" s="59">
        <v>284</v>
      </c>
      <c r="B155" t="s">
        <v>80</v>
      </c>
      <c r="C155">
        <f>VLOOKUP(A155,справочник!$A$2:$C$322,3,FALSE)</f>
        <v>296</v>
      </c>
      <c r="D155" t="str">
        <f>IFERROR(VLOOKUP(B155,справочник!$AF$2:$AF$15,1,FALSE),"")</f>
        <v/>
      </c>
      <c r="F155" t="s">
        <v>643</v>
      </c>
      <c r="G155" s="62">
        <v>9800</v>
      </c>
      <c r="H155" s="62">
        <v>10600</v>
      </c>
      <c r="I155" s="62">
        <v>5400</v>
      </c>
      <c r="J155" s="62">
        <v>6200</v>
      </c>
      <c r="K155" s="62">
        <v>7000</v>
      </c>
      <c r="L155" s="62">
        <v>7800</v>
      </c>
      <c r="M155" s="62">
        <v>8600</v>
      </c>
      <c r="N155" s="62">
        <v>9400</v>
      </c>
      <c r="O155" s="62">
        <v>10200</v>
      </c>
      <c r="P155" s="62">
        <v>11000</v>
      </c>
      <c r="Q155" s="62">
        <v>11800</v>
      </c>
      <c r="R155" s="62">
        <v>12600</v>
      </c>
    </row>
    <row r="156" spans="1:18">
      <c r="A156" s="59">
        <v>282</v>
      </c>
      <c r="B156" t="s">
        <v>187</v>
      </c>
      <c r="C156">
        <f>VLOOKUP(A156,справочник!$A$2:$C$322,3,FALSE)</f>
        <v>294</v>
      </c>
      <c r="D156" t="str">
        <f>IFERROR(VLOOKUP(B156,справочник!$AF$2:$AF$15,1,FALSE),"")</f>
        <v/>
      </c>
      <c r="F156" t="s">
        <v>643</v>
      </c>
      <c r="G156" s="62">
        <v>3800</v>
      </c>
      <c r="H156" s="62">
        <v>4600</v>
      </c>
      <c r="I156" s="62">
        <v>5400</v>
      </c>
      <c r="J156" s="62">
        <v>6200</v>
      </c>
      <c r="K156" s="62">
        <v>7000</v>
      </c>
      <c r="L156" s="62">
        <v>7800</v>
      </c>
      <c r="M156" s="62">
        <v>8600</v>
      </c>
      <c r="N156" s="62">
        <v>9400</v>
      </c>
      <c r="O156" s="62">
        <v>10200</v>
      </c>
      <c r="P156" s="62">
        <v>11000</v>
      </c>
      <c r="Q156" s="62">
        <v>11800</v>
      </c>
      <c r="R156" s="62">
        <v>12600</v>
      </c>
    </row>
    <row r="157" spans="1:18">
      <c r="A157" s="59">
        <v>260</v>
      </c>
      <c r="B157" t="s">
        <v>4</v>
      </c>
      <c r="C157">
        <f>VLOOKUP(A157,справочник!$A$2:$C$322,3,FALSE)</f>
        <v>273</v>
      </c>
      <c r="D157" t="str">
        <f>IFERROR(VLOOKUP(B157,справочник!$AF$2:$AF$15,1,FALSE),"")</f>
        <v/>
      </c>
      <c r="F157" t="s">
        <v>146</v>
      </c>
      <c r="G157" s="62">
        <v>8800</v>
      </c>
      <c r="H157" s="62">
        <v>7600</v>
      </c>
      <c r="I157" s="62">
        <v>8400</v>
      </c>
      <c r="J157" s="62">
        <v>9200</v>
      </c>
      <c r="K157" s="62">
        <v>9000</v>
      </c>
      <c r="L157" s="62">
        <v>7800</v>
      </c>
      <c r="M157" s="62">
        <v>8600</v>
      </c>
      <c r="N157" s="62">
        <v>9400</v>
      </c>
      <c r="O157" s="62">
        <v>10200</v>
      </c>
      <c r="P157" s="62">
        <v>11000</v>
      </c>
      <c r="Q157" s="62">
        <v>11800</v>
      </c>
      <c r="R157" s="62">
        <v>12600</v>
      </c>
    </row>
    <row r="158" spans="1:18">
      <c r="A158" s="59">
        <v>254</v>
      </c>
      <c r="B158" t="s">
        <v>86</v>
      </c>
      <c r="C158">
        <f>VLOOKUP(A158,справочник!$A$2:$C$322,3,FALSE)</f>
        <v>267</v>
      </c>
      <c r="D158" t="str">
        <f>IFERROR(VLOOKUP(B158,справочник!$AF$2:$AF$15,1,FALSE),"")</f>
        <v/>
      </c>
      <c r="F158" t="s">
        <v>146</v>
      </c>
      <c r="G158" s="62">
        <v>3800</v>
      </c>
      <c r="H158" s="62">
        <v>4600</v>
      </c>
      <c r="I158" s="62">
        <v>5400</v>
      </c>
      <c r="J158" s="62">
        <v>6200</v>
      </c>
      <c r="K158" s="62">
        <v>7000</v>
      </c>
      <c r="L158" s="62">
        <v>7800</v>
      </c>
      <c r="M158" s="62">
        <v>8600</v>
      </c>
      <c r="N158" s="62">
        <v>9400</v>
      </c>
      <c r="O158" s="62">
        <v>10200</v>
      </c>
      <c r="P158" s="62">
        <v>11000</v>
      </c>
      <c r="Q158" s="62">
        <v>11800</v>
      </c>
      <c r="R158" s="62">
        <v>12600</v>
      </c>
    </row>
    <row r="159" spans="1:18">
      <c r="A159" s="59">
        <v>177</v>
      </c>
      <c r="B159" t="s">
        <v>203</v>
      </c>
      <c r="C159">
        <f>VLOOKUP(A159,справочник!$A$2:$C$322,3,FALSE)</f>
        <v>185</v>
      </c>
      <c r="D159" t="str">
        <f>IFERROR(VLOOKUP(B159,справочник!$AF$2:$AF$15,1,FALSE),"")</f>
        <v/>
      </c>
      <c r="F159" t="s">
        <v>247</v>
      </c>
      <c r="G159" s="62">
        <v>3800</v>
      </c>
      <c r="H159" s="62">
        <v>4600</v>
      </c>
      <c r="I159" s="62">
        <v>5400</v>
      </c>
      <c r="J159" s="62">
        <v>6200</v>
      </c>
      <c r="K159" s="62">
        <v>7000</v>
      </c>
      <c r="L159" s="62">
        <v>7800</v>
      </c>
      <c r="M159" s="62">
        <v>8600</v>
      </c>
      <c r="N159" s="62">
        <v>9400</v>
      </c>
      <c r="O159" s="62">
        <v>10200</v>
      </c>
      <c r="P159" s="62">
        <v>11000</v>
      </c>
      <c r="Q159" s="62">
        <v>11800</v>
      </c>
      <c r="R159" s="62">
        <v>12600</v>
      </c>
    </row>
    <row r="160" spans="1:18">
      <c r="A160" s="59">
        <v>152</v>
      </c>
      <c r="B160" t="s">
        <v>301</v>
      </c>
      <c r="C160">
        <f>VLOOKUP(A160,справочник!$A$2:$C$322,3,FALSE)</f>
        <v>160</v>
      </c>
      <c r="D160" t="str">
        <f>IFERROR(VLOOKUP(B160,справочник!$AF$2:$AF$15,1,FALSE),"")</f>
        <v/>
      </c>
      <c r="F160" t="s">
        <v>13</v>
      </c>
      <c r="G160" s="62">
        <v>3800</v>
      </c>
      <c r="H160" s="62">
        <v>4600</v>
      </c>
      <c r="I160" s="62">
        <v>5400</v>
      </c>
      <c r="J160" s="62">
        <v>6200</v>
      </c>
      <c r="K160" s="62">
        <v>7000</v>
      </c>
      <c r="L160" s="62">
        <v>7800</v>
      </c>
      <c r="M160" s="62">
        <v>8600</v>
      </c>
      <c r="N160" s="62">
        <v>9400</v>
      </c>
      <c r="O160" s="62">
        <v>10200</v>
      </c>
      <c r="P160" s="62">
        <v>11000</v>
      </c>
      <c r="Q160" s="62">
        <v>11800</v>
      </c>
      <c r="R160" s="62">
        <v>12600</v>
      </c>
    </row>
    <row r="161" spans="1:18">
      <c r="A161" s="59">
        <v>128</v>
      </c>
      <c r="B161" t="s">
        <v>229</v>
      </c>
      <c r="C161">
        <f>VLOOKUP(A161,справочник!$A$2:$C$322,3,FALSE)</f>
        <v>135</v>
      </c>
      <c r="D161" t="str">
        <f>IFERROR(VLOOKUP(B161,справочник!$AF$2:$AF$15,1,FALSE),"")</f>
        <v/>
      </c>
      <c r="F161" t="s">
        <v>641</v>
      </c>
      <c r="G161" s="62">
        <v>3800</v>
      </c>
      <c r="H161" s="62">
        <v>4600</v>
      </c>
      <c r="I161" s="62">
        <v>5400</v>
      </c>
      <c r="J161" s="62">
        <v>6200</v>
      </c>
      <c r="K161" s="62">
        <v>7000</v>
      </c>
      <c r="L161" s="62">
        <v>7800</v>
      </c>
      <c r="M161" s="62">
        <v>8600</v>
      </c>
      <c r="N161" s="62">
        <v>9400</v>
      </c>
      <c r="O161" s="62">
        <v>10200</v>
      </c>
      <c r="P161" s="62">
        <v>11000</v>
      </c>
      <c r="Q161" s="62">
        <v>11800</v>
      </c>
      <c r="R161" s="62">
        <v>12600</v>
      </c>
    </row>
    <row r="162" spans="1:18">
      <c r="A162" s="59">
        <v>104</v>
      </c>
      <c r="B162" t="s">
        <v>183</v>
      </c>
      <c r="C162">
        <f>VLOOKUP(A162,справочник!$A$2:$C$322,3,FALSE)</f>
        <v>109</v>
      </c>
      <c r="D162" t="str">
        <f>IFERROR(VLOOKUP(B162,справочник!$AF$2:$AF$15,1,FALSE),"")</f>
        <v/>
      </c>
      <c r="F162" t="s">
        <v>645</v>
      </c>
      <c r="G162" s="62">
        <v>3800</v>
      </c>
      <c r="H162" s="62">
        <v>4600</v>
      </c>
      <c r="I162" s="62">
        <v>5400</v>
      </c>
      <c r="J162" s="62">
        <v>6200</v>
      </c>
      <c r="K162" s="62">
        <v>7000</v>
      </c>
      <c r="L162" s="62">
        <v>7800</v>
      </c>
      <c r="M162" s="62">
        <v>8600</v>
      </c>
      <c r="N162" s="62">
        <v>9400</v>
      </c>
      <c r="O162" s="62">
        <v>10200</v>
      </c>
      <c r="P162" s="62">
        <v>11000</v>
      </c>
      <c r="Q162" s="62">
        <v>11800</v>
      </c>
      <c r="R162" s="62">
        <v>12600</v>
      </c>
    </row>
    <row r="163" spans="1:18">
      <c r="A163" s="59">
        <v>87</v>
      </c>
      <c r="B163" t="s">
        <v>160</v>
      </c>
      <c r="C163">
        <f>VLOOKUP(A163,справочник!$A$2:$C$322,3,FALSE)</f>
        <v>92</v>
      </c>
      <c r="D163" t="str">
        <f>IFERROR(VLOOKUP(B163,справочник!$AF$2:$AF$15,1,FALSE),"")</f>
        <v/>
      </c>
      <c r="F163" t="s">
        <v>2</v>
      </c>
      <c r="G163" s="62">
        <v>3800</v>
      </c>
      <c r="H163" s="62">
        <v>4600</v>
      </c>
      <c r="I163" s="62">
        <v>5400</v>
      </c>
      <c r="J163" s="62">
        <v>6200</v>
      </c>
      <c r="K163" s="62">
        <v>7000</v>
      </c>
      <c r="L163" s="62">
        <v>7800</v>
      </c>
      <c r="M163" s="62">
        <v>8600</v>
      </c>
      <c r="N163" s="62">
        <v>9400</v>
      </c>
      <c r="O163" s="62">
        <v>10200</v>
      </c>
      <c r="P163" s="62">
        <v>11000</v>
      </c>
      <c r="Q163" s="62">
        <v>11800</v>
      </c>
      <c r="R163" s="62">
        <v>12600</v>
      </c>
    </row>
    <row r="164" spans="1:18">
      <c r="A164" s="59">
        <v>208</v>
      </c>
      <c r="B164" t="s">
        <v>110</v>
      </c>
      <c r="C164">
        <f>VLOOKUP(A164,справочник!$A$2:$C$322,3,FALSE)</f>
        <v>218</v>
      </c>
      <c r="D164" t="str">
        <f>IFERROR(VLOOKUP(B164,справочник!$AF$2:$AF$15,1,FALSE),"")</f>
        <v/>
      </c>
      <c r="F164" t="s">
        <v>37</v>
      </c>
      <c r="G164" s="62">
        <v>3300</v>
      </c>
      <c r="H164" s="62">
        <v>4100</v>
      </c>
      <c r="I164" s="62">
        <v>4900</v>
      </c>
      <c r="J164" s="62">
        <v>5700</v>
      </c>
      <c r="K164" s="62">
        <v>6500</v>
      </c>
      <c r="L164" s="62">
        <v>7300</v>
      </c>
      <c r="M164" s="62">
        <v>8100</v>
      </c>
      <c r="N164" s="62">
        <v>8900</v>
      </c>
      <c r="O164" s="62">
        <v>9700</v>
      </c>
      <c r="P164" s="62">
        <v>10500</v>
      </c>
      <c r="Q164" s="62">
        <v>11300</v>
      </c>
      <c r="R164" s="62">
        <v>12100</v>
      </c>
    </row>
    <row r="165" spans="1:18">
      <c r="A165" s="59">
        <v>176</v>
      </c>
      <c r="B165" t="s">
        <v>201</v>
      </c>
      <c r="C165">
        <f>VLOOKUP(A165,справочник!$A$2:$C$322,3,FALSE)</f>
        <v>184</v>
      </c>
      <c r="D165" t="str">
        <f>IFERROR(VLOOKUP(B165,справочник!$AF$2:$AF$15,1,FALSE),"")</f>
        <v/>
      </c>
      <c r="F165" t="s">
        <v>247</v>
      </c>
      <c r="G165" s="62">
        <v>12800</v>
      </c>
      <c r="H165" s="62">
        <v>10600</v>
      </c>
      <c r="I165" s="62">
        <v>11400</v>
      </c>
      <c r="J165" s="62">
        <v>12200</v>
      </c>
      <c r="K165" s="62">
        <v>10000</v>
      </c>
      <c r="L165" s="62">
        <v>7300</v>
      </c>
      <c r="M165" s="62">
        <v>8100</v>
      </c>
      <c r="N165" s="62">
        <v>8900</v>
      </c>
      <c r="O165" s="62">
        <v>9700</v>
      </c>
      <c r="P165" s="62">
        <v>10500</v>
      </c>
      <c r="Q165" s="62">
        <v>11300</v>
      </c>
      <c r="R165" s="62">
        <v>12100</v>
      </c>
    </row>
    <row r="166" spans="1:18">
      <c r="A166" s="59">
        <v>227</v>
      </c>
      <c r="B166" t="s">
        <v>302</v>
      </c>
      <c r="C166">
        <f>VLOOKUP(A166,справочник!$A$2:$C$322,3,FALSE)</f>
        <v>236</v>
      </c>
      <c r="D166" t="str">
        <f>IFERROR(VLOOKUP(B166,справочник!$AF$2:$AF$15,1,FALSE),"")</f>
        <v/>
      </c>
      <c r="F166" t="s">
        <v>109</v>
      </c>
      <c r="G166" s="62">
        <v>11800</v>
      </c>
      <c r="H166" s="62">
        <v>8800</v>
      </c>
      <c r="I166" s="62">
        <v>4800</v>
      </c>
      <c r="J166" s="62">
        <v>5600</v>
      </c>
      <c r="K166" s="62">
        <v>6400</v>
      </c>
      <c r="L166" s="62">
        <v>7200</v>
      </c>
      <c r="M166" s="62">
        <v>8000</v>
      </c>
      <c r="N166" s="62">
        <v>8800</v>
      </c>
      <c r="O166" s="62">
        <v>9600</v>
      </c>
      <c r="P166" s="62">
        <v>10400</v>
      </c>
      <c r="Q166" s="62">
        <v>11200</v>
      </c>
      <c r="R166" s="62">
        <v>12000</v>
      </c>
    </row>
    <row r="167" spans="1:18">
      <c r="A167" s="59">
        <v>66</v>
      </c>
      <c r="B167" t="s">
        <v>91</v>
      </c>
      <c r="C167">
        <f>VLOOKUP(A167,справочник!$A$2:$C$322,3,FALSE)</f>
        <v>68</v>
      </c>
      <c r="D167" t="str">
        <f>IFERROR(VLOOKUP(B167,справочник!$AF$2:$AF$15,1,FALSE),"")</f>
        <v/>
      </c>
      <c r="F167" t="s">
        <v>181</v>
      </c>
      <c r="G167" s="62">
        <v>3020</v>
      </c>
      <c r="H167" s="62">
        <v>3820</v>
      </c>
      <c r="I167" s="62">
        <v>4620</v>
      </c>
      <c r="J167" s="62">
        <v>5420</v>
      </c>
      <c r="K167" s="62">
        <v>6220</v>
      </c>
      <c r="L167" s="62">
        <v>7020</v>
      </c>
      <c r="M167" s="62">
        <v>7820</v>
      </c>
      <c r="N167" s="62">
        <v>8620</v>
      </c>
      <c r="O167" s="62">
        <v>9420</v>
      </c>
      <c r="P167" s="62">
        <v>10220</v>
      </c>
      <c r="Q167" s="62">
        <v>11020</v>
      </c>
      <c r="R167" s="62">
        <v>11820</v>
      </c>
    </row>
    <row r="168" spans="1:18">
      <c r="A168" s="59">
        <v>287</v>
      </c>
      <c r="B168" t="s">
        <v>178</v>
      </c>
      <c r="C168">
        <f>VLOOKUP(A168,справочник!$A$2:$C$322,3,FALSE)</f>
        <v>299</v>
      </c>
      <c r="D168" t="str">
        <f>IFERROR(VLOOKUP(B168,справочник!$AF$2:$AF$15,1,FALSE),"")</f>
        <v/>
      </c>
      <c r="F168" t="s">
        <v>643</v>
      </c>
      <c r="G168" s="62">
        <v>2800</v>
      </c>
      <c r="H168" s="62">
        <v>3600</v>
      </c>
      <c r="I168" s="62">
        <v>4400</v>
      </c>
      <c r="J168" s="62">
        <v>5200</v>
      </c>
      <c r="K168" s="62">
        <v>6000</v>
      </c>
      <c r="L168" s="62">
        <v>6800</v>
      </c>
      <c r="M168" s="62">
        <v>7600</v>
      </c>
      <c r="N168" s="62">
        <v>8400</v>
      </c>
      <c r="O168" s="62">
        <v>9200</v>
      </c>
      <c r="P168" s="62">
        <v>10000</v>
      </c>
      <c r="Q168" s="62">
        <v>10800</v>
      </c>
      <c r="R168" s="62">
        <v>11600</v>
      </c>
    </row>
    <row r="169" spans="1:18">
      <c r="A169" s="59">
        <v>221</v>
      </c>
      <c r="B169" t="s">
        <v>10</v>
      </c>
      <c r="C169">
        <f>VLOOKUP(A169,справочник!$A$2:$C$322,3,FALSE)</f>
        <v>230</v>
      </c>
      <c r="D169" t="str">
        <f>IFERROR(VLOOKUP(B169,справочник!$AF$2:$AF$15,1,FALSE),"")</f>
        <v/>
      </c>
      <c r="F169" t="s">
        <v>109</v>
      </c>
      <c r="G169" s="62">
        <v>2800</v>
      </c>
      <c r="H169" s="62">
        <v>3600</v>
      </c>
      <c r="I169" s="62">
        <v>4400</v>
      </c>
      <c r="J169" s="62">
        <v>5200</v>
      </c>
      <c r="K169" s="62">
        <v>6000</v>
      </c>
      <c r="L169" s="62">
        <v>6800</v>
      </c>
      <c r="M169" s="62">
        <v>7600</v>
      </c>
      <c r="N169" s="62">
        <v>8400</v>
      </c>
      <c r="O169" s="62">
        <v>9200</v>
      </c>
      <c r="P169" s="62">
        <v>10000</v>
      </c>
      <c r="Q169" s="62">
        <v>10800</v>
      </c>
      <c r="R169" s="62">
        <v>11600</v>
      </c>
    </row>
    <row r="170" spans="1:18">
      <c r="A170" s="59">
        <v>125</v>
      </c>
      <c r="B170" t="s">
        <v>22</v>
      </c>
      <c r="C170">
        <f>VLOOKUP(A170,справочник!$A$2:$C$322,3,FALSE)</f>
        <v>130</v>
      </c>
      <c r="D170" t="str">
        <f>IFERROR(VLOOKUP(B170,справочник!$AF$2:$AF$15,1,FALSE),"")</f>
        <v/>
      </c>
      <c r="F170" t="s">
        <v>645</v>
      </c>
      <c r="G170" s="62">
        <v>5800</v>
      </c>
      <c r="H170" s="62">
        <v>6600</v>
      </c>
      <c r="I170" s="62">
        <v>7400</v>
      </c>
      <c r="J170" s="62">
        <v>8200</v>
      </c>
      <c r="K170" s="62">
        <v>9000</v>
      </c>
      <c r="L170" s="62">
        <v>6800</v>
      </c>
      <c r="M170" s="62">
        <v>7600</v>
      </c>
      <c r="N170" s="62">
        <v>8400</v>
      </c>
      <c r="O170" s="62">
        <v>9200</v>
      </c>
      <c r="P170" s="62">
        <v>10000</v>
      </c>
      <c r="Q170" s="62">
        <v>10800</v>
      </c>
      <c r="R170" s="62">
        <v>11600</v>
      </c>
    </row>
    <row r="171" spans="1:18">
      <c r="A171" s="59">
        <v>101</v>
      </c>
      <c r="B171" t="s">
        <v>46</v>
      </c>
      <c r="C171">
        <f>VLOOKUP(A171,справочник!$A$2:$C$322,3,FALSE)</f>
        <v>106</v>
      </c>
      <c r="D171" t="str">
        <f>IFERROR(VLOOKUP(B171,справочник!$AF$2:$AF$15,1,FALSE),"")</f>
        <v/>
      </c>
      <c r="F171" t="s">
        <v>645</v>
      </c>
      <c r="G171" s="62">
        <v>2800</v>
      </c>
      <c r="H171" s="62">
        <v>3600</v>
      </c>
      <c r="I171" s="62">
        <v>4400</v>
      </c>
      <c r="J171" s="62">
        <v>5200</v>
      </c>
      <c r="K171" s="62">
        <v>6000</v>
      </c>
      <c r="L171" s="62">
        <v>6800</v>
      </c>
      <c r="M171" s="62">
        <v>7600</v>
      </c>
      <c r="N171" s="62">
        <v>8400</v>
      </c>
      <c r="O171" s="62">
        <v>9200</v>
      </c>
      <c r="P171" s="62">
        <v>10000</v>
      </c>
      <c r="Q171" s="62">
        <v>10800</v>
      </c>
      <c r="R171" s="62">
        <v>11600</v>
      </c>
    </row>
    <row r="172" spans="1:18">
      <c r="A172" s="59">
        <v>44</v>
      </c>
      <c r="B172" t="s">
        <v>76</v>
      </c>
      <c r="C172">
        <f>VLOOKUP(A172,справочник!$A$2:$C$322,3,FALSE)</f>
        <v>44</v>
      </c>
      <c r="D172" t="str">
        <f>IFERROR(VLOOKUP(B172,справочник!$AF$2:$AF$15,1,FALSE),"")</f>
        <v/>
      </c>
      <c r="F172" t="s">
        <v>642</v>
      </c>
      <c r="G172" s="62">
        <v>2800</v>
      </c>
      <c r="H172" s="62">
        <v>3600</v>
      </c>
      <c r="I172" s="62">
        <v>4400</v>
      </c>
      <c r="J172" s="62">
        <v>5200</v>
      </c>
      <c r="K172" s="62">
        <v>6000</v>
      </c>
      <c r="L172" s="62">
        <v>6800</v>
      </c>
      <c r="M172" s="62">
        <v>7600</v>
      </c>
      <c r="N172" s="62">
        <v>8400</v>
      </c>
      <c r="O172" s="62">
        <v>9200</v>
      </c>
      <c r="P172" s="62">
        <v>10000</v>
      </c>
      <c r="Q172" s="62">
        <v>10800</v>
      </c>
      <c r="R172" s="62">
        <v>11600</v>
      </c>
    </row>
    <row r="173" spans="1:18">
      <c r="A173" s="59">
        <v>22</v>
      </c>
      <c r="B173" t="s">
        <v>281</v>
      </c>
      <c r="C173">
        <f>VLOOKUP(A173,справочник!$A$2:$C$322,3,FALSE)</f>
        <v>22</v>
      </c>
      <c r="D173" t="str">
        <f>IFERROR(VLOOKUP(B173,справочник!$AF$2:$AF$15,1,FALSE),"")</f>
        <v/>
      </c>
      <c r="F173" t="s">
        <v>90</v>
      </c>
      <c r="G173" s="62">
        <v>2800</v>
      </c>
      <c r="H173" s="62">
        <v>3600</v>
      </c>
      <c r="I173" s="62">
        <v>4400</v>
      </c>
      <c r="J173" s="62">
        <v>5200</v>
      </c>
      <c r="K173" s="62">
        <v>6000</v>
      </c>
      <c r="L173" s="62">
        <v>6800</v>
      </c>
      <c r="M173" s="62">
        <v>7600</v>
      </c>
      <c r="N173" s="62">
        <v>8400</v>
      </c>
      <c r="O173" s="62">
        <v>9200</v>
      </c>
      <c r="P173" s="62">
        <v>10000</v>
      </c>
      <c r="Q173" s="62">
        <v>10800</v>
      </c>
      <c r="R173" s="62">
        <v>11600</v>
      </c>
    </row>
    <row r="174" spans="1:18">
      <c r="A174" s="59">
        <v>21</v>
      </c>
      <c r="B174" t="s">
        <v>248</v>
      </c>
      <c r="C174">
        <f>VLOOKUP(A174,справочник!$A$2:$C$322,3,FALSE)</f>
        <v>21</v>
      </c>
      <c r="D174" t="str">
        <f>IFERROR(VLOOKUP(B174,справочник!$AF$2:$AF$15,1,FALSE),"")</f>
        <v/>
      </c>
      <c r="F174" t="s">
        <v>90</v>
      </c>
      <c r="G174" s="62">
        <v>2800</v>
      </c>
      <c r="H174" s="62">
        <v>3600</v>
      </c>
      <c r="I174" s="62">
        <v>4400</v>
      </c>
      <c r="J174" s="62">
        <v>5200</v>
      </c>
      <c r="K174" s="62">
        <v>6000</v>
      </c>
      <c r="L174" s="62">
        <v>6800</v>
      </c>
      <c r="M174" s="62">
        <v>7600</v>
      </c>
      <c r="N174" s="62">
        <v>8400</v>
      </c>
      <c r="O174" s="62">
        <v>9200</v>
      </c>
      <c r="P174" s="62">
        <v>10000</v>
      </c>
      <c r="Q174" s="62">
        <v>10800</v>
      </c>
      <c r="R174" s="62">
        <v>11600</v>
      </c>
    </row>
    <row r="175" spans="1:18">
      <c r="A175" s="59">
        <v>268</v>
      </c>
      <c r="B175" t="s">
        <v>254</v>
      </c>
      <c r="C175">
        <f>VLOOKUP(A175,справочник!$A$2:$C$322,3,FALSE)</f>
        <v>281</v>
      </c>
      <c r="D175" t="str">
        <f>IFERROR(VLOOKUP(B175,справочник!$AF$2:$AF$15,1,FALSE),"")</f>
        <v/>
      </c>
      <c r="F175" t="s">
        <v>643</v>
      </c>
      <c r="G175" s="62">
        <v>7800</v>
      </c>
      <c r="H175" s="62">
        <v>8600</v>
      </c>
      <c r="I175" s="62">
        <v>9400</v>
      </c>
      <c r="J175" s="62">
        <v>7200</v>
      </c>
      <c r="K175" s="62">
        <v>8000</v>
      </c>
      <c r="L175" s="62">
        <v>5800</v>
      </c>
      <c r="M175" s="62">
        <v>6600</v>
      </c>
      <c r="N175" s="62">
        <v>7400</v>
      </c>
      <c r="O175" s="62">
        <v>8200</v>
      </c>
      <c r="P175" s="62">
        <v>9000</v>
      </c>
      <c r="Q175" s="62">
        <v>9800</v>
      </c>
      <c r="R175" s="62">
        <v>10600</v>
      </c>
    </row>
    <row r="176" spans="1:18">
      <c r="A176" s="59">
        <v>248</v>
      </c>
      <c r="B176" t="s">
        <v>277</v>
      </c>
      <c r="C176">
        <f>VLOOKUP(A176,справочник!$A$2:$C$322,3,FALSE)</f>
        <v>259</v>
      </c>
      <c r="D176" t="str">
        <f>IFERROR(VLOOKUP(B176,справочник!$AF$2:$AF$15,1,FALSE),"")</f>
        <v/>
      </c>
      <c r="F176" t="s">
        <v>644</v>
      </c>
      <c r="G176" s="62">
        <v>3500</v>
      </c>
      <c r="H176" s="62">
        <v>4300</v>
      </c>
      <c r="I176" s="62">
        <v>5100</v>
      </c>
      <c r="J176" s="62">
        <v>5900</v>
      </c>
      <c r="K176" s="62">
        <v>6700</v>
      </c>
      <c r="L176" s="62">
        <v>5800</v>
      </c>
      <c r="M176" s="62">
        <v>6600</v>
      </c>
      <c r="N176" s="62">
        <v>7400</v>
      </c>
      <c r="O176" s="62">
        <v>8200</v>
      </c>
      <c r="P176" s="62">
        <v>9000</v>
      </c>
      <c r="Q176" s="62">
        <v>9800</v>
      </c>
      <c r="R176" s="62">
        <v>10600</v>
      </c>
    </row>
    <row r="177" spans="1:18">
      <c r="A177" s="59">
        <v>122</v>
      </c>
      <c r="B177" t="s">
        <v>72</v>
      </c>
      <c r="C177">
        <f>VLOOKUP(A177,справочник!$A$2:$C$322,3,FALSE)</f>
        <v>127</v>
      </c>
      <c r="D177" t="str">
        <f>IFERROR(VLOOKUP(B177,справочник!$AF$2:$AF$15,1,FALSE),"")</f>
        <v/>
      </c>
      <c r="F177" t="s">
        <v>645</v>
      </c>
      <c r="G177" s="62">
        <v>5800</v>
      </c>
      <c r="H177" s="62">
        <v>4600</v>
      </c>
      <c r="I177" s="62">
        <v>5400</v>
      </c>
      <c r="J177" s="62">
        <v>4200</v>
      </c>
      <c r="K177" s="62">
        <v>5000</v>
      </c>
      <c r="L177" s="62">
        <v>5800</v>
      </c>
      <c r="M177" s="62">
        <v>6600</v>
      </c>
      <c r="N177" s="62">
        <v>7400</v>
      </c>
      <c r="O177" s="62">
        <v>8200</v>
      </c>
      <c r="P177" s="62">
        <v>9000</v>
      </c>
      <c r="Q177" s="62">
        <v>9800</v>
      </c>
      <c r="R177" s="62">
        <v>10600</v>
      </c>
    </row>
    <row r="178" spans="1:18">
      <c r="A178" s="59">
        <v>201</v>
      </c>
      <c r="B178" t="s">
        <v>195</v>
      </c>
      <c r="C178">
        <f>VLOOKUP(A178,справочник!$A$2:$C$322,3,FALSE)</f>
        <v>209</v>
      </c>
      <c r="D178" t="str">
        <f>IFERROR(VLOOKUP(B178,справочник!$AF$2:$AF$15,1,FALSE),"")</f>
        <v/>
      </c>
      <c r="F178" t="s">
        <v>37</v>
      </c>
      <c r="G178" s="62">
        <v>4800</v>
      </c>
      <c r="H178" s="62">
        <v>5600</v>
      </c>
      <c r="I178" s="62">
        <v>6400</v>
      </c>
      <c r="J178" s="62">
        <v>7200</v>
      </c>
      <c r="K178" s="62">
        <v>4800</v>
      </c>
      <c r="L178" s="62">
        <v>5600</v>
      </c>
      <c r="M178" s="62">
        <v>6400</v>
      </c>
      <c r="N178" s="62">
        <v>7200</v>
      </c>
      <c r="O178" s="62">
        <v>8000</v>
      </c>
      <c r="P178" s="62">
        <v>8800</v>
      </c>
      <c r="Q178" s="62">
        <v>9600</v>
      </c>
      <c r="R178" s="62">
        <v>10400</v>
      </c>
    </row>
    <row r="179" spans="1:18">
      <c r="A179" s="59">
        <v>64</v>
      </c>
      <c r="B179" t="s">
        <v>59</v>
      </c>
      <c r="C179">
        <f>VLOOKUP(A179,справочник!$A$2:$C$322,3,FALSE)</f>
        <v>66</v>
      </c>
      <c r="D179" t="str">
        <f>IFERROR(VLOOKUP(B179,справочник!$AF$2:$AF$15,1,FALSE),"")</f>
        <v/>
      </c>
      <c r="F179" t="s">
        <v>181</v>
      </c>
      <c r="G179" s="62">
        <v>4800</v>
      </c>
      <c r="H179" s="62">
        <v>5600</v>
      </c>
      <c r="I179" s="62">
        <v>4800</v>
      </c>
      <c r="J179" s="62">
        <v>5600</v>
      </c>
      <c r="K179" s="62">
        <v>6400</v>
      </c>
      <c r="L179" s="62">
        <v>5600</v>
      </c>
      <c r="M179" s="62">
        <v>6400</v>
      </c>
      <c r="N179" s="62">
        <v>7200</v>
      </c>
      <c r="O179" s="62">
        <v>8000</v>
      </c>
      <c r="P179" s="62">
        <v>8800</v>
      </c>
      <c r="Q179" s="62">
        <v>9600</v>
      </c>
      <c r="R179" s="62">
        <v>10400</v>
      </c>
    </row>
    <row r="180" spans="1:18">
      <c r="A180" s="59">
        <v>317</v>
      </c>
      <c r="B180" t="s">
        <v>253</v>
      </c>
      <c r="C180" t="str">
        <f>VLOOKUP(A180,справочник!$A$2:$C$322,3,FALSE)</f>
        <v>51-52</v>
      </c>
      <c r="D180" t="str">
        <f>IFERROR(VLOOKUP(B180,справочник!$AF$2:$AF$15,1,FALSE),"")</f>
        <v/>
      </c>
      <c r="F180" t="e">
        <v>#N/A</v>
      </c>
      <c r="G180" s="62">
        <v>800</v>
      </c>
      <c r="H180" s="62">
        <v>1600</v>
      </c>
      <c r="I180" s="62">
        <v>2400</v>
      </c>
      <c r="J180" s="62">
        <v>3200</v>
      </c>
      <c r="K180" s="62">
        <v>4000</v>
      </c>
      <c r="L180" s="62">
        <v>4800</v>
      </c>
      <c r="M180" s="62">
        <v>5600</v>
      </c>
      <c r="N180" s="62">
        <v>6400</v>
      </c>
      <c r="O180" s="62">
        <v>7200</v>
      </c>
      <c r="P180" s="62">
        <v>8000</v>
      </c>
      <c r="Q180" s="62">
        <v>8800</v>
      </c>
      <c r="R180" s="62">
        <v>9600</v>
      </c>
    </row>
    <row r="181" spans="1:18">
      <c r="A181" s="59">
        <v>314</v>
      </c>
      <c r="B181" t="s">
        <v>215</v>
      </c>
      <c r="C181" t="e">
        <f>VLOOKUP(A181,справочник!$A$2:$C$322,3,FALSE)</f>
        <v>#N/A</v>
      </c>
      <c r="D181" t="str">
        <f>IFERROR(VLOOKUP(B181,справочник!$AF$2:$AF$15,1,FALSE),"")</f>
        <v/>
      </c>
      <c r="F181" t="e">
        <v>#N/A</v>
      </c>
      <c r="G181" s="62">
        <v>800</v>
      </c>
      <c r="H181" s="62">
        <v>1600</v>
      </c>
      <c r="I181" s="62">
        <v>2400</v>
      </c>
      <c r="J181" s="62">
        <v>3200</v>
      </c>
      <c r="K181" s="62">
        <v>4000</v>
      </c>
      <c r="L181" s="62">
        <v>4800</v>
      </c>
      <c r="M181" s="62">
        <v>5600</v>
      </c>
      <c r="N181" s="62">
        <v>6400</v>
      </c>
      <c r="O181" s="62">
        <v>7200</v>
      </c>
      <c r="P181" s="62">
        <v>8000</v>
      </c>
      <c r="Q181" s="62">
        <v>8800</v>
      </c>
      <c r="R181" s="62">
        <v>9600</v>
      </c>
    </row>
    <row r="182" spans="1:18">
      <c r="A182" s="59">
        <v>291</v>
      </c>
      <c r="B182" t="s">
        <v>189</v>
      </c>
      <c r="C182">
        <f>VLOOKUP(A182,справочник!$A$2:$C$322,3,FALSE)</f>
        <v>304</v>
      </c>
      <c r="D182" t="str">
        <f>IFERROR(VLOOKUP(B182,справочник!$AF$2:$AF$15,1,FALSE),"")</f>
        <v/>
      </c>
      <c r="F182" t="s">
        <v>103</v>
      </c>
      <c r="G182" s="62">
        <v>800</v>
      </c>
      <c r="H182" s="62">
        <v>1600</v>
      </c>
      <c r="I182" s="62">
        <v>2400</v>
      </c>
      <c r="J182" s="62">
        <v>3200</v>
      </c>
      <c r="K182" s="62">
        <v>4000</v>
      </c>
      <c r="L182" s="62">
        <v>4800</v>
      </c>
      <c r="M182" s="62">
        <v>5600</v>
      </c>
      <c r="N182" s="62">
        <v>6400</v>
      </c>
      <c r="O182" s="62">
        <v>7200</v>
      </c>
      <c r="P182" s="62">
        <v>8000</v>
      </c>
      <c r="Q182" s="62">
        <v>8800</v>
      </c>
      <c r="R182" s="62">
        <v>9600</v>
      </c>
    </row>
    <row r="183" spans="1:18">
      <c r="A183" s="59">
        <v>241</v>
      </c>
      <c r="B183" t="s">
        <v>234</v>
      </c>
      <c r="C183">
        <f>VLOOKUP(A183,справочник!$A$2:$C$322,3,FALSE)</f>
        <v>252</v>
      </c>
      <c r="D183" t="str">
        <f>IFERROR(VLOOKUP(B183,справочник!$AF$2:$AF$15,1,FALSE),"")</f>
        <v/>
      </c>
      <c r="F183" t="s">
        <v>644</v>
      </c>
      <c r="G183" s="62">
        <v>4800</v>
      </c>
      <c r="H183" s="62">
        <v>4800</v>
      </c>
      <c r="I183" s="62">
        <v>4800</v>
      </c>
      <c r="J183" s="62">
        <v>5600</v>
      </c>
      <c r="K183" s="62">
        <v>6400</v>
      </c>
      <c r="L183" s="62">
        <v>4800</v>
      </c>
      <c r="M183" s="62">
        <v>5600</v>
      </c>
      <c r="N183" s="62">
        <v>6400</v>
      </c>
      <c r="O183" s="62">
        <v>7200</v>
      </c>
      <c r="P183" s="62">
        <v>8000</v>
      </c>
      <c r="Q183" s="62">
        <v>8800</v>
      </c>
      <c r="R183" s="62">
        <v>9600</v>
      </c>
    </row>
    <row r="184" spans="1:18">
      <c r="A184" s="59">
        <v>212</v>
      </c>
      <c r="B184" t="s">
        <v>170</v>
      </c>
      <c r="C184">
        <f>VLOOKUP(A184,справочник!$A$2:$C$322,3,FALSE)</f>
        <v>221</v>
      </c>
      <c r="D184" t="str">
        <f>IFERROR(VLOOKUP(B184,справочник!$AF$2:$AF$15,1,FALSE),"")</f>
        <v/>
      </c>
      <c r="F184" t="s">
        <v>109</v>
      </c>
      <c r="G184" s="62">
        <v>3200</v>
      </c>
      <c r="H184" s="62">
        <v>4000</v>
      </c>
      <c r="I184" s="62">
        <v>3200</v>
      </c>
      <c r="J184" s="62">
        <v>3200</v>
      </c>
      <c r="K184" s="62">
        <v>4000</v>
      </c>
      <c r="L184" s="62">
        <v>4800</v>
      </c>
      <c r="M184" s="62">
        <v>5600</v>
      </c>
      <c r="N184" s="62">
        <v>6400</v>
      </c>
      <c r="O184" s="62">
        <v>7200</v>
      </c>
      <c r="P184" s="62">
        <v>8000</v>
      </c>
      <c r="Q184" s="62">
        <v>8800</v>
      </c>
      <c r="R184" s="62">
        <v>9600</v>
      </c>
    </row>
    <row r="185" spans="1:18">
      <c r="A185" s="59">
        <v>207</v>
      </c>
      <c r="B185" t="s">
        <v>111</v>
      </c>
      <c r="C185">
        <f>VLOOKUP(A185,справочник!$A$2:$C$322,3,FALSE)</f>
        <v>217</v>
      </c>
      <c r="D185" t="str">
        <f>IFERROR(VLOOKUP(B185,справочник!$AF$2:$AF$15,1,FALSE),"")</f>
        <v/>
      </c>
      <c r="F185" t="s">
        <v>37</v>
      </c>
      <c r="G185" s="62">
        <v>800</v>
      </c>
      <c r="H185" s="62">
        <v>1600</v>
      </c>
      <c r="I185" s="62">
        <v>2400</v>
      </c>
      <c r="J185" s="62">
        <v>3200</v>
      </c>
      <c r="K185" s="62">
        <v>4000</v>
      </c>
      <c r="L185" s="62">
        <v>4800</v>
      </c>
      <c r="M185" s="62">
        <v>5600</v>
      </c>
      <c r="N185" s="62">
        <v>6400</v>
      </c>
      <c r="O185" s="62">
        <v>7200</v>
      </c>
      <c r="P185" s="62">
        <v>8000</v>
      </c>
      <c r="Q185" s="62">
        <v>8800</v>
      </c>
      <c r="R185" s="62">
        <v>9600</v>
      </c>
    </row>
    <row r="186" spans="1:18">
      <c r="A186" s="59">
        <v>204</v>
      </c>
      <c r="B186" t="s">
        <v>188</v>
      </c>
      <c r="C186">
        <f>VLOOKUP(A186,справочник!$A$2:$C$322,3,FALSE)</f>
        <v>214</v>
      </c>
      <c r="D186" t="str">
        <f>IFERROR(VLOOKUP(B186,справочник!$AF$2:$AF$15,1,FALSE),"")</f>
        <v/>
      </c>
      <c r="F186" t="s">
        <v>37</v>
      </c>
      <c r="G186" s="62">
        <v>800</v>
      </c>
      <c r="H186" s="62">
        <v>1600</v>
      </c>
      <c r="I186" s="62">
        <v>2400</v>
      </c>
      <c r="J186" s="62">
        <v>3200</v>
      </c>
      <c r="K186" s="62">
        <v>4000</v>
      </c>
      <c r="L186" s="62">
        <v>4800</v>
      </c>
      <c r="M186" s="62">
        <v>5600</v>
      </c>
      <c r="N186" s="62">
        <v>6400</v>
      </c>
      <c r="O186" s="62">
        <v>7200</v>
      </c>
      <c r="P186" s="62">
        <v>8000</v>
      </c>
      <c r="Q186" s="62">
        <v>8800</v>
      </c>
      <c r="R186" s="62">
        <v>9600</v>
      </c>
    </row>
    <row r="187" spans="1:18">
      <c r="A187" s="59">
        <v>193</v>
      </c>
      <c r="B187" t="s">
        <v>15</v>
      </c>
      <c r="C187">
        <f>VLOOKUP(A187,справочник!$A$2:$C$322,3,FALSE)</f>
        <v>201</v>
      </c>
      <c r="D187" t="str">
        <f>IFERROR(VLOOKUP(B187,справочник!$AF$2:$AF$15,1,FALSE),"")</f>
        <v/>
      </c>
      <c r="F187" t="s">
        <v>37</v>
      </c>
      <c r="G187" s="62">
        <v>800</v>
      </c>
      <c r="H187" s="62">
        <v>1600</v>
      </c>
      <c r="I187" s="62">
        <v>2400</v>
      </c>
      <c r="J187" s="62">
        <v>3200</v>
      </c>
      <c r="K187" s="62">
        <v>4000</v>
      </c>
      <c r="L187" s="62">
        <v>4800</v>
      </c>
      <c r="M187" s="62">
        <v>5600</v>
      </c>
      <c r="N187" s="62">
        <v>6400</v>
      </c>
      <c r="O187" s="62">
        <v>7200</v>
      </c>
      <c r="P187" s="62">
        <v>8000</v>
      </c>
      <c r="Q187" s="62">
        <v>8800</v>
      </c>
      <c r="R187" s="62">
        <v>9600</v>
      </c>
    </row>
    <row r="188" spans="1:18">
      <c r="A188" s="59">
        <v>191</v>
      </c>
      <c r="B188" t="s">
        <v>19</v>
      </c>
      <c r="C188">
        <f>VLOOKUP(A188,справочник!$A$2:$C$322,3,FALSE)</f>
        <v>199</v>
      </c>
      <c r="D188" t="str">
        <f>IFERROR(VLOOKUP(B188,справочник!$AF$2:$AF$15,1,FALSE),"")</f>
        <v/>
      </c>
      <c r="F188" t="s">
        <v>247</v>
      </c>
      <c r="G188" s="62">
        <v>800</v>
      </c>
      <c r="H188" s="62">
        <v>1600</v>
      </c>
      <c r="I188" s="62">
        <v>2400</v>
      </c>
      <c r="J188" s="62">
        <v>3200</v>
      </c>
      <c r="K188" s="62">
        <v>4000</v>
      </c>
      <c r="L188" s="62">
        <v>4800</v>
      </c>
      <c r="M188" s="62">
        <v>5600</v>
      </c>
      <c r="N188" s="62">
        <v>6400</v>
      </c>
      <c r="O188" s="62">
        <v>7200</v>
      </c>
      <c r="P188" s="62">
        <v>8000</v>
      </c>
      <c r="Q188" s="62">
        <v>8800</v>
      </c>
      <c r="R188" s="62">
        <v>9600</v>
      </c>
    </row>
    <row r="189" spans="1:18">
      <c r="A189" s="59">
        <v>165</v>
      </c>
      <c r="B189" t="s">
        <v>208</v>
      </c>
      <c r="C189">
        <f>VLOOKUP(A189,справочник!$A$2:$C$322,3,FALSE)</f>
        <v>173</v>
      </c>
      <c r="D189" t="str">
        <f>IFERROR(VLOOKUP(B189,справочник!$AF$2:$AF$15,1,FALSE),"")</f>
        <v/>
      </c>
      <c r="F189" t="s">
        <v>13</v>
      </c>
      <c r="G189" s="62">
        <v>800</v>
      </c>
      <c r="H189" s="62">
        <v>1600</v>
      </c>
      <c r="I189" s="62">
        <v>2400</v>
      </c>
      <c r="J189" s="62">
        <v>3200</v>
      </c>
      <c r="K189" s="62">
        <v>4000</v>
      </c>
      <c r="L189" s="62">
        <v>4800</v>
      </c>
      <c r="M189" s="62">
        <v>5600</v>
      </c>
      <c r="N189" s="62">
        <v>6400</v>
      </c>
      <c r="O189" s="62">
        <v>7200</v>
      </c>
      <c r="P189" s="62">
        <v>8000</v>
      </c>
      <c r="Q189" s="62">
        <v>8800</v>
      </c>
      <c r="R189" s="62">
        <v>9600</v>
      </c>
    </row>
    <row r="190" spans="1:18">
      <c r="A190" s="59">
        <v>159</v>
      </c>
      <c r="B190" t="s">
        <v>78</v>
      </c>
      <c r="C190">
        <f>VLOOKUP(A190,справочник!$A$2:$C$322,3,FALSE)</f>
        <v>167</v>
      </c>
      <c r="D190" t="str">
        <f>IFERROR(VLOOKUP(B190,справочник!$AF$2:$AF$15,1,FALSE),"")</f>
        <v/>
      </c>
      <c r="F190" t="s">
        <v>13</v>
      </c>
      <c r="G190" s="62">
        <v>12800</v>
      </c>
      <c r="H190" s="62">
        <v>1600</v>
      </c>
      <c r="I190" s="62">
        <v>2400</v>
      </c>
      <c r="J190" s="62">
        <v>3200</v>
      </c>
      <c r="K190" s="62">
        <v>4000</v>
      </c>
      <c r="L190" s="62">
        <v>4800</v>
      </c>
      <c r="M190" s="62">
        <v>5600</v>
      </c>
      <c r="N190" s="62">
        <v>6400</v>
      </c>
      <c r="O190" s="62">
        <v>7200</v>
      </c>
      <c r="P190" s="62">
        <v>8000</v>
      </c>
      <c r="Q190" s="62">
        <v>8800</v>
      </c>
      <c r="R190" s="62">
        <v>9600</v>
      </c>
    </row>
    <row r="191" spans="1:18">
      <c r="A191" s="59">
        <v>142</v>
      </c>
      <c r="B191" t="s">
        <v>33</v>
      </c>
      <c r="C191">
        <f>VLOOKUP(A191,справочник!$A$2:$C$322,3,FALSE)</f>
        <v>150</v>
      </c>
      <c r="D191" t="str">
        <f>IFERROR(VLOOKUP(B191,справочник!$AF$2:$AF$15,1,FALSE),"")</f>
        <v/>
      </c>
      <c r="F191" t="s">
        <v>641</v>
      </c>
      <c r="G191" s="62">
        <v>800</v>
      </c>
      <c r="H191" s="62">
        <v>1600</v>
      </c>
      <c r="I191" s="62">
        <v>2400</v>
      </c>
      <c r="J191" s="62">
        <v>3200</v>
      </c>
      <c r="K191" s="62">
        <v>4000</v>
      </c>
      <c r="L191" s="62">
        <v>4800</v>
      </c>
      <c r="M191" s="62">
        <v>5600</v>
      </c>
      <c r="N191" s="62">
        <v>6400</v>
      </c>
      <c r="O191" s="62">
        <v>7200</v>
      </c>
      <c r="P191" s="62">
        <v>8000</v>
      </c>
      <c r="Q191" s="62">
        <v>8800</v>
      </c>
      <c r="R191" s="62">
        <v>9600</v>
      </c>
    </row>
    <row r="192" spans="1:18">
      <c r="A192" s="59">
        <v>54</v>
      </c>
      <c r="B192" t="s">
        <v>251</v>
      </c>
      <c r="C192">
        <f>VLOOKUP(A192,справочник!$A$2:$C$322,3,FALSE)</f>
        <v>56</v>
      </c>
      <c r="D192" t="str">
        <f>IFERROR(VLOOKUP(B192,справочник!$AF$2:$AF$15,1,FALSE),"")</f>
        <v/>
      </c>
      <c r="F192" t="s">
        <v>642</v>
      </c>
      <c r="G192" s="62">
        <v>800</v>
      </c>
      <c r="H192" s="62">
        <v>1600</v>
      </c>
      <c r="I192" s="62">
        <v>2400</v>
      </c>
      <c r="J192" s="62">
        <v>3200</v>
      </c>
      <c r="K192" s="62">
        <v>4000</v>
      </c>
      <c r="L192" s="62">
        <v>4800</v>
      </c>
      <c r="M192" s="62">
        <v>5600</v>
      </c>
      <c r="N192" s="62">
        <v>6400</v>
      </c>
      <c r="O192" s="62">
        <v>7200</v>
      </c>
      <c r="P192" s="62">
        <v>8000</v>
      </c>
      <c r="Q192" s="62">
        <v>8800</v>
      </c>
      <c r="R192" s="62">
        <v>9600</v>
      </c>
    </row>
    <row r="193" spans="1:18">
      <c r="A193" s="59">
        <v>53</v>
      </c>
      <c r="B193" t="s">
        <v>205</v>
      </c>
      <c r="C193">
        <f>VLOOKUP(A193,справочник!$A$2:$C$322,3,FALSE)</f>
        <v>55</v>
      </c>
      <c r="D193" t="str">
        <f>IFERROR(VLOOKUP(B193,справочник!$AF$2:$AF$15,1,FALSE),"")</f>
        <v/>
      </c>
      <c r="F193" t="s">
        <v>642</v>
      </c>
      <c r="G193" s="62">
        <v>800</v>
      </c>
      <c r="H193" s="62">
        <v>1600</v>
      </c>
      <c r="I193" s="62">
        <v>2400</v>
      </c>
      <c r="J193" s="62">
        <v>3200</v>
      </c>
      <c r="K193" s="62">
        <v>4000</v>
      </c>
      <c r="L193" s="62">
        <v>4800</v>
      </c>
      <c r="M193" s="62">
        <v>5600</v>
      </c>
      <c r="N193" s="62">
        <v>6400</v>
      </c>
      <c r="O193" s="62">
        <v>7200</v>
      </c>
      <c r="P193" s="62">
        <v>8000</v>
      </c>
      <c r="Q193" s="62">
        <v>8800</v>
      </c>
      <c r="R193" s="62">
        <v>9600</v>
      </c>
    </row>
    <row r="194" spans="1:18">
      <c r="A194" s="59">
        <v>37</v>
      </c>
      <c r="B194" t="s">
        <v>52</v>
      </c>
      <c r="C194">
        <f>VLOOKUP(A194,справочник!$A$2:$C$322,3,FALSE)</f>
        <v>37</v>
      </c>
      <c r="D194" t="str">
        <f>IFERROR(VLOOKUP(B194,справочник!$AF$2:$AF$15,1,FALSE),"")</f>
        <v/>
      </c>
      <c r="F194" t="s">
        <v>642</v>
      </c>
      <c r="G194" s="62">
        <v>800</v>
      </c>
      <c r="H194" s="62">
        <v>1600</v>
      </c>
      <c r="I194" s="62">
        <v>2400</v>
      </c>
      <c r="J194" s="62">
        <v>3200</v>
      </c>
      <c r="K194" s="62">
        <v>4000</v>
      </c>
      <c r="L194" s="62">
        <v>4800</v>
      </c>
      <c r="M194" s="62">
        <v>5600</v>
      </c>
      <c r="N194" s="62">
        <v>6400</v>
      </c>
      <c r="O194" s="62">
        <v>7200</v>
      </c>
      <c r="P194" s="62">
        <v>8000</v>
      </c>
      <c r="Q194" s="62">
        <v>8800</v>
      </c>
      <c r="R194" s="62">
        <v>9600</v>
      </c>
    </row>
    <row r="195" spans="1:18">
      <c r="A195" s="59">
        <v>29</v>
      </c>
      <c r="B195" t="s">
        <v>197</v>
      </c>
      <c r="C195">
        <f>VLOOKUP(A195,справочник!$A$2:$C$322,3,FALSE)</f>
        <v>29</v>
      </c>
      <c r="D195" t="str">
        <f>IFERROR(VLOOKUP(B195,справочник!$AF$2:$AF$15,1,FALSE),"")</f>
        <v/>
      </c>
      <c r="F195" t="s">
        <v>90</v>
      </c>
      <c r="G195" s="62">
        <v>800</v>
      </c>
      <c r="H195" s="62">
        <v>1600</v>
      </c>
      <c r="I195" s="62">
        <v>2400</v>
      </c>
      <c r="J195" s="62">
        <v>3200</v>
      </c>
      <c r="K195" s="62">
        <v>4000</v>
      </c>
      <c r="L195" s="62">
        <v>4800</v>
      </c>
      <c r="M195" s="62">
        <v>5600</v>
      </c>
      <c r="N195" s="62">
        <v>6400</v>
      </c>
      <c r="O195" s="62">
        <v>7200</v>
      </c>
      <c r="P195" s="62">
        <v>8000</v>
      </c>
      <c r="Q195" s="62">
        <v>8800</v>
      </c>
      <c r="R195" s="62">
        <v>9600</v>
      </c>
    </row>
    <row r="196" spans="1:18">
      <c r="A196" s="59">
        <v>18</v>
      </c>
      <c r="B196" t="s">
        <v>74</v>
      </c>
      <c r="C196">
        <f>VLOOKUP(A196,справочник!$A$2:$C$322,3,FALSE)</f>
        <v>18</v>
      </c>
      <c r="D196" t="str">
        <f>IFERROR(VLOOKUP(B196,справочник!$AF$2:$AF$15,1,FALSE),"")</f>
        <v/>
      </c>
      <c r="F196" t="s">
        <v>90</v>
      </c>
      <c r="G196" s="62">
        <v>800</v>
      </c>
      <c r="H196" s="62">
        <v>1600</v>
      </c>
      <c r="I196" s="62">
        <v>2400</v>
      </c>
      <c r="J196" s="62">
        <v>3200</v>
      </c>
      <c r="K196" s="62">
        <v>4000</v>
      </c>
      <c r="L196" s="62">
        <v>4800</v>
      </c>
      <c r="M196" s="62">
        <v>5600</v>
      </c>
      <c r="N196" s="62">
        <v>6400</v>
      </c>
      <c r="O196" s="62">
        <v>7200</v>
      </c>
      <c r="P196" s="62">
        <v>8000</v>
      </c>
      <c r="Q196" s="62">
        <v>8800</v>
      </c>
      <c r="R196" s="62">
        <v>9600</v>
      </c>
    </row>
    <row r="197" spans="1:18">
      <c r="A197" s="59">
        <v>10</v>
      </c>
      <c r="B197" t="s">
        <v>305</v>
      </c>
      <c r="C197">
        <f>VLOOKUP(A197,справочник!$A$2:$C$322,3,FALSE)</f>
        <v>10</v>
      </c>
      <c r="D197" t="str">
        <f>IFERROR(VLOOKUP(B197,справочник!$AF$2:$AF$15,1,FALSE),"")</f>
        <v/>
      </c>
      <c r="F197" t="s">
        <v>90</v>
      </c>
      <c r="G197" s="62">
        <v>800</v>
      </c>
      <c r="H197" s="62">
        <v>1600</v>
      </c>
      <c r="I197" s="62">
        <v>2400</v>
      </c>
      <c r="J197" s="62">
        <v>3200</v>
      </c>
      <c r="K197" s="62">
        <v>4000</v>
      </c>
      <c r="L197" s="62">
        <v>4800</v>
      </c>
      <c r="M197" s="62">
        <v>5600</v>
      </c>
      <c r="N197" s="62">
        <v>6400</v>
      </c>
      <c r="O197" s="62">
        <v>7200</v>
      </c>
      <c r="P197" s="62">
        <v>8000</v>
      </c>
      <c r="Q197" s="62">
        <v>8800</v>
      </c>
      <c r="R197" s="62">
        <v>9600</v>
      </c>
    </row>
    <row r="198" spans="1:18">
      <c r="A198" s="59">
        <v>121</v>
      </c>
      <c r="B198" t="s">
        <v>97</v>
      </c>
      <c r="C198">
        <f>VLOOKUP(A198,справочник!$A$2:$C$322,3,FALSE)</f>
        <v>126</v>
      </c>
      <c r="D198" t="str">
        <f>IFERROR(VLOOKUP(B198,справочник!$AF$2:$AF$15,1,FALSE),"")</f>
        <v/>
      </c>
      <c r="F198" t="s">
        <v>645</v>
      </c>
      <c r="G198" s="62">
        <v>3800</v>
      </c>
      <c r="H198" s="62">
        <v>4600</v>
      </c>
      <c r="I198" s="62">
        <v>5400</v>
      </c>
      <c r="J198" s="62">
        <v>3000</v>
      </c>
      <c r="K198" s="62">
        <v>3800</v>
      </c>
      <c r="L198" s="62">
        <v>4600</v>
      </c>
      <c r="M198" s="62">
        <v>5400</v>
      </c>
      <c r="N198" s="62">
        <v>6200</v>
      </c>
      <c r="O198" s="62">
        <v>7000</v>
      </c>
      <c r="P198" s="62">
        <v>7800</v>
      </c>
      <c r="Q198" s="62">
        <v>8600</v>
      </c>
      <c r="R198" s="62">
        <v>9400</v>
      </c>
    </row>
    <row r="199" spans="1:18">
      <c r="A199" s="59">
        <v>263</v>
      </c>
      <c r="B199" t="s">
        <v>244</v>
      </c>
      <c r="C199">
        <f>VLOOKUP(A199,справочник!$A$2:$C$322,3,FALSE)</f>
        <v>276</v>
      </c>
      <c r="D199" t="str">
        <f>IFERROR(VLOOKUP(B199,справочник!$AF$2:$AF$15,1,FALSE),"")</f>
        <v/>
      </c>
      <c r="F199" t="s">
        <v>146</v>
      </c>
      <c r="G199" s="62">
        <v>3800</v>
      </c>
      <c r="H199" s="62">
        <v>2000</v>
      </c>
      <c r="I199" s="62">
        <v>2000</v>
      </c>
      <c r="J199" s="62">
        <v>2800</v>
      </c>
      <c r="K199" s="62">
        <v>3600</v>
      </c>
      <c r="L199" s="62">
        <v>4400</v>
      </c>
      <c r="M199" s="62">
        <v>5200</v>
      </c>
      <c r="N199" s="62">
        <v>6000</v>
      </c>
      <c r="O199" s="62">
        <v>6800</v>
      </c>
      <c r="P199" s="62">
        <v>7600</v>
      </c>
      <c r="Q199" s="62">
        <v>8400</v>
      </c>
      <c r="R199" s="62">
        <v>9200</v>
      </c>
    </row>
    <row r="200" spans="1:18">
      <c r="A200" s="59">
        <v>154</v>
      </c>
      <c r="B200" t="s">
        <v>161</v>
      </c>
      <c r="C200">
        <f>VLOOKUP(A200,справочник!$A$2:$C$322,3,FALSE)</f>
        <v>162</v>
      </c>
      <c r="D200" t="str">
        <f>IFERROR(VLOOKUP(B200,справочник!$AF$2:$AF$15,1,FALSE),"")</f>
        <v/>
      </c>
      <c r="F200" t="s">
        <v>13</v>
      </c>
      <c r="G200" s="62">
        <v>4800</v>
      </c>
      <c r="H200" s="62">
        <v>5600</v>
      </c>
      <c r="I200" s="62">
        <v>6400</v>
      </c>
      <c r="J200" s="62">
        <v>4800</v>
      </c>
      <c r="K200" s="62">
        <v>4800</v>
      </c>
      <c r="L200" s="62">
        <v>4000</v>
      </c>
      <c r="M200" s="62">
        <v>4800</v>
      </c>
      <c r="N200" s="62">
        <v>5600</v>
      </c>
      <c r="O200" s="62">
        <v>6400</v>
      </c>
      <c r="P200" s="62">
        <v>7200</v>
      </c>
      <c r="Q200" s="62">
        <v>8000</v>
      </c>
      <c r="R200" s="62">
        <v>8800</v>
      </c>
    </row>
    <row r="201" spans="1:18">
      <c r="A201" s="59">
        <v>240</v>
      </c>
      <c r="B201" t="s">
        <v>304</v>
      </c>
      <c r="C201">
        <f>VLOOKUP(A201,справочник!$A$2:$C$322,3,FALSE)</f>
        <v>251</v>
      </c>
      <c r="D201" t="str">
        <f>IFERROR(VLOOKUP(B201,справочник!$AF$2:$AF$15,1,FALSE),"")</f>
        <v/>
      </c>
      <c r="F201" t="s">
        <v>644</v>
      </c>
      <c r="G201" s="62">
        <v>-200</v>
      </c>
      <c r="H201" s="62">
        <v>600</v>
      </c>
      <c r="I201" s="62">
        <v>1400</v>
      </c>
      <c r="J201" s="62">
        <v>2200</v>
      </c>
      <c r="K201" s="62">
        <v>3000</v>
      </c>
      <c r="L201" s="62">
        <v>3800</v>
      </c>
      <c r="M201" s="62">
        <v>4600</v>
      </c>
      <c r="N201" s="62">
        <v>5400</v>
      </c>
      <c r="O201" s="62">
        <v>6200</v>
      </c>
      <c r="P201" s="62">
        <v>7000</v>
      </c>
      <c r="Q201" s="62">
        <v>7800</v>
      </c>
      <c r="R201" s="62">
        <v>8600</v>
      </c>
    </row>
    <row r="202" spans="1:18">
      <c r="A202" s="59">
        <v>231</v>
      </c>
      <c r="B202" t="s">
        <v>112</v>
      </c>
      <c r="C202">
        <f>VLOOKUP(A202,справочник!$A$2:$C$322,3,FALSE)</f>
        <v>240</v>
      </c>
      <c r="D202" t="str">
        <f>IFERROR(VLOOKUP(B202,справочник!$AF$2:$AF$15,1,FALSE),"")</f>
        <v/>
      </c>
      <c r="F202" t="s">
        <v>109</v>
      </c>
      <c r="G202" s="62">
        <v>5800</v>
      </c>
      <c r="H202" s="62">
        <v>1600</v>
      </c>
      <c r="I202" s="62">
        <v>2400</v>
      </c>
      <c r="J202" s="62">
        <v>2200</v>
      </c>
      <c r="K202" s="62">
        <v>3000</v>
      </c>
      <c r="L202" s="62">
        <v>3800</v>
      </c>
      <c r="M202" s="62">
        <v>4600</v>
      </c>
      <c r="N202" s="62">
        <v>5400</v>
      </c>
      <c r="O202" s="62">
        <v>6200</v>
      </c>
      <c r="P202" s="62">
        <v>7000</v>
      </c>
      <c r="Q202" s="62">
        <v>7800</v>
      </c>
      <c r="R202" s="62">
        <v>8600</v>
      </c>
    </row>
    <row r="203" spans="1:18">
      <c r="A203" s="59">
        <v>194</v>
      </c>
      <c r="B203" t="s">
        <v>141</v>
      </c>
      <c r="C203">
        <f>VLOOKUP(A203,справочник!$A$2:$C$322,3,FALSE)</f>
        <v>202</v>
      </c>
      <c r="D203" t="str">
        <f>IFERROR(VLOOKUP(B203,справочник!$AF$2:$AF$15,1,FALSE),"")</f>
        <v/>
      </c>
      <c r="F203" t="s">
        <v>37</v>
      </c>
      <c r="G203" s="62">
        <v>4800</v>
      </c>
      <c r="H203" s="62">
        <v>600</v>
      </c>
      <c r="I203" s="62">
        <v>1400</v>
      </c>
      <c r="J203" s="62">
        <v>2200</v>
      </c>
      <c r="K203" s="62">
        <v>3000</v>
      </c>
      <c r="L203" s="62">
        <v>3800</v>
      </c>
      <c r="M203" s="62">
        <v>4600</v>
      </c>
      <c r="N203" s="62">
        <v>5400</v>
      </c>
      <c r="O203" s="62">
        <v>6200</v>
      </c>
      <c r="P203" s="62">
        <v>7000</v>
      </c>
      <c r="Q203" s="62">
        <v>7800</v>
      </c>
      <c r="R203" s="62">
        <v>8600</v>
      </c>
    </row>
    <row r="204" spans="1:18">
      <c r="A204" s="59">
        <v>186</v>
      </c>
      <c r="B204" t="s">
        <v>172</v>
      </c>
      <c r="C204">
        <f>VLOOKUP(A204,справочник!$A$2:$C$322,3,FALSE)</f>
        <v>194</v>
      </c>
      <c r="D204" t="str">
        <f>IFERROR(VLOOKUP(B204,справочник!$AF$2:$AF$15,1,FALSE),"")</f>
        <v/>
      </c>
      <c r="F204" t="s">
        <v>247</v>
      </c>
      <c r="G204" s="62">
        <v>4800</v>
      </c>
      <c r="H204" s="62">
        <v>5600</v>
      </c>
      <c r="I204" s="62">
        <v>6400</v>
      </c>
      <c r="J204" s="62">
        <v>2200</v>
      </c>
      <c r="K204" s="62">
        <v>3000</v>
      </c>
      <c r="L204" s="62">
        <v>3800</v>
      </c>
      <c r="M204" s="62">
        <v>4600</v>
      </c>
      <c r="N204" s="62">
        <v>5400</v>
      </c>
      <c r="O204" s="62">
        <v>6200</v>
      </c>
      <c r="P204" s="62">
        <v>7000</v>
      </c>
      <c r="Q204" s="62">
        <v>7800</v>
      </c>
      <c r="R204" s="62">
        <v>8600</v>
      </c>
    </row>
    <row r="205" spans="1:18">
      <c r="A205" s="59">
        <v>82</v>
      </c>
      <c r="B205" t="s">
        <v>114</v>
      </c>
      <c r="C205">
        <f>VLOOKUP(A205,справочник!$A$2:$C$322,3,FALSE)</f>
        <v>87</v>
      </c>
      <c r="D205" t="str">
        <f>IFERROR(VLOOKUP(B205,справочник!$AF$2:$AF$15,1,FALSE),"")</f>
        <v/>
      </c>
      <c r="F205" t="s">
        <v>2</v>
      </c>
      <c r="G205" s="62">
        <v>2800</v>
      </c>
      <c r="H205" s="62">
        <v>3600</v>
      </c>
      <c r="I205" s="62">
        <v>1400</v>
      </c>
      <c r="J205" s="62">
        <v>2200</v>
      </c>
      <c r="K205" s="62">
        <v>3000</v>
      </c>
      <c r="L205" s="62">
        <v>3800</v>
      </c>
      <c r="M205" s="62">
        <v>4600</v>
      </c>
      <c r="N205" s="62">
        <v>5400</v>
      </c>
      <c r="O205" s="62">
        <v>6200</v>
      </c>
      <c r="P205" s="62">
        <v>7000</v>
      </c>
      <c r="Q205" s="62">
        <v>7800</v>
      </c>
      <c r="R205" s="62">
        <v>8600</v>
      </c>
    </row>
    <row r="206" spans="1:18">
      <c r="A206" s="59">
        <v>1</v>
      </c>
      <c r="B206" s="68" t="s">
        <v>124</v>
      </c>
      <c r="C206">
        <f>VLOOKUP(A206,справочник!$A$2:$C$322,3,FALSE)</f>
        <v>1</v>
      </c>
      <c r="D206" t="str">
        <f>IFERROR(VLOOKUP(B206,справочник!$AF$2:$AF$15,1,FALSE),"")</f>
        <v/>
      </c>
      <c r="F206" t="s">
        <v>90</v>
      </c>
      <c r="G206" s="69">
        <v>3800</v>
      </c>
      <c r="H206" s="69">
        <v>400</v>
      </c>
      <c r="I206" s="69">
        <v>1200</v>
      </c>
      <c r="J206" s="69">
        <v>2000</v>
      </c>
      <c r="K206" s="69">
        <v>2800</v>
      </c>
      <c r="L206" s="69">
        <v>3600</v>
      </c>
      <c r="M206" s="69">
        <v>4400</v>
      </c>
      <c r="N206" s="69">
        <v>5200</v>
      </c>
      <c r="O206" s="69">
        <v>6000</v>
      </c>
      <c r="P206" s="69">
        <v>6800</v>
      </c>
      <c r="Q206" s="69">
        <v>7600</v>
      </c>
      <c r="R206" s="69">
        <v>8400</v>
      </c>
    </row>
    <row r="207" spans="1:18">
      <c r="A207" s="59">
        <v>83</v>
      </c>
      <c r="B207" t="s">
        <v>131</v>
      </c>
      <c r="C207">
        <f>VLOOKUP(A207,справочник!$A$2:$C$322,3,FALSE)</f>
        <v>88</v>
      </c>
      <c r="D207" t="str">
        <f>IFERROR(VLOOKUP(B207,справочник!$AF$2:$AF$15,1,FALSE),"")</f>
        <v/>
      </c>
      <c r="F207" t="s">
        <v>2</v>
      </c>
      <c r="G207" s="62">
        <v>3000</v>
      </c>
      <c r="H207" s="62">
        <v>3000</v>
      </c>
      <c r="I207" s="62">
        <v>3000</v>
      </c>
      <c r="J207" s="62">
        <v>3000</v>
      </c>
      <c r="K207" s="62">
        <v>3000</v>
      </c>
      <c r="L207" s="62">
        <v>3000</v>
      </c>
      <c r="M207" s="62">
        <v>3800</v>
      </c>
      <c r="N207" s="62">
        <v>4600</v>
      </c>
      <c r="O207" s="62">
        <v>5400</v>
      </c>
      <c r="P207" s="62">
        <v>6200</v>
      </c>
      <c r="Q207" s="62">
        <v>7000</v>
      </c>
      <c r="R207" s="62">
        <v>7800</v>
      </c>
    </row>
    <row r="208" spans="1:18">
      <c r="A208" s="59">
        <v>277</v>
      </c>
      <c r="B208" t="s">
        <v>9</v>
      </c>
      <c r="C208">
        <f>VLOOKUP(A208,справочник!$A$2:$C$322,3,FALSE)</f>
        <v>290</v>
      </c>
      <c r="D208" t="str">
        <f>IFERROR(VLOOKUP(B208,справочник!$AF$2:$AF$15,1,FALSE),"")</f>
        <v/>
      </c>
      <c r="F208" t="s">
        <v>643</v>
      </c>
      <c r="G208" s="62">
        <v>-1200</v>
      </c>
      <c r="H208" s="62">
        <v>-400</v>
      </c>
      <c r="I208" s="62">
        <v>400</v>
      </c>
      <c r="J208" s="62">
        <v>1200</v>
      </c>
      <c r="K208" s="62">
        <v>2000</v>
      </c>
      <c r="L208" s="62">
        <v>2800</v>
      </c>
      <c r="M208" s="62">
        <v>3600</v>
      </c>
      <c r="N208" s="62">
        <v>4400</v>
      </c>
      <c r="O208" s="62">
        <v>5200</v>
      </c>
      <c r="P208" s="62">
        <v>6000</v>
      </c>
      <c r="Q208" s="62">
        <v>6800</v>
      </c>
      <c r="R208" s="62">
        <v>7600</v>
      </c>
    </row>
    <row r="209" spans="1:18">
      <c r="A209" s="59">
        <v>264</v>
      </c>
      <c r="B209" t="s">
        <v>81</v>
      </c>
      <c r="C209">
        <f>VLOOKUP(A209,справочник!$A$2:$C$322,3,FALSE)</f>
        <v>277</v>
      </c>
      <c r="D209" t="str">
        <f>IFERROR(VLOOKUP(B209,справочник!$AF$2:$AF$15,1,FALSE),"")</f>
        <v/>
      </c>
      <c r="F209" t="s">
        <v>146</v>
      </c>
      <c r="G209" s="62">
        <v>800</v>
      </c>
      <c r="H209" s="62">
        <v>1600</v>
      </c>
      <c r="I209" s="62">
        <v>400</v>
      </c>
      <c r="J209" s="62">
        <v>1200</v>
      </c>
      <c r="K209" s="62">
        <v>2000</v>
      </c>
      <c r="L209" s="62">
        <v>2800</v>
      </c>
      <c r="M209" s="62">
        <v>3600</v>
      </c>
      <c r="N209" s="62">
        <v>4400</v>
      </c>
      <c r="O209" s="62">
        <v>5200</v>
      </c>
      <c r="P209" s="62">
        <v>6000</v>
      </c>
      <c r="Q209" s="62">
        <v>6800</v>
      </c>
      <c r="R209" s="62">
        <v>7600</v>
      </c>
    </row>
    <row r="210" spans="1:18">
      <c r="A210" s="59">
        <v>256</v>
      </c>
      <c r="B210" t="s">
        <v>284</v>
      </c>
      <c r="C210">
        <f>VLOOKUP(A210,справочник!$A$2:$C$322,3,FALSE)</f>
        <v>269</v>
      </c>
      <c r="D210" t="str">
        <f>IFERROR(VLOOKUP(B210,справочник!$AF$2:$AF$15,1,FALSE),"")</f>
        <v/>
      </c>
      <c r="F210" t="s">
        <v>146</v>
      </c>
      <c r="G210" s="62">
        <v>-1200</v>
      </c>
      <c r="H210" s="62">
        <v>-400</v>
      </c>
      <c r="I210" s="62">
        <v>400</v>
      </c>
      <c r="J210" s="62">
        <v>1200</v>
      </c>
      <c r="K210" s="62">
        <v>2000</v>
      </c>
      <c r="L210" s="62">
        <v>2800</v>
      </c>
      <c r="M210" s="62">
        <v>3600</v>
      </c>
      <c r="N210" s="62">
        <v>4400</v>
      </c>
      <c r="O210" s="62">
        <v>5200</v>
      </c>
      <c r="P210" s="62">
        <v>6000</v>
      </c>
      <c r="Q210" s="62">
        <v>6800</v>
      </c>
      <c r="R210" s="62">
        <v>7600</v>
      </c>
    </row>
    <row r="211" spans="1:18">
      <c r="A211" s="59">
        <v>237</v>
      </c>
      <c r="B211" t="s">
        <v>243</v>
      </c>
      <c r="C211">
        <f>VLOOKUP(A211,справочник!$A$2:$C$322,3,FALSE)</f>
        <v>248</v>
      </c>
      <c r="D211" t="str">
        <f>IFERROR(VLOOKUP(B211,справочник!$AF$2:$AF$15,1,FALSE),"")</f>
        <v/>
      </c>
      <c r="F211" t="s">
        <v>644</v>
      </c>
      <c r="G211" s="62">
        <v>800</v>
      </c>
      <c r="H211" s="62">
        <v>1600</v>
      </c>
      <c r="I211" s="62">
        <v>400</v>
      </c>
      <c r="J211" s="62">
        <v>1200</v>
      </c>
      <c r="K211" s="62">
        <v>2000</v>
      </c>
      <c r="L211" s="62">
        <v>2800</v>
      </c>
      <c r="M211" s="62">
        <v>3600</v>
      </c>
      <c r="N211" s="62">
        <v>4400</v>
      </c>
      <c r="O211" s="62">
        <v>5200</v>
      </c>
      <c r="P211" s="62">
        <v>6000</v>
      </c>
      <c r="Q211" s="62">
        <v>6800</v>
      </c>
      <c r="R211" s="62">
        <v>7600</v>
      </c>
    </row>
    <row r="212" spans="1:18">
      <c r="A212" s="59">
        <v>211</v>
      </c>
      <c r="B212" t="s">
        <v>174</v>
      </c>
      <c r="C212">
        <f>VLOOKUP(A212,справочник!$A$2:$C$322,3,FALSE)</f>
        <v>220</v>
      </c>
      <c r="D212" t="str">
        <f>IFERROR(VLOOKUP(B212,справочник!$AF$2:$AF$15,1,FALSE),"")</f>
        <v/>
      </c>
      <c r="F212" t="s">
        <v>37</v>
      </c>
      <c r="G212" s="62">
        <v>-1200</v>
      </c>
      <c r="H212" s="62">
        <v>-400</v>
      </c>
      <c r="I212" s="62">
        <v>400</v>
      </c>
      <c r="J212" s="62">
        <v>1200</v>
      </c>
      <c r="K212" s="62">
        <v>2000</v>
      </c>
      <c r="L212" s="62">
        <v>2800</v>
      </c>
      <c r="M212" s="62">
        <v>3600</v>
      </c>
      <c r="N212" s="62">
        <v>4400</v>
      </c>
      <c r="O212" s="62">
        <v>5200</v>
      </c>
      <c r="P212" s="62">
        <v>6000</v>
      </c>
      <c r="Q212" s="62">
        <v>6800</v>
      </c>
      <c r="R212" s="62">
        <v>7600</v>
      </c>
    </row>
    <row r="213" spans="1:18">
      <c r="A213" s="59">
        <v>116</v>
      </c>
      <c r="B213" t="s">
        <v>256</v>
      </c>
      <c r="C213">
        <f>VLOOKUP(A213,справочник!$A$2:$C$322,3,FALSE)</f>
        <v>121</v>
      </c>
      <c r="D213" t="str">
        <f>IFERROR(VLOOKUP(B213,справочник!$AF$2:$AF$15,1,FALSE),"")</f>
        <v/>
      </c>
      <c r="F213" t="s">
        <v>645</v>
      </c>
      <c r="G213" s="62">
        <v>8800</v>
      </c>
      <c r="H213" s="62">
        <v>9600</v>
      </c>
      <c r="I213" s="62">
        <v>400</v>
      </c>
      <c r="J213" s="62">
        <v>1200</v>
      </c>
      <c r="K213" s="62">
        <v>2000</v>
      </c>
      <c r="L213" s="62">
        <v>2800</v>
      </c>
      <c r="M213" s="62">
        <v>3600</v>
      </c>
      <c r="N213" s="62">
        <v>4400</v>
      </c>
      <c r="O213" s="62">
        <v>5200</v>
      </c>
      <c r="P213" s="62">
        <v>6000</v>
      </c>
      <c r="Q213" s="62">
        <v>6800</v>
      </c>
      <c r="R213" s="62">
        <v>7600</v>
      </c>
    </row>
    <row r="214" spans="1:18">
      <c r="A214" s="59">
        <v>50</v>
      </c>
      <c r="B214" t="s">
        <v>71</v>
      </c>
      <c r="C214">
        <f>VLOOKUP(A214,справочник!$A$2:$C$322,3,FALSE)</f>
        <v>50</v>
      </c>
      <c r="D214" t="str">
        <f>IFERROR(VLOOKUP(B214,справочник!$AF$2:$AF$15,1,FALSE),"")</f>
        <v/>
      </c>
      <c r="F214" t="s">
        <v>642</v>
      </c>
      <c r="G214" s="62">
        <v>10800</v>
      </c>
      <c r="H214" s="62">
        <v>11600</v>
      </c>
      <c r="I214" s="62">
        <v>400</v>
      </c>
      <c r="J214" s="62">
        <v>1200</v>
      </c>
      <c r="K214" s="62">
        <v>2000</v>
      </c>
      <c r="L214" s="62">
        <v>2800</v>
      </c>
      <c r="M214" s="62">
        <v>3600</v>
      </c>
      <c r="N214" s="62">
        <v>4400</v>
      </c>
      <c r="O214" s="62">
        <v>5200</v>
      </c>
      <c r="P214" s="62">
        <v>6000</v>
      </c>
      <c r="Q214" s="62">
        <v>6800</v>
      </c>
      <c r="R214" s="62">
        <v>7600</v>
      </c>
    </row>
    <row r="215" spans="1:18">
      <c r="A215" s="59">
        <v>17</v>
      </c>
      <c r="B215" t="s">
        <v>308</v>
      </c>
      <c r="C215">
        <f>VLOOKUP(A215,справочник!$A$2:$C$322,3,FALSE)</f>
        <v>17</v>
      </c>
      <c r="D215" t="str">
        <f>IFERROR(VLOOKUP(B215,справочник!$AF$2:$AF$15,1,FALSE),"")</f>
        <v/>
      </c>
      <c r="F215" t="s">
        <v>90</v>
      </c>
      <c r="G215" s="62">
        <v>2800</v>
      </c>
      <c r="H215" s="62">
        <v>3600</v>
      </c>
      <c r="I215" s="62">
        <v>2400</v>
      </c>
      <c r="J215" s="62">
        <v>3200</v>
      </c>
      <c r="K215" s="62">
        <v>4000</v>
      </c>
      <c r="L215" s="62">
        <v>2800</v>
      </c>
      <c r="M215" s="62">
        <v>3600</v>
      </c>
      <c r="N215" s="62">
        <v>4400</v>
      </c>
      <c r="O215" s="62">
        <v>5200</v>
      </c>
      <c r="P215" s="62">
        <v>6000</v>
      </c>
      <c r="Q215" s="62">
        <v>6800</v>
      </c>
      <c r="R215" s="62">
        <v>7600</v>
      </c>
    </row>
    <row r="216" spans="1:18">
      <c r="A216" s="59">
        <v>8</v>
      </c>
      <c r="B216" t="s">
        <v>115</v>
      </c>
      <c r="C216">
        <f>VLOOKUP(A216,справочник!$A$2:$C$322,3,FALSE)</f>
        <v>8</v>
      </c>
      <c r="D216" t="str">
        <f>IFERROR(VLOOKUP(B216,справочник!$AF$2:$AF$15,1,FALSE),"")</f>
        <v/>
      </c>
      <c r="F216" t="s">
        <v>90</v>
      </c>
      <c r="G216" s="62">
        <v>2800</v>
      </c>
      <c r="H216" s="62">
        <v>3600</v>
      </c>
      <c r="I216" s="62">
        <v>4400</v>
      </c>
      <c r="J216" s="62">
        <v>5200</v>
      </c>
      <c r="K216" s="62">
        <v>6000</v>
      </c>
      <c r="L216" s="62">
        <v>2800</v>
      </c>
      <c r="M216" s="62">
        <v>3600</v>
      </c>
      <c r="N216" s="62">
        <v>4400</v>
      </c>
      <c r="O216" s="62">
        <v>5200</v>
      </c>
      <c r="P216" s="62">
        <v>6000</v>
      </c>
      <c r="Q216" s="62">
        <v>6800</v>
      </c>
      <c r="R216" s="62">
        <v>7600</v>
      </c>
    </row>
    <row r="217" spans="1:18">
      <c r="A217" s="59">
        <v>4</v>
      </c>
      <c r="B217" t="s">
        <v>88</v>
      </c>
      <c r="C217">
        <f>VLOOKUP(A217,справочник!$A$2:$C$322,3,FALSE)</f>
        <v>4</v>
      </c>
      <c r="D217" t="str">
        <f>IFERROR(VLOOKUP(B217,справочник!$AF$2:$AF$15,1,FALSE),"")</f>
        <v/>
      </c>
      <c r="F217" t="s">
        <v>90</v>
      </c>
      <c r="G217" s="62">
        <v>3800</v>
      </c>
      <c r="H217" s="62">
        <v>4600</v>
      </c>
      <c r="I217" s="62">
        <v>5400</v>
      </c>
      <c r="J217" s="62">
        <v>6200</v>
      </c>
      <c r="K217" s="62">
        <v>2000</v>
      </c>
      <c r="L217" s="62">
        <v>2800</v>
      </c>
      <c r="M217" s="62">
        <v>3600</v>
      </c>
      <c r="N217" s="62">
        <v>4400</v>
      </c>
      <c r="O217" s="62">
        <v>5200</v>
      </c>
      <c r="P217" s="62">
        <v>6000</v>
      </c>
      <c r="Q217" s="62">
        <v>6800</v>
      </c>
      <c r="R217" s="62">
        <v>7600</v>
      </c>
    </row>
    <row r="218" spans="1:18">
      <c r="A218" s="59">
        <v>137</v>
      </c>
      <c r="B218" t="s">
        <v>38</v>
      </c>
      <c r="C218">
        <f>VLOOKUP(A218,справочник!$A$2:$C$322,3,FALSE)</f>
        <v>145</v>
      </c>
      <c r="D218" t="str">
        <f>IFERROR(VLOOKUP(B218,справочник!$AF$2:$AF$15,1,FALSE),"")</f>
        <v/>
      </c>
      <c r="F218" t="s">
        <v>641</v>
      </c>
      <c r="G218" s="62">
        <v>800</v>
      </c>
      <c r="H218" s="62">
        <v>0</v>
      </c>
      <c r="I218" s="62">
        <v>800</v>
      </c>
      <c r="J218" s="62">
        <v>1600</v>
      </c>
      <c r="K218" s="62">
        <v>2400</v>
      </c>
      <c r="L218" s="62">
        <v>2400</v>
      </c>
      <c r="M218" s="62">
        <v>3200</v>
      </c>
      <c r="N218" s="62">
        <v>4000</v>
      </c>
      <c r="O218" s="62">
        <v>4800</v>
      </c>
      <c r="P218" s="62">
        <v>5600</v>
      </c>
      <c r="Q218" s="62">
        <v>6400</v>
      </c>
      <c r="R218" s="62">
        <v>7200</v>
      </c>
    </row>
    <row r="219" spans="1:18">
      <c r="A219" s="59">
        <v>131</v>
      </c>
      <c r="B219" t="s">
        <v>246</v>
      </c>
      <c r="C219">
        <f>VLOOKUP(A219,справочник!$A$2:$C$322,3,FALSE)</f>
        <v>138</v>
      </c>
      <c r="D219" t="str">
        <f>IFERROR(VLOOKUP(B219,справочник!$AF$2:$AF$15,1,FALSE),"")</f>
        <v/>
      </c>
      <c r="F219" t="s">
        <v>641</v>
      </c>
      <c r="G219" s="62">
        <v>12800</v>
      </c>
      <c r="H219" s="62">
        <v>13600</v>
      </c>
      <c r="I219" s="62">
        <v>14400</v>
      </c>
      <c r="J219" s="62">
        <v>800</v>
      </c>
      <c r="K219" s="62">
        <v>1600</v>
      </c>
      <c r="L219" s="62">
        <v>2400</v>
      </c>
      <c r="M219" s="62">
        <v>3200</v>
      </c>
      <c r="N219" s="62">
        <v>4000</v>
      </c>
      <c r="O219" s="62">
        <v>4800</v>
      </c>
      <c r="P219" s="62">
        <v>5600</v>
      </c>
      <c r="Q219" s="62">
        <v>6400</v>
      </c>
      <c r="R219" s="62">
        <v>7200</v>
      </c>
    </row>
    <row r="220" spans="1:18">
      <c r="A220" s="59">
        <v>126</v>
      </c>
      <c r="B220" t="s">
        <v>53</v>
      </c>
      <c r="C220">
        <f>VLOOKUP(A220,справочник!$A$2:$C$322,3,FALSE)</f>
        <v>131</v>
      </c>
      <c r="D220" t="str">
        <f>IFERROR(VLOOKUP(B220,справочник!$AF$2:$AF$15,1,FALSE),"")</f>
        <v/>
      </c>
      <c r="F220" t="s">
        <v>641</v>
      </c>
      <c r="G220" s="62">
        <v>800</v>
      </c>
      <c r="H220" s="62">
        <v>1600</v>
      </c>
      <c r="I220" s="62">
        <v>0</v>
      </c>
      <c r="J220" s="62">
        <v>800</v>
      </c>
      <c r="K220" s="62">
        <v>1600</v>
      </c>
      <c r="L220" s="62">
        <v>2400</v>
      </c>
      <c r="M220" s="62">
        <v>3200</v>
      </c>
      <c r="N220" s="62">
        <v>4000</v>
      </c>
      <c r="O220" s="62">
        <v>4800</v>
      </c>
      <c r="P220" s="62">
        <v>5600</v>
      </c>
      <c r="Q220" s="62">
        <v>6400</v>
      </c>
      <c r="R220" s="62">
        <v>7200</v>
      </c>
    </row>
    <row r="221" spans="1:18">
      <c r="A221" s="59">
        <v>79</v>
      </c>
      <c r="B221" t="s">
        <v>2</v>
      </c>
      <c r="C221">
        <f>VLOOKUP(A221,справочник!$A$2:$C$322,3,FALSE)</f>
        <v>84</v>
      </c>
      <c r="D221" t="str">
        <f>IFERROR(VLOOKUP(B221,справочник!$AF$2:$AF$15,1,FALSE),"")</f>
        <v>Абу Махади Мохаммед Ибрагим</v>
      </c>
      <c r="F221" t="s">
        <v>2</v>
      </c>
      <c r="G221" s="62">
        <v>4800</v>
      </c>
      <c r="H221" s="62">
        <v>1600</v>
      </c>
      <c r="I221" s="62">
        <v>2400</v>
      </c>
      <c r="J221" s="62">
        <v>800</v>
      </c>
      <c r="K221" s="62">
        <v>1600</v>
      </c>
      <c r="L221" s="62">
        <v>2400</v>
      </c>
      <c r="M221" s="62">
        <v>3200</v>
      </c>
      <c r="N221" s="62">
        <v>4000</v>
      </c>
      <c r="O221" s="62">
        <v>4800</v>
      </c>
      <c r="P221" s="62">
        <v>5600</v>
      </c>
      <c r="Q221" s="62">
        <v>6400</v>
      </c>
      <c r="R221" s="62">
        <v>7200</v>
      </c>
    </row>
    <row r="222" spans="1:18">
      <c r="A222" s="59">
        <v>74</v>
      </c>
      <c r="B222" t="s">
        <v>218</v>
      </c>
      <c r="C222">
        <f>VLOOKUP(A222,справочник!$A$2:$C$322,3,FALSE)</f>
        <v>81</v>
      </c>
      <c r="D222" t="str">
        <f>IFERROR(VLOOKUP(B222,справочник!$AF$2:$AF$15,1,FALSE),"")</f>
        <v/>
      </c>
      <c r="F222" t="s">
        <v>2</v>
      </c>
      <c r="G222" s="62">
        <v>800</v>
      </c>
      <c r="H222" s="62">
        <v>1600</v>
      </c>
      <c r="I222" s="62">
        <v>2400</v>
      </c>
      <c r="J222" s="62">
        <v>3200</v>
      </c>
      <c r="K222" s="62">
        <v>1600</v>
      </c>
      <c r="L222" s="62">
        <v>2400</v>
      </c>
      <c r="M222" s="62">
        <v>3200</v>
      </c>
      <c r="N222" s="62">
        <v>4000</v>
      </c>
      <c r="O222" s="62">
        <v>4800</v>
      </c>
      <c r="P222" s="62">
        <v>5600</v>
      </c>
      <c r="Q222" s="62">
        <v>6400</v>
      </c>
      <c r="R222" s="62">
        <v>7200</v>
      </c>
    </row>
    <row r="223" spans="1:18">
      <c r="A223" s="59">
        <v>59</v>
      </c>
      <c r="B223" t="s">
        <v>275</v>
      </c>
      <c r="C223">
        <f>VLOOKUP(A223,справочник!$A$2:$C$322,3,FALSE)</f>
        <v>61</v>
      </c>
      <c r="D223" t="str">
        <f>IFERROR(VLOOKUP(B223,справочник!$AF$2:$AF$15,1,FALSE),"")</f>
        <v/>
      </c>
      <c r="F223" t="s">
        <v>181</v>
      </c>
      <c r="G223" s="62">
        <v>-1600</v>
      </c>
      <c r="H223" s="62">
        <v>-800</v>
      </c>
      <c r="I223" s="62">
        <v>0</v>
      </c>
      <c r="J223" s="62">
        <v>800</v>
      </c>
      <c r="K223" s="62">
        <v>1600</v>
      </c>
      <c r="L223" s="62">
        <v>2400</v>
      </c>
      <c r="M223" s="62">
        <v>3200</v>
      </c>
      <c r="N223" s="62">
        <v>4000</v>
      </c>
      <c r="O223" s="62">
        <v>4800</v>
      </c>
      <c r="P223" s="62">
        <v>5600</v>
      </c>
      <c r="Q223" s="62">
        <v>6400</v>
      </c>
      <c r="R223" s="62">
        <v>7200</v>
      </c>
    </row>
    <row r="224" spans="1:18">
      <c r="A224" s="59">
        <v>52</v>
      </c>
      <c r="B224" t="s">
        <v>27</v>
      </c>
      <c r="C224">
        <f>VLOOKUP(A224,справочник!$A$2:$C$322,3,FALSE)</f>
        <v>54</v>
      </c>
      <c r="D224" t="str">
        <f>IFERROR(VLOOKUP(B224,справочник!$AF$2:$AF$15,1,FALSE),"")</f>
        <v/>
      </c>
      <c r="F224" t="s">
        <v>642</v>
      </c>
      <c r="G224" s="62">
        <v>2800</v>
      </c>
      <c r="H224" s="62">
        <v>1600</v>
      </c>
      <c r="I224" s="62">
        <v>1600</v>
      </c>
      <c r="J224" s="62">
        <v>2400</v>
      </c>
      <c r="K224" s="62">
        <v>1600</v>
      </c>
      <c r="L224" s="62">
        <v>2400</v>
      </c>
      <c r="M224" s="62">
        <v>3200</v>
      </c>
      <c r="N224" s="62">
        <v>4000</v>
      </c>
      <c r="O224" s="62">
        <v>4800</v>
      </c>
      <c r="P224" s="62">
        <v>5600</v>
      </c>
      <c r="Q224" s="62">
        <v>6400</v>
      </c>
      <c r="R224" s="62">
        <v>7200</v>
      </c>
    </row>
    <row r="225" spans="1:18">
      <c r="A225" s="59">
        <v>51</v>
      </c>
      <c r="B225" t="s">
        <v>28</v>
      </c>
      <c r="C225">
        <f>VLOOKUP(A225,справочник!$A$2:$C$322,3,FALSE)</f>
        <v>53</v>
      </c>
      <c r="D225" t="str">
        <f>IFERROR(VLOOKUP(B225,справочник!$AF$2:$AF$15,1,FALSE),"")</f>
        <v/>
      </c>
      <c r="F225" t="s">
        <v>642</v>
      </c>
      <c r="G225" s="62">
        <v>2800</v>
      </c>
      <c r="H225" s="62">
        <v>1600</v>
      </c>
      <c r="I225" s="62">
        <v>1600</v>
      </c>
      <c r="J225" s="62">
        <v>2400</v>
      </c>
      <c r="K225" s="62">
        <v>1600</v>
      </c>
      <c r="L225" s="62">
        <v>2400</v>
      </c>
      <c r="M225" s="62">
        <v>3200</v>
      </c>
      <c r="N225" s="62">
        <v>4000</v>
      </c>
      <c r="O225" s="62">
        <v>4800</v>
      </c>
      <c r="P225" s="62">
        <v>5600</v>
      </c>
      <c r="Q225" s="62">
        <v>6400</v>
      </c>
      <c r="R225" s="62">
        <v>7200</v>
      </c>
    </row>
    <row r="226" spans="1:18">
      <c r="A226" s="59">
        <v>34</v>
      </c>
      <c r="B226" t="s">
        <v>157</v>
      </c>
      <c r="C226">
        <f>VLOOKUP(A226,справочник!$A$2:$C$322,3,FALSE)</f>
        <v>34</v>
      </c>
      <c r="D226" t="str">
        <f>IFERROR(VLOOKUP(B226,справочник!$AF$2:$AF$15,1,FALSE),"")</f>
        <v/>
      </c>
      <c r="F226" t="s">
        <v>642</v>
      </c>
      <c r="G226" s="62">
        <v>-2200</v>
      </c>
      <c r="H226" s="62">
        <v>-1400</v>
      </c>
      <c r="I226" s="62">
        <v>-600</v>
      </c>
      <c r="J226" s="62">
        <v>200</v>
      </c>
      <c r="K226" s="62">
        <v>1000</v>
      </c>
      <c r="L226" s="62">
        <v>1800</v>
      </c>
      <c r="M226" s="62">
        <v>2600</v>
      </c>
      <c r="N226" s="62">
        <v>3400</v>
      </c>
      <c r="O226" s="62">
        <v>4200</v>
      </c>
      <c r="P226" s="62">
        <v>5000</v>
      </c>
      <c r="Q226" s="62">
        <v>5800</v>
      </c>
      <c r="R226" s="62">
        <v>6600</v>
      </c>
    </row>
    <row r="227" spans="1:18">
      <c r="A227" s="59">
        <v>33</v>
      </c>
      <c r="B227" t="s">
        <v>198</v>
      </c>
      <c r="C227">
        <f>VLOOKUP(A227,справочник!$A$2:$C$322,3,FALSE)</f>
        <v>33</v>
      </c>
      <c r="D227" t="str">
        <f>IFERROR(VLOOKUP(B227,справочник!$AF$2:$AF$15,1,FALSE),"")</f>
        <v/>
      </c>
      <c r="F227" t="s">
        <v>642</v>
      </c>
      <c r="G227" s="62">
        <v>7800</v>
      </c>
      <c r="H227" s="62">
        <v>8600</v>
      </c>
      <c r="I227" s="62">
        <v>9400</v>
      </c>
      <c r="J227" s="62">
        <v>10200</v>
      </c>
      <c r="K227" s="62">
        <v>950</v>
      </c>
      <c r="L227" s="62">
        <v>1750</v>
      </c>
      <c r="M227" s="62">
        <v>2550</v>
      </c>
      <c r="N227" s="62">
        <v>3350</v>
      </c>
      <c r="O227" s="62">
        <v>4150</v>
      </c>
      <c r="P227" s="62">
        <v>4950</v>
      </c>
      <c r="Q227" s="62">
        <v>5750</v>
      </c>
      <c r="R227" s="62">
        <v>6550</v>
      </c>
    </row>
    <row r="228" spans="1:18">
      <c r="A228" s="59">
        <v>182</v>
      </c>
      <c r="B228" t="s">
        <v>297</v>
      </c>
      <c r="C228">
        <f>VLOOKUP(A228,справочник!$A$2:$C$322,3,FALSE)</f>
        <v>190</v>
      </c>
      <c r="D228" t="str">
        <f>IFERROR(VLOOKUP(B228,справочник!$AF$2:$AF$15,1,FALSE),"")</f>
        <v/>
      </c>
      <c r="F228" t="s">
        <v>247</v>
      </c>
      <c r="G228" s="62">
        <v>6800</v>
      </c>
      <c r="H228" s="62">
        <v>7600</v>
      </c>
      <c r="I228" s="62">
        <v>8400</v>
      </c>
      <c r="J228" s="62">
        <v>9200</v>
      </c>
      <c r="K228" s="62">
        <v>800</v>
      </c>
      <c r="L228" s="62">
        <v>1600</v>
      </c>
      <c r="M228" s="62">
        <v>2400</v>
      </c>
      <c r="N228" s="62">
        <v>3200</v>
      </c>
      <c r="O228" s="62">
        <v>4000</v>
      </c>
      <c r="P228" s="62">
        <v>4800</v>
      </c>
      <c r="Q228" s="62">
        <v>5600</v>
      </c>
      <c r="R228" s="62">
        <v>6400</v>
      </c>
    </row>
    <row r="229" spans="1:18">
      <c r="A229" s="59">
        <v>153</v>
      </c>
      <c r="B229" t="s">
        <v>107</v>
      </c>
      <c r="C229">
        <f>VLOOKUP(A229,справочник!$A$2:$C$322,3,FALSE)</f>
        <v>161</v>
      </c>
      <c r="D229" t="str">
        <f>IFERROR(VLOOKUP(B229,справочник!$AF$2:$AF$15,1,FALSE),"")</f>
        <v/>
      </c>
      <c r="F229" t="s">
        <v>13</v>
      </c>
      <c r="G229" s="62">
        <v>4800</v>
      </c>
      <c r="H229" s="62">
        <v>5600</v>
      </c>
      <c r="I229" s="62">
        <v>6400</v>
      </c>
      <c r="J229" s="62">
        <v>0</v>
      </c>
      <c r="K229" s="62">
        <v>800</v>
      </c>
      <c r="L229" s="62">
        <v>1600</v>
      </c>
      <c r="M229" s="62">
        <v>2400</v>
      </c>
      <c r="N229" s="62">
        <v>3200</v>
      </c>
      <c r="O229" s="62">
        <v>4000</v>
      </c>
      <c r="P229" s="62">
        <v>4800</v>
      </c>
      <c r="Q229" s="62">
        <v>5600</v>
      </c>
      <c r="R229" s="62">
        <v>6400</v>
      </c>
    </row>
    <row r="230" spans="1:18">
      <c r="A230" s="59">
        <v>130</v>
      </c>
      <c r="B230" t="s">
        <v>13</v>
      </c>
      <c r="C230">
        <f>VLOOKUP(A230,справочник!$A$2:$C$322,3,FALSE)</f>
        <v>137</v>
      </c>
      <c r="D230" t="str">
        <f>IFERROR(VLOOKUP(B230,справочник!$AF$2:$AF$15,1,FALSE),"")</f>
        <v>Анциферов Алексей Сергеевич</v>
      </c>
      <c r="F230" t="s">
        <v>641</v>
      </c>
      <c r="G230" s="62">
        <v>800</v>
      </c>
      <c r="H230" s="62">
        <v>800</v>
      </c>
      <c r="I230" s="62">
        <v>1600</v>
      </c>
      <c r="J230" s="62">
        <v>2400</v>
      </c>
      <c r="K230" s="62">
        <v>3200</v>
      </c>
      <c r="L230" s="62">
        <v>1600</v>
      </c>
      <c r="M230" s="62">
        <v>2400</v>
      </c>
      <c r="N230" s="62">
        <v>3200</v>
      </c>
      <c r="O230" s="62">
        <v>4000</v>
      </c>
      <c r="P230" s="62">
        <v>4800</v>
      </c>
      <c r="Q230" s="62">
        <v>5600</v>
      </c>
      <c r="R230" s="62">
        <v>6400</v>
      </c>
    </row>
    <row r="231" spans="1:18">
      <c r="A231" s="59">
        <v>81</v>
      </c>
      <c r="B231" t="s">
        <v>181</v>
      </c>
      <c r="C231">
        <f>VLOOKUP(A231,справочник!$A$2:$C$322,3,FALSE)</f>
        <v>86</v>
      </c>
      <c r="D231" t="str">
        <f>IFERROR(VLOOKUP(B231,справочник!$AF$2:$AF$15,1,FALSE),"")</f>
        <v>Нелюбов Сергей Владимирович</v>
      </c>
      <c r="F231" t="s">
        <v>2</v>
      </c>
      <c r="G231" s="62">
        <v>800</v>
      </c>
      <c r="H231" s="62">
        <v>1600</v>
      </c>
      <c r="I231" s="62">
        <v>-800</v>
      </c>
      <c r="J231" s="62">
        <v>0</v>
      </c>
      <c r="K231" s="62">
        <v>800</v>
      </c>
      <c r="L231" s="62">
        <v>1600</v>
      </c>
      <c r="M231" s="62">
        <v>2400</v>
      </c>
      <c r="N231" s="62">
        <v>3200</v>
      </c>
      <c r="O231" s="62">
        <v>4000</v>
      </c>
      <c r="P231" s="62">
        <v>4800</v>
      </c>
      <c r="Q231" s="62">
        <v>5600</v>
      </c>
      <c r="R231" s="62">
        <v>6400</v>
      </c>
    </row>
    <row r="232" spans="1:18">
      <c r="A232" s="59">
        <v>62</v>
      </c>
      <c r="B232" t="s">
        <v>137</v>
      </c>
      <c r="C232">
        <f>VLOOKUP(A232,справочник!$A$2:$C$322,3,FALSE)</f>
        <v>64</v>
      </c>
      <c r="D232" t="str">
        <f>IFERROR(VLOOKUP(B232,справочник!$AF$2:$AF$15,1,FALSE),"")</f>
        <v/>
      </c>
      <c r="F232" t="s">
        <v>181</v>
      </c>
      <c r="G232" s="62">
        <v>800</v>
      </c>
      <c r="H232" s="62">
        <v>1600</v>
      </c>
      <c r="I232" s="62">
        <v>-800</v>
      </c>
      <c r="J232" s="62">
        <v>0</v>
      </c>
      <c r="K232" s="62">
        <v>800</v>
      </c>
      <c r="L232" s="62">
        <v>1600</v>
      </c>
      <c r="M232" s="62">
        <v>2400</v>
      </c>
      <c r="N232" s="62">
        <v>3200</v>
      </c>
      <c r="O232" s="62">
        <v>4000</v>
      </c>
      <c r="P232" s="62">
        <v>4800</v>
      </c>
      <c r="Q232" s="62">
        <v>5600</v>
      </c>
      <c r="R232" s="62">
        <v>6400</v>
      </c>
    </row>
    <row r="233" spans="1:18">
      <c r="A233" s="59">
        <v>28</v>
      </c>
      <c r="B233" t="s">
        <v>271</v>
      </c>
      <c r="C233">
        <f>VLOOKUP(A233,справочник!$A$2:$C$322,3,FALSE)</f>
        <v>28</v>
      </c>
      <c r="D233" t="str">
        <f>IFERROR(VLOOKUP(B233,справочник!$AF$2:$AF$15,1,FALSE),"")</f>
        <v/>
      </c>
      <c r="F233" t="s">
        <v>90</v>
      </c>
      <c r="G233" s="62">
        <v>3800</v>
      </c>
      <c r="H233" s="62">
        <v>600</v>
      </c>
      <c r="I233" s="62">
        <v>1400</v>
      </c>
      <c r="J233" s="62">
        <v>-200</v>
      </c>
      <c r="K233" s="62">
        <v>600</v>
      </c>
      <c r="L233" s="62">
        <v>1400</v>
      </c>
      <c r="M233" s="62">
        <v>2200</v>
      </c>
      <c r="N233" s="62">
        <v>3000</v>
      </c>
      <c r="O233" s="62">
        <v>3800</v>
      </c>
      <c r="P233" s="62">
        <v>4600</v>
      </c>
      <c r="Q233" s="62">
        <v>5400</v>
      </c>
      <c r="R233" s="62">
        <v>6200</v>
      </c>
    </row>
    <row r="234" spans="1:18">
      <c r="A234" s="59">
        <v>169</v>
      </c>
      <c r="B234" t="s">
        <v>199</v>
      </c>
      <c r="C234">
        <f>VLOOKUP(A234,справочник!$A$2:$C$322,3,FALSE)</f>
        <v>177</v>
      </c>
      <c r="D234" t="str">
        <f>IFERROR(VLOOKUP(B234,справочник!$AF$2:$AF$15,1,FALSE),"")</f>
        <v/>
      </c>
      <c r="F234" t="s">
        <v>13</v>
      </c>
      <c r="G234" s="62">
        <v>4800</v>
      </c>
      <c r="H234" s="62">
        <v>5600</v>
      </c>
      <c r="I234" s="62">
        <v>1000</v>
      </c>
      <c r="J234" s="62">
        <v>1800</v>
      </c>
      <c r="K234" s="62">
        <v>200</v>
      </c>
      <c r="L234" s="62">
        <v>1000</v>
      </c>
      <c r="M234" s="62">
        <v>1800</v>
      </c>
      <c r="N234" s="62">
        <v>2600</v>
      </c>
      <c r="O234" s="62">
        <v>3400</v>
      </c>
      <c r="P234" s="62">
        <v>4200</v>
      </c>
      <c r="Q234" s="62">
        <v>5000</v>
      </c>
      <c r="R234" s="62">
        <v>5800</v>
      </c>
    </row>
    <row r="235" spans="1:18">
      <c r="A235" s="59">
        <v>275</v>
      </c>
      <c r="B235" t="s">
        <v>280</v>
      </c>
      <c r="C235">
        <f>VLOOKUP(A235,справочник!$A$2:$C$322,3,FALSE)</f>
        <v>288</v>
      </c>
      <c r="D235" t="str">
        <f>IFERROR(VLOOKUP(B235,справочник!$AF$2:$AF$15,1,FALSE),"")</f>
        <v/>
      </c>
      <c r="F235" t="s">
        <v>643</v>
      </c>
      <c r="G235" s="62">
        <v>12800</v>
      </c>
      <c r="H235" s="62">
        <v>13600</v>
      </c>
      <c r="I235" s="62">
        <v>14400</v>
      </c>
      <c r="J235" s="62">
        <v>15200</v>
      </c>
      <c r="K235" s="62">
        <v>16000</v>
      </c>
      <c r="L235" s="62">
        <v>800</v>
      </c>
      <c r="M235" s="62">
        <v>1600</v>
      </c>
      <c r="N235" s="62">
        <v>2400</v>
      </c>
      <c r="O235" s="62">
        <v>3200</v>
      </c>
      <c r="P235" s="62">
        <v>4000</v>
      </c>
      <c r="Q235" s="62">
        <v>4800</v>
      </c>
      <c r="R235" s="62">
        <v>5600</v>
      </c>
    </row>
    <row r="236" spans="1:18">
      <c r="A236" s="59">
        <v>273</v>
      </c>
      <c r="B236" t="s">
        <v>159</v>
      </c>
      <c r="C236">
        <f>VLOOKUP(A236,справочник!$A$2:$C$322,3,FALSE)</f>
        <v>286</v>
      </c>
      <c r="D236" t="str">
        <f>IFERROR(VLOOKUP(B236,справочник!$AF$2:$AF$15,1,FALSE),"")</f>
        <v/>
      </c>
      <c r="F236" t="s">
        <v>643</v>
      </c>
      <c r="G236" s="62">
        <v>4800</v>
      </c>
      <c r="H236" s="62">
        <v>5600</v>
      </c>
      <c r="I236" s="62">
        <v>6400</v>
      </c>
      <c r="J236" s="62">
        <v>7200</v>
      </c>
      <c r="K236" s="62">
        <v>8000</v>
      </c>
      <c r="L236" s="62">
        <v>800</v>
      </c>
      <c r="M236" s="62">
        <v>1600</v>
      </c>
      <c r="N236" s="62">
        <v>2400</v>
      </c>
      <c r="O236" s="62">
        <v>3200</v>
      </c>
      <c r="P236" s="62">
        <v>4000</v>
      </c>
      <c r="Q236" s="62">
        <v>4800</v>
      </c>
      <c r="R236" s="62">
        <v>5600</v>
      </c>
    </row>
    <row r="237" spans="1:18">
      <c r="A237" s="59">
        <v>267</v>
      </c>
      <c r="B237" t="s">
        <v>222</v>
      </c>
      <c r="C237">
        <f>VLOOKUP(A237,справочник!$A$2:$C$322,3,FALSE)</f>
        <v>280</v>
      </c>
      <c r="D237" t="str">
        <f>IFERROR(VLOOKUP(B237,справочник!$AF$2:$AF$15,1,FALSE),"")</f>
        <v/>
      </c>
      <c r="F237" t="s">
        <v>146</v>
      </c>
      <c r="G237" s="62">
        <v>4800</v>
      </c>
      <c r="H237" s="62">
        <v>1600</v>
      </c>
      <c r="I237" s="62">
        <v>400</v>
      </c>
      <c r="J237" s="62">
        <v>-800</v>
      </c>
      <c r="K237" s="62">
        <v>0</v>
      </c>
      <c r="L237" s="62">
        <v>800</v>
      </c>
      <c r="M237" s="62">
        <v>1600</v>
      </c>
      <c r="N237" s="62">
        <v>2400</v>
      </c>
      <c r="O237" s="62">
        <v>3200</v>
      </c>
      <c r="P237" s="62">
        <v>4000</v>
      </c>
      <c r="Q237" s="62">
        <v>4800</v>
      </c>
      <c r="R237" s="62">
        <v>5600</v>
      </c>
    </row>
    <row r="238" spans="1:18">
      <c r="A238" s="59">
        <v>245</v>
      </c>
      <c r="B238" t="s">
        <v>34</v>
      </c>
      <c r="C238">
        <f>VLOOKUP(A238,справочник!$A$2:$C$322,3,FALSE)</f>
        <v>256</v>
      </c>
      <c r="D238" t="str">
        <f>IFERROR(VLOOKUP(B238,справочник!$AF$2:$AF$15,1,FALSE),"")</f>
        <v/>
      </c>
      <c r="F238" t="s">
        <v>644</v>
      </c>
      <c r="G238" s="62">
        <v>5800</v>
      </c>
      <c r="H238" s="62">
        <v>6600</v>
      </c>
      <c r="I238" s="62">
        <v>7400</v>
      </c>
      <c r="J238" s="62">
        <v>8200</v>
      </c>
      <c r="K238" s="62">
        <v>9000</v>
      </c>
      <c r="L238" s="62">
        <v>800</v>
      </c>
      <c r="M238" s="62">
        <v>1600</v>
      </c>
      <c r="N238" s="62">
        <v>2400</v>
      </c>
      <c r="O238" s="62">
        <v>3200</v>
      </c>
      <c r="P238" s="62">
        <v>4000</v>
      </c>
      <c r="Q238" s="62">
        <v>4800</v>
      </c>
      <c r="R238" s="62">
        <v>5600</v>
      </c>
    </row>
    <row r="239" spans="1:18">
      <c r="A239" s="59">
        <v>233</v>
      </c>
      <c r="B239" t="s">
        <v>283</v>
      </c>
      <c r="C239">
        <f>VLOOKUP(A239,справочник!$A$2:$C$322,3,FALSE)</f>
        <v>242</v>
      </c>
      <c r="D239" t="str">
        <f>IFERROR(VLOOKUP(B239,справочник!$AF$2:$AF$15,1,FALSE),"")</f>
        <v/>
      </c>
      <c r="F239" t="s">
        <v>644</v>
      </c>
      <c r="G239" s="62">
        <v>3800</v>
      </c>
      <c r="H239" s="62">
        <v>4600</v>
      </c>
      <c r="I239" s="62">
        <v>5400</v>
      </c>
      <c r="J239" s="62">
        <v>6200</v>
      </c>
      <c r="K239" s="62">
        <v>7000</v>
      </c>
      <c r="L239" s="62">
        <v>800</v>
      </c>
      <c r="M239" s="62">
        <v>1600</v>
      </c>
      <c r="N239" s="62">
        <v>2400</v>
      </c>
      <c r="O239" s="62">
        <v>3200</v>
      </c>
      <c r="P239" s="62">
        <v>4000</v>
      </c>
      <c r="Q239" s="62">
        <v>4800</v>
      </c>
      <c r="R239" s="62">
        <v>5600</v>
      </c>
    </row>
    <row r="240" spans="1:18">
      <c r="A240" s="59">
        <v>215</v>
      </c>
      <c r="B240" t="s">
        <v>233</v>
      </c>
      <c r="C240">
        <f>VLOOKUP(A240,справочник!$A$2:$C$322,3,FALSE)</f>
        <v>224</v>
      </c>
      <c r="D240" t="str">
        <f>IFERROR(VLOOKUP(B240,справочник!$AF$2:$AF$15,1,FALSE),"")</f>
        <v/>
      </c>
      <c r="F240" t="s">
        <v>109</v>
      </c>
      <c r="G240" s="62">
        <v>3800</v>
      </c>
      <c r="H240" s="62">
        <v>-2400</v>
      </c>
      <c r="I240" s="62">
        <v>-1600</v>
      </c>
      <c r="J240" s="62">
        <v>-800</v>
      </c>
      <c r="K240" s="62">
        <v>0</v>
      </c>
      <c r="L240" s="62">
        <v>800</v>
      </c>
      <c r="M240" s="62">
        <v>1600</v>
      </c>
      <c r="N240" s="62">
        <v>2400</v>
      </c>
      <c r="O240" s="62">
        <v>3200</v>
      </c>
      <c r="P240" s="62">
        <v>4000</v>
      </c>
      <c r="Q240" s="62">
        <v>4800</v>
      </c>
      <c r="R240" s="62">
        <v>5600</v>
      </c>
    </row>
    <row r="241" spans="1:18">
      <c r="A241" s="59">
        <v>198</v>
      </c>
      <c r="B241" t="s">
        <v>26</v>
      </c>
      <c r="C241">
        <f>VLOOKUP(A241,справочник!$A$2:$C$322,3,FALSE)</f>
        <v>206</v>
      </c>
      <c r="D241" t="str">
        <f>IFERROR(VLOOKUP(B241,справочник!$AF$2:$AF$15,1,FALSE),"")</f>
        <v/>
      </c>
      <c r="F241" t="s">
        <v>37</v>
      </c>
      <c r="G241" s="62">
        <v>800</v>
      </c>
      <c r="H241" s="62">
        <v>1600</v>
      </c>
      <c r="I241" s="62">
        <v>-800</v>
      </c>
      <c r="J241" s="62">
        <v>0</v>
      </c>
      <c r="K241" s="62">
        <v>0</v>
      </c>
      <c r="L241" s="62">
        <v>800</v>
      </c>
      <c r="M241" s="62">
        <v>1600</v>
      </c>
      <c r="N241" s="62">
        <v>2400</v>
      </c>
      <c r="O241" s="62">
        <v>3200</v>
      </c>
      <c r="P241" s="62">
        <v>4000</v>
      </c>
      <c r="Q241" s="62">
        <v>4800</v>
      </c>
      <c r="R241" s="62">
        <v>5600</v>
      </c>
    </row>
    <row r="242" spans="1:18">
      <c r="A242" s="59">
        <v>181</v>
      </c>
      <c r="B242" t="s">
        <v>79</v>
      </c>
      <c r="C242">
        <f>VLOOKUP(A242,справочник!$A$2:$C$322,3,FALSE)</f>
        <v>189</v>
      </c>
      <c r="D242" t="str">
        <f>IFERROR(VLOOKUP(B242,справочник!$AF$2:$AF$15,1,FALSE),"")</f>
        <v/>
      </c>
      <c r="F242" t="s">
        <v>247</v>
      </c>
      <c r="G242" s="62">
        <v>3800</v>
      </c>
      <c r="H242" s="62">
        <v>4600</v>
      </c>
      <c r="I242" s="62">
        <v>5400</v>
      </c>
      <c r="J242" s="62">
        <v>6200</v>
      </c>
      <c r="K242" s="62">
        <v>0</v>
      </c>
      <c r="L242" s="62">
        <v>800</v>
      </c>
      <c r="M242" s="62">
        <v>1600</v>
      </c>
      <c r="N242" s="62">
        <v>2400</v>
      </c>
      <c r="O242" s="62">
        <v>3200</v>
      </c>
      <c r="P242" s="62">
        <v>4000</v>
      </c>
      <c r="Q242" s="62">
        <v>4800</v>
      </c>
      <c r="R242" s="62">
        <v>5600</v>
      </c>
    </row>
    <row r="243" spans="1:18">
      <c r="A243" s="59">
        <v>174</v>
      </c>
      <c r="B243" t="s">
        <v>207</v>
      </c>
      <c r="C243">
        <f>VLOOKUP(A243,справочник!$A$2:$C$322,3,FALSE)</f>
        <v>182</v>
      </c>
      <c r="D243" t="str">
        <f>IFERROR(VLOOKUP(B243,справочник!$AF$2:$AF$15,1,FALSE),"")</f>
        <v/>
      </c>
      <c r="F243" t="s">
        <v>247</v>
      </c>
      <c r="G243" s="62">
        <v>-200</v>
      </c>
      <c r="H243" s="62">
        <v>600</v>
      </c>
      <c r="I243" s="62">
        <v>1400</v>
      </c>
      <c r="J243" s="62">
        <v>2200</v>
      </c>
      <c r="K243" s="62">
        <v>0</v>
      </c>
      <c r="L243" s="62">
        <v>800</v>
      </c>
      <c r="M243" s="62">
        <v>1600</v>
      </c>
      <c r="N243" s="62">
        <v>2400</v>
      </c>
      <c r="O243" s="62">
        <v>3200</v>
      </c>
      <c r="P243" s="62">
        <v>4000</v>
      </c>
      <c r="Q243" s="62">
        <v>4800</v>
      </c>
      <c r="R243" s="62">
        <v>5600</v>
      </c>
    </row>
    <row r="244" spans="1:18">
      <c r="A244" s="59">
        <v>146</v>
      </c>
      <c r="B244" t="s">
        <v>269</v>
      </c>
      <c r="C244">
        <f>VLOOKUP(A244,справочник!$A$2:$C$322,3,FALSE)</f>
        <v>154</v>
      </c>
      <c r="D244" t="str">
        <f>IFERROR(VLOOKUP(B244,справочник!$AF$2:$AF$15,1,FALSE),"")</f>
        <v/>
      </c>
      <c r="F244" t="s">
        <v>641</v>
      </c>
      <c r="G244" s="62">
        <v>22800</v>
      </c>
      <c r="H244" s="62">
        <v>23600</v>
      </c>
      <c r="I244" s="62">
        <v>24400</v>
      </c>
      <c r="J244" s="62">
        <v>25200</v>
      </c>
      <c r="K244" s="62">
        <v>26000</v>
      </c>
      <c r="L244" s="62">
        <v>800</v>
      </c>
      <c r="M244" s="62">
        <v>1600</v>
      </c>
      <c r="N244" s="62">
        <v>2400</v>
      </c>
      <c r="O244" s="62">
        <v>3200</v>
      </c>
      <c r="P244" s="62">
        <v>4000</v>
      </c>
      <c r="Q244" s="62">
        <v>4800</v>
      </c>
      <c r="R244" s="62">
        <v>5600</v>
      </c>
    </row>
    <row r="245" spans="1:18">
      <c r="A245" s="59">
        <v>129</v>
      </c>
      <c r="B245" t="s">
        <v>164</v>
      </c>
      <c r="C245">
        <f>VLOOKUP(A245,справочник!$A$2:$C$322,3,FALSE)</f>
        <v>136</v>
      </c>
      <c r="D245" t="str">
        <f>IFERROR(VLOOKUP(B245,справочник!$AF$2:$AF$15,1,FALSE),"")</f>
        <v/>
      </c>
      <c r="F245" t="s">
        <v>641</v>
      </c>
      <c r="G245" s="62">
        <v>2800</v>
      </c>
      <c r="H245" s="62">
        <v>600</v>
      </c>
      <c r="I245" s="62">
        <v>1400</v>
      </c>
      <c r="J245" s="62">
        <v>-800</v>
      </c>
      <c r="K245" s="62">
        <v>0</v>
      </c>
      <c r="L245" s="62">
        <v>800</v>
      </c>
      <c r="M245" s="62">
        <v>1600</v>
      </c>
      <c r="N245" s="62">
        <v>2400</v>
      </c>
      <c r="O245" s="62">
        <v>3200</v>
      </c>
      <c r="P245" s="62">
        <v>4000</v>
      </c>
      <c r="Q245" s="62">
        <v>4800</v>
      </c>
      <c r="R245" s="62">
        <v>5600</v>
      </c>
    </row>
    <row r="246" spans="1:18">
      <c r="A246" s="59">
        <v>107</v>
      </c>
      <c r="B246" t="s">
        <v>241</v>
      </c>
      <c r="C246">
        <f>VLOOKUP(A246,справочник!$A$2:$C$322,3,FALSE)</f>
        <v>112</v>
      </c>
      <c r="D246" t="str">
        <f>IFERROR(VLOOKUP(B246,справочник!$AF$2:$AF$15,1,FALSE),"")</f>
        <v/>
      </c>
      <c r="F246" t="s">
        <v>645</v>
      </c>
      <c r="G246" s="62">
        <v>4800</v>
      </c>
      <c r="H246" s="62">
        <v>3600</v>
      </c>
      <c r="I246" s="62">
        <v>800</v>
      </c>
      <c r="J246" s="62">
        <v>0</v>
      </c>
      <c r="K246" s="62">
        <v>800</v>
      </c>
      <c r="L246" s="62">
        <v>800</v>
      </c>
      <c r="M246" s="62">
        <v>1600</v>
      </c>
      <c r="N246" s="62">
        <v>2400</v>
      </c>
      <c r="O246" s="62">
        <v>3200</v>
      </c>
      <c r="P246" s="62">
        <v>4000</v>
      </c>
      <c r="Q246" s="62">
        <v>4800</v>
      </c>
      <c r="R246" s="62">
        <v>5600</v>
      </c>
    </row>
    <row r="247" spans="1:18">
      <c r="A247" s="59">
        <v>102</v>
      </c>
      <c r="B247" t="s">
        <v>206</v>
      </c>
      <c r="C247">
        <f>VLOOKUP(A247,справочник!$A$2:$C$322,3,FALSE)</f>
        <v>107</v>
      </c>
      <c r="D247" t="str">
        <f>IFERROR(VLOOKUP(B247,справочник!$AF$2:$AF$15,1,FALSE),"")</f>
        <v/>
      </c>
      <c r="F247" t="s">
        <v>645</v>
      </c>
      <c r="G247" s="62">
        <v>0</v>
      </c>
      <c r="H247" s="62">
        <v>0</v>
      </c>
      <c r="I247" s="62">
        <v>0</v>
      </c>
      <c r="J247" s="62">
        <v>0</v>
      </c>
      <c r="K247" s="62">
        <v>800</v>
      </c>
      <c r="L247" s="62">
        <v>800</v>
      </c>
      <c r="M247" s="62">
        <v>1600</v>
      </c>
      <c r="N247" s="62">
        <v>2400</v>
      </c>
      <c r="O247" s="62">
        <v>3200</v>
      </c>
      <c r="P247" s="62">
        <v>4000</v>
      </c>
      <c r="Q247" s="62">
        <v>4800</v>
      </c>
      <c r="R247" s="62">
        <v>5600</v>
      </c>
    </row>
    <row r="248" spans="1:18">
      <c r="A248" s="59">
        <v>95</v>
      </c>
      <c r="B248" t="s">
        <v>298</v>
      </c>
      <c r="C248">
        <f>VLOOKUP(A248,справочник!$A$2:$C$322,3,FALSE)</f>
        <v>100</v>
      </c>
      <c r="D248" t="str">
        <f>IFERROR(VLOOKUP(B248,справочник!$AF$2:$AF$15,1,FALSE),"")</f>
        <v/>
      </c>
      <c r="F248" t="s">
        <v>2</v>
      </c>
      <c r="G248" s="62">
        <v>5800</v>
      </c>
      <c r="H248" s="62">
        <v>6600</v>
      </c>
      <c r="I248" s="62">
        <v>7400</v>
      </c>
      <c r="J248" s="62">
        <v>8200</v>
      </c>
      <c r="K248" s="62">
        <v>9000</v>
      </c>
      <c r="L248" s="62">
        <v>800</v>
      </c>
      <c r="M248" s="62">
        <v>1600</v>
      </c>
      <c r="N248" s="62">
        <v>2400</v>
      </c>
      <c r="O248" s="62">
        <v>3200</v>
      </c>
      <c r="P248" s="62">
        <v>4000</v>
      </c>
      <c r="Q248" s="62">
        <v>4800</v>
      </c>
      <c r="R248" s="62">
        <v>5600</v>
      </c>
    </row>
    <row r="249" spans="1:18">
      <c r="A249" s="59">
        <v>88</v>
      </c>
      <c r="B249" t="s">
        <v>292</v>
      </c>
      <c r="C249" t="str">
        <f>VLOOKUP(A249,справочник!$A$2:$C$322,3,FALSE)</f>
        <v>97+93</v>
      </c>
      <c r="D249" t="str">
        <f>IFERROR(VLOOKUP(B249,справочник!$AF$2:$AF$15,1,FALSE),"")</f>
        <v/>
      </c>
      <c r="F249" t="s">
        <v>2</v>
      </c>
      <c r="G249" s="62">
        <v>-3200</v>
      </c>
      <c r="H249" s="62">
        <v>-2400</v>
      </c>
      <c r="I249" s="62">
        <v>-1600</v>
      </c>
      <c r="J249" s="62">
        <v>-800</v>
      </c>
      <c r="K249" s="62">
        <v>0</v>
      </c>
      <c r="L249" s="62">
        <v>800</v>
      </c>
      <c r="M249" s="62">
        <v>1600</v>
      </c>
      <c r="N249" s="62">
        <v>2400</v>
      </c>
      <c r="O249" s="62">
        <v>3200</v>
      </c>
      <c r="P249" s="62">
        <v>4000</v>
      </c>
      <c r="Q249" s="62">
        <v>4800</v>
      </c>
      <c r="R249" s="62">
        <v>5600</v>
      </c>
    </row>
    <row r="250" spans="1:18">
      <c r="A250" s="59">
        <v>80</v>
      </c>
      <c r="B250" t="s">
        <v>194</v>
      </c>
      <c r="C250">
        <f>VLOOKUP(A250,справочник!$A$2:$C$322,3,FALSE)</f>
        <v>85</v>
      </c>
      <c r="D250" t="str">
        <f>IFERROR(VLOOKUP(B250,справочник!$AF$2:$AF$15,1,FALSE),"")</f>
        <v/>
      </c>
      <c r="F250" t="s">
        <v>2</v>
      </c>
      <c r="G250" s="62">
        <v>800</v>
      </c>
      <c r="H250" s="62">
        <v>1600</v>
      </c>
      <c r="I250" s="62">
        <v>2400</v>
      </c>
      <c r="J250" s="62">
        <v>3200</v>
      </c>
      <c r="K250" s="62">
        <v>4000</v>
      </c>
      <c r="L250" s="62">
        <v>800</v>
      </c>
      <c r="M250" s="62">
        <v>1600</v>
      </c>
      <c r="N250" s="62">
        <v>2400</v>
      </c>
      <c r="O250" s="62">
        <v>3200</v>
      </c>
      <c r="P250" s="62">
        <v>4000</v>
      </c>
      <c r="Q250" s="62">
        <v>4800</v>
      </c>
      <c r="R250" s="62">
        <v>5600</v>
      </c>
    </row>
    <row r="251" spans="1:18">
      <c r="A251" s="59">
        <v>68</v>
      </c>
      <c r="B251" t="s">
        <v>219</v>
      </c>
      <c r="C251">
        <f>VLOOKUP(A251,справочник!$A$2:$C$322,3,FALSE)</f>
        <v>70</v>
      </c>
      <c r="D251" t="str">
        <f>IFERROR(VLOOKUP(B251,справочник!$AF$2:$AF$15,1,FALSE),"")</f>
        <v/>
      </c>
      <c r="F251" t="s">
        <v>181</v>
      </c>
      <c r="G251" s="62">
        <v>800</v>
      </c>
      <c r="H251" s="62">
        <v>0</v>
      </c>
      <c r="I251" s="62">
        <v>0</v>
      </c>
      <c r="J251" s="62">
        <v>800</v>
      </c>
      <c r="K251" s="62">
        <v>800</v>
      </c>
      <c r="L251" s="62">
        <v>800</v>
      </c>
      <c r="M251" s="62">
        <v>1600</v>
      </c>
      <c r="N251" s="62">
        <v>2400</v>
      </c>
      <c r="O251" s="62">
        <v>3200</v>
      </c>
      <c r="P251" s="62">
        <v>4000</v>
      </c>
      <c r="Q251" s="62">
        <v>4800</v>
      </c>
      <c r="R251" s="62">
        <v>5600</v>
      </c>
    </row>
    <row r="252" spans="1:18">
      <c r="A252" s="59">
        <v>58</v>
      </c>
      <c r="B252" t="s">
        <v>54</v>
      </c>
      <c r="C252">
        <f>VLOOKUP(A252,справочник!$A$2:$C$322,3,FALSE)</f>
        <v>60</v>
      </c>
      <c r="D252" t="str">
        <f>IFERROR(VLOOKUP(B252,справочник!$AF$2:$AF$15,1,FALSE),"")</f>
        <v/>
      </c>
      <c r="F252" t="s">
        <v>642</v>
      </c>
      <c r="G252" s="62">
        <v>4800</v>
      </c>
      <c r="H252" s="62">
        <v>5600</v>
      </c>
      <c r="I252" s="62">
        <v>4000</v>
      </c>
      <c r="J252" s="62">
        <v>4800</v>
      </c>
      <c r="K252" s="62">
        <v>5600</v>
      </c>
      <c r="L252" s="62">
        <v>800</v>
      </c>
      <c r="M252" s="62">
        <v>1600</v>
      </c>
      <c r="N252" s="62">
        <v>2400</v>
      </c>
      <c r="O252" s="62">
        <v>3200</v>
      </c>
      <c r="P252" s="62">
        <v>4000</v>
      </c>
      <c r="Q252" s="62">
        <v>4800</v>
      </c>
      <c r="R252" s="62">
        <v>5600</v>
      </c>
    </row>
    <row r="253" spans="1:18">
      <c r="A253" s="59">
        <v>49</v>
      </c>
      <c r="B253" t="s">
        <v>83</v>
      </c>
      <c r="C253">
        <f>VLOOKUP(A253,справочник!$A$2:$C$322,3,FALSE)</f>
        <v>49</v>
      </c>
      <c r="D253" t="str">
        <f>IFERROR(VLOOKUP(B253,справочник!$AF$2:$AF$15,1,FALSE),"")</f>
        <v/>
      </c>
      <c r="F253" t="s">
        <v>642</v>
      </c>
      <c r="G253" s="62">
        <v>11800</v>
      </c>
      <c r="H253" s="62">
        <v>12600</v>
      </c>
      <c r="I253" s="62">
        <v>13400</v>
      </c>
      <c r="J253" s="62">
        <v>14200</v>
      </c>
      <c r="K253" s="62">
        <v>10200</v>
      </c>
      <c r="L253" s="62">
        <v>800</v>
      </c>
      <c r="M253" s="62">
        <v>1600</v>
      </c>
      <c r="N253" s="62">
        <v>2400</v>
      </c>
      <c r="O253" s="62">
        <v>3200</v>
      </c>
      <c r="P253" s="62">
        <v>4000</v>
      </c>
      <c r="Q253" s="62">
        <v>4800</v>
      </c>
      <c r="R253" s="62">
        <v>5600</v>
      </c>
    </row>
    <row r="254" spans="1:18">
      <c r="A254" s="59">
        <v>29</v>
      </c>
      <c r="B254" t="s">
        <v>270</v>
      </c>
      <c r="C254">
        <f>VLOOKUP(A254,справочник!$A$2:$C$322,3,FALSE)</f>
        <v>29</v>
      </c>
      <c r="D254" t="str">
        <f>IFERROR(VLOOKUP(B254,справочник!$AF$2:$AF$15,1,FALSE),"")</f>
        <v/>
      </c>
      <c r="F254" t="s">
        <v>90</v>
      </c>
      <c r="G254" s="62">
        <v>800</v>
      </c>
      <c r="H254" s="62">
        <v>0</v>
      </c>
      <c r="I254" s="62">
        <v>0</v>
      </c>
      <c r="J254" s="62">
        <v>-800</v>
      </c>
      <c r="K254" s="62">
        <v>0</v>
      </c>
      <c r="L254" s="62">
        <v>800</v>
      </c>
      <c r="M254" s="62">
        <v>1600</v>
      </c>
      <c r="N254" s="62">
        <v>2400</v>
      </c>
      <c r="O254" s="62">
        <v>3200</v>
      </c>
      <c r="P254" s="62">
        <v>4000</v>
      </c>
      <c r="Q254" s="62">
        <v>4800</v>
      </c>
      <c r="R254" s="62">
        <v>5600</v>
      </c>
    </row>
    <row r="255" spans="1:18">
      <c r="A255" s="59">
        <v>19</v>
      </c>
      <c r="B255" t="s">
        <v>237</v>
      </c>
      <c r="C255">
        <f>VLOOKUP(A255,справочник!$A$2:$C$322,3,FALSE)</f>
        <v>19</v>
      </c>
      <c r="D255" t="str">
        <f>IFERROR(VLOOKUP(B255,справочник!$AF$2:$AF$15,1,FALSE),"")</f>
        <v/>
      </c>
      <c r="F255" t="s">
        <v>90</v>
      </c>
      <c r="G255" s="62">
        <v>800</v>
      </c>
      <c r="H255" s="62">
        <v>1600</v>
      </c>
      <c r="I255" s="62">
        <v>2400</v>
      </c>
      <c r="J255" s="62">
        <v>3200</v>
      </c>
      <c r="K255" s="62">
        <v>4000</v>
      </c>
      <c r="L255" s="62">
        <v>800</v>
      </c>
      <c r="M255" s="62">
        <v>1600</v>
      </c>
      <c r="N255" s="62">
        <v>2400</v>
      </c>
      <c r="O255" s="62">
        <v>3200</v>
      </c>
      <c r="P255" s="62">
        <v>4000</v>
      </c>
      <c r="Q255" s="62">
        <v>4800</v>
      </c>
      <c r="R255" s="62">
        <v>5600</v>
      </c>
    </row>
    <row r="256" spans="1:18">
      <c r="A256" s="59">
        <v>86</v>
      </c>
      <c r="B256" t="s">
        <v>47</v>
      </c>
      <c r="C256">
        <f>VLOOKUP(A256,справочник!$A$2:$C$322,3,FALSE)</f>
        <v>91</v>
      </c>
      <c r="D256" t="str">
        <f>IFERROR(VLOOKUP(B256,справочник!$AF$2:$AF$15,1,FALSE),"")</f>
        <v/>
      </c>
      <c r="F256" t="s">
        <v>2</v>
      </c>
      <c r="G256" s="62">
        <v>800</v>
      </c>
      <c r="H256" s="62">
        <v>-400</v>
      </c>
      <c r="I256" s="62">
        <v>400</v>
      </c>
      <c r="J256" s="62">
        <v>200</v>
      </c>
      <c r="K256" s="62">
        <v>1000</v>
      </c>
      <c r="L256" s="62">
        <v>200</v>
      </c>
      <c r="M256" s="62">
        <v>1000</v>
      </c>
      <c r="N256" s="62">
        <v>1800</v>
      </c>
      <c r="O256" s="62">
        <v>2600</v>
      </c>
      <c r="P256" s="62">
        <v>3400</v>
      </c>
      <c r="Q256" s="62">
        <v>4200</v>
      </c>
      <c r="R256" s="62">
        <v>5000</v>
      </c>
    </row>
    <row r="257" spans="1:18">
      <c r="A257" s="59">
        <v>298</v>
      </c>
      <c r="B257" t="s">
        <v>249</v>
      </c>
      <c r="C257">
        <f>VLOOKUP(A257,справочник!$A$2:$C$322,3,FALSE)</f>
        <v>313</v>
      </c>
      <c r="D257" t="str">
        <f>IFERROR(VLOOKUP(B257,справочник!$AF$2:$AF$15,1,FALSE),"")</f>
        <v/>
      </c>
      <c r="F257" t="s">
        <v>103</v>
      </c>
      <c r="G257" s="62">
        <v>800</v>
      </c>
      <c r="H257" s="62">
        <v>-3200</v>
      </c>
      <c r="I257" s="62">
        <v>-2400</v>
      </c>
      <c r="J257" s="62">
        <v>-1600</v>
      </c>
      <c r="K257" s="62">
        <v>-800</v>
      </c>
      <c r="L257" s="62">
        <v>0</v>
      </c>
      <c r="M257" s="62">
        <v>800</v>
      </c>
      <c r="N257" s="62">
        <v>1600</v>
      </c>
      <c r="O257" s="62">
        <v>2400</v>
      </c>
      <c r="P257" s="62">
        <v>3200</v>
      </c>
      <c r="Q257" s="62">
        <v>4000</v>
      </c>
      <c r="R257" s="62">
        <v>4800</v>
      </c>
    </row>
    <row r="258" spans="1:18">
      <c r="A258" s="59">
        <v>258</v>
      </c>
      <c r="B258" t="s">
        <v>223</v>
      </c>
      <c r="C258">
        <f>VLOOKUP(A258,справочник!$A$2:$C$322,3,FALSE)</f>
        <v>271</v>
      </c>
      <c r="D258" t="str">
        <f>IFERROR(VLOOKUP(B258,справочник!$AF$2:$AF$15,1,FALSE),"")</f>
        <v/>
      </c>
      <c r="F258" t="s">
        <v>146</v>
      </c>
      <c r="G258" s="62">
        <v>800</v>
      </c>
      <c r="H258" s="62">
        <v>1600</v>
      </c>
      <c r="I258" s="62">
        <v>2400</v>
      </c>
      <c r="J258" s="62">
        <v>3200</v>
      </c>
      <c r="K258" s="62">
        <v>4000</v>
      </c>
      <c r="L258" s="62">
        <v>0</v>
      </c>
      <c r="M258" s="62">
        <v>800</v>
      </c>
      <c r="N258" s="62">
        <v>1600</v>
      </c>
      <c r="O258" s="62">
        <v>2400</v>
      </c>
      <c r="P258" s="62">
        <v>3200</v>
      </c>
      <c r="Q258" s="62">
        <v>4000</v>
      </c>
      <c r="R258" s="62">
        <v>4800</v>
      </c>
    </row>
    <row r="259" spans="1:18">
      <c r="A259" s="59">
        <v>234</v>
      </c>
      <c r="B259" t="s">
        <v>84</v>
      </c>
      <c r="C259" t="str">
        <f>VLOOKUP(A259,справочник!$A$2:$C$322,3,FALSE)</f>
        <v>243-244</v>
      </c>
      <c r="D259" t="str">
        <f>IFERROR(VLOOKUP(B259,справочник!$AF$2:$AF$15,1,FALSE),"")</f>
        <v/>
      </c>
      <c r="F259" t="e">
        <v>#N/A</v>
      </c>
      <c r="G259" s="62">
        <v>800</v>
      </c>
      <c r="H259" s="62">
        <v>-3200</v>
      </c>
      <c r="I259" s="62">
        <v>-2400</v>
      </c>
      <c r="J259" s="62">
        <v>-1600</v>
      </c>
      <c r="K259" s="62">
        <v>-800</v>
      </c>
      <c r="L259" s="62">
        <v>0</v>
      </c>
      <c r="M259" s="62">
        <v>800</v>
      </c>
      <c r="N259" s="62">
        <v>1600</v>
      </c>
      <c r="O259" s="62">
        <v>2400</v>
      </c>
      <c r="P259" s="62">
        <v>3200</v>
      </c>
      <c r="Q259" s="62">
        <v>4000</v>
      </c>
      <c r="R259" s="62">
        <v>4800</v>
      </c>
    </row>
    <row r="260" spans="1:18">
      <c r="A260" s="59">
        <v>196</v>
      </c>
      <c r="B260" t="s">
        <v>104</v>
      </c>
      <c r="C260">
        <f>VLOOKUP(A260,справочник!$A$2:$C$322,3,FALSE)</f>
        <v>204</v>
      </c>
      <c r="D260" t="str">
        <f>IFERROR(VLOOKUP(B260,справочник!$AF$2:$AF$15,1,FALSE),"")</f>
        <v/>
      </c>
      <c r="F260" t="s">
        <v>37</v>
      </c>
      <c r="G260" s="62">
        <v>800</v>
      </c>
      <c r="H260" s="62">
        <v>1600</v>
      </c>
      <c r="I260" s="62">
        <v>-2400</v>
      </c>
      <c r="J260" s="62">
        <v>-1600</v>
      </c>
      <c r="K260" s="62">
        <v>-800</v>
      </c>
      <c r="L260" s="62">
        <v>0</v>
      </c>
      <c r="M260" s="62">
        <v>800</v>
      </c>
      <c r="N260" s="62">
        <v>1600</v>
      </c>
      <c r="O260" s="62">
        <v>2400</v>
      </c>
      <c r="P260" s="62">
        <v>3200</v>
      </c>
      <c r="Q260" s="62">
        <v>4000</v>
      </c>
      <c r="R260" s="62">
        <v>4800</v>
      </c>
    </row>
    <row r="261" spans="1:18">
      <c r="A261" s="59">
        <v>180</v>
      </c>
      <c r="B261" t="s">
        <v>287</v>
      </c>
      <c r="C261">
        <f>VLOOKUP(A261,справочник!$A$2:$C$322,3,FALSE)</f>
        <v>188</v>
      </c>
      <c r="D261" t="str">
        <f>IFERROR(VLOOKUP(B261,справочник!$AF$2:$AF$15,1,FALSE),"")</f>
        <v/>
      </c>
      <c r="F261" t="s">
        <v>247</v>
      </c>
      <c r="G261" s="62">
        <v>800</v>
      </c>
      <c r="H261" s="62">
        <v>1600</v>
      </c>
      <c r="I261" s="62">
        <v>2400</v>
      </c>
      <c r="J261" s="62">
        <v>3200</v>
      </c>
      <c r="K261" s="62">
        <v>-800</v>
      </c>
      <c r="L261" s="62">
        <v>0</v>
      </c>
      <c r="M261" s="62">
        <v>800</v>
      </c>
      <c r="N261" s="62">
        <v>1600</v>
      </c>
      <c r="O261" s="62">
        <v>2400</v>
      </c>
      <c r="P261" s="62">
        <v>3200</v>
      </c>
      <c r="Q261" s="62">
        <v>4000</v>
      </c>
      <c r="R261" s="62">
        <v>4800</v>
      </c>
    </row>
    <row r="262" spans="1:18">
      <c r="A262" s="59">
        <v>134</v>
      </c>
      <c r="B262" t="s">
        <v>221</v>
      </c>
      <c r="C262">
        <f>VLOOKUP(A262,справочник!$A$2:$C$322,3,FALSE)</f>
        <v>141</v>
      </c>
      <c r="D262" t="str">
        <f>IFERROR(VLOOKUP(B262,справочник!$AF$2:$AF$15,1,FALSE),"")</f>
        <v/>
      </c>
      <c r="F262" t="s">
        <v>641</v>
      </c>
      <c r="G262" s="62">
        <v>800</v>
      </c>
      <c r="H262" s="62">
        <v>-3200</v>
      </c>
      <c r="I262" s="62">
        <v>-2400</v>
      </c>
      <c r="J262" s="62">
        <v>-1600</v>
      </c>
      <c r="K262" s="62">
        <v>-800</v>
      </c>
      <c r="L262" s="62">
        <v>0</v>
      </c>
      <c r="M262" s="62">
        <v>800</v>
      </c>
      <c r="N262" s="62">
        <v>1600</v>
      </c>
      <c r="O262" s="62">
        <v>2400</v>
      </c>
      <c r="P262" s="62">
        <v>3200</v>
      </c>
      <c r="Q262" s="62">
        <v>4000</v>
      </c>
      <c r="R262" s="62">
        <v>4800</v>
      </c>
    </row>
    <row r="263" spans="1:18">
      <c r="A263" s="59">
        <v>120</v>
      </c>
      <c r="B263" t="s">
        <v>177</v>
      </c>
      <c r="C263">
        <f>VLOOKUP(A263,справочник!$A$2:$C$322,3,FALSE)</f>
        <v>125</v>
      </c>
      <c r="D263" t="str">
        <f>IFERROR(VLOOKUP(B263,справочник!$AF$2:$AF$15,1,FALSE),"")</f>
        <v/>
      </c>
      <c r="F263" t="s">
        <v>645</v>
      </c>
      <c r="G263" s="62">
        <v>5800</v>
      </c>
      <c r="H263" s="62">
        <v>0</v>
      </c>
      <c r="I263" s="62">
        <v>-1200</v>
      </c>
      <c r="J263" s="62">
        <v>-400</v>
      </c>
      <c r="K263" s="62">
        <v>400</v>
      </c>
      <c r="L263" s="62">
        <v>0</v>
      </c>
      <c r="M263" s="62">
        <v>800</v>
      </c>
      <c r="N263" s="62">
        <v>1600</v>
      </c>
      <c r="O263" s="62">
        <v>2400</v>
      </c>
      <c r="P263" s="62">
        <v>3200</v>
      </c>
      <c r="Q263" s="62">
        <v>4000</v>
      </c>
      <c r="R263" s="62">
        <v>4800</v>
      </c>
    </row>
    <row r="264" spans="1:18">
      <c r="A264" s="59">
        <v>108</v>
      </c>
      <c r="B264" t="s">
        <v>299</v>
      </c>
      <c r="C264">
        <f>VLOOKUP(A264,справочник!$A$2:$C$322,3,FALSE)</f>
        <v>113</v>
      </c>
      <c r="D264" t="str">
        <f>IFERROR(VLOOKUP(B264,справочник!$AF$2:$AF$15,1,FALSE),"")</f>
        <v/>
      </c>
      <c r="F264" t="s">
        <v>645</v>
      </c>
      <c r="G264" s="62">
        <v>4800</v>
      </c>
      <c r="H264" s="62">
        <v>1600</v>
      </c>
      <c r="I264" s="62">
        <v>0</v>
      </c>
      <c r="J264" s="62">
        <v>800</v>
      </c>
      <c r="K264" s="62">
        <v>1600</v>
      </c>
      <c r="L264" s="62">
        <v>0</v>
      </c>
      <c r="M264" s="62">
        <v>800</v>
      </c>
      <c r="N264" s="62">
        <v>1600</v>
      </c>
      <c r="O264" s="62">
        <v>2400</v>
      </c>
      <c r="P264" s="62">
        <v>3200</v>
      </c>
      <c r="Q264" s="62">
        <v>4000</v>
      </c>
      <c r="R264" s="62">
        <v>4800</v>
      </c>
    </row>
    <row r="265" spans="1:18">
      <c r="A265" s="59">
        <v>90</v>
      </c>
      <c r="B265" t="s">
        <v>44</v>
      </c>
      <c r="C265">
        <f>VLOOKUP(A265,справочник!$A$2:$C$322,3,FALSE)</f>
        <v>95</v>
      </c>
      <c r="D265" t="str">
        <f>IFERROR(VLOOKUP(B265,справочник!$AF$2:$AF$15,1,FALSE),"")</f>
        <v/>
      </c>
      <c r="F265" t="s">
        <v>2</v>
      </c>
      <c r="G265" s="62">
        <v>800</v>
      </c>
      <c r="H265" s="62">
        <v>1600</v>
      </c>
      <c r="I265" s="62">
        <v>2400</v>
      </c>
      <c r="J265" s="62">
        <v>-1600</v>
      </c>
      <c r="K265" s="62">
        <v>-800</v>
      </c>
      <c r="L265" s="62">
        <v>0</v>
      </c>
      <c r="M265" s="62">
        <v>800</v>
      </c>
      <c r="N265" s="62">
        <v>1600</v>
      </c>
      <c r="O265" s="62">
        <v>2400</v>
      </c>
      <c r="P265" s="62">
        <v>3200</v>
      </c>
      <c r="Q265" s="62">
        <v>4000</v>
      </c>
      <c r="R265" s="62">
        <v>4800</v>
      </c>
    </row>
    <row r="266" spans="1:18">
      <c r="A266" s="59">
        <v>85</v>
      </c>
      <c r="B266" t="s">
        <v>184</v>
      </c>
      <c r="C266">
        <f>VLOOKUP(A266,справочник!$A$2:$C$322,3,FALSE)</f>
        <v>90</v>
      </c>
      <c r="D266" t="str">
        <f>IFERROR(VLOOKUP(B266,справочник!$AF$2:$AF$15,1,FALSE),"")</f>
        <v/>
      </c>
      <c r="F266" t="s">
        <v>2</v>
      </c>
      <c r="G266" s="62">
        <v>800</v>
      </c>
      <c r="H266" s="62">
        <v>1600</v>
      </c>
      <c r="I266" s="62">
        <v>2400</v>
      </c>
      <c r="J266" s="62">
        <v>-1600</v>
      </c>
      <c r="K266" s="62">
        <v>-800</v>
      </c>
      <c r="L266" s="62">
        <v>0</v>
      </c>
      <c r="M266" s="62">
        <v>800</v>
      </c>
      <c r="N266" s="62">
        <v>1600</v>
      </c>
      <c r="O266" s="62">
        <v>2400</v>
      </c>
      <c r="P266" s="62">
        <v>3200</v>
      </c>
      <c r="Q266" s="62">
        <v>4000</v>
      </c>
      <c r="R266" s="62">
        <v>4800</v>
      </c>
    </row>
    <row r="267" spans="1:18">
      <c r="A267" s="59">
        <v>84</v>
      </c>
      <c r="B267" t="s">
        <v>291</v>
      </c>
      <c r="C267">
        <f>VLOOKUP(A267,справочник!$A$2:$C$322,3,FALSE)</f>
        <v>89</v>
      </c>
      <c r="D267" t="str">
        <f>IFERROR(VLOOKUP(B267,справочник!$AF$2:$AF$15,1,FALSE),"")</f>
        <v/>
      </c>
      <c r="F267" t="s">
        <v>2</v>
      </c>
      <c r="G267" s="62">
        <v>800</v>
      </c>
      <c r="H267" s="62">
        <v>1600</v>
      </c>
      <c r="I267" s="62">
        <v>2400</v>
      </c>
      <c r="J267" s="62">
        <v>3200</v>
      </c>
      <c r="K267" s="62">
        <v>4000</v>
      </c>
      <c r="L267" s="62">
        <v>0</v>
      </c>
      <c r="M267" s="62">
        <v>800</v>
      </c>
      <c r="N267" s="62">
        <v>1600</v>
      </c>
      <c r="O267" s="62">
        <v>2400</v>
      </c>
      <c r="P267" s="62">
        <v>3200</v>
      </c>
      <c r="Q267" s="62">
        <v>4000</v>
      </c>
      <c r="R267" s="62">
        <v>4800</v>
      </c>
    </row>
    <row r="268" spans="1:18">
      <c r="A268" s="59">
        <v>45</v>
      </c>
      <c r="B268" t="s">
        <v>262</v>
      </c>
      <c r="C268">
        <f>VLOOKUP(A268,справочник!$A$2:$C$322,3,FALSE)</f>
        <v>45</v>
      </c>
      <c r="D268" t="str">
        <f>IFERROR(VLOOKUP(B268,справочник!$AF$2:$AF$15,1,FALSE),"")</f>
        <v/>
      </c>
      <c r="F268" t="s">
        <v>642</v>
      </c>
      <c r="G268" s="62">
        <v>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800</v>
      </c>
      <c r="N268" s="62">
        <v>1600</v>
      </c>
      <c r="O268" s="62">
        <v>2400</v>
      </c>
      <c r="P268" s="62">
        <v>3200</v>
      </c>
      <c r="Q268" s="62">
        <v>4000</v>
      </c>
      <c r="R268" s="62">
        <v>4800</v>
      </c>
    </row>
    <row r="269" spans="1:18">
      <c r="A269" s="59">
        <v>32</v>
      </c>
      <c r="B269" t="s">
        <v>82</v>
      </c>
      <c r="C269">
        <f>VLOOKUP(A269,справочник!$A$2:$C$322,3,FALSE)</f>
        <v>32</v>
      </c>
      <c r="D269" t="str">
        <f>IFERROR(VLOOKUP(B269,справочник!$AF$2:$AF$15,1,FALSE),"")</f>
        <v/>
      </c>
      <c r="F269" t="s">
        <v>642</v>
      </c>
      <c r="G269" s="62">
        <v>-1600</v>
      </c>
      <c r="H269" s="62">
        <v>-800</v>
      </c>
      <c r="I269" s="62">
        <v>0</v>
      </c>
      <c r="J269" s="62">
        <v>800</v>
      </c>
      <c r="K269" s="62">
        <v>1600</v>
      </c>
      <c r="L269" s="62">
        <v>0</v>
      </c>
      <c r="M269" s="62">
        <v>800</v>
      </c>
      <c r="N269" s="62">
        <v>1600</v>
      </c>
      <c r="O269" s="62">
        <v>2400</v>
      </c>
      <c r="P269" s="62">
        <v>3200</v>
      </c>
      <c r="Q269" s="62">
        <v>4000</v>
      </c>
      <c r="R269" s="62">
        <v>4800</v>
      </c>
    </row>
    <row r="270" spans="1:18">
      <c r="A270" s="59">
        <v>31</v>
      </c>
      <c r="B270" t="s">
        <v>182</v>
      </c>
      <c r="C270">
        <f>VLOOKUP(A270,справочник!$A$2:$C$322,3,FALSE)</f>
        <v>31</v>
      </c>
      <c r="D270" t="str">
        <f>IFERROR(VLOOKUP(B270,справочник!$AF$2:$AF$15,1,FALSE),"")</f>
        <v/>
      </c>
      <c r="F270" t="s">
        <v>642</v>
      </c>
      <c r="G270" s="62">
        <v>800</v>
      </c>
      <c r="H270" s="62">
        <v>1600</v>
      </c>
      <c r="I270" s="62">
        <v>2400</v>
      </c>
      <c r="J270" s="62">
        <v>800</v>
      </c>
      <c r="K270" s="62">
        <v>-800</v>
      </c>
      <c r="L270" s="62">
        <v>0</v>
      </c>
      <c r="M270" s="62">
        <v>800</v>
      </c>
      <c r="N270" s="62">
        <v>1600</v>
      </c>
      <c r="O270" s="62">
        <v>2400</v>
      </c>
      <c r="P270" s="62">
        <v>3200</v>
      </c>
      <c r="Q270" s="62">
        <v>4000</v>
      </c>
      <c r="R270" s="62">
        <v>4800</v>
      </c>
    </row>
    <row r="271" spans="1:18">
      <c r="A271" s="59">
        <v>15</v>
      </c>
      <c r="B271" t="s">
        <v>303</v>
      </c>
      <c r="C271">
        <f>VLOOKUP(A271,справочник!$A$2:$C$322,3,FALSE)</f>
        <v>15</v>
      </c>
      <c r="D271" t="str">
        <f>IFERROR(VLOOKUP(B271,справочник!$AF$2:$AF$15,1,FALSE),"")</f>
        <v/>
      </c>
      <c r="F271" t="s">
        <v>90</v>
      </c>
      <c r="G271" s="62">
        <v>4800</v>
      </c>
      <c r="H271" s="62">
        <v>1600</v>
      </c>
      <c r="I271" s="62">
        <v>2400</v>
      </c>
      <c r="J271" s="62">
        <v>3200</v>
      </c>
      <c r="K271" s="62">
        <v>4000</v>
      </c>
      <c r="L271" s="62">
        <v>0</v>
      </c>
      <c r="M271" s="62">
        <v>800</v>
      </c>
      <c r="N271" s="62">
        <v>1600</v>
      </c>
      <c r="O271" s="62">
        <v>2400</v>
      </c>
      <c r="P271" s="62">
        <v>3200</v>
      </c>
      <c r="Q271" s="62">
        <v>4000</v>
      </c>
      <c r="R271" s="62">
        <v>4800</v>
      </c>
    </row>
    <row r="272" spans="1:18">
      <c r="A272" s="59">
        <v>290</v>
      </c>
      <c r="B272" t="s">
        <v>180</v>
      </c>
      <c r="C272">
        <f>VLOOKUP(A272,справочник!$A$2:$C$322,3,FALSE)</f>
        <v>303</v>
      </c>
      <c r="D272" t="str">
        <f>IFERROR(VLOOKUP(B272,справочник!$AF$2:$AF$15,1,FALSE),"")</f>
        <v/>
      </c>
      <c r="F272" t="s">
        <v>103</v>
      </c>
      <c r="G272" s="62">
        <v>800</v>
      </c>
      <c r="H272" s="62">
        <v>1600</v>
      </c>
      <c r="I272" s="62">
        <v>2400</v>
      </c>
      <c r="J272" s="62">
        <v>3200</v>
      </c>
      <c r="K272" s="62">
        <v>-1000</v>
      </c>
      <c r="L272" s="62">
        <v>-200</v>
      </c>
      <c r="M272" s="62">
        <v>600</v>
      </c>
      <c r="N272" s="62">
        <v>1400</v>
      </c>
      <c r="O272" s="62">
        <v>2200</v>
      </c>
      <c r="P272" s="62">
        <v>3000</v>
      </c>
      <c r="Q272" s="62">
        <v>3800</v>
      </c>
      <c r="R272" s="62">
        <v>4600</v>
      </c>
    </row>
    <row r="273" spans="1:18">
      <c r="A273" s="59">
        <v>271</v>
      </c>
      <c r="B273" t="s">
        <v>119</v>
      </c>
      <c r="C273">
        <f>VLOOKUP(A273,справочник!$A$2:$C$322,3,FALSE)</f>
        <v>284</v>
      </c>
      <c r="D273" t="str">
        <f>IFERROR(VLOOKUP(B273,справочник!$AF$2:$AF$15,1,FALSE),"")</f>
        <v/>
      </c>
      <c r="F273" t="s">
        <v>643</v>
      </c>
      <c r="G273" s="62">
        <v>800</v>
      </c>
      <c r="H273" s="62">
        <v>1600</v>
      </c>
      <c r="I273" s="62">
        <v>2400</v>
      </c>
      <c r="J273" s="62">
        <v>3200</v>
      </c>
      <c r="K273" s="62">
        <v>4000</v>
      </c>
      <c r="L273" s="62">
        <v>-200</v>
      </c>
      <c r="M273" s="62">
        <v>600</v>
      </c>
      <c r="N273" s="62">
        <v>1400</v>
      </c>
      <c r="O273" s="62">
        <v>2200</v>
      </c>
      <c r="P273" s="62">
        <v>3000</v>
      </c>
      <c r="Q273" s="62">
        <v>3800</v>
      </c>
      <c r="R273" s="62">
        <v>4600</v>
      </c>
    </row>
    <row r="274" spans="1:18">
      <c r="A274" s="59">
        <v>214</v>
      </c>
      <c r="B274" t="s">
        <v>100</v>
      </c>
      <c r="C274">
        <f>VLOOKUP(A274,справочник!$A$2:$C$322,3,FALSE)</f>
        <v>223</v>
      </c>
      <c r="D274" t="str">
        <f>IFERROR(VLOOKUP(B274,справочник!$AF$2:$AF$15,1,FALSE),"")</f>
        <v/>
      </c>
      <c r="F274" t="s">
        <v>109</v>
      </c>
      <c r="G274" s="62">
        <v>800</v>
      </c>
      <c r="H274" s="62">
        <v>-1400</v>
      </c>
      <c r="I274" s="62">
        <v>-600</v>
      </c>
      <c r="J274" s="62">
        <v>200</v>
      </c>
      <c r="K274" s="62">
        <v>1000</v>
      </c>
      <c r="L274" s="62">
        <v>-200</v>
      </c>
      <c r="M274" s="62">
        <v>600</v>
      </c>
      <c r="N274" s="62">
        <v>1400</v>
      </c>
      <c r="O274" s="62">
        <v>2200</v>
      </c>
      <c r="P274" s="62">
        <v>3000</v>
      </c>
      <c r="Q274" s="62">
        <v>3800</v>
      </c>
      <c r="R274" s="62">
        <v>4600</v>
      </c>
    </row>
    <row r="275" spans="1:18">
      <c r="A275" s="59">
        <v>133</v>
      </c>
      <c r="B275" t="s">
        <v>132</v>
      </c>
      <c r="C275">
        <f>VLOOKUP(A275,справочник!$A$2:$C$322,3,FALSE)</f>
        <v>140</v>
      </c>
      <c r="D275" t="str">
        <f>IFERROR(VLOOKUP(B275,справочник!$AF$2:$AF$15,1,FALSE),"")</f>
        <v/>
      </c>
      <c r="F275" t="s">
        <v>641</v>
      </c>
      <c r="G275" s="62">
        <v>800</v>
      </c>
      <c r="H275" s="62">
        <v>600</v>
      </c>
      <c r="I275" s="62">
        <v>400</v>
      </c>
      <c r="J275" s="62">
        <v>200</v>
      </c>
      <c r="K275" s="62">
        <v>0</v>
      </c>
      <c r="L275" s="62">
        <v>-200</v>
      </c>
      <c r="M275" s="62">
        <v>600</v>
      </c>
      <c r="N275" s="62">
        <v>1400</v>
      </c>
      <c r="O275" s="62">
        <v>2200</v>
      </c>
      <c r="P275" s="62">
        <v>3000</v>
      </c>
      <c r="Q275" s="62">
        <v>3800</v>
      </c>
      <c r="R275" s="62">
        <v>4600</v>
      </c>
    </row>
    <row r="276" spans="1:18">
      <c r="A276" s="59">
        <v>103</v>
      </c>
      <c r="B276" t="s">
        <v>279</v>
      </c>
      <c r="C276">
        <f>VLOOKUP(A276,справочник!$A$2:$C$322,3,FALSE)</f>
        <v>108</v>
      </c>
      <c r="D276" t="str">
        <f>IFERROR(VLOOKUP(B276,справочник!$AF$2:$AF$15,1,FALSE),"")</f>
        <v/>
      </c>
      <c r="F276" t="s">
        <v>645</v>
      </c>
      <c r="G276" s="62">
        <v>1800</v>
      </c>
      <c r="H276" s="62">
        <v>2600</v>
      </c>
      <c r="I276" s="62">
        <v>-2600</v>
      </c>
      <c r="J276" s="62">
        <v>-1800</v>
      </c>
      <c r="K276" s="62">
        <v>-1000</v>
      </c>
      <c r="L276" s="62">
        <v>-200</v>
      </c>
      <c r="M276" s="62">
        <v>600</v>
      </c>
      <c r="N276" s="62">
        <v>1400</v>
      </c>
      <c r="O276" s="62">
        <v>2200</v>
      </c>
      <c r="P276" s="62">
        <v>3000</v>
      </c>
      <c r="Q276" s="62">
        <v>3800</v>
      </c>
      <c r="R276" s="62">
        <v>4600</v>
      </c>
    </row>
    <row r="277" spans="1:18">
      <c r="A277" s="59">
        <v>216</v>
      </c>
      <c r="B277" t="s">
        <v>143</v>
      </c>
      <c r="C277">
        <f>VLOOKUP(A277,справочник!$A$2:$C$322,3,FALSE)</f>
        <v>226</v>
      </c>
      <c r="D277" t="str">
        <f>IFERROR(VLOOKUP(B277,справочник!$AF$2:$AF$15,1,FALSE),"")</f>
        <v/>
      </c>
      <c r="F277" t="s">
        <v>109</v>
      </c>
      <c r="G277" s="62">
        <v>800</v>
      </c>
      <c r="H277" s="62">
        <v>-3600</v>
      </c>
      <c r="I277" s="62">
        <v>-2800</v>
      </c>
      <c r="J277" s="62">
        <v>-2000</v>
      </c>
      <c r="K277" s="62">
        <v>-1200</v>
      </c>
      <c r="L277" s="62">
        <v>-400</v>
      </c>
      <c r="M277" s="62">
        <v>400</v>
      </c>
      <c r="N277" s="62">
        <v>1200</v>
      </c>
      <c r="O277" s="62">
        <v>2000</v>
      </c>
      <c r="P277" s="62">
        <v>2800</v>
      </c>
      <c r="Q277" s="62">
        <v>3600</v>
      </c>
      <c r="R277" s="62">
        <v>4400</v>
      </c>
    </row>
    <row r="278" spans="1:18">
      <c r="A278" s="59">
        <v>42</v>
      </c>
      <c r="B278" t="s">
        <v>165</v>
      </c>
      <c r="C278">
        <f>VLOOKUP(A278,справочник!$A$2:$C$322,3,FALSE)</f>
        <v>42</v>
      </c>
      <c r="D278" t="str">
        <f>IFERROR(VLOOKUP(B278,справочник!$AF$2:$AF$15,1,FALSE),"")</f>
        <v/>
      </c>
      <c r="F278" t="s">
        <v>642</v>
      </c>
      <c r="G278" s="62">
        <v>-200</v>
      </c>
      <c r="H278" s="62">
        <v>-800</v>
      </c>
      <c r="I278" s="62">
        <v>0</v>
      </c>
      <c r="J278" s="62">
        <v>-800</v>
      </c>
      <c r="K278" s="62">
        <v>0</v>
      </c>
      <c r="L278" s="62">
        <v>-800</v>
      </c>
      <c r="M278" s="62">
        <v>0</v>
      </c>
      <c r="N278" s="62">
        <v>800</v>
      </c>
      <c r="O278" s="62">
        <v>1600</v>
      </c>
      <c r="P278" s="62">
        <v>2400</v>
      </c>
      <c r="Q278" s="62">
        <v>3200</v>
      </c>
      <c r="R278" s="62">
        <v>4000</v>
      </c>
    </row>
    <row r="279" spans="1:18">
      <c r="A279" s="59">
        <v>203</v>
      </c>
      <c r="B279" t="s">
        <v>5</v>
      </c>
      <c r="C279">
        <f>VLOOKUP(A279,справочник!$A$2:$C$322,3,FALSE)</f>
        <v>213</v>
      </c>
      <c r="D279" t="str">
        <f>IFERROR(VLOOKUP(B279,справочник!$AF$2:$AF$15,1,FALSE),"")</f>
        <v/>
      </c>
      <c r="F279" t="s">
        <v>37</v>
      </c>
      <c r="G279" s="62">
        <v>-800</v>
      </c>
      <c r="H279" s="62">
        <v>0</v>
      </c>
      <c r="I279" s="62">
        <v>800</v>
      </c>
      <c r="J279" s="62">
        <v>1600</v>
      </c>
      <c r="K279" s="62">
        <v>-1800</v>
      </c>
      <c r="L279" s="62">
        <v>-1000</v>
      </c>
      <c r="M279" s="62">
        <v>-200</v>
      </c>
      <c r="N279" s="62">
        <v>600</v>
      </c>
      <c r="O279" s="62">
        <v>1400</v>
      </c>
      <c r="P279" s="62">
        <v>2200</v>
      </c>
      <c r="Q279" s="62">
        <v>3000</v>
      </c>
      <c r="R279" s="62">
        <v>3800</v>
      </c>
    </row>
    <row r="280" spans="1:18">
      <c r="A280" s="59">
        <v>155</v>
      </c>
      <c r="B280" t="s">
        <v>75</v>
      </c>
      <c r="C280">
        <f>VLOOKUP(A280,справочник!$A$2:$C$322,3,FALSE)</f>
        <v>163</v>
      </c>
      <c r="D280" t="str">
        <f>IFERROR(VLOOKUP(B280,справочник!$AF$2:$AF$15,1,FALSE),"")</f>
        <v/>
      </c>
      <c r="F280" t="s">
        <v>13</v>
      </c>
      <c r="G280" s="62">
        <v>-1200</v>
      </c>
      <c r="H280" s="62">
        <v>-1000</v>
      </c>
      <c r="I280" s="62">
        <v>-1800</v>
      </c>
      <c r="J280" s="62">
        <v>-1000</v>
      </c>
      <c r="K280" s="62">
        <v>-1800</v>
      </c>
      <c r="L280" s="62">
        <v>-1000</v>
      </c>
      <c r="M280" s="62">
        <v>-200</v>
      </c>
      <c r="N280" s="62">
        <v>600</v>
      </c>
      <c r="O280" s="62">
        <v>1400</v>
      </c>
      <c r="P280" s="62">
        <v>2200</v>
      </c>
      <c r="Q280" s="62">
        <v>3000</v>
      </c>
      <c r="R280" s="62">
        <v>3800</v>
      </c>
    </row>
    <row r="281" spans="1:18">
      <c r="A281" s="59">
        <v>138</v>
      </c>
      <c r="B281" t="s">
        <v>50</v>
      </c>
      <c r="C281">
        <f>VLOOKUP(A281,справочник!$A$2:$C$322,3,FALSE)</f>
        <v>146</v>
      </c>
      <c r="D281" t="str">
        <f>IFERROR(VLOOKUP(B281,справочник!$AF$2:$AF$15,1,FALSE),"")</f>
        <v/>
      </c>
      <c r="F281" t="s">
        <v>641</v>
      </c>
      <c r="G281" s="62">
        <v>800</v>
      </c>
      <c r="H281" s="62">
        <v>-1400</v>
      </c>
      <c r="I281" s="62">
        <v>-600</v>
      </c>
      <c r="J281" s="62">
        <v>200</v>
      </c>
      <c r="K281" s="62">
        <v>1000</v>
      </c>
      <c r="L281" s="62">
        <v>-1100</v>
      </c>
      <c r="M281" s="62">
        <v>-300</v>
      </c>
      <c r="N281" s="62">
        <v>500</v>
      </c>
      <c r="O281" s="62">
        <v>1300</v>
      </c>
      <c r="P281" s="62">
        <v>2100</v>
      </c>
      <c r="Q281" s="62">
        <v>2900</v>
      </c>
      <c r="R281" s="62">
        <v>3700</v>
      </c>
    </row>
    <row r="282" spans="1:18">
      <c r="A282" s="59">
        <v>312</v>
      </c>
      <c r="B282" t="s">
        <v>213</v>
      </c>
      <c r="C282">
        <v>210</v>
      </c>
      <c r="D282" t="str">
        <f>IFERROR(VLOOKUP(B282,справочник!$AF$2:$AF$15,1,FALSE),"")</f>
        <v/>
      </c>
      <c r="F282" t="s">
        <v>37</v>
      </c>
      <c r="G282" s="62">
        <v>-1200</v>
      </c>
      <c r="H282" s="62">
        <v>-400</v>
      </c>
      <c r="I282" s="62">
        <v>400</v>
      </c>
      <c r="J282" s="62">
        <v>-800</v>
      </c>
      <c r="K282" s="62">
        <v>0</v>
      </c>
      <c r="L282" s="62">
        <v>-1200</v>
      </c>
      <c r="M282" s="62">
        <v>-400</v>
      </c>
      <c r="N282" s="62">
        <v>400</v>
      </c>
      <c r="O282" s="62">
        <v>1200</v>
      </c>
      <c r="P282" s="62">
        <v>2000</v>
      </c>
      <c r="Q282" s="62">
        <v>2800</v>
      </c>
      <c r="R282" s="62">
        <v>3600</v>
      </c>
    </row>
    <row r="283" spans="1:18">
      <c r="A283" s="59">
        <v>219</v>
      </c>
      <c r="B283" t="s">
        <v>36</v>
      </c>
      <c r="C283">
        <f>VLOOKUP(A283,справочник!$A$2:$C$322,3,FALSE)</f>
        <v>228</v>
      </c>
      <c r="D283" t="str">
        <f>IFERROR(VLOOKUP(B283,справочник!$AF$2:$AF$15,1,FALSE),"")</f>
        <v/>
      </c>
      <c r="F283" t="s">
        <v>109</v>
      </c>
      <c r="G283" s="62">
        <v>800</v>
      </c>
      <c r="H283" s="62">
        <v>1600</v>
      </c>
      <c r="I283" s="62">
        <v>-600</v>
      </c>
      <c r="J283" s="62">
        <v>200</v>
      </c>
      <c r="K283" s="62">
        <v>1000</v>
      </c>
      <c r="L283" s="62">
        <v>-1200</v>
      </c>
      <c r="M283" s="62">
        <v>-400</v>
      </c>
      <c r="N283" s="62">
        <v>400</v>
      </c>
      <c r="O283" s="62">
        <v>1200</v>
      </c>
      <c r="P283" s="62">
        <v>2000</v>
      </c>
      <c r="Q283" s="62">
        <v>2800</v>
      </c>
      <c r="R283" s="62">
        <v>3600</v>
      </c>
    </row>
    <row r="284" spans="1:18">
      <c r="A284" s="59">
        <v>168</v>
      </c>
      <c r="B284" t="s">
        <v>290</v>
      </c>
      <c r="C284">
        <f>VLOOKUP(A284,справочник!$A$2:$C$322,3,FALSE)</f>
        <v>176</v>
      </c>
      <c r="D284" t="str">
        <f>IFERROR(VLOOKUP(B284,справочник!$AF$2:$AF$15,1,FALSE),"")</f>
        <v/>
      </c>
      <c r="F284" t="s">
        <v>13</v>
      </c>
      <c r="G284" s="62">
        <v>800</v>
      </c>
      <c r="H284" s="62">
        <v>-400</v>
      </c>
      <c r="I284" s="62">
        <v>400</v>
      </c>
      <c r="J284" s="62">
        <v>-800</v>
      </c>
      <c r="K284" s="62">
        <v>-2000</v>
      </c>
      <c r="L284" s="62">
        <v>-1200</v>
      </c>
      <c r="M284" s="62">
        <v>-400</v>
      </c>
      <c r="N284" s="62">
        <v>400</v>
      </c>
      <c r="O284" s="62">
        <v>1200</v>
      </c>
      <c r="P284" s="62">
        <v>2000</v>
      </c>
      <c r="Q284" s="62">
        <v>2800</v>
      </c>
      <c r="R284" s="62">
        <v>3600</v>
      </c>
    </row>
    <row r="285" spans="1:18">
      <c r="A285" s="59">
        <v>162</v>
      </c>
      <c r="B285" t="s">
        <v>260</v>
      </c>
      <c r="C285">
        <f>VLOOKUP(A285,справочник!$A$2:$C$322,3,FALSE)</f>
        <v>170</v>
      </c>
      <c r="D285" t="str">
        <f>IFERROR(VLOOKUP(B285,справочник!$AF$2:$AF$15,1,FALSE),"")</f>
        <v/>
      </c>
      <c r="F285" t="s">
        <v>13</v>
      </c>
      <c r="G285" s="62">
        <v>6800</v>
      </c>
      <c r="H285" s="62">
        <v>7600</v>
      </c>
      <c r="I285" s="62">
        <v>8400</v>
      </c>
      <c r="J285" s="62">
        <v>9200</v>
      </c>
      <c r="K285" s="62">
        <v>-2000</v>
      </c>
      <c r="L285" s="62">
        <v>-1200</v>
      </c>
      <c r="M285" s="62">
        <v>-400</v>
      </c>
      <c r="N285" s="62">
        <v>400</v>
      </c>
      <c r="O285" s="62">
        <v>1200</v>
      </c>
      <c r="P285" s="62">
        <v>2000</v>
      </c>
      <c r="Q285" s="62">
        <v>2800</v>
      </c>
      <c r="R285" s="62">
        <v>3600</v>
      </c>
    </row>
    <row r="286" spans="1:18">
      <c r="A286" s="59">
        <v>156</v>
      </c>
      <c r="B286" t="s">
        <v>98</v>
      </c>
      <c r="C286">
        <f>VLOOKUP(A286,справочник!$A$2:$C$322,3,FALSE)</f>
        <v>164</v>
      </c>
      <c r="D286" t="str">
        <f>IFERROR(VLOOKUP(B286,справочник!$AF$2:$AF$15,1,FALSE),"")</f>
        <v/>
      </c>
      <c r="F286" t="s">
        <v>13</v>
      </c>
      <c r="G286" s="62">
        <v>3800</v>
      </c>
      <c r="H286" s="62">
        <v>-400</v>
      </c>
      <c r="I286" s="62">
        <v>-600</v>
      </c>
      <c r="J286" s="62">
        <v>-800</v>
      </c>
      <c r="K286" s="62">
        <v>-1000</v>
      </c>
      <c r="L286" s="62">
        <v>-1200</v>
      </c>
      <c r="M286" s="62">
        <v>-400</v>
      </c>
      <c r="N286" s="62">
        <v>400</v>
      </c>
      <c r="O286" s="62">
        <v>1200</v>
      </c>
      <c r="P286" s="62">
        <v>2000</v>
      </c>
      <c r="Q286" s="62">
        <v>2800</v>
      </c>
      <c r="R286" s="62">
        <v>3600</v>
      </c>
    </row>
    <row r="287" spans="1:18">
      <c r="A287" s="59">
        <v>255</v>
      </c>
      <c r="B287" t="s">
        <v>266</v>
      </c>
      <c r="C287">
        <f>VLOOKUP(A287,справочник!$A$2:$C$322,3,FALSE)</f>
        <v>268</v>
      </c>
      <c r="D287" t="str">
        <f>IFERROR(VLOOKUP(B287,справочник!$AF$2:$AF$15,1,FALSE),"")</f>
        <v/>
      </c>
      <c r="F287" t="s">
        <v>146</v>
      </c>
      <c r="G287" s="62">
        <v>800</v>
      </c>
      <c r="H287" s="62">
        <v>1600</v>
      </c>
      <c r="I287" s="62">
        <v>-800</v>
      </c>
      <c r="J287" s="62">
        <v>0</v>
      </c>
      <c r="K287" s="62">
        <v>-2400</v>
      </c>
      <c r="L287" s="62">
        <v>-1600</v>
      </c>
      <c r="M287" s="62">
        <v>-800</v>
      </c>
      <c r="N287" s="62">
        <v>0</v>
      </c>
      <c r="O287" s="62">
        <v>800</v>
      </c>
      <c r="P287" s="62">
        <v>1600</v>
      </c>
      <c r="Q287" s="62">
        <v>2400</v>
      </c>
      <c r="R287" s="62">
        <v>3200</v>
      </c>
    </row>
    <row r="288" spans="1:18">
      <c r="A288" s="59">
        <v>76</v>
      </c>
      <c r="B288" t="s">
        <v>113</v>
      </c>
      <c r="C288">
        <f>VLOOKUP(A288,справочник!$A$2:$C$322,3,FALSE)</f>
        <v>82</v>
      </c>
      <c r="D288" t="str">
        <f>IFERROR(VLOOKUP(B288,справочник!$AF$2:$AF$15,1,FALSE),"")</f>
        <v/>
      </c>
      <c r="F288" t="s">
        <v>2</v>
      </c>
      <c r="G288" s="62">
        <v>-1200</v>
      </c>
      <c r="H288" s="62">
        <v>-2800</v>
      </c>
      <c r="I288" s="62">
        <v>-2000</v>
      </c>
      <c r="J288" s="62">
        <v>-3600</v>
      </c>
      <c r="K288" s="62">
        <v>-2800</v>
      </c>
      <c r="L288" s="62">
        <v>-2000</v>
      </c>
      <c r="M288" s="62">
        <v>-1200</v>
      </c>
      <c r="N288" s="62">
        <v>-400</v>
      </c>
      <c r="O288" s="62">
        <v>400</v>
      </c>
      <c r="P288" s="62">
        <v>1200</v>
      </c>
      <c r="Q288" s="62">
        <v>2000</v>
      </c>
      <c r="R288" s="62">
        <v>2800</v>
      </c>
    </row>
    <row r="289" spans="1:18">
      <c r="A289" s="59">
        <v>25</v>
      </c>
      <c r="B289" t="s">
        <v>49</v>
      </c>
      <c r="C289">
        <f>VLOOKUP(A289,справочник!$A$2:$C$322,3,FALSE)</f>
        <v>25</v>
      </c>
      <c r="D289" t="str">
        <f>IFERROR(VLOOKUP(B289,справочник!$AF$2:$AF$15,1,FALSE),"")</f>
        <v/>
      </c>
      <c r="F289" t="s">
        <v>90</v>
      </c>
      <c r="G289" s="62">
        <v>800</v>
      </c>
      <c r="H289" s="62">
        <v>1600</v>
      </c>
      <c r="I289" s="62">
        <v>-600</v>
      </c>
      <c r="J289" s="62">
        <v>200</v>
      </c>
      <c r="K289" s="62">
        <v>-2000</v>
      </c>
      <c r="L289" s="62">
        <v>-2000</v>
      </c>
      <c r="M289" s="62">
        <v>-1200</v>
      </c>
      <c r="N289" s="62">
        <v>-400</v>
      </c>
      <c r="O289" s="62">
        <v>400</v>
      </c>
      <c r="P289" s="62">
        <v>1200</v>
      </c>
      <c r="Q289" s="62">
        <v>2000</v>
      </c>
      <c r="R289" s="62">
        <v>2800</v>
      </c>
    </row>
    <row r="290" spans="1:18">
      <c r="A290" s="59">
        <v>236</v>
      </c>
      <c r="B290" t="s">
        <v>67</v>
      </c>
      <c r="C290">
        <f>VLOOKUP(A290,справочник!$A$2:$C$322,3,FALSE)</f>
        <v>245</v>
      </c>
      <c r="D290" t="str">
        <f>IFERROR(VLOOKUP(B290,справочник!$AF$2:$AF$15,1,FALSE),"")</f>
        <v/>
      </c>
      <c r="F290" t="s">
        <v>644</v>
      </c>
      <c r="G290" s="62">
        <v>18800</v>
      </c>
      <c r="H290" s="62">
        <v>19600</v>
      </c>
      <c r="I290" s="62">
        <v>20400</v>
      </c>
      <c r="J290" s="62">
        <v>21200</v>
      </c>
      <c r="K290" s="62">
        <v>-3000</v>
      </c>
      <c r="L290" s="62">
        <v>-2200</v>
      </c>
      <c r="M290" s="62">
        <v>-1400</v>
      </c>
      <c r="N290" s="62">
        <v>-600</v>
      </c>
      <c r="O290" s="62">
        <v>200</v>
      </c>
      <c r="P290" s="62">
        <v>1000</v>
      </c>
      <c r="Q290" s="62">
        <v>1800</v>
      </c>
      <c r="R290" s="62">
        <v>2600</v>
      </c>
    </row>
    <row r="291" spans="1:18">
      <c r="A291" s="59">
        <v>222</v>
      </c>
      <c r="B291" t="s">
        <v>109</v>
      </c>
      <c r="C291">
        <f>VLOOKUP(A291,справочник!$A$2:$C$322,3,FALSE)</f>
        <v>231</v>
      </c>
      <c r="D291" t="str">
        <f>IFERROR(VLOOKUP(B291,справочник!$AF$2:$AF$15,1,FALSE),"")</f>
        <v>Карпова Елена Витальевна</v>
      </c>
      <c r="F291" t="s">
        <v>109</v>
      </c>
      <c r="G291" s="62">
        <v>800</v>
      </c>
      <c r="H291" s="62">
        <v>-1600</v>
      </c>
      <c r="I291" s="62">
        <v>-800</v>
      </c>
      <c r="J291" s="62">
        <v>0</v>
      </c>
      <c r="K291" s="62">
        <v>-3200</v>
      </c>
      <c r="L291" s="62">
        <v>-2400</v>
      </c>
      <c r="M291" s="62">
        <v>-1600</v>
      </c>
      <c r="N291" s="62">
        <v>-800</v>
      </c>
      <c r="O291" s="62">
        <v>0</v>
      </c>
      <c r="P291" s="62">
        <v>800</v>
      </c>
      <c r="Q291" s="62">
        <v>1600</v>
      </c>
      <c r="R291" s="62">
        <v>2400</v>
      </c>
    </row>
    <row r="292" spans="1:18">
      <c r="A292" s="59">
        <v>170</v>
      </c>
      <c r="B292" t="s">
        <v>179</v>
      </c>
      <c r="C292">
        <f>VLOOKUP(A292,справочник!$A$2:$C$322,3,FALSE)</f>
        <v>179</v>
      </c>
      <c r="D292" t="str">
        <f>IFERROR(VLOOKUP(B292,справочник!$AF$2:$AF$15,1,FALSE),"")</f>
        <v/>
      </c>
      <c r="F292" t="s">
        <v>13</v>
      </c>
      <c r="G292" s="62">
        <v>-1600</v>
      </c>
      <c r="H292" s="62">
        <v>-800</v>
      </c>
      <c r="I292" s="62">
        <v>-2400</v>
      </c>
      <c r="J292" s="62">
        <v>-1600</v>
      </c>
      <c r="K292" s="62">
        <v>-800</v>
      </c>
      <c r="L292" s="62">
        <v>-2400</v>
      </c>
      <c r="M292" s="62">
        <v>-1600</v>
      </c>
      <c r="N292" s="62">
        <v>-800</v>
      </c>
      <c r="O292" s="62">
        <v>0</v>
      </c>
      <c r="P292" s="62">
        <v>800</v>
      </c>
      <c r="Q292" s="62">
        <v>1600</v>
      </c>
      <c r="R292" s="62">
        <v>2400</v>
      </c>
    </row>
    <row r="293" spans="1:18">
      <c r="A293" s="59">
        <v>55</v>
      </c>
      <c r="B293" t="s">
        <v>306</v>
      </c>
      <c r="C293">
        <f>VLOOKUP(A293,справочник!$A$2:$C$322,3,FALSE)</f>
        <v>57</v>
      </c>
      <c r="D293" t="str">
        <f>IFERROR(VLOOKUP(B293,справочник!$AF$2:$AF$15,1,FALSE),"")</f>
        <v/>
      </c>
      <c r="F293" t="s">
        <v>642</v>
      </c>
      <c r="G293" s="62">
        <v>-3200</v>
      </c>
      <c r="H293" s="62">
        <v>-2400</v>
      </c>
      <c r="I293" s="62">
        <v>-4800</v>
      </c>
      <c r="J293" s="62">
        <v>-4000</v>
      </c>
      <c r="K293" s="62">
        <v>-3200</v>
      </c>
      <c r="L293" s="62">
        <v>-2400</v>
      </c>
      <c r="M293" s="62">
        <v>-1600</v>
      </c>
      <c r="N293" s="62">
        <v>-800</v>
      </c>
      <c r="O293" s="62">
        <v>0</v>
      </c>
      <c r="P293" s="62">
        <v>800</v>
      </c>
      <c r="Q293" s="62">
        <v>1600</v>
      </c>
      <c r="R293" s="62">
        <v>2400</v>
      </c>
    </row>
    <row r="294" spans="1:18">
      <c r="A294" s="59">
        <v>274</v>
      </c>
      <c r="B294" t="s">
        <v>41</v>
      </c>
      <c r="C294">
        <f>VLOOKUP(A294,справочник!$A$2:$C$322,3,FALSE)</f>
        <v>295</v>
      </c>
      <c r="D294" t="str">
        <f>IFERROR(VLOOKUP(B294,справочник!$AF$2:$AF$15,1,FALSE),"")</f>
        <v/>
      </c>
      <c r="F294" t="s">
        <v>643</v>
      </c>
      <c r="G294" s="62">
        <v>20800</v>
      </c>
      <c r="H294" s="62">
        <v>21600</v>
      </c>
      <c r="I294" s="62">
        <v>20800</v>
      </c>
      <c r="J294" s="62">
        <v>21600</v>
      </c>
      <c r="K294" s="62">
        <v>22400</v>
      </c>
      <c r="L294" s="62">
        <v>-3600</v>
      </c>
      <c r="M294" s="62">
        <v>-2800</v>
      </c>
      <c r="N294" s="62">
        <v>-2000</v>
      </c>
      <c r="O294" s="62">
        <v>-1200</v>
      </c>
      <c r="P294" s="62">
        <v>-400</v>
      </c>
      <c r="Q294" s="62">
        <v>400</v>
      </c>
      <c r="R294" s="62">
        <v>1200</v>
      </c>
    </row>
    <row r="295" spans="1:18">
      <c r="A295" s="59">
        <v>243</v>
      </c>
      <c r="B295" t="s">
        <v>146</v>
      </c>
      <c r="C295">
        <f>VLOOKUP(A295,справочник!$A$2:$C$322,3,FALSE)</f>
        <v>254</v>
      </c>
      <c r="D295" t="str">
        <f>IFERROR(VLOOKUP(B295,справочник!$AF$2:$AF$15,1,FALSE),"")</f>
        <v>Лапшин Сергей Николаевич</v>
      </c>
      <c r="F295" t="s">
        <v>644</v>
      </c>
      <c r="G295" s="62">
        <v>1800</v>
      </c>
      <c r="H295" s="62">
        <v>-2200</v>
      </c>
      <c r="I295" s="62">
        <v>-1400</v>
      </c>
      <c r="J295" s="62">
        <v>-600</v>
      </c>
      <c r="K295" s="62">
        <v>200</v>
      </c>
      <c r="L295" s="62">
        <v>-3800</v>
      </c>
      <c r="M295" s="62">
        <v>-3000</v>
      </c>
      <c r="N295" s="62">
        <v>-2200</v>
      </c>
      <c r="O295" s="62">
        <v>-1400</v>
      </c>
      <c r="P295" s="62">
        <v>-600</v>
      </c>
      <c r="Q295" s="62">
        <v>200</v>
      </c>
      <c r="R295" s="62">
        <v>1000</v>
      </c>
    </row>
    <row r="296" spans="1:18">
      <c r="A296" s="59">
        <v>318</v>
      </c>
      <c r="B296" t="s">
        <v>66</v>
      </c>
      <c r="C296">
        <v>71</v>
      </c>
      <c r="D296" t="str">
        <f>IFERROR(VLOOKUP(B296,справочник!$AF$2:$AF$15,1,FALSE),"")</f>
        <v/>
      </c>
      <c r="F296" t="s">
        <v>181</v>
      </c>
      <c r="G296" s="62">
        <v>800</v>
      </c>
      <c r="H296" s="62">
        <v>-3200</v>
      </c>
      <c r="I296" s="62">
        <v>-2400</v>
      </c>
      <c r="J296" s="62">
        <v>-6400</v>
      </c>
      <c r="K296" s="62">
        <v>-5600</v>
      </c>
      <c r="L296" s="62">
        <v>-4800</v>
      </c>
      <c r="M296" s="62">
        <v>-4000</v>
      </c>
      <c r="N296" s="62">
        <v>-3200</v>
      </c>
      <c r="O296" s="62">
        <v>-2400</v>
      </c>
      <c r="P296" s="62">
        <v>-1600</v>
      </c>
      <c r="Q296" s="62">
        <v>-800</v>
      </c>
      <c r="R296" s="62">
        <v>0</v>
      </c>
    </row>
    <row r="297" spans="1:18">
      <c r="A297" s="59">
        <v>294</v>
      </c>
      <c r="B297" t="s">
        <v>57</v>
      </c>
      <c r="C297">
        <f>VLOOKUP(A297,справочник!$A$2:$C$322,3,FALSE)</f>
        <v>309</v>
      </c>
      <c r="D297" t="str">
        <f>IFERROR(VLOOKUP(B297,справочник!$AF$2:$AF$15,1,FALSE),"")</f>
        <v/>
      </c>
      <c r="F297" t="s">
        <v>103</v>
      </c>
      <c r="G297" s="62">
        <v>-8800</v>
      </c>
      <c r="H297" s="62">
        <v>-8000</v>
      </c>
      <c r="I297" s="62">
        <v>-7200</v>
      </c>
      <c r="J297" s="62">
        <v>-6400</v>
      </c>
      <c r="K297" s="62">
        <v>-5600</v>
      </c>
      <c r="L297" s="62">
        <v>-4800</v>
      </c>
      <c r="M297" s="62">
        <v>-4000</v>
      </c>
      <c r="N297" s="62">
        <v>-3200</v>
      </c>
      <c r="O297" s="62">
        <v>-2400</v>
      </c>
      <c r="P297" s="62">
        <v>-1600</v>
      </c>
      <c r="Q297" s="62">
        <v>-800</v>
      </c>
      <c r="R297" s="62">
        <v>0</v>
      </c>
    </row>
    <row r="298" spans="1:18">
      <c r="A298" s="59">
        <v>276</v>
      </c>
      <c r="B298" t="s">
        <v>62</v>
      </c>
      <c r="C298">
        <f>VLOOKUP(A298,справочник!$A$2:$C$322,3,FALSE)</f>
        <v>289</v>
      </c>
      <c r="D298" t="str">
        <f>IFERROR(VLOOKUP(B298,справочник!$AF$2:$AF$15,1,FALSE),"")</f>
        <v/>
      </c>
      <c r="F298" t="s">
        <v>643</v>
      </c>
      <c r="G298" s="62">
        <v>12800</v>
      </c>
      <c r="H298" s="62">
        <v>13600</v>
      </c>
      <c r="I298" s="62">
        <v>14400</v>
      </c>
      <c r="J298" s="62">
        <v>15200</v>
      </c>
      <c r="K298" s="62">
        <v>16000</v>
      </c>
      <c r="L298" s="62">
        <v>-4800</v>
      </c>
      <c r="M298" s="62">
        <v>-4000</v>
      </c>
      <c r="N298" s="62">
        <v>-3200</v>
      </c>
      <c r="O298" s="62">
        <v>-2400</v>
      </c>
      <c r="P298" s="62">
        <v>-1600</v>
      </c>
      <c r="Q298" s="62">
        <v>-800</v>
      </c>
      <c r="R298" s="62">
        <v>0</v>
      </c>
    </row>
    <row r="299" spans="1:18">
      <c r="A299" s="59">
        <v>319</v>
      </c>
      <c r="B299" t="s">
        <v>264</v>
      </c>
      <c r="C299">
        <v>73</v>
      </c>
      <c r="D299" t="str">
        <f>IFERROR(VLOOKUP(B299,справочник!$AF$2:$AF$15,1,FALSE),"")</f>
        <v/>
      </c>
      <c r="F299" t="s">
        <v>181</v>
      </c>
      <c r="G299" s="62">
        <v>800</v>
      </c>
      <c r="H299" s="62">
        <v>-400</v>
      </c>
      <c r="I299" s="62">
        <v>400</v>
      </c>
      <c r="J299" s="62">
        <v>-2800</v>
      </c>
      <c r="K299" s="62">
        <v>-6000</v>
      </c>
      <c r="L299" s="62">
        <v>-5200</v>
      </c>
      <c r="M299" s="62">
        <v>-4400</v>
      </c>
      <c r="N299" s="62">
        <v>-3600</v>
      </c>
      <c r="O299" s="62">
        <v>-2800</v>
      </c>
      <c r="P299" s="62">
        <v>-2000</v>
      </c>
      <c r="Q299" s="62">
        <v>-1200</v>
      </c>
      <c r="R299" s="62">
        <v>-400</v>
      </c>
    </row>
    <row r="300" spans="1:18">
      <c r="A300" s="59">
        <v>23</v>
      </c>
      <c r="B300" t="s">
        <v>289</v>
      </c>
      <c r="C300">
        <f>VLOOKUP(A300,справочник!$A$2:$C$322,3,FALSE)</f>
        <v>23</v>
      </c>
      <c r="D300" t="str">
        <f>IFERROR(VLOOKUP(B300,справочник!$AF$2:$AF$15,1,FALSE),"")</f>
        <v/>
      </c>
      <c r="F300" t="s">
        <v>90</v>
      </c>
      <c r="G300" s="62">
        <v>-10800</v>
      </c>
      <c r="H300" s="62">
        <v>-10000</v>
      </c>
      <c r="I300" s="62">
        <v>-9200</v>
      </c>
      <c r="J300" s="62">
        <v>-8400</v>
      </c>
      <c r="K300" s="62">
        <v>-7600</v>
      </c>
      <c r="L300" s="62">
        <v>-6800</v>
      </c>
      <c r="M300" s="62">
        <v>-6000</v>
      </c>
      <c r="N300" s="62">
        <v>-5200</v>
      </c>
      <c r="O300" s="62">
        <v>-4400</v>
      </c>
      <c r="P300" s="62">
        <v>-3600</v>
      </c>
      <c r="Q300" s="62">
        <v>-2800</v>
      </c>
      <c r="R300" s="62">
        <v>-2000</v>
      </c>
    </row>
    <row r="301" spans="1:18">
      <c r="A301" s="59">
        <v>286</v>
      </c>
      <c r="B301" t="s">
        <v>58</v>
      </c>
      <c r="C301">
        <f>VLOOKUP(A301,справочник!$A$2:$C$322,3,FALSE)</f>
        <v>298</v>
      </c>
      <c r="D301" t="str">
        <f>IFERROR(VLOOKUP(B301,справочник!$AF$2:$AF$15,1,FALSE),"")</f>
        <v/>
      </c>
      <c r="F301" t="s">
        <v>643</v>
      </c>
      <c r="G301" s="62">
        <v>800</v>
      </c>
      <c r="H301" s="62">
        <v>-6400</v>
      </c>
      <c r="I301" s="62">
        <v>-5600</v>
      </c>
      <c r="J301" s="62">
        <v>-4800</v>
      </c>
      <c r="K301" s="62">
        <v>-4000</v>
      </c>
      <c r="L301" s="62">
        <v>-7200</v>
      </c>
      <c r="M301" s="62">
        <v>-6400</v>
      </c>
      <c r="N301" s="62">
        <v>-5600</v>
      </c>
      <c r="O301" s="62">
        <v>-4800</v>
      </c>
      <c r="P301" s="62">
        <v>-4000</v>
      </c>
      <c r="Q301" s="62">
        <v>-3200</v>
      </c>
      <c r="R301" s="62">
        <v>-2400</v>
      </c>
    </row>
    <row r="302" spans="1:18">
      <c r="A302" s="59">
        <v>285</v>
      </c>
      <c r="B302" t="s">
        <v>69</v>
      </c>
      <c r="C302">
        <f>VLOOKUP(A302,справочник!$A$2:$C$322,3,FALSE)</f>
        <v>297</v>
      </c>
      <c r="D302" t="str">
        <f>IFERROR(VLOOKUP(B302,справочник!$AF$2:$AF$15,1,FALSE),"")</f>
        <v/>
      </c>
      <c r="F302" t="s">
        <v>643</v>
      </c>
      <c r="G302" s="62">
        <v>800</v>
      </c>
      <c r="H302" s="62">
        <v>-6400</v>
      </c>
      <c r="I302" s="62">
        <v>-5600</v>
      </c>
      <c r="J302" s="62">
        <v>-4800</v>
      </c>
      <c r="K302" s="62">
        <v>-4000</v>
      </c>
      <c r="L302" s="62">
        <v>-7200</v>
      </c>
      <c r="M302" s="62">
        <v>-6400</v>
      </c>
      <c r="N302" s="62">
        <v>-5600</v>
      </c>
      <c r="O302" s="62">
        <v>-4800</v>
      </c>
      <c r="P302" s="62">
        <v>-4000</v>
      </c>
      <c r="Q302" s="62">
        <v>-3200</v>
      </c>
      <c r="R302" s="62">
        <v>-2400</v>
      </c>
    </row>
    <row r="303" spans="1:18">
      <c r="A303" s="59">
        <v>16</v>
      </c>
      <c r="B303" t="s">
        <v>96</v>
      </c>
      <c r="C303">
        <f>VLOOKUP(A303,справочник!$A$2:$C$322,3,FALSE)</f>
        <v>16</v>
      </c>
      <c r="D303" t="str">
        <f>IFERROR(VLOOKUP(B303,справочник!$AF$2:$AF$15,1,FALSE),"")</f>
        <v/>
      </c>
      <c r="F303" t="s">
        <v>90</v>
      </c>
      <c r="G303" s="62">
        <v>800</v>
      </c>
      <c r="H303" s="62">
        <v>1600</v>
      </c>
      <c r="I303" s="62">
        <v>2400</v>
      </c>
      <c r="J303" s="62">
        <v>3200</v>
      </c>
      <c r="K303" s="62">
        <v>4000</v>
      </c>
      <c r="L303" s="62">
        <v>-7200</v>
      </c>
      <c r="M303" s="62">
        <v>-6400</v>
      </c>
      <c r="N303" s="62">
        <v>-5600</v>
      </c>
      <c r="O303" s="62">
        <v>-4800</v>
      </c>
      <c r="P303" s="62">
        <v>-4000</v>
      </c>
      <c r="Q303" s="62">
        <v>-3200</v>
      </c>
      <c r="R303" s="62">
        <v>-2400</v>
      </c>
    </row>
    <row r="304" spans="1:18">
      <c r="A304" s="59">
        <v>60</v>
      </c>
      <c r="B304" t="s">
        <v>276</v>
      </c>
      <c r="C304">
        <f>VLOOKUP(A304,справочник!$A$2:$C$322,3,FALSE)</f>
        <v>62</v>
      </c>
      <c r="D304" t="str">
        <f>IFERROR(VLOOKUP(B304,справочник!$AF$2:$AF$15,1,FALSE),"")</f>
        <v/>
      </c>
      <c r="F304" t="s">
        <v>181</v>
      </c>
      <c r="G304" s="62">
        <v>-12200</v>
      </c>
      <c r="H304" s="62">
        <v>-11400</v>
      </c>
      <c r="I304" s="62">
        <v>-10600</v>
      </c>
      <c r="J304" s="62">
        <v>-9800</v>
      </c>
      <c r="K304" s="62">
        <v>-9000</v>
      </c>
      <c r="L304" s="62">
        <v>-8200</v>
      </c>
      <c r="M304" s="62">
        <v>-7400</v>
      </c>
      <c r="N304" s="62">
        <v>-6600</v>
      </c>
      <c r="O304" s="62">
        <v>-5800</v>
      </c>
      <c r="P304" s="62">
        <v>-5000</v>
      </c>
      <c r="Q304" s="62">
        <v>-4200</v>
      </c>
      <c r="R304" s="62">
        <v>-3400</v>
      </c>
    </row>
    <row r="305" spans="1:18">
      <c r="A305" s="63">
        <v>320</v>
      </c>
      <c r="B305" s="65" t="s">
        <v>171</v>
      </c>
      <c r="C305">
        <f>VLOOKUP(A305,справочник!$A$2:$C$322,3,FALSE)</f>
        <v>0</v>
      </c>
      <c r="D305" t="str">
        <f>IFERROR(VLOOKUP(B305,справочник!$AF$2:$AF$15,1,FALSE),"")</f>
        <v/>
      </c>
      <c r="F305" t="e">
        <v>#N/A</v>
      </c>
      <c r="G305" s="67">
        <v>800</v>
      </c>
      <c r="H305" s="67">
        <v>1600</v>
      </c>
      <c r="I305" s="67">
        <v>2400</v>
      </c>
      <c r="J305" s="67">
        <v>-10000</v>
      </c>
      <c r="K305" s="67">
        <v>-9200</v>
      </c>
      <c r="L305" s="67">
        <v>-8400</v>
      </c>
      <c r="M305" s="67">
        <v>-7600</v>
      </c>
      <c r="N305" s="67">
        <v>-6800</v>
      </c>
      <c r="O305" s="67">
        <v>-6000</v>
      </c>
      <c r="P305" s="67">
        <v>-5200</v>
      </c>
      <c r="Q305" s="67">
        <v>-4400</v>
      </c>
      <c r="R305" s="67">
        <v>-3600</v>
      </c>
    </row>
  </sheetData>
  <autoFilter ref="A6:R305"/>
  <sortState ref="A4:R302">
    <sortCondition descending="1" ref="M4:M302"/>
  </sortState>
  <conditionalFormatting sqref="M8:M305">
    <cfRule type="cellIs" dxfId="132" priority="1" operator="lessThan">
      <formula>0</formula>
    </cfRule>
    <cfRule type="cellIs" dxfId="131" priority="2" operator="between">
      <formula>5000</formula>
      <formula>10000</formula>
    </cfRule>
    <cfRule type="cellIs" dxfId="130" priority="3" operator="greaterThan">
      <formula>10000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H49"/>
  <sheetViews>
    <sheetView showGridLines="0" topLeftCell="A20" workbookViewId="0">
      <selection activeCell="A20" sqref="A1:XFD1048576"/>
    </sheetView>
  </sheetViews>
  <sheetFormatPr defaultRowHeight="15"/>
  <cols>
    <col min="1" max="1" width="34.5703125" bestFit="1" customWidth="1"/>
    <col min="2" max="2" width="39.7109375" bestFit="1" customWidth="1"/>
    <col min="3" max="3" width="40.85546875" customWidth="1"/>
    <col min="4" max="4" width="27.85546875" bestFit="1" customWidth="1"/>
    <col min="5" max="5" width="36.140625" bestFit="1" customWidth="1"/>
    <col min="6" max="6" width="27.140625" customWidth="1"/>
    <col min="7" max="7" width="18.140625" customWidth="1"/>
    <col min="8" max="8" width="19.28515625" customWidth="1"/>
  </cols>
  <sheetData>
    <row r="2" spans="1:4" s="72" customFormat="1">
      <c r="A2" s="72" t="s">
        <v>697</v>
      </c>
    </row>
    <row r="3" spans="1:4">
      <c r="A3" s="82" t="s">
        <v>639</v>
      </c>
      <c r="B3" s="83" t="s">
        <v>617</v>
      </c>
      <c r="C3" s="84" t="s">
        <v>1</v>
      </c>
      <c r="D3" s="84" t="s">
        <v>633</v>
      </c>
    </row>
    <row r="4" spans="1:4">
      <c r="A4" s="41">
        <v>3</v>
      </c>
      <c r="B4" s="41">
        <v>3</v>
      </c>
      <c r="C4" t="s">
        <v>148</v>
      </c>
      <c r="D4" s="62">
        <v>27400</v>
      </c>
    </row>
    <row r="5" spans="1:4">
      <c r="A5" s="41">
        <v>45</v>
      </c>
      <c r="B5" s="41">
        <v>45</v>
      </c>
      <c r="C5" t="s">
        <v>262</v>
      </c>
      <c r="D5" s="62">
        <v>0</v>
      </c>
    </row>
    <row r="6" spans="1:4">
      <c r="A6" s="41">
        <v>68</v>
      </c>
      <c r="B6" s="41">
        <v>66</v>
      </c>
      <c r="C6" t="s">
        <v>91</v>
      </c>
      <c r="D6" s="62">
        <v>8620</v>
      </c>
    </row>
    <row r="7" spans="1:4">
      <c r="A7" s="41">
        <v>84</v>
      </c>
      <c r="B7" s="41">
        <v>79</v>
      </c>
      <c r="C7" t="s">
        <v>2</v>
      </c>
      <c r="D7" s="62">
        <v>4000</v>
      </c>
    </row>
    <row r="8" spans="1:4">
      <c r="A8" s="41">
        <v>86</v>
      </c>
      <c r="B8" s="41">
        <v>81</v>
      </c>
      <c r="C8" t="s">
        <v>181</v>
      </c>
      <c r="D8" s="62">
        <v>0</v>
      </c>
    </row>
    <row r="9" spans="1:4">
      <c r="A9" s="41">
        <v>132</v>
      </c>
      <c r="B9" s="41">
        <v>127</v>
      </c>
      <c r="C9" t="s">
        <v>90</v>
      </c>
      <c r="D9" s="62">
        <v>2400</v>
      </c>
    </row>
    <row r="10" spans="1:4">
      <c r="A10" s="41">
        <v>137</v>
      </c>
      <c r="B10" s="41">
        <v>130</v>
      </c>
      <c r="C10" t="s">
        <v>13</v>
      </c>
      <c r="D10" s="62">
        <v>2400</v>
      </c>
    </row>
    <row r="11" spans="1:4">
      <c r="A11" s="41">
        <v>192</v>
      </c>
      <c r="B11" s="41">
        <v>183</v>
      </c>
      <c r="C11" t="s">
        <v>247</v>
      </c>
      <c r="D11" s="62">
        <v>7757</v>
      </c>
    </row>
    <row r="12" spans="1:4">
      <c r="A12" s="41">
        <v>231</v>
      </c>
      <c r="B12" s="41">
        <v>222</v>
      </c>
      <c r="C12" t="s">
        <v>109</v>
      </c>
      <c r="D12" s="62">
        <v>-800</v>
      </c>
    </row>
    <row r="13" spans="1:4">
      <c r="A13" s="41">
        <v>232</v>
      </c>
      <c r="B13" s="41">
        <v>223</v>
      </c>
      <c r="C13" t="s">
        <v>37</v>
      </c>
      <c r="D13" s="62">
        <v>7400</v>
      </c>
    </row>
    <row r="14" spans="1:4">
      <c r="A14" s="41">
        <v>243</v>
      </c>
      <c r="B14" s="41">
        <v>234</v>
      </c>
      <c r="C14" t="s">
        <v>84</v>
      </c>
      <c r="D14" s="62">
        <v>1600</v>
      </c>
    </row>
    <row r="15" spans="1:4">
      <c r="A15" s="41">
        <v>254</v>
      </c>
      <c r="B15" s="41">
        <v>243</v>
      </c>
      <c r="C15" t="s">
        <v>146</v>
      </c>
      <c r="D15" s="62">
        <v>-2200</v>
      </c>
    </row>
    <row r="16" spans="1:4">
      <c r="A16" s="41">
        <v>303</v>
      </c>
      <c r="B16" s="41">
        <v>290</v>
      </c>
      <c r="C16" t="s">
        <v>180</v>
      </c>
      <c r="D16" s="62">
        <v>1400</v>
      </c>
    </row>
    <row r="17" spans="1:8">
      <c r="A17" s="41">
        <v>310</v>
      </c>
      <c r="B17" s="41">
        <v>295</v>
      </c>
      <c r="C17" t="s">
        <v>103</v>
      </c>
      <c r="D17" s="62">
        <v>8250</v>
      </c>
    </row>
    <row r="18" spans="1:8">
      <c r="A18" s="41">
        <v>133</v>
      </c>
      <c r="B18" s="41">
        <v>310</v>
      </c>
      <c r="C18" t="s">
        <v>239</v>
      </c>
      <c r="D18" s="62">
        <v>21675</v>
      </c>
    </row>
    <row r="19" spans="1:8">
      <c r="A19" s="41"/>
      <c r="B19" s="41"/>
      <c r="D19" s="62">
        <f>SUM(D16:D18,D14,D13,D4:D11)</f>
        <v>92902</v>
      </c>
    </row>
    <row r="21" spans="1:8">
      <c r="A21" t="s">
        <v>700</v>
      </c>
    </row>
    <row r="22" spans="1:8">
      <c r="A22" s="82" t="s">
        <v>640</v>
      </c>
      <c r="B22" s="86" t="s">
        <v>676</v>
      </c>
      <c r="C22" s="82" t="s">
        <v>639</v>
      </c>
      <c r="D22" s="83" t="s">
        <v>617</v>
      </c>
      <c r="E22" s="84" t="s">
        <v>1</v>
      </c>
      <c r="F22" s="84" t="s">
        <v>633</v>
      </c>
      <c r="G22" s="85" t="s">
        <v>695</v>
      </c>
      <c r="H22" s="85" t="s">
        <v>696</v>
      </c>
    </row>
    <row r="23" spans="1:8">
      <c r="A23" t="s">
        <v>90</v>
      </c>
      <c r="B23" t="s">
        <v>647</v>
      </c>
      <c r="C23" s="41">
        <v>3</v>
      </c>
      <c r="D23" s="41">
        <v>3</v>
      </c>
      <c r="E23" t="s">
        <v>148</v>
      </c>
      <c r="F23" s="62">
        <v>27400</v>
      </c>
      <c r="G23" t="s">
        <v>148</v>
      </c>
      <c r="H23" t="s">
        <v>646</v>
      </c>
    </row>
    <row r="24" spans="1:8">
      <c r="A24" t="s">
        <v>90</v>
      </c>
      <c r="B24" t="s">
        <v>652</v>
      </c>
      <c r="C24" s="41">
        <v>14</v>
      </c>
      <c r="D24" s="41">
        <v>7</v>
      </c>
      <c r="E24" t="s">
        <v>14</v>
      </c>
      <c r="F24" s="62">
        <v>45400</v>
      </c>
      <c r="G24" t="s">
        <v>691</v>
      </c>
      <c r="H24" t="s">
        <v>646</v>
      </c>
    </row>
    <row r="25" spans="1:8">
      <c r="A25" t="s">
        <v>90</v>
      </c>
      <c r="B25" t="s">
        <v>649</v>
      </c>
      <c r="C25" s="41">
        <v>11</v>
      </c>
      <c r="D25" s="41">
        <v>11</v>
      </c>
      <c r="E25" t="s">
        <v>30</v>
      </c>
      <c r="F25" s="62">
        <v>18400</v>
      </c>
      <c r="G25" t="s">
        <v>691</v>
      </c>
      <c r="H25" t="s">
        <v>650</v>
      </c>
    </row>
    <row r="26" spans="1:8">
      <c r="A26" t="s">
        <v>90</v>
      </c>
      <c r="B26" t="s">
        <v>651</v>
      </c>
      <c r="C26" s="41">
        <v>12</v>
      </c>
      <c r="D26" s="41">
        <v>12</v>
      </c>
      <c r="E26" t="s">
        <v>94</v>
      </c>
      <c r="F26" s="62">
        <v>28400</v>
      </c>
      <c r="G26" t="s">
        <v>691</v>
      </c>
      <c r="H26" t="s">
        <v>646</v>
      </c>
    </row>
    <row r="27" spans="1:8">
      <c r="A27" t="s">
        <v>642</v>
      </c>
      <c r="B27" t="s">
        <v>656</v>
      </c>
      <c r="C27" s="41">
        <v>43</v>
      </c>
      <c r="D27" s="41">
        <v>43</v>
      </c>
      <c r="E27" t="s">
        <v>48</v>
      </c>
      <c r="F27" s="62">
        <v>25400</v>
      </c>
      <c r="G27" t="s">
        <v>691</v>
      </c>
      <c r="H27" t="s">
        <v>655</v>
      </c>
    </row>
    <row r="28" spans="1:8">
      <c r="A28" t="s">
        <v>247</v>
      </c>
      <c r="B28" t="s">
        <v>664</v>
      </c>
      <c r="C28" s="41">
        <v>197</v>
      </c>
      <c r="D28" s="41">
        <v>188</v>
      </c>
      <c r="E28" t="s">
        <v>35</v>
      </c>
      <c r="F28" s="62">
        <v>40400</v>
      </c>
      <c r="G28" t="s">
        <v>691</v>
      </c>
      <c r="H28" t="s">
        <v>659</v>
      </c>
    </row>
    <row r="29" spans="1:8">
      <c r="A29" t="s">
        <v>247</v>
      </c>
      <c r="B29" t="s">
        <v>665</v>
      </c>
      <c r="C29" s="41">
        <v>198</v>
      </c>
      <c r="D29" s="41">
        <v>190</v>
      </c>
      <c r="E29" t="s">
        <v>130</v>
      </c>
      <c r="F29" s="62">
        <v>21600</v>
      </c>
      <c r="G29" t="s">
        <v>691</v>
      </c>
      <c r="H29" t="s">
        <v>655</v>
      </c>
    </row>
    <row r="30" spans="1:8">
      <c r="A30" t="s">
        <v>37</v>
      </c>
      <c r="B30" t="s">
        <v>678</v>
      </c>
      <c r="C30" s="41">
        <v>216</v>
      </c>
      <c r="D30" s="41">
        <v>206</v>
      </c>
      <c r="E30" t="s">
        <v>45</v>
      </c>
      <c r="F30" s="62">
        <v>15400</v>
      </c>
      <c r="G30" t="s">
        <v>691</v>
      </c>
      <c r="H30" t="s">
        <v>660</v>
      </c>
    </row>
    <row r="31" spans="1:8">
      <c r="A31" t="s">
        <v>109</v>
      </c>
      <c r="B31" t="s">
        <v>666</v>
      </c>
      <c r="C31" s="41">
        <v>227</v>
      </c>
      <c r="D31" s="41">
        <v>218</v>
      </c>
      <c r="E31" t="s">
        <v>176</v>
      </c>
      <c r="F31" s="62">
        <v>14400</v>
      </c>
      <c r="G31" t="s">
        <v>691</v>
      </c>
      <c r="H31" t="s">
        <v>660</v>
      </c>
    </row>
    <row r="32" spans="1:8">
      <c r="A32" t="s">
        <v>146</v>
      </c>
      <c r="B32" t="s">
        <v>667</v>
      </c>
      <c r="C32" s="41">
        <v>278</v>
      </c>
      <c r="D32" s="41">
        <v>265</v>
      </c>
      <c r="E32" s="74" t="s">
        <v>120</v>
      </c>
      <c r="F32" s="62">
        <v>23400</v>
      </c>
      <c r="G32" t="s">
        <v>691</v>
      </c>
      <c r="H32" t="s">
        <v>660</v>
      </c>
    </row>
    <row r="33" spans="1:8">
      <c r="A33" t="s">
        <v>146</v>
      </c>
      <c r="B33" t="s">
        <v>668</v>
      </c>
      <c r="C33" s="41">
        <v>279</v>
      </c>
      <c r="D33" s="41">
        <v>266</v>
      </c>
      <c r="E33" t="s">
        <v>139</v>
      </c>
      <c r="F33" s="62">
        <v>17400</v>
      </c>
      <c r="G33" t="s">
        <v>691</v>
      </c>
      <c r="H33" t="s">
        <v>660</v>
      </c>
    </row>
    <row r="34" spans="1:8">
      <c r="A34" t="s">
        <v>103</v>
      </c>
      <c r="B34" t="s">
        <v>671</v>
      </c>
      <c r="C34" s="41">
        <v>324</v>
      </c>
      <c r="D34" s="41">
        <v>309</v>
      </c>
      <c r="E34" t="s">
        <v>307</v>
      </c>
      <c r="F34" s="62">
        <v>28400</v>
      </c>
      <c r="G34" t="s">
        <v>691</v>
      </c>
      <c r="H34" t="s">
        <v>655</v>
      </c>
    </row>
    <row r="38" spans="1:8">
      <c r="A38" t="s">
        <v>701</v>
      </c>
    </row>
    <row r="39" spans="1:8">
      <c r="A39" s="82" t="s">
        <v>640</v>
      </c>
      <c r="B39" s="86" t="s">
        <v>676</v>
      </c>
      <c r="C39" s="82" t="s">
        <v>639</v>
      </c>
      <c r="D39" s="83" t="s">
        <v>617</v>
      </c>
      <c r="E39" s="84" t="s">
        <v>1</v>
      </c>
      <c r="F39" s="84" t="s">
        <v>633</v>
      </c>
      <c r="G39" s="85" t="s">
        <v>695</v>
      </c>
      <c r="H39" s="85" t="s">
        <v>696</v>
      </c>
    </row>
    <row r="40" spans="1:8">
      <c r="A40" s="84" t="s">
        <v>90</v>
      </c>
      <c r="B40" s="84" t="s">
        <v>653</v>
      </c>
      <c r="C40" s="83">
        <v>26</v>
      </c>
      <c r="D40" s="83">
        <v>26</v>
      </c>
      <c r="E40" s="84" t="s">
        <v>191</v>
      </c>
      <c r="F40" s="87">
        <v>58400</v>
      </c>
      <c r="G40" s="84" t="s">
        <v>691</v>
      </c>
      <c r="H40" s="84" t="s">
        <v>648</v>
      </c>
    </row>
    <row r="41" spans="1:8">
      <c r="A41" s="84" t="s">
        <v>90</v>
      </c>
      <c r="B41" s="84" t="s">
        <v>654</v>
      </c>
      <c r="C41" s="83">
        <v>30</v>
      </c>
      <c r="D41" s="83">
        <v>30</v>
      </c>
      <c r="E41" s="84" t="s">
        <v>117</v>
      </c>
      <c r="F41" s="87">
        <v>53400</v>
      </c>
      <c r="G41" s="84" t="s">
        <v>691</v>
      </c>
      <c r="H41" s="84" t="s">
        <v>694</v>
      </c>
    </row>
    <row r="42" spans="1:8">
      <c r="A42" s="84" t="s">
        <v>642</v>
      </c>
      <c r="B42" s="84" t="s">
        <v>657</v>
      </c>
      <c r="C42" s="83">
        <v>58</v>
      </c>
      <c r="D42" s="83">
        <v>56</v>
      </c>
      <c r="E42" s="84" t="s">
        <v>144</v>
      </c>
      <c r="F42" s="87">
        <v>59400</v>
      </c>
      <c r="G42" s="84" t="s">
        <v>691</v>
      </c>
      <c r="H42" s="84">
        <v>0</v>
      </c>
    </row>
    <row r="43" spans="1:8">
      <c r="A43" s="84" t="s">
        <v>181</v>
      </c>
      <c r="B43" s="84" t="s">
        <v>658</v>
      </c>
      <c r="C43" s="83">
        <v>69</v>
      </c>
      <c r="D43" s="83">
        <v>67</v>
      </c>
      <c r="E43" s="84" t="s">
        <v>230</v>
      </c>
      <c r="F43" s="87">
        <v>50400</v>
      </c>
      <c r="G43" s="84" t="s">
        <v>691</v>
      </c>
      <c r="H43" s="84" t="s">
        <v>698</v>
      </c>
    </row>
    <row r="44" spans="1:8">
      <c r="A44" s="84" t="s">
        <v>641</v>
      </c>
      <c r="B44" s="84" t="s">
        <v>661</v>
      </c>
      <c r="C44" s="83">
        <v>153</v>
      </c>
      <c r="D44" s="83">
        <v>144</v>
      </c>
      <c r="E44" s="84" t="s">
        <v>217</v>
      </c>
      <c r="F44" s="87">
        <v>108400</v>
      </c>
      <c r="G44" s="84" t="s">
        <v>691</v>
      </c>
      <c r="H44" s="84">
        <v>0</v>
      </c>
    </row>
    <row r="45" spans="1:8">
      <c r="A45" s="84" t="s">
        <v>13</v>
      </c>
      <c r="B45" s="84" t="s">
        <v>662</v>
      </c>
      <c r="C45" s="83">
        <v>157</v>
      </c>
      <c r="D45" s="83">
        <v>149</v>
      </c>
      <c r="E45" s="84" t="s">
        <v>116</v>
      </c>
      <c r="F45" s="87">
        <v>53400</v>
      </c>
      <c r="G45" s="84" t="s">
        <v>691</v>
      </c>
      <c r="H45" s="84">
        <v>0</v>
      </c>
    </row>
    <row r="46" spans="1:8">
      <c r="A46" s="84" t="s">
        <v>247</v>
      </c>
      <c r="B46" s="84" t="s">
        <v>663</v>
      </c>
      <c r="C46" s="83">
        <v>181</v>
      </c>
      <c r="D46" s="83">
        <v>173</v>
      </c>
      <c r="E46" s="84" t="s">
        <v>121</v>
      </c>
      <c r="F46" s="87">
        <v>57400</v>
      </c>
      <c r="G46" s="84" t="s">
        <v>691</v>
      </c>
      <c r="H46" s="84">
        <v>0</v>
      </c>
    </row>
    <row r="47" spans="1:8">
      <c r="A47" s="84" t="s">
        <v>37</v>
      </c>
      <c r="B47" s="84">
        <v>0</v>
      </c>
      <c r="C47" s="83">
        <v>208</v>
      </c>
      <c r="D47" s="83">
        <v>199</v>
      </c>
      <c r="E47" s="84" t="s">
        <v>155</v>
      </c>
      <c r="F47" s="87">
        <v>92400</v>
      </c>
      <c r="G47" s="84" t="s">
        <v>691</v>
      </c>
      <c r="H47" s="84" t="s">
        <v>699</v>
      </c>
    </row>
    <row r="48" spans="1:8">
      <c r="A48" s="84" t="s">
        <v>643</v>
      </c>
      <c r="B48" s="84" t="s">
        <v>669</v>
      </c>
      <c r="C48" s="83">
        <v>290</v>
      </c>
      <c r="D48" s="83">
        <v>278</v>
      </c>
      <c r="E48" s="84" t="s">
        <v>231</v>
      </c>
      <c r="F48" s="87">
        <v>54400</v>
      </c>
      <c r="G48" s="84" t="s">
        <v>691</v>
      </c>
      <c r="H48" s="84">
        <v>0</v>
      </c>
    </row>
    <row r="49" spans="1:8">
      <c r="A49" s="84" t="s">
        <v>103</v>
      </c>
      <c r="B49" s="84" t="s">
        <v>670</v>
      </c>
      <c r="C49" s="83">
        <v>311</v>
      </c>
      <c r="D49" s="83">
        <v>296</v>
      </c>
      <c r="E49" s="84" t="s">
        <v>24</v>
      </c>
      <c r="F49" s="87">
        <v>50400</v>
      </c>
      <c r="G49" s="84" t="s">
        <v>691</v>
      </c>
      <c r="H49" s="84">
        <v>0</v>
      </c>
    </row>
  </sheetData>
  <conditionalFormatting sqref="D4">
    <cfRule type="cellIs" dxfId="129" priority="97" operator="lessThan">
      <formula>0</formula>
    </cfRule>
    <cfRule type="cellIs" dxfId="128" priority="98" operator="between">
      <formula>5000</formula>
      <formula>10000</formula>
    </cfRule>
    <cfRule type="cellIs" dxfId="127" priority="99" operator="greaterThan">
      <formula>10000</formula>
    </cfRule>
  </conditionalFormatting>
  <conditionalFormatting sqref="D5">
    <cfRule type="cellIs" dxfId="126" priority="94" operator="lessThan">
      <formula>0</formula>
    </cfRule>
    <cfRule type="cellIs" dxfId="125" priority="95" operator="between">
      <formula>5000</formula>
      <formula>10000</formula>
    </cfRule>
    <cfRule type="cellIs" dxfId="124" priority="96" operator="greaterThan">
      <formula>10000</formula>
    </cfRule>
  </conditionalFormatting>
  <conditionalFormatting sqref="D6">
    <cfRule type="cellIs" dxfId="123" priority="91" operator="lessThan">
      <formula>0</formula>
    </cfRule>
    <cfRule type="cellIs" dxfId="122" priority="92" operator="between">
      <formula>5000</formula>
      <formula>10000</formula>
    </cfRule>
    <cfRule type="cellIs" dxfId="121" priority="93" operator="greaterThan">
      <formula>10000</formula>
    </cfRule>
  </conditionalFormatting>
  <conditionalFormatting sqref="D7">
    <cfRule type="cellIs" dxfId="120" priority="88" operator="lessThan">
      <formula>0</formula>
    </cfRule>
    <cfRule type="cellIs" dxfId="119" priority="89" operator="between">
      <formula>5000</formula>
      <formula>10000</formula>
    </cfRule>
    <cfRule type="cellIs" dxfId="118" priority="90" operator="greaterThan">
      <formula>10000</formula>
    </cfRule>
  </conditionalFormatting>
  <conditionalFormatting sqref="D8">
    <cfRule type="cellIs" dxfId="117" priority="85" operator="lessThan">
      <formula>0</formula>
    </cfRule>
    <cfRule type="cellIs" dxfId="116" priority="86" operator="between">
      <formula>5000</formula>
      <formula>10000</formula>
    </cfRule>
    <cfRule type="cellIs" dxfId="115" priority="87" operator="greaterThan">
      <formula>10000</formula>
    </cfRule>
  </conditionalFormatting>
  <conditionalFormatting sqref="D9">
    <cfRule type="cellIs" dxfId="114" priority="82" operator="lessThan">
      <formula>0</formula>
    </cfRule>
    <cfRule type="cellIs" dxfId="113" priority="83" operator="between">
      <formula>5000</formula>
      <formula>10000</formula>
    </cfRule>
    <cfRule type="cellIs" dxfId="112" priority="84" operator="greaterThan">
      <formula>10000</formula>
    </cfRule>
  </conditionalFormatting>
  <conditionalFormatting sqref="D10">
    <cfRule type="cellIs" dxfId="111" priority="79" operator="lessThan">
      <formula>0</formula>
    </cfRule>
    <cfRule type="cellIs" dxfId="110" priority="80" operator="between">
      <formula>5000</formula>
      <formula>10000</formula>
    </cfRule>
    <cfRule type="cellIs" dxfId="109" priority="81" operator="greaterThan">
      <formula>10000</formula>
    </cfRule>
  </conditionalFormatting>
  <conditionalFormatting sqref="D11">
    <cfRule type="cellIs" dxfId="108" priority="76" operator="lessThan">
      <formula>0</formula>
    </cfRule>
    <cfRule type="cellIs" dxfId="107" priority="77" operator="between">
      <formula>5000</formula>
      <formula>10000</formula>
    </cfRule>
    <cfRule type="cellIs" dxfId="106" priority="78" operator="greaterThan">
      <formula>10000</formula>
    </cfRule>
  </conditionalFormatting>
  <conditionalFormatting sqref="D12:D13">
    <cfRule type="cellIs" dxfId="105" priority="73" operator="lessThan">
      <formula>0</formula>
    </cfRule>
    <cfRule type="cellIs" dxfId="104" priority="74" operator="between">
      <formula>5000</formula>
      <formula>10000</formula>
    </cfRule>
    <cfRule type="cellIs" dxfId="103" priority="75" operator="greaterThan">
      <formula>10000</formula>
    </cfRule>
  </conditionalFormatting>
  <conditionalFormatting sqref="D14">
    <cfRule type="cellIs" dxfId="102" priority="70" operator="lessThan">
      <formula>0</formula>
    </cfRule>
    <cfRule type="cellIs" dxfId="101" priority="71" operator="between">
      <formula>5000</formula>
      <formula>10000</formula>
    </cfRule>
    <cfRule type="cellIs" dxfId="100" priority="72" operator="greaterThan">
      <formula>10000</formula>
    </cfRule>
  </conditionalFormatting>
  <conditionalFormatting sqref="D15">
    <cfRule type="cellIs" dxfId="99" priority="67" operator="lessThan">
      <formula>0</formula>
    </cfRule>
    <cfRule type="cellIs" dxfId="98" priority="68" operator="between">
      <formula>5000</formula>
      <formula>10000</formula>
    </cfRule>
    <cfRule type="cellIs" dxfId="97" priority="69" operator="greaterThan">
      <formula>10000</formula>
    </cfRule>
  </conditionalFormatting>
  <conditionalFormatting sqref="D16">
    <cfRule type="cellIs" dxfId="96" priority="64" operator="lessThan">
      <formula>0</formula>
    </cfRule>
    <cfRule type="cellIs" dxfId="95" priority="65" operator="between">
      <formula>5000</formula>
      <formula>10000</formula>
    </cfRule>
    <cfRule type="cellIs" dxfId="94" priority="66" operator="greaterThan">
      <formula>10000</formula>
    </cfRule>
  </conditionalFormatting>
  <conditionalFormatting sqref="D17">
    <cfRule type="cellIs" dxfId="93" priority="61" operator="lessThan">
      <formula>0</formula>
    </cfRule>
    <cfRule type="cellIs" dxfId="92" priority="62" operator="between">
      <formula>5000</formula>
      <formula>10000</formula>
    </cfRule>
    <cfRule type="cellIs" dxfId="91" priority="63" operator="greaterThan">
      <formula>10000</formula>
    </cfRule>
  </conditionalFormatting>
  <conditionalFormatting sqref="D18">
    <cfRule type="cellIs" dxfId="90" priority="58" operator="lessThan">
      <formula>0</formula>
    </cfRule>
    <cfRule type="cellIs" dxfId="89" priority="59" operator="between">
      <formula>5000</formula>
      <formula>10000</formula>
    </cfRule>
    <cfRule type="cellIs" dxfId="88" priority="60" operator="greaterThan">
      <formula>10000</formula>
    </cfRule>
  </conditionalFormatting>
  <conditionalFormatting sqref="F23">
    <cfRule type="cellIs" dxfId="87" priority="55" operator="lessThan">
      <formula>0</formula>
    </cfRule>
    <cfRule type="cellIs" dxfId="86" priority="56" operator="between">
      <formula>5000</formula>
      <formula>10000</formula>
    </cfRule>
    <cfRule type="cellIs" dxfId="85" priority="57" operator="greaterThan">
      <formula>10000</formula>
    </cfRule>
  </conditionalFormatting>
  <conditionalFormatting sqref="F24">
    <cfRule type="cellIs" dxfId="84" priority="52" operator="lessThan">
      <formula>0</formula>
    </cfRule>
    <cfRule type="cellIs" dxfId="83" priority="53" operator="between">
      <formula>5000</formula>
      <formula>10000</formula>
    </cfRule>
    <cfRule type="cellIs" dxfId="82" priority="54" operator="greaterThan">
      <formula>10000</formula>
    </cfRule>
  </conditionalFormatting>
  <conditionalFormatting sqref="F25:F26">
    <cfRule type="cellIs" dxfId="81" priority="49" operator="lessThan">
      <formula>0</formula>
    </cfRule>
    <cfRule type="cellIs" dxfId="80" priority="50" operator="between">
      <formula>5000</formula>
      <formula>10000</formula>
    </cfRule>
    <cfRule type="cellIs" dxfId="79" priority="51" operator="greaterThan">
      <formula>10000</formula>
    </cfRule>
  </conditionalFormatting>
  <conditionalFormatting sqref="F27">
    <cfRule type="cellIs" dxfId="78" priority="46" operator="lessThan">
      <formula>0</formula>
    </cfRule>
    <cfRule type="cellIs" dxfId="77" priority="47" operator="between">
      <formula>5000</formula>
      <formula>10000</formula>
    </cfRule>
    <cfRule type="cellIs" dxfId="76" priority="48" operator="greaterThan">
      <formula>10000</formula>
    </cfRule>
  </conditionalFormatting>
  <conditionalFormatting sqref="F28:F29">
    <cfRule type="cellIs" dxfId="75" priority="43" operator="lessThan">
      <formula>0</formula>
    </cfRule>
    <cfRule type="cellIs" dxfId="74" priority="44" operator="between">
      <formula>5000</formula>
      <formula>10000</formula>
    </cfRule>
    <cfRule type="cellIs" dxfId="73" priority="45" operator="greaterThan">
      <formula>10000</formula>
    </cfRule>
  </conditionalFormatting>
  <conditionalFormatting sqref="F30">
    <cfRule type="cellIs" dxfId="72" priority="40" operator="lessThan">
      <formula>0</formula>
    </cfRule>
    <cfRule type="cellIs" dxfId="71" priority="41" operator="between">
      <formula>5000</formula>
      <formula>10000</formula>
    </cfRule>
    <cfRule type="cellIs" dxfId="70" priority="42" operator="greaterThan">
      <formula>10000</formula>
    </cfRule>
  </conditionalFormatting>
  <conditionalFormatting sqref="F31">
    <cfRule type="cellIs" dxfId="69" priority="37" operator="lessThan">
      <formula>0</formula>
    </cfRule>
    <cfRule type="cellIs" dxfId="68" priority="38" operator="between">
      <formula>5000</formula>
      <formula>10000</formula>
    </cfRule>
    <cfRule type="cellIs" dxfId="67" priority="39" operator="greaterThan">
      <formula>10000</formula>
    </cfRule>
  </conditionalFormatting>
  <conditionalFormatting sqref="F32:F33">
    <cfRule type="cellIs" dxfId="66" priority="34" operator="lessThan">
      <formula>0</formula>
    </cfRule>
    <cfRule type="cellIs" dxfId="65" priority="35" operator="between">
      <formula>5000</formula>
      <formula>10000</formula>
    </cfRule>
    <cfRule type="cellIs" dxfId="64" priority="36" operator="greaterThan">
      <formula>10000</formula>
    </cfRule>
  </conditionalFormatting>
  <conditionalFormatting sqref="F34">
    <cfRule type="cellIs" dxfId="63" priority="31" operator="lessThan">
      <formula>0</formula>
    </cfRule>
    <cfRule type="cellIs" dxfId="62" priority="32" operator="between">
      <formula>5000</formula>
      <formula>10000</formula>
    </cfRule>
    <cfRule type="cellIs" dxfId="61" priority="33" operator="greaterThan">
      <formula>10000</formula>
    </cfRule>
  </conditionalFormatting>
  <conditionalFormatting sqref="F40">
    <cfRule type="cellIs" dxfId="60" priority="28" operator="lessThan">
      <formula>0</formula>
    </cfRule>
    <cfRule type="cellIs" dxfId="59" priority="29" operator="between">
      <formula>5000</formula>
      <formula>10000</formula>
    </cfRule>
    <cfRule type="cellIs" dxfId="58" priority="30" operator="greaterThan">
      <formula>10000</formula>
    </cfRule>
  </conditionalFormatting>
  <conditionalFormatting sqref="F41">
    <cfRule type="cellIs" dxfId="57" priority="25" operator="lessThan">
      <formula>0</formula>
    </cfRule>
    <cfRule type="cellIs" dxfId="56" priority="26" operator="between">
      <formula>5000</formula>
      <formula>10000</formula>
    </cfRule>
    <cfRule type="cellIs" dxfId="55" priority="27" operator="greaterThan">
      <formula>10000</formula>
    </cfRule>
  </conditionalFormatting>
  <conditionalFormatting sqref="F42">
    <cfRule type="cellIs" dxfId="54" priority="22" operator="lessThan">
      <formula>0</formula>
    </cfRule>
    <cfRule type="cellIs" dxfId="53" priority="23" operator="between">
      <formula>5000</formula>
      <formula>10000</formula>
    </cfRule>
    <cfRule type="cellIs" dxfId="52" priority="24" operator="greaterThan">
      <formula>10000</formula>
    </cfRule>
  </conditionalFormatting>
  <conditionalFormatting sqref="F43">
    <cfRule type="cellIs" dxfId="51" priority="19" operator="lessThan">
      <formula>0</formula>
    </cfRule>
    <cfRule type="cellIs" dxfId="50" priority="20" operator="between">
      <formula>5000</formula>
      <formula>10000</formula>
    </cfRule>
    <cfRule type="cellIs" dxfId="49" priority="21" operator="greaterThan">
      <formula>10000</formula>
    </cfRule>
  </conditionalFormatting>
  <conditionalFormatting sqref="F44">
    <cfRule type="cellIs" dxfId="48" priority="16" operator="lessThan">
      <formula>0</formula>
    </cfRule>
    <cfRule type="cellIs" dxfId="47" priority="17" operator="between">
      <formula>5000</formula>
      <formula>10000</formula>
    </cfRule>
    <cfRule type="cellIs" dxfId="46" priority="18" operator="greaterThan">
      <formula>10000</formula>
    </cfRule>
  </conditionalFormatting>
  <conditionalFormatting sqref="F45">
    <cfRule type="cellIs" dxfId="45" priority="13" operator="lessThan">
      <formula>0</formula>
    </cfRule>
    <cfRule type="cellIs" dxfId="44" priority="14" operator="between">
      <formula>5000</formula>
      <formula>10000</formula>
    </cfRule>
    <cfRule type="cellIs" dxfId="43" priority="15" operator="greaterThan">
      <formula>10000</formula>
    </cfRule>
  </conditionalFormatting>
  <conditionalFormatting sqref="F46">
    <cfRule type="cellIs" dxfId="42" priority="10" operator="lessThan">
      <formula>0</formula>
    </cfRule>
    <cfRule type="cellIs" dxfId="41" priority="11" operator="between">
      <formula>5000</formula>
      <formula>10000</formula>
    </cfRule>
    <cfRule type="cellIs" dxfId="40" priority="12" operator="greaterThan">
      <formula>10000</formula>
    </cfRule>
  </conditionalFormatting>
  <conditionalFormatting sqref="F47">
    <cfRule type="cellIs" dxfId="39" priority="7" operator="lessThan">
      <formula>0</formula>
    </cfRule>
    <cfRule type="cellIs" dxfId="38" priority="8" operator="between">
      <formula>5000</formula>
      <formula>10000</formula>
    </cfRule>
    <cfRule type="cellIs" dxfId="37" priority="9" operator="greaterThan">
      <formula>10000</formula>
    </cfRule>
  </conditionalFormatting>
  <conditionalFormatting sqref="F48">
    <cfRule type="cellIs" dxfId="36" priority="4" operator="lessThan">
      <formula>0</formula>
    </cfRule>
    <cfRule type="cellIs" dxfId="35" priority="5" operator="between">
      <formula>5000</formula>
      <formula>10000</formula>
    </cfRule>
    <cfRule type="cellIs" dxfId="34" priority="6" operator="greaterThan">
      <formula>10000</formula>
    </cfRule>
  </conditionalFormatting>
  <conditionalFormatting sqref="F49">
    <cfRule type="cellIs" dxfId="33" priority="1" operator="lessThan">
      <formula>0</formula>
    </cfRule>
    <cfRule type="cellIs" dxfId="32" priority="2" operator="between">
      <formula>5000</formula>
      <formula>10000</formula>
    </cfRule>
    <cfRule type="cellIs" dxfId="31" priority="3" operator="greaterThan">
      <formula>10000</formula>
    </cfRule>
  </conditionalFormatting>
  <pageMargins left="0.7" right="0.7" top="0.75" bottom="0.75" header="0.3" footer="0.3"/>
  <pageSetup paperSize="9" orientation="portrait" r:id="rId1"/>
  <legacy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tabColor rgb="FFFFFF00"/>
  </sheetPr>
  <dimension ref="A1:Z327"/>
  <sheetViews>
    <sheetView workbookViewId="0">
      <pane xSplit="5" ySplit="4" topLeftCell="M54" activePane="bottomRight" state="frozen"/>
      <selection activeCell="D89" sqref="D89"/>
      <selection pane="topRight" activeCell="D89" sqref="D89"/>
      <selection pane="bottomLeft" activeCell="D89" sqref="D89"/>
      <selection pane="bottomRight" activeCell="X328" sqref="X328"/>
    </sheetView>
  </sheetViews>
  <sheetFormatPr defaultRowHeight="15"/>
  <cols>
    <col min="2" max="2" width="16.85546875" customWidth="1"/>
    <col min="3" max="3" width="15.140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  <col min="26" max="26" width="11.7109375" customWidth="1"/>
  </cols>
  <sheetData>
    <row r="1" spans="1:26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6">
      <c r="C3" s="119" t="s">
        <v>0</v>
      </c>
      <c r="D3" s="121" t="s">
        <v>1</v>
      </c>
      <c r="E3" s="121" t="s">
        <v>312</v>
      </c>
      <c r="F3" s="1"/>
      <c r="G3" s="1"/>
      <c r="H3" s="122" t="s">
        <v>313</v>
      </c>
      <c r="I3" s="122"/>
      <c r="J3" s="122"/>
      <c r="K3" s="122"/>
      <c r="L3" s="122"/>
      <c r="M3">
        <f>COUNTA(M5:M326)</f>
        <v>291</v>
      </c>
      <c r="N3">
        <f t="shared" ref="N3:X3" si="0">COUNTA(N5:N326)</f>
        <v>291</v>
      </c>
      <c r="O3">
        <f t="shared" si="0"/>
        <v>291</v>
      </c>
      <c r="P3">
        <f t="shared" si="0"/>
        <v>291</v>
      </c>
      <c r="Q3">
        <f t="shared" si="0"/>
        <v>291</v>
      </c>
      <c r="R3">
        <f t="shared" si="0"/>
        <v>291</v>
      </c>
      <c r="S3">
        <f t="shared" si="0"/>
        <v>291</v>
      </c>
      <c r="T3">
        <f t="shared" si="0"/>
        <v>291</v>
      </c>
      <c r="U3">
        <f t="shared" si="0"/>
        <v>291</v>
      </c>
      <c r="V3">
        <f t="shared" si="0"/>
        <v>291</v>
      </c>
      <c r="W3">
        <f t="shared" si="0"/>
        <v>291</v>
      </c>
      <c r="X3">
        <f t="shared" si="0"/>
        <v>291</v>
      </c>
      <c r="Y3"/>
    </row>
    <row r="4" spans="1:26" ht="76.5">
      <c r="A4" s="41" t="s">
        <v>617</v>
      </c>
      <c r="B4" t="s">
        <v>622</v>
      </c>
      <c r="C4" s="120"/>
      <c r="D4" s="121"/>
      <c r="E4" s="121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  <c r="Z4" s="15" t="s">
        <v>624</v>
      </c>
    </row>
    <row r="5" spans="1:26" hidden="1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1">INT(($H$327-G5)/30)</f>
        <v>54</v>
      </c>
      <c r="I5" s="1">
        <f t="shared" ref="I5:I67" si="2">H5*1000</f>
        <v>54000</v>
      </c>
      <c r="J5" s="17">
        <f>49000+1000</f>
        <v>50000</v>
      </c>
      <c r="K5" s="17"/>
      <c r="L5" s="30">
        <f t="shared" ref="L5:L29" si="3">I5-J5-K5</f>
        <v>4000</v>
      </c>
      <c r="M5" s="31">
        <v>800</v>
      </c>
      <c r="N5" s="31">
        <v>800</v>
      </c>
      <c r="O5" s="31">
        <v>800</v>
      </c>
      <c r="P5" s="31">
        <v>800</v>
      </c>
      <c r="Q5" s="31">
        <v>800</v>
      </c>
      <c r="R5" s="31">
        <v>800</v>
      </c>
      <c r="S5" s="31">
        <v>800</v>
      </c>
      <c r="T5" s="31">
        <v>800</v>
      </c>
      <c r="U5" s="31">
        <v>800</v>
      </c>
      <c r="V5" s="31">
        <v>800</v>
      </c>
      <c r="W5" s="31">
        <v>800</v>
      </c>
      <c r="X5" s="31">
        <v>800</v>
      </c>
      <c r="Y5" s="30">
        <f>SUM(L5:X5)</f>
        <v>13600</v>
      </c>
      <c r="Z5">
        <f>VLOOKUP(A5,справочник!$E$2:$F$322,2,FALSE)</f>
        <v>0</v>
      </c>
    </row>
    <row r="6" spans="1:26" hidden="1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30">
        <f t="shared" si="3"/>
        <v>16000</v>
      </c>
      <c r="M6" s="31">
        <v>800</v>
      </c>
      <c r="N6" s="31">
        <v>800</v>
      </c>
      <c r="O6" s="31">
        <v>800</v>
      </c>
      <c r="P6" s="31">
        <v>800</v>
      </c>
      <c r="Q6" s="31">
        <v>800</v>
      </c>
      <c r="R6" s="31">
        <v>800</v>
      </c>
      <c r="S6" s="31">
        <v>800</v>
      </c>
      <c r="T6" s="31">
        <v>800</v>
      </c>
      <c r="U6" s="31">
        <v>800</v>
      </c>
      <c r="V6" s="31">
        <v>800</v>
      </c>
      <c r="W6" s="31">
        <v>800</v>
      </c>
      <c r="X6" s="31">
        <v>800</v>
      </c>
      <c r="Y6" s="30">
        <f t="shared" ref="Y6:Y69" si="5">SUM(L6:X6)</f>
        <v>25600</v>
      </c>
      <c r="Z6">
        <f>VLOOKUP(A6,справочник!$E$2:$F$322,2,FALSE)</f>
        <v>0</v>
      </c>
    </row>
    <row r="7" spans="1:26" hidden="1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30">
        <f t="shared" si="3"/>
        <v>8000</v>
      </c>
      <c r="M7" s="31">
        <v>800</v>
      </c>
      <c r="N7" s="31">
        <v>800</v>
      </c>
      <c r="O7" s="31">
        <v>800</v>
      </c>
      <c r="P7" s="31">
        <v>800</v>
      </c>
      <c r="Q7" s="31">
        <v>800</v>
      </c>
      <c r="R7" s="31">
        <v>800</v>
      </c>
      <c r="S7" s="31">
        <v>800</v>
      </c>
      <c r="T7" s="31">
        <v>800</v>
      </c>
      <c r="U7" s="31">
        <v>800</v>
      </c>
      <c r="V7" s="31">
        <v>800</v>
      </c>
      <c r="W7" s="31">
        <v>800</v>
      </c>
      <c r="X7" s="31">
        <v>800</v>
      </c>
      <c r="Y7" s="30">
        <f t="shared" si="5"/>
        <v>17600</v>
      </c>
      <c r="Z7">
        <f>VLOOKUP(A7,справочник!$E$2:$F$322,2,FALSE)</f>
        <v>0</v>
      </c>
    </row>
    <row r="8" spans="1:26" hidden="1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30">
        <f t="shared" si="3"/>
        <v>1000</v>
      </c>
      <c r="M8" s="31">
        <v>800</v>
      </c>
      <c r="N8" s="31">
        <v>800</v>
      </c>
      <c r="O8" s="31">
        <v>800</v>
      </c>
      <c r="P8" s="31">
        <v>800</v>
      </c>
      <c r="Q8" s="31">
        <v>800</v>
      </c>
      <c r="R8" s="31">
        <v>800</v>
      </c>
      <c r="S8" s="31">
        <v>800</v>
      </c>
      <c r="T8" s="31">
        <v>800</v>
      </c>
      <c r="U8" s="31">
        <v>800</v>
      </c>
      <c r="V8" s="31">
        <v>800</v>
      </c>
      <c r="W8" s="31">
        <v>800</v>
      </c>
      <c r="X8" s="31">
        <v>800</v>
      </c>
      <c r="Y8" s="30">
        <f t="shared" si="5"/>
        <v>10600</v>
      </c>
      <c r="Z8">
        <f>VLOOKUP(A8,справочник!$E$2:$F$322,2,FALSE)</f>
        <v>0</v>
      </c>
    </row>
    <row r="9" spans="1:26" hidden="1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1" t="s">
        <v>6</v>
      </c>
      <c r="D9" s="2" t="s">
        <v>7</v>
      </c>
      <c r="E9" s="1" t="s">
        <v>325</v>
      </c>
      <c r="F9" s="19">
        <v>40893</v>
      </c>
      <c r="G9" s="19">
        <v>40878</v>
      </c>
      <c r="H9" s="20">
        <f t="shared" si="1"/>
        <v>49</v>
      </c>
      <c r="I9" s="5">
        <f t="shared" si="2"/>
        <v>49000</v>
      </c>
      <c r="J9" s="20">
        <f>30000+1000+1000</f>
        <v>32000</v>
      </c>
      <c r="K9" s="20"/>
      <c r="L9" s="32">
        <f t="shared" si="3"/>
        <v>17000</v>
      </c>
      <c r="M9" s="31">
        <v>800</v>
      </c>
      <c r="N9" s="31">
        <v>800</v>
      </c>
      <c r="O9" s="31">
        <v>800</v>
      </c>
      <c r="P9" s="31">
        <v>800</v>
      </c>
      <c r="Q9" s="31">
        <v>800</v>
      </c>
      <c r="R9" s="31">
        <v>800</v>
      </c>
      <c r="S9" s="31">
        <v>800</v>
      </c>
      <c r="T9" s="31">
        <v>800</v>
      </c>
      <c r="U9" s="31">
        <v>800</v>
      </c>
      <c r="V9" s="31">
        <v>800</v>
      </c>
      <c r="W9" s="31">
        <v>800</v>
      </c>
      <c r="X9" s="31">
        <v>800</v>
      </c>
      <c r="Y9" s="30">
        <f t="shared" si="5"/>
        <v>26600</v>
      </c>
      <c r="Z9">
        <f>VLOOKUP(A9,справочник!$E$2:$F$322,2,FALSE)</f>
        <v>0</v>
      </c>
    </row>
    <row r="10" spans="1:26" hidden="1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2" t="s">
        <v>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30">
        <f t="shared" si="3"/>
        <v>24000</v>
      </c>
      <c r="M10" s="31">
        <v>800</v>
      </c>
      <c r="N10" s="31">
        <v>800</v>
      </c>
      <c r="O10" s="31">
        <v>800</v>
      </c>
      <c r="P10" s="31">
        <v>800</v>
      </c>
      <c r="Q10" s="31">
        <v>800</v>
      </c>
      <c r="R10" s="31">
        <v>800</v>
      </c>
      <c r="S10" s="31">
        <v>800</v>
      </c>
      <c r="T10" s="31">
        <v>800</v>
      </c>
      <c r="U10" s="31">
        <v>800</v>
      </c>
      <c r="V10" s="31">
        <v>800</v>
      </c>
      <c r="W10" s="31">
        <v>800</v>
      </c>
      <c r="X10" s="31">
        <v>800</v>
      </c>
      <c r="Y10" s="30">
        <f t="shared" si="5"/>
        <v>33600</v>
      </c>
      <c r="Z10">
        <f>VLOOKUP(A10,справочник!$E$2:$F$322,2,FALSE)</f>
        <v>0</v>
      </c>
    </row>
    <row r="11" spans="1:26" ht="25.5" hidden="1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30">
        <f t="shared" si="3"/>
        <v>-2000</v>
      </c>
      <c r="M11" s="31">
        <v>800</v>
      </c>
      <c r="N11" s="31">
        <v>800</v>
      </c>
      <c r="O11" s="31">
        <v>800</v>
      </c>
      <c r="P11" s="31">
        <v>800</v>
      </c>
      <c r="Q11" s="31">
        <v>800</v>
      </c>
      <c r="R11" s="31">
        <v>800</v>
      </c>
      <c r="S11" s="31">
        <v>800</v>
      </c>
      <c r="T11" s="31">
        <v>800</v>
      </c>
      <c r="U11" s="31">
        <v>800</v>
      </c>
      <c r="V11" s="31">
        <v>800</v>
      </c>
      <c r="W11" s="31">
        <v>800</v>
      </c>
      <c r="X11" s="31">
        <v>800</v>
      </c>
      <c r="Y11" s="30">
        <f t="shared" si="5"/>
        <v>7600</v>
      </c>
      <c r="Z11">
        <f>VLOOKUP(A11,справочник!$E$2:$F$322,2,FALSE)</f>
        <v>0</v>
      </c>
    </row>
    <row r="12" spans="1:26" hidden="1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2" t="s">
        <v>10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30">
        <f t="shared" si="3"/>
        <v>14000</v>
      </c>
      <c r="M12" s="31">
        <v>800</v>
      </c>
      <c r="N12" s="31">
        <v>800</v>
      </c>
      <c r="O12" s="31">
        <v>800</v>
      </c>
      <c r="P12" s="31">
        <v>800</v>
      </c>
      <c r="Q12" s="31">
        <v>800</v>
      </c>
      <c r="R12" s="31">
        <v>800</v>
      </c>
      <c r="S12" s="31">
        <v>800</v>
      </c>
      <c r="T12" s="31">
        <v>800</v>
      </c>
      <c r="U12" s="31">
        <v>800</v>
      </c>
      <c r="V12" s="31">
        <v>800</v>
      </c>
      <c r="W12" s="31">
        <v>800</v>
      </c>
      <c r="X12" s="31">
        <v>800</v>
      </c>
      <c r="Y12" s="30">
        <f t="shared" si="5"/>
        <v>23600</v>
      </c>
      <c r="Z12">
        <f>VLOOKUP(A12,справочник!$E$2:$F$322,2,FALSE)</f>
        <v>0</v>
      </c>
    </row>
    <row r="13" spans="1:26" hidden="1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30">
        <f t="shared" si="3"/>
        <v>4000</v>
      </c>
      <c r="M13" s="31">
        <v>800</v>
      </c>
      <c r="N13" s="31">
        <v>800</v>
      </c>
      <c r="O13" s="31">
        <v>800</v>
      </c>
      <c r="P13" s="31">
        <v>800</v>
      </c>
      <c r="Q13" s="31">
        <v>800</v>
      </c>
      <c r="R13" s="31">
        <v>800</v>
      </c>
      <c r="S13" s="31">
        <v>800</v>
      </c>
      <c r="T13" s="31">
        <v>800</v>
      </c>
      <c r="U13" s="31">
        <v>800</v>
      </c>
      <c r="V13" s="31">
        <v>800</v>
      </c>
      <c r="W13" s="31">
        <v>800</v>
      </c>
      <c r="X13" s="31">
        <v>800</v>
      </c>
      <c r="Y13" s="30">
        <f t="shared" si="5"/>
        <v>13600</v>
      </c>
      <c r="Z13">
        <f>VLOOKUP(A13,справочник!$E$2:$F$322,2,FALSE)</f>
        <v>0</v>
      </c>
    </row>
    <row r="14" spans="1:26" hidden="1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30">
        <f t="shared" si="3"/>
        <v>21000</v>
      </c>
      <c r="M14" s="31">
        <v>800</v>
      </c>
      <c r="N14" s="31">
        <v>800</v>
      </c>
      <c r="O14" s="31">
        <v>800</v>
      </c>
      <c r="P14" s="31">
        <v>800</v>
      </c>
      <c r="Q14" s="31">
        <v>800</v>
      </c>
      <c r="R14" s="31">
        <v>800</v>
      </c>
      <c r="S14" s="31">
        <v>800</v>
      </c>
      <c r="T14" s="31">
        <v>800</v>
      </c>
      <c r="U14" s="31">
        <v>800</v>
      </c>
      <c r="V14" s="31">
        <v>800</v>
      </c>
      <c r="W14" s="31">
        <v>800</v>
      </c>
      <c r="X14" s="31">
        <v>800</v>
      </c>
      <c r="Y14" s="30">
        <f t="shared" si="5"/>
        <v>30600</v>
      </c>
      <c r="Z14">
        <f>VLOOKUP(A14,справочник!$E$2:$F$322,2,FALSE)</f>
        <v>0</v>
      </c>
    </row>
    <row r="15" spans="1:26" hidden="1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30">
        <f t="shared" si="3"/>
        <v>0</v>
      </c>
      <c r="M15" s="31">
        <v>800</v>
      </c>
      <c r="N15" s="31">
        <v>800</v>
      </c>
      <c r="O15" s="31">
        <v>800</v>
      </c>
      <c r="P15" s="31">
        <v>800</v>
      </c>
      <c r="Q15" s="31">
        <v>800</v>
      </c>
      <c r="R15" s="31">
        <v>800</v>
      </c>
      <c r="S15" s="31">
        <v>800</v>
      </c>
      <c r="T15" s="31">
        <v>800</v>
      </c>
      <c r="U15" s="31">
        <v>800</v>
      </c>
      <c r="V15" s="31">
        <v>800</v>
      </c>
      <c r="W15" s="31">
        <v>800</v>
      </c>
      <c r="X15" s="31">
        <v>800</v>
      </c>
      <c r="Y15" s="30">
        <f t="shared" si="5"/>
        <v>9600</v>
      </c>
      <c r="Z15">
        <f>VLOOKUP(A15,справочник!$E$2:$F$322,2,FALSE)</f>
        <v>0</v>
      </c>
    </row>
    <row r="16" spans="1:26" hidden="1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2" t="s">
        <v>14</v>
      </c>
      <c r="E16" s="1" t="s">
        <v>330</v>
      </c>
      <c r="F16" s="16">
        <v>41467</v>
      </c>
      <c r="G16" s="16">
        <v>41518</v>
      </c>
      <c r="H16" s="17">
        <f t="shared" si="1"/>
        <v>28</v>
      </c>
      <c r="I16" s="1">
        <f t="shared" si="2"/>
        <v>28000</v>
      </c>
      <c r="J16" s="17"/>
      <c r="K16" s="17"/>
      <c r="L16" s="30">
        <f t="shared" si="3"/>
        <v>28000</v>
      </c>
      <c r="M16" s="31">
        <v>800</v>
      </c>
      <c r="N16" s="31">
        <v>800</v>
      </c>
      <c r="O16" s="31">
        <v>800</v>
      </c>
      <c r="P16" s="31">
        <v>800</v>
      </c>
      <c r="Q16" s="31">
        <v>800</v>
      </c>
      <c r="R16" s="31">
        <v>800</v>
      </c>
      <c r="S16" s="31">
        <v>800</v>
      </c>
      <c r="T16" s="31">
        <v>800</v>
      </c>
      <c r="U16" s="31">
        <v>800</v>
      </c>
      <c r="V16" s="31">
        <v>800</v>
      </c>
      <c r="W16" s="31">
        <v>800</v>
      </c>
      <c r="X16" s="31">
        <v>800</v>
      </c>
      <c r="Y16" s="30">
        <f t="shared" si="5"/>
        <v>37600</v>
      </c>
      <c r="Z16">
        <f>VLOOKUP(A16,справочник!$E$2:$F$322,2,FALSE)</f>
        <v>1</v>
      </c>
    </row>
    <row r="17" spans="1:26" hidden="1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2" t="s">
        <v>14</v>
      </c>
      <c r="E17" s="1" t="s">
        <v>331</v>
      </c>
      <c r="F17" s="16">
        <v>41204</v>
      </c>
      <c r="G17" s="16">
        <v>41214</v>
      </c>
      <c r="H17" s="17">
        <f t="shared" si="1"/>
        <v>38</v>
      </c>
      <c r="I17" s="1">
        <f t="shared" si="2"/>
        <v>38000</v>
      </c>
      <c r="J17" s="17">
        <v>27000</v>
      </c>
      <c r="K17" s="17"/>
      <c r="L17" s="30">
        <f t="shared" si="3"/>
        <v>11000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0">
        <f t="shared" si="5"/>
        <v>11000</v>
      </c>
      <c r="Z17">
        <f>VLOOKUP(A17,справочник!$E$2:$F$322,2,FALSE)</f>
        <v>1</v>
      </c>
    </row>
    <row r="18" spans="1:26" hidden="1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30">
        <f t="shared" si="3"/>
        <v>0</v>
      </c>
      <c r="M18" s="31">
        <v>800</v>
      </c>
      <c r="N18" s="31">
        <v>800</v>
      </c>
      <c r="O18" s="31">
        <v>800</v>
      </c>
      <c r="P18" s="31">
        <v>800</v>
      </c>
      <c r="Q18" s="31">
        <v>800</v>
      </c>
      <c r="R18" s="31">
        <v>800</v>
      </c>
      <c r="S18" s="31">
        <v>800</v>
      </c>
      <c r="T18" s="31">
        <v>800</v>
      </c>
      <c r="U18" s="31">
        <v>800</v>
      </c>
      <c r="V18" s="31">
        <v>800</v>
      </c>
      <c r="W18" s="31">
        <v>800</v>
      </c>
      <c r="X18" s="31">
        <v>800</v>
      </c>
      <c r="Y18" s="30">
        <f t="shared" si="5"/>
        <v>9600</v>
      </c>
      <c r="Z18">
        <f>VLOOKUP(A18,справочник!$E$2:$F$322,2,FALSE)</f>
        <v>0</v>
      </c>
    </row>
    <row r="19" spans="1:26" hidden="1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2"/>
        <v>14000</v>
      </c>
      <c r="J19" s="17">
        <v>1000</v>
      </c>
      <c r="K19" s="17"/>
      <c r="L19" s="30">
        <f t="shared" si="3"/>
        <v>13000</v>
      </c>
      <c r="M19" s="31">
        <v>800</v>
      </c>
      <c r="N19" s="31">
        <v>800</v>
      </c>
      <c r="O19" s="31">
        <v>800</v>
      </c>
      <c r="P19" s="31">
        <v>800</v>
      </c>
      <c r="Q19" s="31">
        <v>800</v>
      </c>
      <c r="R19" s="31">
        <v>800</v>
      </c>
      <c r="S19" s="31">
        <v>800</v>
      </c>
      <c r="T19" s="31">
        <v>800</v>
      </c>
      <c r="U19" s="31">
        <v>800</v>
      </c>
      <c r="V19" s="31">
        <v>800</v>
      </c>
      <c r="W19" s="31">
        <v>800</v>
      </c>
      <c r="X19" s="31">
        <v>800</v>
      </c>
      <c r="Y19" s="30">
        <f t="shared" si="5"/>
        <v>22600</v>
      </c>
      <c r="Z19">
        <f>VLOOKUP(A19,справочник!$E$2:$F$322,2,FALSE)</f>
        <v>0</v>
      </c>
    </row>
    <row r="20" spans="1:26" hidden="1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2"/>
        <v>31000</v>
      </c>
      <c r="J20" s="17">
        <v>11000</v>
      </c>
      <c r="K20" s="17"/>
      <c r="L20" s="30">
        <f t="shared" si="3"/>
        <v>20000</v>
      </c>
      <c r="M20" s="31">
        <v>800</v>
      </c>
      <c r="N20" s="31">
        <v>800</v>
      </c>
      <c r="O20" s="31">
        <v>800</v>
      </c>
      <c r="P20" s="31">
        <v>800</v>
      </c>
      <c r="Q20" s="31">
        <v>800</v>
      </c>
      <c r="R20" s="31">
        <v>800</v>
      </c>
      <c r="S20" s="31">
        <v>800</v>
      </c>
      <c r="T20" s="31">
        <v>800</v>
      </c>
      <c r="U20" s="31">
        <v>800</v>
      </c>
      <c r="V20" s="31">
        <v>800</v>
      </c>
      <c r="W20" s="31">
        <v>800</v>
      </c>
      <c r="X20" s="31">
        <v>800</v>
      </c>
      <c r="Y20" s="30">
        <f t="shared" si="5"/>
        <v>29600</v>
      </c>
      <c r="Z20">
        <f>VLOOKUP(A20,справочник!$E$2:$F$322,2,FALSE)</f>
        <v>0</v>
      </c>
    </row>
    <row r="21" spans="1:26" hidden="1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2"/>
        <v>48000</v>
      </c>
      <c r="J21" s="17">
        <f>11500+24500</f>
        <v>36000</v>
      </c>
      <c r="K21" s="17"/>
      <c r="L21" s="30">
        <f t="shared" si="3"/>
        <v>12000</v>
      </c>
      <c r="M21" s="31">
        <v>800</v>
      </c>
      <c r="N21" s="31">
        <v>800</v>
      </c>
      <c r="O21" s="31">
        <v>800</v>
      </c>
      <c r="P21" s="31">
        <v>800</v>
      </c>
      <c r="Q21" s="31">
        <v>800</v>
      </c>
      <c r="R21" s="31">
        <v>800</v>
      </c>
      <c r="S21" s="31">
        <v>800</v>
      </c>
      <c r="T21" s="31">
        <v>800</v>
      </c>
      <c r="U21" s="31">
        <v>800</v>
      </c>
      <c r="V21" s="31">
        <v>800</v>
      </c>
      <c r="W21" s="31">
        <v>800</v>
      </c>
      <c r="X21" s="31">
        <v>800</v>
      </c>
      <c r="Y21" s="30">
        <f t="shared" si="5"/>
        <v>21600</v>
      </c>
      <c r="Z21">
        <f>VLOOKUP(A21,справочник!$E$2:$F$322,2,FALSE)</f>
        <v>0</v>
      </c>
    </row>
    <row r="22" spans="1:26" hidden="1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30">
        <f t="shared" si="3"/>
        <v>0</v>
      </c>
      <c r="M22" s="31">
        <v>800</v>
      </c>
      <c r="N22" s="31">
        <v>800</v>
      </c>
      <c r="O22" s="31">
        <v>800</v>
      </c>
      <c r="P22" s="31">
        <v>800</v>
      </c>
      <c r="Q22" s="31">
        <v>800</v>
      </c>
      <c r="R22" s="31">
        <v>800</v>
      </c>
      <c r="S22" s="31">
        <v>800</v>
      </c>
      <c r="T22" s="31">
        <v>800</v>
      </c>
      <c r="U22" s="31">
        <v>800</v>
      </c>
      <c r="V22" s="31">
        <v>800</v>
      </c>
      <c r="W22" s="31">
        <v>800</v>
      </c>
      <c r="X22" s="31">
        <v>800</v>
      </c>
      <c r="Y22" s="30">
        <f t="shared" si="5"/>
        <v>9600</v>
      </c>
      <c r="Z22">
        <f>VLOOKUP(A22,справочник!$E$2:$F$322,2,FALSE)</f>
        <v>0</v>
      </c>
    </row>
    <row r="23" spans="1:26" ht="25.5" hidden="1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2" t="s">
        <v>20</v>
      </c>
      <c r="E23" s="1" t="s">
        <v>337</v>
      </c>
      <c r="F23" s="16">
        <v>41604</v>
      </c>
      <c r="G23" s="16">
        <v>41609</v>
      </c>
      <c r="H23" s="17">
        <f t="shared" ref="H23:H74" si="6">INT(($H$327-G23)/30)</f>
        <v>25</v>
      </c>
      <c r="I23" s="1">
        <f t="shared" si="2"/>
        <v>25000</v>
      </c>
      <c r="J23" s="17">
        <f>1000</f>
        <v>1000</v>
      </c>
      <c r="K23" s="17"/>
      <c r="L23" s="30">
        <f t="shared" si="3"/>
        <v>24000</v>
      </c>
      <c r="M23" s="31">
        <v>800</v>
      </c>
      <c r="N23" s="31">
        <v>800</v>
      </c>
      <c r="O23" s="31">
        <v>800</v>
      </c>
      <c r="P23" s="31">
        <v>800</v>
      </c>
      <c r="Q23" s="31">
        <v>800</v>
      </c>
      <c r="R23" s="31">
        <v>800</v>
      </c>
      <c r="S23" s="31">
        <v>800</v>
      </c>
      <c r="T23" s="31">
        <v>800</v>
      </c>
      <c r="U23" s="31">
        <v>800</v>
      </c>
      <c r="V23" s="31">
        <v>800</v>
      </c>
      <c r="W23" s="31">
        <v>800</v>
      </c>
      <c r="X23" s="31">
        <v>800</v>
      </c>
      <c r="Y23" s="30">
        <f t="shared" si="5"/>
        <v>33600</v>
      </c>
      <c r="Z23">
        <f>VLOOKUP(A23,справочник!$E$2:$F$322,2,FALSE)</f>
        <v>0</v>
      </c>
    </row>
    <row r="24" spans="1:26" hidden="1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6"/>
        <v>52</v>
      </c>
      <c r="I24" s="1">
        <f t="shared" si="2"/>
        <v>52000</v>
      </c>
      <c r="J24" s="17">
        <f>19000+1500+2500+23000</f>
        <v>46000</v>
      </c>
      <c r="K24" s="17"/>
      <c r="L24" s="30">
        <f t="shared" si="3"/>
        <v>6000</v>
      </c>
      <c r="M24" s="31">
        <v>800</v>
      </c>
      <c r="N24" s="31">
        <v>800</v>
      </c>
      <c r="O24" s="31">
        <v>800</v>
      </c>
      <c r="P24" s="31">
        <v>800</v>
      </c>
      <c r="Q24" s="31">
        <v>800</v>
      </c>
      <c r="R24" s="31">
        <v>800</v>
      </c>
      <c r="S24" s="31">
        <v>800</v>
      </c>
      <c r="T24" s="31">
        <v>800</v>
      </c>
      <c r="U24" s="31">
        <v>800</v>
      </c>
      <c r="V24" s="31">
        <v>800</v>
      </c>
      <c r="W24" s="31">
        <v>800</v>
      </c>
      <c r="X24" s="31">
        <v>800</v>
      </c>
      <c r="Y24" s="30">
        <f t="shared" si="5"/>
        <v>15600</v>
      </c>
      <c r="Z24">
        <f>VLOOKUP(A24,справочник!$E$2:$F$322,2,FALSE)</f>
        <v>0</v>
      </c>
    </row>
    <row r="25" spans="1:26" hidden="1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6"/>
        <v>13</v>
      </c>
      <c r="I25" s="1">
        <f t="shared" si="2"/>
        <v>13000</v>
      </c>
      <c r="J25" s="17">
        <v>8000</v>
      </c>
      <c r="K25" s="17"/>
      <c r="L25" s="30">
        <f t="shared" si="3"/>
        <v>5000</v>
      </c>
      <c r="M25" s="31">
        <v>800</v>
      </c>
      <c r="N25" s="31">
        <v>800</v>
      </c>
      <c r="O25" s="31">
        <v>800</v>
      </c>
      <c r="P25" s="31">
        <v>800</v>
      </c>
      <c r="Q25" s="31">
        <v>800</v>
      </c>
      <c r="R25" s="31">
        <v>800</v>
      </c>
      <c r="S25" s="31">
        <v>800</v>
      </c>
      <c r="T25" s="31">
        <v>800</v>
      </c>
      <c r="U25" s="31">
        <v>800</v>
      </c>
      <c r="V25" s="31">
        <v>800</v>
      </c>
      <c r="W25" s="31">
        <v>800</v>
      </c>
      <c r="X25" s="31">
        <v>800</v>
      </c>
      <c r="Y25" s="30">
        <f t="shared" si="5"/>
        <v>14600</v>
      </c>
      <c r="Z25">
        <f>VLOOKUP(A25,справочник!$E$2:$F$322,2,FALSE)</f>
        <v>0</v>
      </c>
    </row>
    <row r="26" spans="1:26" hidden="1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6"/>
        <v>32</v>
      </c>
      <c r="I26" s="1">
        <f t="shared" si="2"/>
        <v>32000</v>
      </c>
      <c r="J26" s="17">
        <v>9000</v>
      </c>
      <c r="K26" s="17"/>
      <c r="L26" s="30">
        <f t="shared" si="3"/>
        <v>23000</v>
      </c>
      <c r="M26" s="31">
        <v>800</v>
      </c>
      <c r="N26" s="31">
        <v>800</v>
      </c>
      <c r="O26" s="31">
        <v>800</v>
      </c>
      <c r="P26" s="31">
        <v>800</v>
      </c>
      <c r="Q26" s="31">
        <v>800</v>
      </c>
      <c r="R26" s="31">
        <v>800</v>
      </c>
      <c r="S26" s="31">
        <v>800</v>
      </c>
      <c r="T26" s="31">
        <v>800</v>
      </c>
      <c r="U26" s="31">
        <v>800</v>
      </c>
      <c r="V26" s="31">
        <v>800</v>
      </c>
      <c r="W26" s="31">
        <v>800</v>
      </c>
      <c r="X26" s="31">
        <v>800</v>
      </c>
      <c r="Y26" s="30">
        <f t="shared" si="5"/>
        <v>32600</v>
      </c>
      <c r="Z26">
        <f>VLOOKUP(A26,справочник!$E$2:$F$322,2,FALSE)</f>
        <v>0</v>
      </c>
    </row>
    <row r="27" spans="1:26" hidden="1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2" t="s">
        <v>24</v>
      </c>
      <c r="E27" s="1" t="s">
        <v>341</v>
      </c>
      <c r="F27" s="16">
        <v>41008</v>
      </c>
      <c r="G27" s="16">
        <v>41000</v>
      </c>
      <c r="H27" s="17">
        <f t="shared" si="6"/>
        <v>45</v>
      </c>
      <c r="I27" s="1">
        <f t="shared" si="2"/>
        <v>45000</v>
      </c>
      <c r="J27" s="17">
        <v>1000</v>
      </c>
      <c r="K27" s="17"/>
      <c r="L27" s="30">
        <f t="shared" si="3"/>
        <v>44000</v>
      </c>
      <c r="M27" s="31">
        <v>800</v>
      </c>
      <c r="N27" s="31">
        <v>800</v>
      </c>
      <c r="O27" s="31">
        <v>800</v>
      </c>
      <c r="P27" s="31">
        <v>800</v>
      </c>
      <c r="Q27" s="31">
        <v>800</v>
      </c>
      <c r="R27" s="31">
        <v>800</v>
      </c>
      <c r="S27" s="31">
        <v>800</v>
      </c>
      <c r="T27" s="31">
        <v>800</v>
      </c>
      <c r="U27" s="31">
        <v>800</v>
      </c>
      <c r="V27" s="31">
        <v>800</v>
      </c>
      <c r="W27" s="31">
        <v>800</v>
      </c>
      <c r="X27" s="31">
        <v>800</v>
      </c>
      <c r="Y27" s="30">
        <f t="shared" si="5"/>
        <v>53600</v>
      </c>
      <c r="Z27">
        <f>VLOOKUP(A27,справочник!$E$2:$F$322,2,FALSE)</f>
        <v>0</v>
      </c>
    </row>
    <row r="28" spans="1:26" hidden="1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2" t="s">
        <v>25</v>
      </c>
      <c r="E28" s="1" t="s">
        <v>342</v>
      </c>
      <c r="F28" s="16">
        <v>41766</v>
      </c>
      <c r="G28" s="16">
        <v>41791</v>
      </c>
      <c r="H28" s="17">
        <f t="shared" si="6"/>
        <v>19</v>
      </c>
      <c r="I28" s="1">
        <f t="shared" si="2"/>
        <v>19000</v>
      </c>
      <c r="J28" s="17">
        <v>1000</v>
      </c>
      <c r="K28" s="17"/>
      <c r="L28" s="30">
        <f t="shared" si="3"/>
        <v>18000</v>
      </c>
      <c r="M28" s="31">
        <v>800</v>
      </c>
      <c r="N28" s="31">
        <v>800</v>
      </c>
      <c r="O28" s="31">
        <v>800</v>
      </c>
      <c r="P28" s="31">
        <v>800</v>
      </c>
      <c r="Q28" s="31">
        <v>800</v>
      </c>
      <c r="R28" s="31">
        <v>800</v>
      </c>
      <c r="S28" s="31">
        <v>800</v>
      </c>
      <c r="T28" s="31">
        <v>800</v>
      </c>
      <c r="U28" s="31">
        <v>800</v>
      </c>
      <c r="V28" s="31">
        <v>800</v>
      </c>
      <c r="W28" s="31">
        <v>800</v>
      </c>
      <c r="X28" s="31">
        <v>800</v>
      </c>
      <c r="Y28" s="30">
        <f t="shared" si="5"/>
        <v>27600</v>
      </c>
      <c r="Z28">
        <f>VLOOKUP(A28,справочник!$E$2:$F$322,2,FALSE)</f>
        <v>0</v>
      </c>
    </row>
    <row r="29" spans="1:26" hidden="1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6"/>
        <v>52</v>
      </c>
      <c r="I29" s="1">
        <f t="shared" si="2"/>
        <v>52000</v>
      </c>
      <c r="J29" s="17">
        <f>50000+1000</f>
        <v>51000</v>
      </c>
      <c r="K29" s="17">
        <v>1000</v>
      </c>
      <c r="L29" s="30">
        <f t="shared" si="3"/>
        <v>0</v>
      </c>
      <c r="M29" s="31">
        <v>800</v>
      </c>
      <c r="N29" s="31">
        <v>800</v>
      </c>
      <c r="O29" s="31">
        <v>800</v>
      </c>
      <c r="P29" s="31">
        <v>800</v>
      </c>
      <c r="Q29" s="31">
        <v>800</v>
      </c>
      <c r="R29" s="31">
        <v>800</v>
      </c>
      <c r="S29" s="31">
        <v>800</v>
      </c>
      <c r="T29" s="31">
        <v>800</v>
      </c>
      <c r="U29" s="31">
        <v>800</v>
      </c>
      <c r="V29" s="31">
        <v>800</v>
      </c>
      <c r="W29" s="31">
        <v>800</v>
      </c>
      <c r="X29" s="31">
        <v>800</v>
      </c>
      <c r="Y29" s="30">
        <f t="shared" si="5"/>
        <v>9600</v>
      </c>
      <c r="Z29">
        <f>VLOOKUP(A29,справочник!$E$2:$F$322,2,FALSE)</f>
        <v>0</v>
      </c>
    </row>
    <row r="30" spans="1:26" ht="25.5" hidden="1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6"/>
        <v>45</v>
      </c>
      <c r="I30" s="1">
        <f t="shared" si="2"/>
        <v>45000</v>
      </c>
      <c r="J30" s="17">
        <v>40000</v>
      </c>
      <c r="K30" s="17">
        <v>5000</v>
      </c>
      <c r="L30" s="30">
        <v>5000</v>
      </c>
      <c r="M30" s="31">
        <v>800</v>
      </c>
      <c r="N30" s="31">
        <v>800</v>
      </c>
      <c r="O30" s="31">
        <v>800</v>
      </c>
      <c r="P30" s="31">
        <v>800</v>
      </c>
      <c r="Q30" s="31">
        <v>800</v>
      </c>
      <c r="R30" s="31">
        <v>800</v>
      </c>
      <c r="S30" s="31">
        <v>800</v>
      </c>
      <c r="T30" s="31">
        <v>800</v>
      </c>
      <c r="U30" s="31">
        <v>800</v>
      </c>
      <c r="V30" s="31">
        <v>800</v>
      </c>
      <c r="W30" s="31">
        <v>800</v>
      </c>
      <c r="X30" s="31">
        <v>800</v>
      </c>
      <c r="Y30" s="30">
        <f t="shared" si="5"/>
        <v>14600</v>
      </c>
      <c r="Z30">
        <f>VLOOKUP(A30,справочник!$E$2:$F$322,2,FALSE)</f>
        <v>0</v>
      </c>
    </row>
    <row r="31" spans="1:26" ht="25.5" hidden="1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6"/>
        <v>45</v>
      </c>
      <c r="I31" s="1">
        <f t="shared" si="2"/>
        <v>45000</v>
      </c>
      <c r="J31" s="17">
        <v>28000</v>
      </c>
      <c r="K31" s="17">
        <v>7000</v>
      </c>
      <c r="L31" s="30">
        <v>5000</v>
      </c>
      <c r="M31" s="31">
        <v>800</v>
      </c>
      <c r="N31" s="31">
        <v>800</v>
      </c>
      <c r="O31" s="31">
        <v>800</v>
      </c>
      <c r="P31" s="31">
        <v>800</v>
      </c>
      <c r="Q31" s="31">
        <v>800</v>
      </c>
      <c r="R31" s="31">
        <v>800</v>
      </c>
      <c r="S31" s="31">
        <v>800</v>
      </c>
      <c r="T31" s="31">
        <v>800</v>
      </c>
      <c r="U31" s="31">
        <v>800</v>
      </c>
      <c r="V31" s="31">
        <v>800</v>
      </c>
      <c r="W31" s="31">
        <v>800</v>
      </c>
      <c r="X31" s="31">
        <v>800</v>
      </c>
      <c r="Y31" s="30">
        <f t="shared" si="5"/>
        <v>14600</v>
      </c>
      <c r="Z31">
        <f>VLOOKUP(A31,справочник!$E$2:$F$322,2,FALSE)</f>
        <v>0</v>
      </c>
    </row>
    <row r="32" spans="1:26" hidden="1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si="6"/>
        <v>38</v>
      </c>
      <c r="I32" s="1">
        <f t="shared" si="2"/>
        <v>38000</v>
      </c>
      <c r="J32" s="17">
        <v>28000</v>
      </c>
      <c r="K32" s="17"/>
      <c r="L32" s="30">
        <f t="shared" ref="L32:L95" si="7">I32-J32-K32</f>
        <v>10000</v>
      </c>
      <c r="M32" s="31">
        <v>800</v>
      </c>
      <c r="N32" s="31">
        <v>800</v>
      </c>
      <c r="O32" s="31">
        <v>800</v>
      </c>
      <c r="P32" s="31">
        <v>800</v>
      </c>
      <c r="Q32" s="31">
        <v>800</v>
      </c>
      <c r="R32" s="31">
        <v>800</v>
      </c>
      <c r="S32" s="31">
        <v>800</v>
      </c>
      <c r="T32" s="31">
        <v>800</v>
      </c>
      <c r="U32" s="31">
        <v>800</v>
      </c>
      <c r="V32" s="31">
        <v>800</v>
      </c>
      <c r="W32" s="31">
        <v>800</v>
      </c>
      <c r="X32" s="31">
        <v>800</v>
      </c>
      <c r="Y32" s="30">
        <f t="shared" si="5"/>
        <v>19600</v>
      </c>
      <c r="Z32">
        <f>VLOOKUP(A32,справочник!$E$2:$F$322,2,FALSE)</f>
        <v>0</v>
      </c>
    </row>
    <row r="33" spans="1:26" hidden="1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2" t="s">
        <v>30</v>
      </c>
      <c r="E33" s="1" t="s">
        <v>347</v>
      </c>
      <c r="F33" s="16">
        <v>41204</v>
      </c>
      <c r="G33" s="16">
        <v>41214</v>
      </c>
      <c r="H33" s="17">
        <f t="shared" si="6"/>
        <v>38</v>
      </c>
      <c r="I33" s="1">
        <f t="shared" si="2"/>
        <v>38000</v>
      </c>
      <c r="J33" s="17">
        <v>26000</v>
      </c>
      <c r="K33" s="17"/>
      <c r="L33" s="30">
        <f t="shared" si="7"/>
        <v>12000</v>
      </c>
      <c r="M33" s="31">
        <v>800</v>
      </c>
      <c r="N33" s="31">
        <v>800</v>
      </c>
      <c r="O33" s="31">
        <v>800</v>
      </c>
      <c r="P33" s="31">
        <v>800</v>
      </c>
      <c r="Q33" s="31">
        <v>800</v>
      </c>
      <c r="R33" s="31">
        <v>800</v>
      </c>
      <c r="S33" s="31">
        <v>800</v>
      </c>
      <c r="T33" s="31">
        <v>800</v>
      </c>
      <c r="U33" s="31">
        <v>800</v>
      </c>
      <c r="V33" s="31">
        <v>800</v>
      </c>
      <c r="W33" s="31">
        <v>800</v>
      </c>
      <c r="X33" s="31">
        <v>800</v>
      </c>
      <c r="Y33" s="30">
        <f t="shared" si="5"/>
        <v>21600</v>
      </c>
      <c r="Z33">
        <f>VLOOKUP(A33,справочник!$E$2:$F$322,2,FALSE)</f>
        <v>0</v>
      </c>
    </row>
    <row r="34" spans="1:26" hidden="1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2" t="s">
        <v>31</v>
      </c>
      <c r="E34" s="1" t="s">
        <v>348</v>
      </c>
      <c r="F34" s="16">
        <v>41262</v>
      </c>
      <c r="G34" s="16">
        <v>41275</v>
      </c>
      <c r="H34" s="17">
        <f t="shared" si="6"/>
        <v>36</v>
      </c>
      <c r="I34" s="1">
        <f t="shared" si="2"/>
        <v>36000</v>
      </c>
      <c r="J34" s="17">
        <v>1000</v>
      </c>
      <c r="K34" s="17"/>
      <c r="L34" s="30">
        <f t="shared" si="7"/>
        <v>35000</v>
      </c>
      <c r="M34" s="31">
        <v>800</v>
      </c>
      <c r="N34" s="31">
        <v>800</v>
      </c>
      <c r="O34" s="31">
        <v>800</v>
      </c>
      <c r="P34" s="31">
        <v>800</v>
      </c>
      <c r="Q34" s="31">
        <v>800</v>
      </c>
      <c r="R34" s="31">
        <v>800</v>
      </c>
      <c r="S34" s="31">
        <v>800</v>
      </c>
      <c r="T34" s="31">
        <v>800</v>
      </c>
      <c r="U34" s="31">
        <v>800</v>
      </c>
      <c r="V34" s="31">
        <v>800</v>
      </c>
      <c r="W34" s="31">
        <v>800</v>
      </c>
      <c r="X34" s="31">
        <v>800</v>
      </c>
      <c r="Y34" s="30">
        <f t="shared" si="5"/>
        <v>44600</v>
      </c>
      <c r="Z34">
        <f>VLOOKUP(A34,справочник!$E$2:$F$322,2,FALSE)</f>
        <v>0</v>
      </c>
    </row>
    <row r="35" spans="1:26" hidden="1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6"/>
        <v>41</v>
      </c>
      <c r="I35" s="1">
        <f t="shared" si="2"/>
        <v>41000</v>
      </c>
      <c r="J35" s="17">
        <v>17000</v>
      </c>
      <c r="K35" s="17"/>
      <c r="L35" s="30">
        <f t="shared" si="7"/>
        <v>24000</v>
      </c>
      <c r="M35" s="31">
        <v>800</v>
      </c>
      <c r="N35" s="31">
        <v>800</v>
      </c>
      <c r="O35" s="31">
        <v>800</v>
      </c>
      <c r="P35" s="31">
        <v>800</v>
      </c>
      <c r="Q35" s="31">
        <v>800</v>
      </c>
      <c r="R35" s="31">
        <v>800</v>
      </c>
      <c r="S35" s="31">
        <v>800</v>
      </c>
      <c r="T35" s="31">
        <v>800</v>
      </c>
      <c r="U35" s="31">
        <v>800</v>
      </c>
      <c r="V35" s="31">
        <v>800</v>
      </c>
      <c r="W35" s="31">
        <v>800</v>
      </c>
      <c r="X35" s="31">
        <v>800</v>
      </c>
      <c r="Y35" s="30">
        <f t="shared" si="5"/>
        <v>33600</v>
      </c>
      <c r="Z35">
        <f>VLOOKUP(A35,справочник!$E$2:$F$322,2,FALSE)</f>
        <v>0</v>
      </c>
    </row>
    <row r="36" spans="1:26" hidden="1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6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30">
        <f t="shared" si="7"/>
        <v>0</v>
      </c>
      <c r="M36" s="31">
        <v>800</v>
      </c>
      <c r="N36" s="31">
        <v>800</v>
      </c>
      <c r="O36" s="31">
        <v>800</v>
      </c>
      <c r="P36" s="31">
        <v>800</v>
      </c>
      <c r="Q36" s="31">
        <v>800</v>
      </c>
      <c r="R36" s="31">
        <v>800</v>
      </c>
      <c r="S36" s="31">
        <v>800</v>
      </c>
      <c r="T36" s="31">
        <v>800</v>
      </c>
      <c r="U36" s="31">
        <v>800</v>
      </c>
      <c r="V36" s="31">
        <v>800</v>
      </c>
      <c r="W36" s="31">
        <v>800</v>
      </c>
      <c r="X36" s="31">
        <v>800</v>
      </c>
      <c r="Y36" s="30">
        <f t="shared" si="5"/>
        <v>9600</v>
      </c>
      <c r="Z36">
        <f>VLOOKUP(A36,справочник!$E$2:$F$322,2,FALSE)</f>
        <v>0</v>
      </c>
    </row>
    <row r="37" spans="1:26" hidden="1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6"/>
        <v>14</v>
      </c>
      <c r="I37" s="1">
        <f t="shared" si="2"/>
        <v>14000</v>
      </c>
      <c r="J37" s="17">
        <v>9000</v>
      </c>
      <c r="K37" s="17"/>
      <c r="L37" s="30">
        <f t="shared" si="7"/>
        <v>5000</v>
      </c>
      <c r="M37" s="31">
        <v>800</v>
      </c>
      <c r="N37" s="31">
        <v>800</v>
      </c>
      <c r="O37" s="31">
        <v>800</v>
      </c>
      <c r="P37" s="31">
        <v>800</v>
      </c>
      <c r="Q37" s="31">
        <v>800</v>
      </c>
      <c r="R37" s="31">
        <v>800</v>
      </c>
      <c r="S37" s="31">
        <v>800</v>
      </c>
      <c r="T37" s="31">
        <v>800</v>
      </c>
      <c r="U37" s="31">
        <v>800</v>
      </c>
      <c r="V37" s="31">
        <v>800</v>
      </c>
      <c r="W37" s="31">
        <v>800</v>
      </c>
      <c r="X37" s="31">
        <v>800</v>
      </c>
      <c r="Y37" s="30">
        <f t="shared" si="5"/>
        <v>14600</v>
      </c>
      <c r="Z37">
        <f>VLOOKUP(A37,справочник!$E$2:$F$322,2,FALSE)</f>
        <v>0</v>
      </c>
    </row>
    <row r="38" spans="1:26" hidden="1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1">
        <v>196</v>
      </c>
      <c r="D38" s="2" t="s">
        <v>35</v>
      </c>
      <c r="E38" s="1" t="s">
        <v>352</v>
      </c>
      <c r="F38" s="19">
        <v>41674</v>
      </c>
      <c r="G38" s="19">
        <v>41699</v>
      </c>
      <c r="H38" s="20">
        <f t="shared" si="6"/>
        <v>22</v>
      </c>
      <c r="I38" s="5">
        <f t="shared" si="2"/>
        <v>22000</v>
      </c>
      <c r="J38" s="20">
        <v>10000</v>
      </c>
      <c r="K38" s="20"/>
      <c r="L38" s="32">
        <f t="shared" si="7"/>
        <v>12000</v>
      </c>
      <c r="M38" s="31">
        <v>800</v>
      </c>
      <c r="N38" s="31">
        <v>800</v>
      </c>
      <c r="O38" s="31">
        <v>800</v>
      </c>
      <c r="P38" s="31">
        <v>800</v>
      </c>
      <c r="Q38" s="31">
        <v>800</v>
      </c>
      <c r="R38" s="31">
        <v>800</v>
      </c>
      <c r="S38" s="31">
        <v>800</v>
      </c>
      <c r="T38" s="31">
        <v>800</v>
      </c>
      <c r="U38" s="31">
        <v>800</v>
      </c>
      <c r="V38" s="31">
        <v>800</v>
      </c>
      <c r="W38" s="31">
        <v>800</v>
      </c>
      <c r="X38" s="31">
        <v>800</v>
      </c>
      <c r="Y38" s="30">
        <f t="shared" si="5"/>
        <v>21600</v>
      </c>
      <c r="Z38">
        <f>VLOOKUP(A38,справочник!$E$2:$F$322,2,FALSE)</f>
        <v>1</v>
      </c>
    </row>
    <row r="39" spans="1:26" hidden="1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1">
        <v>197</v>
      </c>
      <c r="D39" s="2" t="s">
        <v>35</v>
      </c>
      <c r="E39" s="1"/>
      <c r="F39" s="19">
        <v>41674</v>
      </c>
      <c r="G39" s="19">
        <v>41699</v>
      </c>
      <c r="H39" s="20">
        <f t="shared" si="6"/>
        <v>22</v>
      </c>
      <c r="I39" s="5">
        <f t="shared" si="2"/>
        <v>22000</v>
      </c>
      <c r="J39" s="20"/>
      <c r="K39" s="20"/>
      <c r="L39" s="32">
        <f t="shared" si="7"/>
        <v>22000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0">
        <f t="shared" si="5"/>
        <v>22000</v>
      </c>
      <c r="Z39">
        <f>VLOOKUP(A39,справочник!$E$2:$F$322,2,FALSE)</f>
        <v>1</v>
      </c>
    </row>
    <row r="40" spans="1:26" hidden="1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6"/>
        <v>16</v>
      </c>
      <c r="I40" s="1">
        <f t="shared" si="2"/>
        <v>16000</v>
      </c>
      <c r="J40" s="17">
        <v>13000</v>
      </c>
      <c r="K40" s="17">
        <v>3000</v>
      </c>
      <c r="L40" s="30">
        <f t="shared" si="7"/>
        <v>0</v>
      </c>
      <c r="M40" s="31">
        <v>800</v>
      </c>
      <c r="N40" s="31">
        <v>800</v>
      </c>
      <c r="O40" s="31">
        <v>800</v>
      </c>
      <c r="P40" s="31">
        <v>800</v>
      </c>
      <c r="Q40" s="31">
        <v>800</v>
      </c>
      <c r="R40" s="31">
        <v>800</v>
      </c>
      <c r="S40" s="31">
        <v>800</v>
      </c>
      <c r="T40" s="31">
        <v>800</v>
      </c>
      <c r="U40" s="31">
        <v>800</v>
      </c>
      <c r="V40" s="31">
        <v>800</v>
      </c>
      <c r="W40" s="31">
        <v>800</v>
      </c>
      <c r="X40" s="31">
        <v>800</v>
      </c>
      <c r="Y40" s="30">
        <f t="shared" si="5"/>
        <v>9600</v>
      </c>
      <c r="Z40">
        <f>VLOOKUP(A40,справочник!$E$2:$F$322,2,FALSE)</f>
        <v>0</v>
      </c>
    </row>
    <row r="41" spans="1:26" hidden="1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6"/>
        <v>47</v>
      </c>
      <c r="I41" s="1">
        <f t="shared" si="2"/>
        <v>47000</v>
      </c>
      <c r="J41" s="17">
        <v>1000</v>
      </c>
      <c r="K41" s="17">
        <v>45000</v>
      </c>
      <c r="L41" s="30">
        <f t="shared" si="7"/>
        <v>1000</v>
      </c>
      <c r="M41" s="31">
        <v>800</v>
      </c>
      <c r="N41" s="31">
        <v>800</v>
      </c>
      <c r="O41" s="31">
        <v>800</v>
      </c>
      <c r="P41" s="31">
        <v>800</v>
      </c>
      <c r="Q41" s="31">
        <v>800</v>
      </c>
      <c r="R41" s="31">
        <v>800</v>
      </c>
      <c r="S41" s="31">
        <v>800</v>
      </c>
      <c r="T41" s="31">
        <v>800</v>
      </c>
      <c r="U41" s="31">
        <v>800</v>
      </c>
      <c r="V41" s="31">
        <v>800</v>
      </c>
      <c r="W41" s="31">
        <v>800</v>
      </c>
      <c r="X41" s="31">
        <v>800</v>
      </c>
      <c r="Y41" s="30">
        <f t="shared" si="5"/>
        <v>10600</v>
      </c>
      <c r="Z41">
        <f>VLOOKUP(A41,справочник!$E$2:$F$322,2,FALSE)</f>
        <v>0</v>
      </c>
    </row>
    <row r="42" spans="1:26" hidden="1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6"/>
        <v>44</v>
      </c>
      <c r="I42" s="1">
        <f t="shared" si="2"/>
        <v>44000</v>
      </c>
      <c r="J42" s="17">
        <v>44000</v>
      </c>
      <c r="K42" s="17"/>
      <c r="L42" s="30">
        <f t="shared" si="7"/>
        <v>0</v>
      </c>
      <c r="M42" s="31">
        <v>800</v>
      </c>
      <c r="N42" s="31">
        <v>800</v>
      </c>
      <c r="O42" s="31">
        <v>800</v>
      </c>
      <c r="P42" s="31">
        <v>800</v>
      </c>
      <c r="Q42" s="31">
        <v>800</v>
      </c>
      <c r="R42" s="31">
        <v>800</v>
      </c>
      <c r="S42" s="31">
        <v>800</v>
      </c>
      <c r="T42" s="31">
        <v>800</v>
      </c>
      <c r="U42" s="31">
        <v>800</v>
      </c>
      <c r="V42" s="31">
        <v>800</v>
      </c>
      <c r="W42" s="31">
        <v>800</v>
      </c>
      <c r="X42" s="31">
        <v>800</v>
      </c>
      <c r="Y42" s="30">
        <f t="shared" si="5"/>
        <v>9600</v>
      </c>
      <c r="Z42">
        <f>VLOOKUP(A42,справочник!$E$2:$F$322,2,FALSE)</f>
        <v>0</v>
      </c>
    </row>
    <row r="43" spans="1:26" hidden="1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6"/>
        <v>48</v>
      </c>
      <c r="I43" s="1">
        <f t="shared" si="2"/>
        <v>48000</v>
      </c>
      <c r="J43" s="17">
        <v>28000</v>
      </c>
      <c r="K43" s="17"/>
      <c r="L43" s="30">
        <f t="shared" si="7"/>
        <v>20000</v>
      </c>
      <c r="M43" s="31">
        <v>800</v>
      </c>
      <c r="N43" s="31">
        <v>800</v>
      </c>
      <c r="O43" s="31">
        <v>800</v>
      </c>
      <c r="P43" s="31">
        <v>800</v>
      </c>
      <c r="Q43" s="31">
        <v>800</v>
      </c>
      <c r="R43" s="31">
        <v>800</v>
      </c>
      <c r="S43" s="31">
        <v>800</v>
      </c>
      <c r="T43" s="31">
        <v>800</v>
      </c>
      <c r="U43" s="31">
        <v>800</v>
      </c>
      <c r="V43" s="31">
        <v>800</v>
      </c>
      <c r="W43" s="31">
        <v>800</v>
      </c>
      <c r="X43" s="31">
        <v>800</v>
      </c>
      <c r="Y43" s="30">
        <f t="shared" si="5"/>
        <v>29600</v>
      </c>
      <c r="Z43">
        <f>VLOOKUP(A43,справочник!$E$2:$F$322,2,FALSE)</f>
        <v>0</v>
      </c>
    </row>
    <row r="44" spans="1:26" hidden="1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6"/>
        <v>49</v>
      </c>
      <c r="I44" s="1">
        <f t="shared" si="2"/>
        <v>49000</v>
      </c>
      <c r="J44" s="17">
        <f>29000+1000</f>
        <v>30000</v>
      </c>
      <c r="K44" s="17"/>
      <c r="L44" s="30">
        <f t="shared" si="7"/>
        <v>19000</v>
      </c>
      <c r="M44" s="31">
        <v>800</v>
      </c>
      <c r="N44" s="31">
        <v>800</v>
      </c>
      <c r="O44" s="31">
        <v>800</v>
      </c>
      <c r="P44" s="31">
        <v>800</v>
      </c>
      <c r="Q44" s="31">
        <v>800</v>
      </c>
      <c r="R44" s="31">
        <v>800</v>
      </c>
      <c r="S44" s="31">
        <v>800</v>
      </c>
      <c r="T44" s="31">
        <v>800</v>
      </c>
      <c r="U44" s="31">
        <v>800</v>
      </c>
      <c r="V44" s="31">
        <v>800</v>
      </c>
      <c r="W44" s="31">
        <v>800</v>
      </c>
      <c r="X44" s="31">
        <v>800</v>
      </c>
      <c r="Y44" s="30">
        <f t="shared" si="5"/>
        <v>28600</v>
      </c>
      <c r="Z44">
        <f>VLOOKUP(A44,справочник!$E$2:$F$322,2,FALSE)</f>
        <v>0</v>
      </c>
    </row>
    <row r="45" spans="1:26" hidden="1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1">
        <v>287</v>
      </c>
      <c r="D45" s="2" t="s">
        <v>41</v>
      </c>
      <c r="E45" s="5"/>
      <c r="F45" s="19">
        <v>42023</v>
      </c>
      <c r="G45" s="19">
        <v>42036</v>
      </c>
      <c r="H45" s="20">
        <f t="shared" si="6"/>
        <v>11</v>
      </c>
      <c r="I45" s="5">
        <f t="shared" si="2"/>
        <v>11000</v>
      </c>
      <c r="J45" s="20">
        <v>2000</v>
      </c>
      <c r="K45" s="20"/>
      <c r="L45" s="32">
        <f t="shared" si="7"/>
        <v>9000</v>
      </c>
      <c r="M45" s="31">
        <v>800</v>
      </c>
      <c r="N45" s="31">
        <v>800</v>
      </c>
      <c r="O45" s="31">
        <v>800</v>
      </c>
      <c r="P45" s="31">
        <v>800</v>
      </c>
      <c r="Q45" s="31">
        <v>800</v>
      </c>
      <c r="R45" s="31">
        <v>800</v>
      </c>
      <c r="S45" s="31">
        <v>800</v>
      </c>
      <c r="T45" s="31">
        <v>800</v>
      </c>
      <c r="U45" s="31">
        <v>800</v>
      </c>
      <c r="V45" s="31">
        <v>800</v>
      </c>
      <c r="W45" s="31">
        <v>800</v>
      </c>
      <c r="X45" s="31">
        <v>800</v>
      </c>
      <c r="Y45" s="30">
        <f t="shared" si="5"/>
        <v>18600</v>
      </c>
      <c r="Z45">
        <f>VLOOKUP(A45,справочник!$E$2:$F$322,2,FALSE)</f>
        <v>1</v>
      </c>
    </row>
    <row r="46" spans="1:26" hidden="1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1">
        <v>295</v>
      </c>
      <c r="D46" s="2" t="s">
        <v>41</v>
      </c>
      <c r="E46" s="5"/>
      <c r="F46" s="19">
        <v>42023</v>
      </c>
      <c r="G46" s="19">
        <v>42036</v>
      </c>
      <c r="H46" s="20">
        <f t="shared" si="6"/>
        <v>11</v>
      </c>
      <c r="I46" s="5">
        <f t="shared" si="2"/>
        <v>11000</v>
      </c>
      <c r="J46" s="20"/>
      <c r="K46" s="20"/>
      <c r="L46" s="32">
        <f t="shared" si="7"/>
        <v>11000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0">
        <f t="shared" si="5"/>
        <v>11000</v>
      </c>
      <c r="Z46">
        <f>VLOOKUP(A46,справочник!$E$2:$F$322,2,FALSE)</f>
        <v>1</v>
      </c>
    </row>
    <row r="47" spans="1:26" hidden="1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1">
        <v>183</v>
      </c>
      <c r="D47" s="2" t="s">
        <v>42</v>
      </c>
      <c r="E47" s="1" t="s">
        <v>358</v>
      </c>
      <c r="F47" s="19">
        <v>41865</v>
      </c>
      <c r="G47" s="19">
        <v>41883</v>
      </c>
      <c r="H47" s="20">
        <f t="shared" si="6"/>
        <v>16</v>
      </c>
      <c r="I47" s="5">
        <f t="shared" si="2"/>
        <v>16000</v>
      </c>
      <c r="J47" s="20"/>
      <c r="K47" s="20"/>
      <c r="L47" s="32">
        <f t="shared" si="7"/>
        <v>16000</v>
      </c>
      <c r="M47" s="31">
        <v>800</v>
      </c>
      <c r="N47" s="31">
        <v>800</v>
      </c>
      <c r="O47" s="31">
        <v>800</v>
      </c>
      <c r="P47" s="31">
        <v>800</v>
      </c>
      <c r="Q47" s="31">
        <v>800</v>
      </c>
      <c r="R47" s="31">
        <v>800</v>
      </c>
      <c r="S47" s="31">
        <v>800</v>
      </c>
      <c r="T47" s="31">
        <v>800</v>
      </c>
      <c r="U47" s="31">
        <v>800</v>
      </c>
      <c r="V47" s="31">
        <v>800</v>
      </c>
      <c r="W47" s="31">
        <v>800</v>
      </c>
      <c r="X47" s="31">
        <v>800</v>
      </c>
      <c r="Y47" s="30">
        <f t="shared" si="5"/>
        <v>25600</v>
      </c>
      <c r="Z47">
        <f>VLOOKUP(A47,справочник!$E$2:$F$322,2,FALSE)</f>
        <v>1</v>
      </c>
    </row>
    <row r="48" spans="1:26" hidden="1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1">
        <v>187</v>
      </c>
      <c r="D48" s="2" t="s">
        <v>42</v>
      </c>
      <c r="E48" s="1" t="s">
        <v>359</v>
      </c>
      <c r="F48" s="19">
        <v>41865</v>
      </c>
      <c r="G48" s="19">
        <v>41883</v>
      </c>
      <c r="H48" s="20">
        <f t="shared" si="6"/>
        <v>16</v>
      </c>
      <c r="I48" s="5">
        <f t="shared" si="2"/>
        <v>16000</v>
      </c>
      <c r="J48" s="20"/>
      <c r="K48" s="20"/>
      <c r="L48" s="32">
        <f t="shared" si="7"/>
        <v>16000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0">
        <f t="shared" si="5"/>
        <v>16000</v>
      </c>
      <c r="Z48">
        <f>VLOOKUP(A48,справочник!$E$2:$F$322,2,FALSE)</f>
        <v>1</v>
      </c>
    </row>
    <row r="49" spans="1:26" hidden="1">
      <c r="A49" s="41">
        <f>VLOOKUP(B49,справочник!$B$2:$E$322,4,FALSE)</f>
        <v>303</v>
      </c>
      <c r="B49" t="str">
        <f t="shared" si="4"/>
        <v>318Бурдух Юрие</v>
      </c>
      <c r="C49" s="1">
        <v>318</v>
      </c>
      <c r="D49" s="2" t="s">
        <v>43</v>
      </c>
      <c r="E49" s="1" t="s">
        <v>360</v>
      </c>
      <c r="F49" s="19">
        <v>42002</v>
      </c>
      <c r="G49" s="19">
        <v>42005</v>
      </c>
      <c r="H49" s="20">
        <f t="shared" si="6"/>
        <v>12</v>
      </c>
      <c r="I49" s="5">
        <f t="shared" si="2"/>
        <v>12000</v>
      </c>
      <c r="J49" s="20"/>
      <c r="K49" s="20"/>
      <c r="L49" s="32">
        <f t="shared" si="7"/>
        <v>12000</v>
      </c>
      <c r="M49" s="31">
        <v>800</v>
      </c>
      <c r="N49" s="31">
        <v>800</v>
      </c>
      <c r="O49" s="31">
        <v>800</v>
      </c>
      <c r="P49" s="31">
        <v>800</v>
      </c>
      <c r="Q49" s="31">
        <v>800</v>
      </c>
      <c r="R49" s="31">
        <v>800</v>
      </c>
      <c r="S49" s="31">
        <v>800</v>
      </c>
      <c r="T49" s="31">
        <v>800</v>
      </c>
      <c r="U49" s="31">
        <v>800</v>
      </c>
      <c r="V49" s="31">
        <v>800</v>
      </c>
      <c r="W49" s="31">
        <v>800</v>
      </c>
      <c r="X49" s="31">
        <v>800</v>
      </c>
      <c r="Y49" s="30">
        <f t="shared" si="5"/>
        <v>21600</v>
      </c>
      <c r="Z49">
        <f>VLOOKUP(A49,справочник!$E$2:$F$322,2,FALSE)</f>
        <v>1</v>
      </c>
    </row>
    <row r="50" spans="1:26" hidden="1">
      <c r="A50" s="41">
        <f>VLOOKUP(B50,справочник!$B$2:$E$322,4,FALSE)</f>
        <v>303</v>
      </c>
      <c r="B50" t="str">
        <f t="shared" si="4"/>
        <v>319Бурдух Юрие</v>
      </c>
      <c r="C50" s="1">
        <v>319</v>
      </c>
      <c r="D50" s="2" t="s">
        <v>43</v>
      </c>
      <c r="E50" s="1" t="s">
        <v>361</v>
      </c>
      <c r="F50" s="19">
        <v>42002</v>
      </c>
      <c r="G50" s="19">
        <v>42005</v>
      </c>
      <c r="H50" s="20">
        <f t="shared" si="6"/>
        <v>12</v>
      </c>
      <c r="I50" s="5">
        <f t="shared" si="2"/>
        <v>12000</v>
      </c>
      <c r="J50" s="20"/>
      <c r="K50" s="20"/>
      <c r="L50" s="32">
        <f t="shared" si="7"/>
        <v>12000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0">
        <f t="shared" si="5"/>
        <v>12000</v>
      </c>
      <c r="Z50">
        <f>VLOOKUP(A50,справочник!$E$2:$F$322,2,FALSE)</f>
        <v>1</v>
      </c>
    </row>
    <row r="51" spans="1:26" hidden="1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6"/>
        <v>52</v>
      </c>
      <c r="I51" s="1">
        <f t="shared" si="2"/>
        <v>52000</v>
      </c>
      <c r="J51" s="17">
        <f>36000+4000+12000</f>
        <v>52000</v>
      </c>
      <c r="K51" s="17"/>
      <c r="L51" s="30">
        <f t="shared" si="7"/>
        <v>0</v>
      </c>
      <c r="M51" s="31">
        <v>800</v>
      </c>
      <c r="N51" s="31">
        <v>800</v>
      </c>
      <c r="O51" s="31">
        <v>800</v>
      </c>
      <c r="P51" s="31">
        <v>800</v>
      </c>
      <c r="Q51" s="31">
        <v>800</v>
      </c>
      <c r="R51" s="31">
        <v>800</v>
      </c>
      <c r="S51" s="31">
        <v>800</v>
      </c>
      <c r="T51" s="31">
        <v>800</v>
      </c>
      <c r="U51" s="31">
        <v>800</v>
      </c>
      <c r="V51" s="31">
        <v>800</v>
      </c>
      <c r="W51" s="31">
        <v>800</v>
      </c>
      <c r="X51" s="31">
        <v>800</v>
      </c>
      <c r="Y51" s="30">
        <f t="shared" si="5"/>
        <v>9600</v>
      </c>
      <c r="Z51">
        <f>VLOOKUP(A51,справочник!$E$2:$F$322,2,FALSE)</f>
        <v>0</v>
      </c>
    </row>
    <row r="52" spans="1:26" hidden="1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2" t="s">
        <v>45</v>
      </c>
      <c r="E52" s="1" t="s">
        <v>363</v>
      </c>
      <c r="F52" s="16">
        <v>40953</v>
      </c>
      <c r="G52" s="16">
        <v>40940</v>
      </c>
      <c r="H52" s="17">
        <f t="shared" si="6"/>
        <v>47</v>
      </c>
      <c r="I52" s="1">
        <f t="shared" si="2"/>
        <v>47000</v>
      </c>
      <c r="J52" s="17">
        <v>38000</v>
      </c>
      <c r="K52" s="17"/>
      <c r="L52" s="30">
        <f t="shared" si="7"/>
        <v>9000</v>
      </c>
      <c r="M52" s="31">
        <v>800</v>
      </c>
      <c r="N52" s="31">
        <v>800</v>
      </c>
      <c r="O52" s="31">
        <v>800</v>
      </c>
      <c r="P52" s="31">
        <v>800</v>
      </c>
      <c r="Q52" s="31">
        <v>800</v>
      </c>
      <c r="R52" s="31">
        <v>800</v>
      </c>
      <c r="S52" s="31">
        <v>800</v>
      </c>
      <c r="T52" s="31">
        <v>800</v>
      </c>
      <c r="U52" s="31">
        <v>800</v>
      </c>
      <c r="V52" s="31">
        <v>800</v>
      </c>
      <c r="W52" s="31">
        <v>800</v>
      </c>
      <c r="X52" s="31">
        <v>800</v>
      </c>
      <c r="Y52" s="30">
        <f t="shared" si="5"/>
        <v>18600</v>
      </c>
      <c r="Z52">
        <f>VLOOKUP(A52,справочник!$E$2:$F$322,2,FALSE)</f>
        <v>0</v>
      </c>
    </row>
    <row r="53" spans="1:26" hidden="1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6"/>
        <v>52</v>
      </c>
      <c r="I53" s="1">
        <f t="shared" si="2"/>
        <v>52000</v>
      </c>
      <c r="J53" s="17">
        <f>42000+1000</f>
        <v>43000</v>
      </c>
      <c r="K53" s="17"/>
      <c r="L53" s="30">
        <f t="shared" si="7"/>
        <v>9000</v>
      </c>
      <c r="M53" s="31">
        <v>800</v>
      </c>
      <c r="N53" s="31">
        <v>800</v>
      </c>
      <c r="O53" s="31">
        <v>800</v>
      </c>
      <c r="P53" s="31">
        <v>800</v>
      </c>
      <c r="Q53" s="31">
        <v>800</v>
      </c>
      <c r="R53" s="31">
        <v>800</v>
      </c>
      <c r="S53" s="31">
        <v>800</v>
      </c>
      <c r="T53" s="31">
        <v>800</v>
      </c>
      <c r="U53" s="31">
        <v>800</v>
      </c>
      <c r="V53" s="31">
        <v>800</v>
      </c>
      <c r="W53" s="31">
        <v>800</v>
      </c>
      <c r="X53" s="31">
        <v>800</v>
      </c>
      <c r="Y53" s="30">
        <f t="shared" si="5"/>
        <v>18600</v>
      </c>
      <c r="Z53">
        <f>VLOOKUP(A53,справочник!$E$2:$F$322,2,FALSE)</f>
        <v>0</v>
      </c>
    </row>
    <row r="54" spans="1:26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6"/>
        <v>50</v>
      </c>
      <c r="I54" s="1">
        <f t="shared" si="2"/>
        <v>50000</v>
      </c>
      <c r="J54" s="17">
        <f>34000+13000</f>
        <v>47000</v>
      </c>
      <c r="K54" s="17">
        <v>4000</v>
      </c>
      <c r="L54" s="30">
        <f t="shared" si="7"/>
        <v>-1000</v>
      </c>
      <c r="M54" s="31">
        <v>800</v>
      </c>
      <c r="N54" s="31">
        <v>800</v>
      </c>
      <c r="O54" s="31">
        <v>800</v>
      </c>
      <c r="P54" s="31">
        <v>800</v>
      </c>
      <c r="Q54" s="31">
        <v>800</v>
      </c>
      <c r="R54" s="31">
        <v>800</v>
      </c>
      <c r="S54" s="31">
        <v>800</v>
      </c>
      <c r="T54" s="31">
        <v>800</v>
      </c>
      <c r="U54" s="31">
        <v>800</v>
      </c>
      <c r="V54" s="31">
        <v>800</v>
      </c>
      <c r="W54" s="31">
        <v>800</v>
      </c>
      <c r="X54" s="31">
        <v>800</v>
      </c>
      <c r="Y54" s="30">
        <f t="shared" si="5"/>
        <v>8600</v>
      </c>
      <c r="Z54">
        <f>VLOOKUP(A54,справочник!$E$2:$F$322,2,FALSE)</f>
        <v>0</v>
      </c>
    </row>
    <row r="55" spans="1:26" hidden="1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6"/>
        <v>52</v>
      </c>
      <c r="I55" s="1">
        <f t="shared" si="2"/>
        <v>52000</v>
      </c>
      <c r="J55" s="17">
        <f>27000+2000</f>
        <v>29000</v>
      </c>
      <c r="K55" s="17"/>
      <c r="L55" s="30">
        <f t="shared" si="7"/>
        <v>23000</v>
      </c>
      <c r="M55" s="31">
        <v>800</v>
      </c>
      <c r="N55" s="31">
        <v>800</v>
      </c>
      <c r="O55" s="31">
        <v>800</v>
      </c>
      <c r="P55" s="31">
        <v>800</v>
      </c>
      <c r="Q55" s="31">
        <v>800</v>
      </c>
      <c r="R55" s="31">
        <v>800</v>
      </c>
      <c r="S55" s="31">
        <v>800</v>
      </c>
      <c r="T55" s="31">
        <v>800</v>
      </c>
      <c r="U55" s="31">
        <v>800</v>
      </c>
      <c r="V55" s="31">
        <v>800</v>
      </c>
      <c r="W55" s="31">
        <v>800</v>
      </c>
      <c r="X55" s="31">
        <v>800</v>
      </c>
      <c r="Y55" s="30">
        <f t="shared" si="5"/>
        <v>32600</v>
      </c>
      <c r="Z55">
        <f>VLOOKUP(A55,справочник!$E$2:$F$322,2,FALSE)</f>
        <v>0</v>
      </c>
    </row>
    <row r="56" spans="1:26" hidden="1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6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30">
        <f t="shared" si="7"/>
        <v>0</v>
      </c>
      <c r="M56" s="31">
        <v>800</v>
      </c>
      <c r="N56" s="31">
        <v>800</v>
      </c>
      <c r="O56" s="31">
        <v>800</v>
      </c>
      <c r="P56" s="31">
        <v>800</v>
      </c>
      <c r="Q56" s="31">
        <v>800</v>
      </c>
      <c r="R56" s="31">
        <v>800</v>
      </c>
      <c r="S56" s="31">
        <v>800</v>
      </c>
      <c r="T56" s="31">
        <v>800</v>
      </c>
      <c r="U56" s="31">
        <v>800</v>
      </c>
      <c r="V56" s="31">
        <v>800</v>
      </c>
      <c r="W56" s="31">
        <v>800</v>
      </c>
      <c r="X56" s="31">
        <v>800</v>
      </c>
      <c r="Y56" s="30">
        <f t="shared" si="5"/>
        <v>9600</v>
      </c>
      <c r="Z56">
        <f>VLOOKUP(A56,справочник!$E$2:$F$322,2,FALSE)</f>
        <v>0</v>
      </c>
    </row>
    <row r="57" spans="1:26" hidden="1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6"/>
        <v>53</v>
      </c>
      <c r="I57" s="1">
        <f t="shared" si="2"/>
        <v>53000</v>
      </c>
      <c r="J57" s="17">
        <f>53000</f>
        <v>53000</v>
      </c>
      <c r="K57" s="17"/>
      <c r="L57" s="30">
        <f t="shared" si="7"/>
        <v>0</v>
      </c>
      <c r="M57" s="31">
        <v>800</v>
      </c>
      <c r="N57" s="31">
        <v>800</v>
      </c>
      <c r="O57" s="31">
        <v>800</v>
      </c>
      <c r="P57" s="31">
        <v>800</v>
      </c>
      <c r="Q57" s="31">
        <v>800</v>
      </c>
      <c r="R57" s="31">
        <v>800</v>
      </c>
      <c r="S57" s="31">
        <v>800</v>
      </c>
      <c r="T57" s="31">
        <v>800</v>
      </c>
      <c r="U57" s="31">
        <v>800</v>
      </c>
      <c r="V57" s="31">
        <v>800</v>
      </c>
      <c r="W57" s="31">
        <v>800</v>
      </c>
      <c r="X57" s="31">
        <v>800</v>
      </c>
      <c r="Y57" s="30">
        <f t="shared" si="5"/>
        <v>9600</v>
      </c>
      <c r="Z57">
        <f>VLOOKUP(A57,справочник!$E$2:$F$322,2,FALSE)</f>
        <v>0</v>
      </c>
    </row>
    <row r="58" spans="1:26" hidden="1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6"/>
        <v>21</v>
      </c>
      <c r="I58" s="1">
        <f t="shared" si="2"/>
        <v>21000</v>
      </c>
      <c r="J58" s="17"/>
      <c r="K58" s="17"/>
      <c r="L58" s="30">
        <f t="shared" si="7"/>
        <v>21000</v>
      </c>
      <c r="M58" s="31">
        <v>800</v>
      </c>
      <c r="N58" s="31">
        <v>800</v>
      </c>
      <c r="O58" s="31">
        <v>800</v>
      </c>
      <c r="P58" s="31">
        <v>800</v>
      </c>
      <c r="Q58" s="31">
        <v>800</v>
      </c>
      <c r="R58" s="31">
        <v>800</v>
      </c>
      <c r="S58" s="31">
        <v>800</v>
      </c>
      <c r="T58" s="31">
        <v>800</v>
      </c>
      <c r="U58" s="31">
        <v>800</v>
      </c>
      <c r="V58" s="31">
        <v>800</v>
      </c>
      <c r="W58" s="31">
        <v>800</v>
      </c>
      <c r="X58" s="31">
        <v>800</v>
      </c>
      <c r="Y58" s="30">
        <f t="shared" si="5"/>
        <v>30600</v>
      </c>
      <c r="Z58">
        <f>VLOOKUP(A58,справочник!$E$2:$F$322,2,FALSE)</f>
        <v>0</v>
      </c>
    </row>
    <row r="59" spans="1:26" hidden="1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6"/>
        <v>52</v>
      </c>
      <c r="I59" s="1">
        <f t="shared" si="2"/>
        <v>52000</v>
      </c>
      <c r="J59" s="17">
        <f>48000+4000</f>
        <v>52000</v>
      </c>
      <c r="K59" s="17"/>
      <c r="L59" s="30">
        <f t="shared" si="7"/>
        <v>0</v>
      </c>
      <c r="M59" s="31">
        <v>800</v>
      </c>
      <c r="N59" s="31">
        <v>800</v>
      </c>
      <c r="O59" s="31">
        <v>800</v>
      </c>
      <c r="P59" s="31">
        <v>800</v>
      </c>
      <c r="Q59" s="31">
        <v>800</v>
      </c>
      <c r="R59" s="31">
        <v>800</v>
      </c>
      <c r="S59" s="31">
        <v>800</v>
      </c>
      <c r="T59" s="31">
        <v>800</v>
      </c>
      <c r="U59" s="31">
        <v>800</v>
      </c>
      <c r="V59" s="31">
        <v>800</v>
      </c>
      <c r="W59" s="31">
        <v>800</v>
      </c>
      <c r="X59" s="31">
        <v>800</v>
      </c>
      <c r="Y59" s="30">
        <f t="shared" si="5"/>
        <v>9600</v>
      </c>
      <c r="Z59">
        <f>VLOOKUP(A59,справочник!$E$2:$F$322,2,FALSE)</f>
        <v>0</v>
      </c>
    </row>
    <row r="60" spans="1:26" hidden="1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6"/>
        <v>37</v>
      </c>
      <c r="I60" s="1">
        <f t="shared" si="2"/>
        <v>37000</v>
      </c>
      <c r="J60" s="17">
        <f>24000</f>
        <v>24000</v>
      </c>
      <c r="K60" s="17">
        <v>13000</v>
      </c>
      <c r="L60" s="30">
        <f t="shared" si="7"/>
        <v>0</v>
      </c>
      <c r="M60" s="31">
        <v>800</v>
      </c>
      <c r="N60" s="31">
        <v>800</v>
      </c>
      <c r="O60" s="31">
        <v>800</v>
      </c>
      <c r="P60" s="31">
        <v>800</v>
      </c>
      <c r="Q60" s="31">
        <v>800</v>
      </c>
      <c r="R60" s="31">
        <v>800</v>
      </c>
      <c r="S60" s="31">
        <v>800</v>
      </c>
      <c r="T60" s="31">
        <v>800</v>
      </c>
      <c r="U60" s="31">
        <v>800</v>
      </c>
      <c r="V60" s="31">
        <v>800</v>
      </c>
      <c r="W60" s="31">
        <v>800</v>
      </c>
      <c r="X60" s="31">
        <v>800</v>
      </c>
      <c r="Y60" s="30">
        <f t="shared" si="5"/>
        <v>9600</v>
      </c>
      <c r="Z60">
        <f>VLOOKUP(A60,справочник!$E$2:$F$322,2,FALSE)</f>
        <v>0</v>
      </c>
    </row>
    <row r="61" spans="1:26" hidden="1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6"/>
        <v>35</v>
      </c>
      <c r="I61" s="1">
        <f t="shared" si="2"/>
        <v>35000</v>
      </c>
      <c r="J61" s="17">
        <f>31000</f>
        <v>31000</v>
      </c>
      <c r="K61" s="17"/>
      <c r="L61" s="30">
        <f t="shared" si="7"/>
        <v>4000</v>
      </c>
      <c r="M61" s="31">
        <v>800</v>
      </c>
      <c r="N61" s="31">
        <v>800</v>
      </c>
      <c r="O61" s="31">
        <v>800</v>
      </c>
      <c r="P61" s="31">
        <v>800</v>
      </c>
      <c r="Q61" s="31">
        <v>800</v>
      </c>
      <c r="R61" s="31">
        <v>800</v>
      </c>
      <c r="S61" s="31">
        <v>800</v>
      </c>
      <c r="T61" s="31">
        <v>800</v>
      </c>
      <c r="U61" s="31">
        <v>800</v>
      </c>
      <c r="V61" s="31">
        <v>800</v>
      </c>
      <c r="W61" s="31">
        <v>800</v>
      </c>
      <c r="X61" s="31">
        <v>800</v>
      </c>
      <c r="Y61" s="30">
        <f t="shared" si="5"/>
        <v>13600</v>
      </c>
      <c r="Z61">
        <f>VLOOKUP(A61,справочник!$E$2:$F$322,2,FALSE)</f>
        <v>0</v>
      </c>
    </row>
    <row r="62" spans="1:26" hidden="1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6"/>
        <v>31</v>
      </c>
      <c r="I62" s="1">
        <f t="shared" si="2"/>
        <v>31000</v>
      </c>
      <c r="J62" s="17">
        <f>12000</f>
        <v>12000</v>
      </c>
      <c r="K62" s="17"/>
      <c r="L62" s="30">
        <f t="shared" si="7"/>
        <v>19000</v>
      </c>
      <c r="M62" s="31">
        <v>800</v>
      </c>
      <c r="N62" s="31">
        <v>800</v>
      </c>
      <c r="O62" s="31">
        <v>800</v>
      </c>
      <c r="P62" s="31">
        <v>800</v>
      </c>
      <c r="Q62" s="31">
        <v>800</v>
      </c>
      <c r="R62" s="31">
        <v>800</v>
      </c>
      <c r="S62" s="31">
        <v>800</v>
      </c>
      <c r="T62" s="31">
        <v>800</v>
      </c>
      <c r="U62" s="31">
        <v>800</v>
      </c>
      <c r="V62" s="31">
        <v>800</v>
      </c>
      <c r="W62" s="31">
        <v>800</v>
      </c>
      <c r="X62" s="31">
        <v>800</v>
      </c>
      <c r="Y62" s="30">
        <f t="shared" si="5"/>
        <v>28600</v>
      </c>
      <c r="Z62">
        <f>VLOOKUP(A62,справочник!$E$2:$F$322,2,FALSE)</f>
        <v>0</v>
      </c>
    </row>
    <row r="63" spans="1:26" hidden="1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6"/>
        <v>48</v>
      </c>
      <c r="I63" s="1">
        <f t="shared" si="2"/>
        <v>48000</v>
      </c>
      <c r="J63" s="17">
        <f>27000</f>
        <v>27000</v>
      </c>
      <c r="K63" s="17"/>
      <c r="L63" s="30">
        <f t="shared" si="7"/>
        <v>21000</v>
      </c>
      <c r="M63" s="31">
        <v>800</v>
      </c>
      <c r="N63" s="31">
        <v>800</v>
      </c>
      <c r="O63" s="31">
        <v>800</v>
      </c>
      <c r="P63" s="31">
        <v>800</v>
      </c>
      <c r="Q63" s="31">
        <v>800</v>
      </c>
      <c r="R63" s="31">
        <v>800</v>
      </c>
      <c r="S63" s="31">
        <v>800</v>
      </c>
      <c r="T63" s="31">
        <v>800</v>
      </c>
      <c r="U63" s="31">
        <v>800</v>
      </c>
      <c r="V63" s="31">
        <v>800</v>
      </c>
      <c r="W63" s="31">
        <v>800</v>
      </c>
      <c r="X63" s="31">
        <v>800</v>
      </c>
      <c r="Y63" s="30">
        <f t="shared" si="5"/>
        <v>30600</v>
      </c>
      <c r="Z63">
        <f>VLOOKUP(A63,справочник!$E$2:$F$322,2,FALSE)</f>
        <v>0</v>
      </c>
    </row>
    <row r="64" spans="1:26" hidden="1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6"/>
        <v>47</v>
      </c>
      <c r="I64" s="1">
        <f t="shared" si="2"/>
        <v>47000</v>
      </c>
      <c r="J64" s="17">
        <v>47000</v>
      </c>
      <c r="K64" s="17"/>
      <c r="L64" s="30">
        <f t="shared" si="7"/>
        <v>0</v>
      </c>
      <c r="M64" s="31">
        <v>800</v>
      </c>
      <c r="N64" s="31">
        <v>800</v>
      </c>
      <c r="O64" s="31">
        <v>800</v>
      </c>
      <c r="P64" s="31">
        <v>800</v>
      </c>
      <c r="Q64" s="31">
        <v>800</v>
      </c>
      <c r="R64" s="31">
        <v>800</v>
      </c>
      <c r="S64" s="31">
        <v>800</v>
      </c>
      <c r="T64" s="31">
        <v>800</v>
      </c>
      <c r="U64" s="31">
        <v>800</v>
      </c>
      <c r="V64" s="31">
        <v>800</v>
      </c>
      <c r="W64" s="31">
        <v>800</v>
      </c>
      <c r="X64" s="31">
        <v>800</v>
      </c>
      <c r="Y64" s="30">
        <f t="shared" si="5"/>
        <v>9600</v>
      </c>
      <c r="Z64">
        <f>VLOOKUP(A64,справочник!$E$2:$F$322,2,FALSE)</f>
        <v>0</v>
      </c>
    </row>
    <row r="65" spans="1:26" hidden="1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6"/>
        <v>19</v>
      </c>
      <c r="I65" s="1">
        <f t="shared" si="2"/>
        <v>19000</v>
      </c>
      <c r="J65" s="17">
        <v>19000</v>
      </c>
      <c r="K65" s="17"/>
      <c r="L65" s="30">
        <f t="shared" si="7"/>
        <v>0</v>
      </c>
      <c r="M65" s="31">
        <v>800</v>
      </c>
      <c r="N65" s="31">
        <v>800</v>
      </c>
      <c r="O65" s="31">
        <v>800</v>
      </c>
      <c r="P65" s="31">
        <v>800</v>
      </c>
      <c r="Q65" s="31">
        <v>800</v>
      </c>
      <c r="R65" s="31">
        <v>800</v>
      </c>
      <c r="S65" s="31">
        <v>800</v>
      </c>
      <c r="T65" s="31">
        <v>800</v>
      </c>
      <c r="U65" s="31">
        <v>800</v>
      </c>
      <c r="V65" s="31">
        <v>800</v>
      </c>
      <c r="W65" s="31">
        <v>800</v>
      </c>
      <c r="X65" s="31">
        <v>800</v>
      </c>
      <c r="Y65" s="30">
        <f t="shared" si="5"/>
        <v>9600</v>
      </c>
      <c r="Z65">
        <f>VLOOKUP(A65,справочник!$E$2:$F$322,2,FALSE)</f>
        <v>0</v>
      </c>
    </row>
    <row r="66" spans="1:26" hidden="1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6"/>
        <v>53</v>
      </c>
      <c r="I66" s="1">
        <f t="shared" si="2"/>
        <v>53000</v>
      </c>
      <c r="J66" s="17">
        <f>1000+45000</f>
        <v>46000</v>
      </c>
      <c r="K66" s="17"/>
      <c r="L66" s="30">
        <f t="shared" si="7"/>
        <v>7000</v>
      </c>
      <c r="M66" s="31">
        <v>800</v>
      </c>
      <c r="N66" s="31">
        <v>800</v>
      </c>
      <c r="O66" s="31">
        <v>800</v>
      </c>
      <c r="P66" s="31">
        <v>800</v>
      </c>
      <c r="Q66" s="31">
        <v>800</v>
      </c>
      <c r="R66" s="31">
        <v>800</v>
      </c>
      <c r="S66" s="31">
        <v>800</v>
      </c>
      <c r="T66" s="31">
        <v>800</v>
      </c>
      <c r="U66" s="31">
        <v>800</v>
      </c>
      <c r="V66" s="31">
        <v>800</v>
      </c>
      <c r="W66" s="31">
        <v>800</v>
      </c>
      <c r="X66" s="31">
        <v>800</v>
      </c>
      <c r="Y66" s="30">
        <f t="shared" si="5"/>
        <v>16600</v>
      </c>
      <c r="Z66">
        <f>VLOOKUP(A66,справочник!$E$2:$F$322,2,FALSE)</f>
        <v>0</v>
      </c>
    </row>
    <row r="67" spans="1:26" hidden="1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6"/>
        <v>53</v>
      </c>
      <c r="I67" s="1">
        <f t="shared" si="2"/>
        <v>53000</v>
      </c>
      <c r="J67" s="17">
        <f>42000+5000</f>
        <v>47000</v>
      </c>
      <c r="K67" s="17"/>
      <c r="L67" s="30">
        <f t="shared" si="7"/>
        <v>6000</v>
      </c>
      <c r="M67" s="31">
        <v>800</v>
      </c>
      <c r="N67" s="31">
        <v>800</v>
      </c>
      <c r="O67" s="31">
        <v>800</v>
      </c>
      <c r="P67" s="31">
        <v>800</v>
      </c>
      <c r="Q67" s="31">
        <v>800</v>
      </c>
      <c r="R67" s="31">
        <v>800</v>
      </c>
      <c r="S67" s="31">
        <v>800</v>
      </c>
      <c r="T67" s="31">
        <v>800</v>
      </c>
      <c r="U67" s="31">
        <v>800</v>
      </c>
      <c r="V67" s="31">
        <v>800</v>
      </c>
      <c r="W67" s="31">
        <v>800</v>
      </c>
      <c r="X67" s="31">
        <v>800</v>
      </c>
      <c r="Y67" s="30">
        <f t="shared" si="5"/>
        <v>15600</v>
      </c>
      <c r="Z67">
        <f>VLOOKUP(A67,справочник!$E$2:$F$322,2,FALSE)</f>
        <v>0</v>
      </c>
    </row>
    <row r="68" spans="1:26" hidden="1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6"/>
        <v>55</v>
      </c>
      <c r="I68" s="1">
        <f>H68*1000</f>
        <v>55000</v>
      </c>
      <c r="J68" s="17">
        <f>1000+42000</f>
        <v>43000</v>
      </c>
      <c r="K68" s="17"/>
      <c r="L68" s="30">
        <f t="shared" si="7"/>
        <v>12000</v>
      </c>
      <c r="M68" s="31">
        <v>800</v>
      </c>
      <c r="N68" s="31">
        <v>800</v>
      </c>
      <c r="O68" s="31">
        <v>800</v>
      </c>
      <c r="P68" s="31">
        <v>800</v>
      </c>
      <c r="Q68" s="31">
        <v>800</v>
      </c>
      <c r="R68" s="31">
        <v>800</v>
      </c>
      <c r="S68" s="31">
        <v>800</v>
      </c>
      <c r="T68" s="31">
        <v>800</v>
      </c>
      <c r="U68" s="31">
        <v>800</v>
      </c>
      <c r="V68" s="31">
        <v>800</v>
      </c>
      <c r="W68" s="31">
        <v>800</v>
      </c>
      <c r="X68" s="31">
        <v>800</v>
      </c>
      <c r="Y68" s="30">
        <f t="shared" si="5"/>
        <v>21600</v>
      </c>
      <c r="Z68">
        <f>VLOOKUP(A68,справочник!$E$2:$F$322,2,FALSE)</f>
        <v>0</v>
      </c>
    </row>
    <row r="69" spans="1:26" hidden="1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6"/>
        <v>49</v>
      </c>
      <c r="I69" s="1">
        <f>H69*1000</f>
        <v>49000</v>
      </c>
      <c r="J69" s="17">
        <f>1000+36000</f>
        <v>37000</v>
      </c>
      <c r="K69" s="17"/>
      <c r="L69" s="30">
        <f t="shared" si="7"/>
        <v>12000</v>
      </c>
      <c r="M69" s="31">
        <v>800</v>
      </c>
      <c r="N69" s="31">
        <v>800</v>
      </c>
      <c r="O69" s="31">
        <v>800</v>
      </c>
      <c r="P69" s="31">
        <v>800</v>
      </c>
      <c r="Q69" s="31">
        <v>800</v>
      </c>
      <c r="R69" s="31">
        <v>800</v>
      </c>
      <c r="S69" s="31">
        <v>800</v>
      </c>
      <c r="T69" s="31">
        <v>800</v>
      </c>
      <c r="U69" s="31">
        <v>800</v>
      </c>
      <c r="V69" s="31">
        <v>800</v>
      </c>
      <c r="W69" s="31">
        <v>800</v>
      </c>
      <c r="X69" s="31">
        <v>800</v>
      </c>
      <c r="Y69" s="30">
        <f t="shared" si="5"/>
        <v>21600</v>
      </c>
      <c r="Z69">
        <f>VLOOKUP(A69,справочник!$E$2:$F$322,2,FALSE)</f>
        <v>0</v>
      </c>
    </row>
    <row r="70" spans="1:26" hidden="1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6"/>
        <v>45</v>
      </c>
      <c r="I70" s="1">
        <f>H70*1000</f>
        <v>45000</v>
      </c>
      <c r="J70" s="17">
        <f>12000</f>
        <v>12000</v>
      </c>
      <c r="K70" s="17"/>
      <c r="L70" s="30">
        <f t="shared" si="7"/>
        <v>33000</v>
      </c>
      <c r="M70" s="31">
        <v>800</v>
      </c>
      <c r="N70" s="31">
        <v>800</v>
      </c>
      <c r="O70" s="31">
        <v>800</v>
      </c>
      <c r="P70" s="31">
        <v>800</v>
      </c>
      <c r="Q70" s="31">
        <v>800</v>
      </c>
      <c r="R70" s="31">
        <v>800</v>
      </c>
      <c r="S70" s="31">
        <v>800</v>
      </c>
      <c r="T70" s="31">
        <v>800</v>
      </c>
      <c r="U70" s="31">
        <v>800</v>
      </c>
      <c r="V70" s="31">
        <v>800</v>
      </c>
      <c r="W70" s="31">
        <v>800</v>
      </c>
      <c r="X70" s="31">
        <v>800</v>
      </c>
      <c r="Y70" s="30">
        <f t="shared" ref="Y70:Y132" si="9">SUM(L70:X70)</f>
        <v>42600</v>
      </c>
      <c r="Z70">
        <f>VLOOKUP(A70,справочник!$E$2:$F$322,2,FALSE)</f>
        <v>0</v>
      </c>
    </row>
    <row r="71" spans="1:26" hidden="1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6"/>
        <v>11</v>
      </c>
      <c r="I71" s="1">
        <f>H71*1000</f>
        <v>11000</v>
      </c>
      <c r="J71" s="17">
        <v>3000</v>
      </c>
      <c r="K71" s="17"/>
      <c r="L71" s="30">
        <f t="shared" si="7"/>
        <v>8000</v>
      </c>
      <c r="M71" s="31">
        <v>800</v>
      </c>
      <c r="N71" s="31">
        <v>800</v>
      </c>
      <c r="O71" s="31">
        <v>800</v>
      </c>
      <c r="P71" s="31">
        <v>800</v>
      </c>
      <c r="Q71" s="31">
        <v>800</v>
      </c>
      <c r="R71" s="31">
        <v>800</v>
      </c>
      <c r="S71" s="31">
        <v>800</v>
      </c>
      <c r="T71" s="31">
        <v>800</v>
      </c>
      <c r="U71" s="31">
        <v>800</v>
      </c>
      <c r="V71" s="31">
        <v>800</v>
      </c>
      <c r="W71" s="31">
        <v>800</v>
      </c>
      <c r="X71" s="31">
        <v>800</v>
      </c>
      <c r="Y71" s="30">
        <f t="shared" si="9"/>
        <v>17600</v>
      </c>
      <c r="Z71">
        <f>VLOOKUP(A71,справочник!$E$2:$F$322,2,FALSE)</f>
        <v>0</v>
      </c>
    </row>
    <row r="72" spans="1:26" hidden="1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6"/>
        <v>54</v>
      </c>
      <c r="I72" s="1">
        <f>H72*1000*2</f>
        <v>108000</v>
      </c>
      <c r="J72" s="17">
        <f>2000+102000</f>
        <v>104000</v>
      </c>
      <c r="K72" s="17">
        <v>4000</v>
      </c>
      <c r="L72" s="33">
        <f t="shared" si="7"/>
        <v>0</v>
      </c>
      <c r="M72" s="31">
        <v>800</v>
      </c>
      <c r="N72" s="31">
        <v>800</v>
      </c>
      <c r="O72" s="31">
        <v>800</v>
      </c>
      <c r="P72" s="31">
        <v>800</v>
      </c>
      <c r="Q72" s="31">
        <v>800</v>
      </c>
      <c r="R72" s="31">
        <v>800</v>
      </c>
      <c r="S72" s="31">
        <v>800</v>
      </c>
      <c r="T72" s="31">
        <v>800</v>
      </c>
      <c r="U72" s="31">
        <v>800</v>
      </c>
      <c r="V72" s="31">
        <v>800</v>
      </c>
      <c r="W72" s="31">
        <v>800</v>
      </c>
      <c r="X72" s="31">
        <v>800</v>
      </c>
      <c r="Y72" s="30">
        <f t="shared" si="9"/>
        <v>9600</v>
      </c>
      <c r="Z72">
        <f>VLOOKUP(A72,справочник!$E$2:$F$322,2,FALSE)</f>
        <v>0</v>
      </c>
    </row>
    <row r="73" spans="1:26" hidden="1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6"/>
        <v>47</v>
      </c>
      <c r="I73" s="1">
        <f>H73*1000</f>
        <v>47000</v>
      </c>
      <c r="J73" s="17">
        <f>18000+11000</f>
        <v>29000</v>
      </c>
      <c r="K73" s="17"/>
      <c r="L73" s="30">
        <f t="shared" si="7"/>
        <v>18000</v>
      </c>
      <c r="M73" s="31">
        <v>800</v>
      </c>
      <c r="N73" s="31">
        <v>800</v>
      </c>
      <c r="O73" s="31">
        <v>800</v>
      </c>
      <c r="P73" s="31">
        <v>800</v>
      </c>
      <c r="Q73" s="31">
        <v>800</v>
      </c>
      <c r="R73" s="31">
        <v>800</v>
      </c>
      <c r="S73" s="31">
        <v>800</v>
      </c>
      <c r="T73" s="31">
        <v>800</v>
      </c>
      <c r="U73" s="31">
        <v>800</v>
      </c>
      <c r="V73" s="31">
        <v>800</v>
      </c>
      <c r="W73" s="31">
        <v>800</v>
      </c>
      <c r="X73" s="31">
        <v>800</v>
      </c>
      <c r="Y73" s="30">
        <f t="shared" si="9"/>
        <v>27600</v>
      </c>
      <c r="Z73">
        <f>VLOOKUP(A73,справочник!$E$2:$F$322,2,FALSE)</f>
        <v>0</v>
      </c>
    </row>
    <row r="74" spans="1:26" hidden="1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2" t="s">
        <v>68</v>
      </c>
      <c r="E74" s="1" t="s">
        <v>385</v>
      </c>
      <c r="F74" s="16">
        <v>41739</v>
      </c>
      <c r="G74" s="16">
        <v>41760</v>
      </c>
      <c r="H74" s="17">
        <f t="shared" si="6"/>
        <v>20</v>
      </c>
      <c r="I74" s="1">
        <f>H74*1000</f>
        <v>20000</v>
      </c>
      <c r="J74" s="17"/>
      <c r="K74" s="17"/>
      <c r="L74" s="30">
        <f t="shared" si="7"/>
        <v>20000</v>
      </c>
      <c r="M74" s="31">
        <v>800</v>
      </c>
      <c r="N74" s="31">
        <v>800</v>
      </c>
      <c r="O74" s="31">
        <v>800</v>
      </c>
      <c r="P74" s="31">
        <v>800</v>
      </c>
      <c r="Q74" s="31">
        <v>800</v>
      </c>
      <c r="R74" s="31">
        <v>800</v>
      </c>
      <c r="S74" s="31">
        <v>800</v>
      </c>
      <c r="T74" s="31">
        <v>800</v>
      </c>
      <c r="U74" s="31">
        <v>800</v>
      </c>
      <c r="V74" s="31">
        <v>800</v>
      </c>
      <c r="W74" s="31">
        <v>800</v>
      </c>
      <c r="X74" s="31">
        <v>800</v>
      </c>
      <c r="Y74" s="30">
        <f t="shared" si="9"/>
        <v>29600</v>
      </c>
      <c r="Z74">
        <f>VLOOKUP(A74,справочник!$E$2:$F$322,2,FALSE)</f>
        <v>0</v>
      </c>
    </row>
    <row r="75" spans="1:26" hidden="1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30">
        <f t="shared" si="7"/>
        <v>0</v>
      </c>
      <c r="M75" s="31">
        <v>800</v>
      </c>
      <c r="N75" s="31">
        <v>800</v>
      </c>
      <c r="O75" s="31">
        <v>800</v>
      </c>
      <c r="P75" s="31">
        <v>800</v>
      </c>
      <c r="Q75" s="31">
        <v>800</v>
      </c>
      <c r="R75" s="31">
        <v>800</v>
      </c>
      <c r="S75" s="31">
        <v>800</v>
      </c>
      <c r="T75" s="31">
        <v>800</v>
      </c>
      <c r="U75" s="31">
        <v>800</v>
      </c>
      <c r="V75" s="31">
        <v>800</v>
      </c>
      <c r="W75" s="31">
        <v>800</v>
      </c>
      <c r="X75" s="31">
        <v>800</v>
      </c>
      <c r="Y75" s="30">
        <f t="shared" si="9"/>
        <v>9600</v>
      </c>
      <c r="Z75">
        <f>VLOOKUP(A75,справочник!$E$2:$F$322,2,FALSE)</f>
        <v>0</v>
      </c>
    </row>
    <row r="76" spans="1:26" hidden="1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0">INT(($H$327-G76)/30)</f>
        <v>40</v>
      </c>
      <c r="I76" s="1">
        <f t="shared" ref="I76:I139" si="11">H76*1000</f>
        <v>40000</v>
      </c>
      <c r="J76" s="17">
        <v>30000</v>
      </c>
      <c r="K76" s="17"/>
      <c r="L76" s="30">
        <f t="shared" si="7"/>
        <v>10000</v>
      </c>
      <c r="M76" s="31">
        <v>800</v>
      </c>
      <c r="N76" s="31">
        <v>800</v>
      </c>
      <c r="O76" s="31">
        <v>800</v>
      </c>
      <c r="P76" s="31">
        <v>800</v>
      </c>
      <c r="Q76" s="31">
        <v>800</v>
      </c>
      <c r="R76" s="31">
        <v>800</v>
      </c>
      <c r="S76" s="31">
        <v>800</v>
      </c>
      <c r="T76" s="31">
        <v>800</v>
      </c>
      <c r="U76" s="31">
        <v>800</v>
      </c>
      <c r="V76" s="31">
        <v>800</v>
      </c>
      <c r="W76" s="31">
        <v>800</v>
      </c>
      <c r="X76" s="31">
        <v>800</v>
      </c>
      <c r="Y76" s="30">
        <f t="shared" si="9"/>
        <v>19600</v>
      </c>
      <c r="Z76">
        <f>VLOOKUP(A76,справочник!$E$2:$F$322,2,FALSE)</f>
        <v>0</v>
      </c>
    </row>
    <row r="77" spans="1:26" hidden="1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0"/>
        <v>52</v>
      </c>
      <c r="I77" s="1">
        <f t="shared" si="11"/>
        <v>52000</v>
      </c>
      <c r="J77" s="17">
        <f>1000+41000</f>
        <v>42000</v>
      </c>
      <c r="K77" s="17"/>
      <c r="L77" s="30">
        <f t="shared" si="7"/>
        <v>10000</v>
      </c>
      <c r="M77" s="31">
        <v>800</v>
      </c>
      <c r="N77" s="31">
        <v>800</v>
      </c>
      <c r="O77" s="31">
        <v>800</v>
      </c>
      <c r="P77" s="31">
        <v>800</v>
      </c>
      <c r="Q77" s="31">
        <v>800</v>
      </c>
      <c r="R77" s="31">
        <v>800</v>
      </c>
      <c r="S77" s="31">
        <v>800</v>
      </c>
      <c r="T77" s="31">
        <v>800</v>
      </c>
      <c r="U77" s="31">
        <v>800</v>
      </c>
      <c r="V77" s="31">
        <v>800</v>
      </c>
      <c r="W77" s="31">
        <v>800</v>
      </c>
      <c r="X77" s="31">
        <v>800</v>
      </c>
      <c r="Y77" s="30">
        <f t="shared" si="9"/>
        <v>19600</v>
      </c>
      <c r="Z77">
        <f>VLOOKUP(A77,справочник!$E$2:$F$322,2,FALSE)</f>
        <v>0</v>
      </c>
    </row>
    <row r="78" spans="1:26" hidden="1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0"/>
        <v>47</v>
      </c>
      <c r="I78" s="1">
        <f t="shared" si="11"/>
        <v>47000</v>
      </c>
      <c r="J78" s="17">
        <v>37000</v>
      </c>
      <c r="K78" s="73">
        <v>10000</v>
      </c>
      <c r="L78" s="30">
        <f t="shared" si="7"/>
        <v>0</v>
      </c>
      <c r="M78" s="31">
        <v>800</v>
      </c>
      <c r="N78" s="31">
        <v>800</v>
      </c>
      <c r="O78" s="31">
        <v>800</v>
      </c>
      <c r="P78" s="31">
        <v>800</v>
      </c>
      <c r="Q78" s="31">
        <v>800</v>
      </c>
      <c r="R78" s="31">
        <v>800</v>
      </c>
      <c r="S78" s="31">
        <v>800</v>
      </c>
      <c r="T78" s="31">
        <v>800</v>
      </c>
      <c r="U78" s="31">
        <v>800</v>
      </c>
      <c r="V78" s="31">
        <v>800</v>
      </c>
      <c r="W78" s="31">
        <v>800</v>
      </c>
      <c r="X78" s="31">
        <v>800</v>
      </c>
      <c r="Y78" s="30">
        <f t="shared" si="9"/>
        <v>9600</v>
      </c>
      <c r="Z78">
        <f>VLOOKUP(A78,справочник!$E$2:$F$322,2,FALSE)</f>
        <v>0</v>
      </c>
    </row>
    <row r="79" spans="1:26" hidden="1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0"/>
        <v>13</v>
      </c>
      <c r="I79" s="1">
        <f t="shared" si="11"/>
        <v>13000</v>
      </c>
      <c r="J79" s="17">
        <v>1000</v>
      </c>
      <c r="K79" s="17"/>
      <c r="L79" s="30">
        <f t="shared" si="7"/>
        <v>12000</v>
      </c>
      <c r="M79" s="31">
        <v>800</v>
      </c>
      <c r="N79" s="31">
        <v>800</v>
      </c>
      <c r="O79" s="31">
        <v>800</v>
      </c>
      <c r="P79" s="31">
        <v>800</v>
      </c>
      <c r="Q79" s="31">
        <v>800</v>
      </c>
      <c r="R79" s="31">
        <v>800</v>
      </c>
      <c r="S79" s="31">
        <v>800</v>
      </c>
      <c r="T79" s="31">
        <v>800</v>
      </c>
      <c r="U79" s="31">
        <v>800</v>
      </c>
      <c r="V79" s="31">
        <v>800</v>
      </c>
      <c r="W79" s="31">
        <v>800</v>
      </c>
      <c r="X79" s="31">
        <v>800</v>
      </c>
      <c r="Y79" s="30">
        <f t="shared" si="9"/>
        <v>21600</v>
      </c>
      <c r="Z79">
        <f>VLOOKUP(A79,справочник!$E$2:$F$322,2,FALSE)</f>
        <v>0</v>
      </c>
    </row>
    <row r="80" spans="1:26" hidden="1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10"/>
        <v>29</v>
      </c>
      <c r="I80" s="1">
        <f t="shared" si="11"/>
        <v>29000</v>
      </c>
      <c r="J80" s="17">
        <v>29000</v>
      </c>
      <c r="K80" s="17"/>
      <c r="L80" s="30">
        <f t="shared" si="7"/>
        <v>0</v>
      </c>
      <c r="M80" s="31">
        <v>800</v>
      </c>
      <c r="N80" s="31">
        <v>800</v>
      </c>
      <c r="O80" s="31">
        <v>800</v>
      </c>
      <c r="P80" s="31">
        <v>800</v>
      </c>
      <c r="Q80" s="31">
        <v>800</v>
      </c>
      <c r="R80" s="31">
        <v>800</v>
      </c>
      <c r="S80" s="31">
        <v>800</v>
      </c>
      <c r="T80" s="31">
        <v>800</v>
      </c>
      <c r="U80" s="31">
        <v>800</v>
      </c>
      <c r="V80" s="31">
        <v>800</v>
      </c>
      <c r="W80" s="31">
        <v>800</v>
      </c>
      <c r="X80" s="31">
        <v>800</v>
      </c>
      <c r="Y80" s="30">
        <f t="shared" si="9"/>
        <v>9600</v>
      </c>
      <c r="Z80">
        <f>VLOOKUP(A80,справочник!$E$2:$F$322,2,FALSE)</f>
        <v>0</v>
      </c>
    </row>
    <row r="81" spans="1:26" hidden="1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0"/>
        <v>28</v>
      </c>
      <c r="I81" s="1">
        <f t="shared" si="11"/>
        <v>28000</v>
      </c>
      <c r="J81" s="17">
        <v>28000</v>
      </c>
      <c r="K81" s="17">
        <v>2000</v>
      </c>
      <c r="L81" s="30">
        <f t="shared" si="7"/>
        <v>-2000</v>
      </c>
      <c r="M81" s="31">
        <v>800</v>
      </c>
      <c r="N81" s="31">
        <v>800</v>
      </c>
      <c r="O81" s="31">
        <v>800</v>
      </c>
      <c r="P81" s="31">
        <v>800</v>
      </c>
      <c r="Q81" s="31">
        <v>800</v>
      </c>
      <c r="R81" s="31">
        <v>800</v>
      </c>
      <c r="S81" s="31">
        <v>800</v>
      </c>
      <c r="T81" s="31">
        <v>800</v>
      </c>
      <c r="U81" s="31">
        <v>800</v>
      </c>
      <c r="V81" s="31">
        <v>800</v>
      </c>
      <c r="W81" s="31">
        <v>800</v>
      </c>
      <c r="X81" s="31">
        <v>800</v>
      </c>
      <c r="Y81" s="30">
        <f t="shared" si="9"/>
        <v>7600</v>
      </c>
      <c r="Z81">
        <f>VLOOKUP(A81,справочник!$E$2:$F$322,2,FALSE)</f>
        <v>0</v>
      </c>
    </row>
    <row r="82" spans="1:26" hidden="1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0"/>
        <v>42</v>
      </c>
      <c r="I82" s="1">
        <f t="shared" si="11"/>
        <v>42000</v>
      </c>
      <c r="J82" s="17">
        <f>21000+6000</f>
        <v>27000</v>
      </c>
      <c r="K82" s="17">
        <v>13000</v>
      </c>
      <c r="L82" s="30">
        <f t="shared" si="7"/>
        <v>2000</v>
      </c>
      <c r="M82" s="31">
        <v>800</v>
      </c>
      <c r="N82" s="31">
        <v>800</v>
      </c>
      <c r="O82" s="31">
        <v>800</v>
      </c>
      <c r="P82" s="31">
        <v>800</v>
      </c>
      <c r="Q82" s="31">
        <v>800</v>
      </c>
      <c r="R82" s="31">
        <v>800</v>
      </c>
      <c r="S82" s="31">
        <v>800</v>
      </c>
      <c r="T82" s="31">
        <v>800</v>
      </c>
      <c r="U82" s="31">
        <v>800</v>
      </c>
      <c r="V82" s="31">
        <v>800</v>
      </c>
      <c r="W82" s="31">
        <v>800</v>
      </c>
      <c r="X82" s="31">
        <v>800</v>
      </c>
      <c r="Y82" s="30">
        <f t="shared" si="9"/>
        <v>11600</v>
      </c>
      <c r="Z82">
        <f>VLOOKUP(A82,справочник!$E$2:$F$322,2,FALSE)</f>
        <v>0</v>
      </c>
    </row>
    <row r="83" spans="1:26" hidden="1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0"/>
        <v>55</v>
      </c>
      <c r="I83" s="1">
        <f t="shared" si="11"/>
        <v>55000</v>
      </c>
      <c r="J83" s="17">
        <f>41000+1000</f>
        <v>42000</v>
      </c>
      <c r="K83" s="17"/>
      <c r="L83" s="30">
        <f t="shared" si="7"/>
        <v>13000</v>
      </c>
      <c r="M83" s="31">
        <v>800</v>
      </c>
      <c r="N83" s="31">
        <v>800</v>
      </c>
      <c r="O83" s="31">
        <v>800</v>
      </c>
      <c r="P83" s="31">
        <v>800</v>
      </c>
      <c r="Q83" s="31">
        <v>800</v>
      </c>
      <c r="R83" s="31">
        <v>800</v>
      </c>
      <c r="S83" s="31">
        <v>800</v>
      </c>
      <c r="T83" s="31">
        <v>800</v>
      </c>
      <c r="U83" s="31">
        <v>800</v>
      </c>
      <c r="V83" s="31">
        <v>800</v>
      </c>
      <c r="W83" s="31">
        <v>800</v>
      </c>
      <c r="X83" s="31">
        <v>800</v>
      </c>
      <c r="Y83" s="30">
        <f t="shared" si="9"/>
        <v>22600</v>
      </c>
      <c r="Z83">
        <f>VLOOKUP(A83,справочник!$E$2:$F$322,2,FALSE)</f>
        <v>0</v>
      </c>
    </row>
    <row r="84" spans="1:26" hidden="1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0"/>
        <v>44</v>
      </c>
      <c r="I84" s="1">
        <f t="shared" si="11"/>
        <v>44000</v>
      </c>
      <c r="J84" s="17">
        <f>32000</f>
        <v>32000</v>
      </c>
      <c r="K84" s="17"/>
      <c r="L84" s="30">
        <f t="shared" si="7"/>
        <v>12000</v>
      </c>
      <c r="M84" s="31">
        <v>800</v>
      </c>
      <c r="N84" s="31">
        <v>800</v>
      </c>
      <c r="O84" s="31">
        <v>800</v>
      </c>
      <c r="P84" s="31">
        <v>800</v>
      </c>
      <c r="Q84" s="31">
        <v>800</v>
      </c>
      <c r="R84" s="31">
        <v>800</v>
      </c>
      <c r="S84" s="31">
        <v>800</v>
      </c>
      <c r="T84" s="31">
        <v>800</v>
      </c>
      <c r="U84" s="31">
        <v>800</v>
      </c>
      <c r="V84" s="31">
        <v>800</v>
      </c>
      <c r="W84" s="31">
        <v>800</v>
      </c>
      <c r="X84" s="31">
        <v>800</v>
      </c>
      <c r="Y84" s="30">
        <f t="shared" si="9"/>
        <v>21600</v>
      </c>
      <c r="Z84">
        <f>VLOOKUP(A84,справочник!$E$2:$F$322,2,FALSE)</f>
        <v>0</v>
      </c>
    </row>
    <row r="85" spans="1:26" hidden="1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10"/>
        <v>20</v>
      </c>
      <c r="I85" s="1">
        <f t="shared" si="11"/>
        <v>20000</v>
      </c>
      <c r="J85" s="17">
        <v>17000</v>
      </c>
      <c r="K85" s="17"/>
      <c r="L85" s="30">
        <f t="shared" si="7"/>
        <v>3000</v>
      </c>
      <c r="M85" s="31">
        <v>800</v>
      </c>
      <c r="N85" s="31">
        <v>800</v>
      </c>
      <c r="O85" s="31">
        <v>800</v>
      </c>
      <c r="P85" s="31">
        <v>800</v>
      </c>
      <c r="Q85" s="31">
        <v>800</v>
      </c>
      <c r="R85" s="31">
        <v>800</v>
      </c>
      <c r="S85" s="31">
        <v>800</v>
      </c>
      <c r="T85" s="31">
        <v>800</v>
      </c>
      <c r="U85" s="31">
        <v>800</v>
      </c>
      <c r="V85" s="31">
        <v>800</v>
      </c>
      <c r="W85" s="31">
        <v>800</v>
      </c>
      <c r="X85" s="31">
        <v>800</v>
      </c>
      <c r="Y85" s="30">
        <f t="shared" si="9"/>
        <v>12600</v>
      </c>
      <c r="Z85">
        <f>VLOOKUP(A85,справочник!$E$2:$F$322,2,FALSE)</f>
        <v>0</v>
      </c>
    </row>
    <row r="86" spans="1:26" hidden="1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0"/>
        <v>26</v>
      </c>
      <c r="I86" s="1">
        <f t="shared" si="11"/>
        <v>26000</v>
      </c>
      <c r="J86" s="17">
        <f>12000</f>
        <v>12000</v>
      </c>
      <c r="K86" s="17">
        <v>5000</v>
      </c>
      <c r="L86" s="30">
        <f t="shared" si="7"/>
        <v>9000</v>
      </c>
      <c r="M86" s="31">
        <v>800</v>
      </c>
      <c r="N86" s="31">
        <v>800</v>
      </c>
      <c r="O86" s="31">
        <v>800</v>
      </c>
      <c r="P86" s="31">
        <v>800</v>
      </c>
      <c r="Q86" s="31">
        <v>800</v>
      </c>
      <c r="R86" s="31">
        <v>800</v>
      </c>
      <c r="S86" s="31">
        <v>800</v>
      </c>
      <c r="T86" s="31">
        <v>800</v>
      </c>
      <c r="U86" s="31">
        <v>800</v>
      </c>
      <c r="V86" s="31">
        <v>800</v>
      </c>
      <c r="W86" s="31">
        <v>800</v>
      </c>
      <c r="X86" s="31">
        <v>800</v>
      </c>
      <c r="Y86" s="30">
        <f t="shared" si="9"/>
        <v>18600</v>
      </c>
      <c r="Z86">
        <f>VLOOKUP(A86,справочник!$E$2:$F$322,2,FALSE)</f>
        <v>0</v>
      </c>
    </row>
    <row r="87" spans="1:26" ht="25.5" hidden="1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10"/>
        <v>42</v>
      </c>
      <c r="I87" s="1">
        <f t="shared" si="11"/>
        <v>42000</v>
      </c>
      <c r="J87" s="17">
        <f>38000</f>
        <v>38000</v>
      </c>
      <c r="K87" s="17"/>
      <c r="L87" s="30">
        <f t="shared" si="7"/>
        <v>4000</v>
      </c>
      <c r="M87" s="31">
        <v>800</v>
      </c>
      <c r="N87" s="31">
        <v>800</v>
      </c>
      <c r="O87" s="31">
        <v>800</v>
      </c>
      <c r="P87" s="31">
        <v>800</v>
      </c>
      <c r="Q87" s="31">
        <v>800</v>
      </c>
      <c r="R87" s="31">
        <v>800</v>
      </c>
      <c r="S87" s="31">
        <v>800</v>
      </c>
      <c r="T87" s="31">
        <v>800</v>
      </c>
      <c r="U87" s="31">
        <v>800</v>
      </c>
      <c r="V87" s="31">
        <v>800</v>
      </c>
      <c r="W87" s="31">
        <v>800</v>
      </c>
      <c r="X87" s="31">
        <v>800</v>
      </c>
      <c r="Y87" s="30">
        <f t="shared" si="9"/>
        <v>13600</v>
      </c>
      <c r="Z87">
        <f>VLOOKUP(A87,справочник!$E$2:$F$322,2,FALSE)</f>
        <v>0</v>
      </c>
    </row>
    <row r="88" spans="1:26" hidden="1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0"/>
        <v>55</v>
      </c>
      <c r="I88" s="1">
        <f t="shared" si="11"/>
        <v>55000</v>
      </c>
      <c r="J88" s="17">
        <f>7000+48000</f>
        <v>55000</v>
      </c>
      <c r="K88" s="17"/>
      <c r="L88" s="30">
        <f t="shared" si="7"/>
        <v>0</v>
      </c>
      <c r="M88" s="31">
        <v>800</v>
      </c>
      <c r="N88" s="31">
        <v>800</v>
      </c>
      <c r="O88" s="31">
        <v>800</v>
      </c>
      <c r="P88" s="31">
        <v>800</v>
      </c>
      <c r="Q88" s="31">
        <v>800</v>
      </c>
      <c r="R88" s="31">
        <v>800</v>
      </c>
      <c r="S88" s="31">
        <v>800</v>
      </c>
      <c r="T88" s="31">
        <v>800</v>
      </c>
      <c r="U88" s="31">
        <v>800</v>
      </c>
      <c r="V88" s="31">
        <v>800</v>
      </c>
      <c r="W88" s="31">
        <v>800</v>
      </c>
      <c r="X88" s="31">
        <v>800</v>
      </c>
      <c r="Y88" s="30">
        <f t="shared" si="9"/>
        <v>9600</v>
      </c>
      <c r="Z88">
        <f>VLOOKUP(A88,справочник!$E$2:$F$322,2,FALSE)</f>
        <v>0</v>
      </c>
    </row>
    <row r="89" spans="1:26" hidden="1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0"/>
        <v>53</v>
      </c>
      <c r="I89" s="1">
        <f t="shared" si="11"/>
        <v>53000</v>
      </c>
      <c r="J89" s="17">
        <f>42000</f>
        <v>42000</v>
      </c>
      <c r="K89" s="17"/>
      <c r="L89" s="30">
        <f t="shared" si="7"/>
        <v>11000</v>
      </c>
      <c r="M89" s="31">
        <v>800</v>
      </c>
      <c r="N89" s="31">
        <v>800</v>
      </c>
      <c r="O89" s="31">
        <v>800</v>
      </c>
      <c r="P89" s="31">
        <v>800</v>
      </c>
      <c r="Q89" s="31">
        <v>800</v>
      </c>
      <c r="R89" s="31">
        <v>800</v>
      </c>
      <c r="S89" s="31">
        <v>800</v>
      </c>
      <c r="T89" s="31">
        <v>800</v>
      </c>
      <c r="U89" s="31">
        <v>800</v>
      </c>
      <c r="V89" s="31">
        <v>800</v>
      </c>
      <c r="W89" s="31">
        <v>800</v>
      </c>
      <c r="X89" s="31">
        <v>800</v>
      </c>
      <c r="Y89" s="30">
        <f t="shared" si="9"/>
        <v>20600</v>
      </c>
      <c r="Z89">
        <f>VLOOKUP(A89,справочник!$E$2:$F$322,2,FALSE)</f>
        <v>0</v>
      </c>
    </row>
    <row r="90" spans="1:26" hidden="1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1">
        <v>243</v>
      </c>
      <c r="D90" s="2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1"/>
        <v>3000</v>
      </c>
      <c r="J90" s="20"/>
      <c r="K90" s="20">
        <v>3000</v>
      </c>
      <c r="L90" s="32">
        <f t="shared" si="7"/>
        <v>0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0">
        <f t="shared" si="9"/>
        <v>0</v>
      </c>
      <c r="Z90">
        <f>VLOOKUP(A90,справочник!$E$2:$F$322,2,FALSE)</f>
        <v>1</v>
      </c>
    </row>
    <row r="91" spans="1:26" hidden="1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1">
        <v>244</v>
      </c>
      <c r="D91" s="2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1"/>
        <v>3000</v>
      </c>
      <c r="J91" s="20"/>
      <c r="K91" s="20">
        <v>3000</v>
      </c>
      <c r="L91" s="32">
        <f t="shared" si="7"/>
        <v>0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0">
        <f t="shared" si="9"/>
        <v>0</v>
      </c>
      <c r="Z91">
        <f>VLOOKUP(A91,справочник!$E$2:$F$322,2,FALSE)</f>
        <v>1</v>
      </c>
    </row>
    <row r="92" spans="1:26" hidden="1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1" t="s">
        <v>85</v>
      </c>
      <c r="D92" s="2" t="s">
        <v>84</v>
      </c>
      <c r="E92" s="5"/>
      <c r="F92" s="19">
        <v>41456</v>
      </c>
      <c r="G92" s="19">
        <v>41456</v>
      </c>
      <c r="H92" s="20">
        <f t="shared" ref="H92:H119" si="12">INT(($H$327-G92)/30)</f>
        <v>30</v>
      </c>
      <c r="I92" s="5">
        <f t="shared" si="11"/>
        <v>30000</v>
      </c>
      <c r="J92" s="20"/>
      <c r="K92" s="20">
        <v>30000</v>
      </c>
      <c r="L92" s="32">
        <f t="shared" si="7"/>
        <v>0</v>
      </c>
      <c r="M92" s="31">
        <v>800</v>
      </c>
      <c r="N92" s="31">
        <v>800</v>
      </c>
      <c r="O92" s="31">
        <v>800</v>
      </c>
      <c r="P92" s="31">
        <v>800</v>
      </c>
      <c r="Q92" s="31">
        <v>800</v>
      </c>
      <c r="R92" s="31">
        <v>800</v>
      </c>
      <c r="S92" s="31">
        <v>800</v>
      </c>
      <c r="T92" s="31">
        <v>800</v>
      </c>
      <c r="U92" s="31">
        <v>800</v>
      </c>
      <c r="V92" s="31">
        <v>800</v>
      </c>
      <c r="W92" s="31">
        <v>800</v>
      </c>
      <c r="X92" s="31">
        <v>800</v>
      </c>
      <c r="Y92" s="30">
        <f t="shared" si="9"/>
        <v>9600</v>
      </c>
      <c r="Z92">
        <f>VLOOKUP(A92,справочник!$E$2:$F$322,2,FALSE)</f>
        <v>1</v>
      </c>
    </row>
    <row r="93" spans="1:26" hidden="1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 t="shared" si="12"/>
        <v>47</v>
      </c>
      <c r="I93" s="1">
        <f t="shared" si="11"/>
        <v>47000</v>
      </c>
      <c r="J93" s="17">
        <f>39000+5000</f>
        <v>44000</v>
      </c>
      <c r="K93" s="17"/>
      <c r="L93" s="30">
        <f t="shared" si="7"/>
        <v>3000</v>
      </c>
      <c r="M93" s="31">
        <v>800</v>
      </c>
      <c r="N93" s="31">
        <v>800</v>
      </c>
      <c r="O93" s="31">
        <v>800</v>
      </c>
      <c r="P93" s="31">
        <v>800</v>
      </c>
      <c r="Q93" s="31">
        <v>800</v>
      </c>
      <c r="R93" s="31">
        <v>800</v>
      </c>
      <c r="S93" s="31">
        <v>800</v>
      </c>
      <c r="T93" s="31">
        <v>800</v>
      </c>
      <c r="U93" s="31">
        <v>800</v>
      </c>
      <c r="V93" s="31">
        <v>800</v>
      </c>
      <c r="W93" s="31">
        <v>800</v>
      </c>
      <c r="X93" s="31">
        <v>800</v>
      </c>
      <c r="Y93" s="30">
        <f t="shared" si="9"/>
        <v>12600</v>
      </c>
      <c r="Z93">
        <f>VLOOKUP(A93,справочник!$E$2:$F$322,2,FALSE)</f>
        <v>0</v>
      </c>
    </row>
    <row r="94" spans="1:26" hidden="1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1">
        <v>239</v>
      </c>
      <c r="D94" s="2" t="s">
        <v>87</v>
      </c>
      <c r="E94" s="5" t="s">
        <v>402</v>
      </c>
      <c r="F94" s="19">
        <v>41590</v>
      </c>
      <c r="G94" s="19">
        <v>41579</v>
      </c>
      <c r="H94" s="20">
        <f t="shared" si="12"/>
        <v>26</v>
      </c>
      <c r="I94" s="5">
        <f t="shared" si="11"/>
        <v>26000</v>
      </c>
      <c r="J94" s="20">
        <v>26000</v>
      </c>
      <c r="K94" s="20"/>
      <c r="L94" s="32">
        <f t="shared" si="7"/>
        <v>0</v>
      </c>
      <c r="M94" s="31">
        <v>800</v>
      </c>
      <c r="N94" s="31">
        <v>800</v>
      </c>
      <c r="O94" s="31">
        <v>800</v>
      </c>
      <c r="P94" s="31">
        <v>800</v>
      </c>
      <c r="Q94" s="31">
        <v>800</v>
      </c>
      <c r="R94" s="31">
        <v>800</v>
      </c>
      <c r="S94" s="31">
        <v>800</v>
      </c>
      <c r="T94" s="31">
        <v>800</v>
      </c>
      <c r="U94" s="31">
        <v>800</v>
      </c>
      <c r="V94" s="31">
        <v>800</v>
      </c>
      <c r="W94" s="31">
        <v>800</v>
      </c>
      <c r="X94" s="31">
        <v>800</v>
      </c>
      <c r="Y94" s="30">
        <f t="shared" si="9"/>
        <v>9600</v>
      </c>
      <c r="Z94">
        <f>VLOOKUP(A94,справочник!$E$2:$F$322,2,FALSE)</f>
        <v>1</v>
      </c>
    </row>
    <row r="95" spans="1:26" hidden="1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1">
        <v>257</v>
      </c>
      <c r="D95" s="2" t="s">
        <v>87</v>
      </c>
      <c r="E95" s="5" t="s">
        <v>403</v>
      </c>
      <c r="F95" s="19">
        <v>41882</v>
      </c>
      <c r="G95" s="19">
        <v>41944</v>
      </c>
      <c r="H95" s="20">
        <f t="shared" si="12"/>
        <v>14</v>
      </c>
      <c r="I95" s="5">
        <f t="shared" si="11"/>
        <v>14000</v>
      </c>
      <c r="J95" s="20">
        <v>0</v>
      </c>
      <c r="K95" s="20">
        <v>4000</v>
      </c>
      <c r="L95" s="32">
        <f t="shared" si="7"/>
        <v>10000</v>
      </c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0">
        <f t="shared" si="9"/>
        <v>10000</v>
      </c>
      <c r="Z95">
        <f>VLOOKUP(A95,справочник!$E$2:$F$322,2,FALSE)</f>
        <v>1</v>
      </c>
    </row>
    <row r="96" spans="1:26" hidden="1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2"/>
        <v>30</v>
      </c>
      <c r="I96" s="1">
        <f t="shared" si="11"/>
        <v>30000</v>
      </c>
      <c r="J96" s="17">
        <v>27000</v>
      </c>
      <c r="K96" s="17"/>
      <c r="L96" s="30">
        <f t="shared" ref="L96:L132" si="13">I96-J96-K96</f>
        <v>3000</v>
      </c>
      <c r="M96" s="31">
        <v>800</v>
      </c>
      <c r="N96" s="31">
        <v>800</v>
      </c>
      <c r="O96" s="31">
        <v>800</v>
      </c>
      <c r="P96" s="31">
        <v>800</v>
      </c>
      <c r="Q96" s="31">
        <v>800</v>
      </c>
      <c r="R96" s="31">
        <v>800</v>
      </c>
      <c r="S96" s="31">
        <v>800</v>
      </c>
      <c r="T96" s="31">
        <v>800</v>
      </c>
      <c r="U96" s="31">
        <v>800</v>
      </c>
      <c r="V96" s="31">
        <v>800</v>
      </c>
      <c r="W96" s="31">
        <v>800</v>
      </c>
      <c r="X96" s="31">
        <v>800</v>
      </c>
      <c r="Y96" s="30">
        <f t="shared" si="9"/>
        <v>12600</v>
      </c>
      <c r="Z96">
        <f>VLOOKUP(A96,справочник!$E$2:$F$322,2,FALSE)</f>
        <v>0</v>
      </c>
    </row>
    <row r="97" spans="1:26" hidden="1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2"/>
        <v>19</v>
      </c>
      <c r="I97" s="1">
        <f t="shared" si="11"/>
        <v>19000</v>
      </c>
      <c r="J97" s="17">
        <v>500</v>
      </c>
      <c r="K97" s="17"/>
      <c r="L97" s="30">
        <f t="shared" si="13"/>
        <v>18500</v>
      </c>
      <c r="M97" s="31">
        <v>800</v>
      </c>
      <c r="N97" s="31">
        <v>800</v>
      </c>
      <c r="O97" s="31">
        <v>800</v>
      </c>
      <c r="P97" s="31">
        <v>800</v>
      </c>
      <c r="Q97" s="31">
        <v>800</v>
      </c>
      <c r="R97" s="31">
        <v>800</v>
      </c>
      <c r="S97" s="31">
        <v>800</v>
      </c>
      <c r="T97" s="31">
        <v>800</v>
      </c>
      <c r="U97" s="31">
        <v>800</v>
      </c>
      <c r="V97" s="31">
        <v>800</v>
      </c>
      <c r="W97" s="31">
        <v>800</v>
      </c>
      <c r="X97" s="31">
        <v>800</v>
      </c>
      <c r="Y97" s="30">
        <f t="shared" si="9"/>
        <v>28100</v>
      </c>
      <c r="Z97">
        <f>VLOOKUP(A97,справочник!$E$2:$F$322,2,FALSE)</f>
        <v>0</v>
      </c>
    </row>
    <row r="98" spans="1:26" hidden="1">
      <c r="A98" s="41">
        <f>VLOOKUP(B98,справочник!$B$2:$E$322,4,FALSE)</f>
        <v>127</v>
      </c>
      <c r="B98" t="str">
        <f t="shared" si="8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2"/>
        <v>55</v>
      </c>
      <c r="I98" s="1">
        <f t="shared" si="11"/>
        <v>55000</v>
      </c>
      <c r="J98" s="17">
        <f>36000+7000</f>
        <v>43000</v>
      </c>
      <c r="K98" s="17"/>
      <c r="L98" s="30">
        <v>0</v>
      </c>
      <c r="M98" s="31">
        <v>800</v>
      </c>
      <c r="N98" s="31">
        <v>800</v>
      </c>
      <c r="O98" s="31">
        <v>800</v>
      </c>
      <c r="P98" s="31">
        <v>800</v>
      </c>
      <c r="Q98" s="31">
        <v>800</v>
      </c>
      <c r="R98" s="31">
        <v>800</v>
      </c>
      <c r="S98" s="31">
        <v>800</v>
      </c>
      <c r="T98" s="31">
        <v>800</v>
      </c>
      <c r="U98" s="31">
        <v>800</v>
      </c>
      <c r="V98" s="31">
        <v>800</v>
      </c>
      <c r="W98" s="31">
        <v>800</v>
      </c>
      <c r="X98" s="31">
        <v>800</v>
      </c>
      <c r="Y98" s="30">
        <f t="shared" si="9"/>
        <v>9600</v>
      </c>
      <c r="Z98">
        <f>VLOOKUP(A98,справочник!$E$2:$F$322,2,FALSE)</f>
        <v>0</v>
      </c>
    </row>
    <row r="99" spans="1:26" hidden="1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1">
        <v>68</v>
      </c>
      <c r="D99" s="2" t="s">
        <v>91</v>
      </c>
      <c r="E99" s="1" t="s">
        <v>407</v>
      </c>
      <c r="F99" s="16">
        <v>41100</v>
      </c>
      <c r="G99" s="16">
        <v>41091</v>
      </c>
      <c r="H99" s="17">
        <f t="shared" si="12"/>
        <v>42</v>
      </c>
      <c r="I99" s="1">
        <f t="shared" si="11"/>
        <v>42000</v>
      </c>
      <c r="J99" s="17">
        <v>39780</v>
      </c>
      <c r="K99" s="17"/>
      <c r="L99" s="30">
        <f t="shared" si="13"/>
        <v>2220</v>
      </c>
      <c r="M99" s="31">
        <v>800</v>
      </c>
      <c r="N99" s="31">
        <v>800</v>
      </c>
      <c r="O99" s="31">
        <v>800</v>
      </c>
      <c r="P99" s="31">
        <v>800</v>
      </c>
      <c r="Q99" s="31">
        <v>800</v>
      </c>
      <c r="R99" s="31">
        <v>800</v>
      </c>
      <c r="S99" s="31">
        <v>800</v>
      </c>
      <c r="T99" s="31">
        <v>800</v>
      </c>
      <c r="U99" s="31">
        <v>800</v>
      </c>
      <c r="V99" s="31">
        <v>800</v>
      </c>
      <c r="W99" s="31">
        <v>800</v>
      </c>
      <c r="X99" s="31">
        <v>800</v>
      </c>
      <c r="Y99" s="30">
        <f t="shared" si="9"/>
        <v>11820</v>
      </c>
      <c r="Z99">
        <f>VLOOKUP(A99,справочник!$E$2:$F$322,2,FALSE)</f>
        <v>0</v>
      </c>
    </row>
    <row r="100" spans="1:26" hidden="1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2"/>
        <v>53</v>
      </c>
      <c r="I100" s="1">
        <f t="shared" si="11"/>
        <v>53000</v>
      </c>
      <c r="J100" s="17">
        <f>42000+1000</f>
        <v>43000</v>
      </c>
      <c r="K100" s="17"/>
      <c r="L100" s="30">
        <f t="shared" si="13"/>
        <v>10000</v>
      </c>
      <c r="M100" s="31">
        <v>800</v>
      </c>
      <c r="N100" s="31">
        <v>800</v>
      </c>
      <c r="O100" s="31">
        <v>800</v>
      </c>
      <c r="P100" s="31">
        <v>800</v>
      </c>
      <c r="Q100" s="31">
        <v>800</v>
      </c>
      <c r="R100" s="31">
        <v>800</v>
      </c>
      <c r="S100" s="31">
        <v>800</v>
      </c>
      <c r="T100" s="31">
        <v>800</v>
      </c>
      <c r="U100" s="31">
        <v>800</v>
      </c>
      <c r="V100" s="31">
        <v>800</v>
      </c>
      <c r="W100" s="31">
        <v>800</v>
      </c>
      <c r="X100" s="31">
        <v>800</v>
      </c>
      <c r="Y100" s="30">
        <f t="shared" si="9"/>
        <v>19600</v>
      </c>
      <c r="Z100">
        <f>VLOOKUP(A100,справочник!$E$2:$F$322,2,FALSE)</f>
        <v>0</v>
      </c>
    </row>
    <row r="101" spans="1:26" hidden="1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1">
        <v>255</v>
      </c>
      <c r="D101" s="2" t="s">
        <v>93</v>
      </c>
      <c r="E101" s="5" t="s">
        <v>409</v>
      </c>
      <c r="F101" s="19">
        <v>40770</v>
      </c>
      <c r="G101" s="19">
        <v>40787</v>
      </c>
      <c r="H101" s="20">
        <f t="shared" si="12"/>
        <v>52</v>
      </c>
      <c r="I101" s="5">
        <f t="shared" si="11"/>
        <v>52000</v>
      </c>
      <c r="J101" s="20">
        <f>5000+18000+29000</f>
        <v>52000</v>
      </c>
      <c r="K101" s="20"/>
      <c r="L101" s="32">
        <f t="shared" si="13"/>
        <v>0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0">
        <f t="shared" si="9"/>
        <v>0</v>
      </c>
      <c r="Z101">
        <f>VLOOKUP(A101,справочник!$E$2:$F$322,2,FALSE)</f>
        <v>1</v>
      </c>
    </row>
    <row r="102" spans="1:26" hidden="1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1">
        <v>38</v>
      </c>
      <c r="D102" s="2" t="s">
        <v>93</v>
      </c>
      <c r="E102" s="5" t="s">
        <v>410</v>
      </c>
      <c r="F102" s="19">
        <v>41100</v>
      </c>
      <c r="G102" s="19">
        <v>41091</v>
      </c>
      <c r="H102" s="20">
        <f t="shared" si="12"/>
        <v>42</v>
      </c>
      <c r="I102" s="5">
        <f t="shared" si="11"/>
        <v>42000</v>
      </c>
      <c r="J102" s="20">
        <v>35000</v>
      </c>
      <c r="K102" s="20"/>
      <c r="L102" s="32">
        <f t="shared" si="13"/>
        <v>7000</v>
      </c>
      <c r="M102" s="31">
        <v>800</v>
      </c>
      <c r="N102" s="31">
        <v>800</v>
      </c>
      <c r="O102" s="31">
        <v>800</v>
      </c>
      <c r="P102" s="31">
        <v>800</v>
      </c>
      <c r="Q102" s="31">
        <v>800</v>
      </c>
      <c r="R102" s="31">
        <v>800</v>
      </c>
      <c r="S102" s="31">
        <v>800</v>
      </c>
      <c r="T102" s="31">
        <v>800</v>
      </c>
      <c r="U102" s="31">
        <v>800</v>
      </c>
      <c r="V102" s="31">
        <v>800</v>
      </c>
      <c r="W102" s="31">
        <v>800</v>
      </c>
      <c r="X102" s="31">
        <v>800</v>
      </c>
      <c r="Y102" s="30">
        <f t="shared" si="9"/>
        <v>16600</v>
      </c>
      <c r="Z102">
        <f>VLOOKUP(A102,справочник!$E$2:$F$322,2,FALSE)</f>
        <v>1</v>
      </c>
    </row>
    <row r="103" spans="1:26" hidden="1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2" t="s">
        <v>94</v>
      </c>
      <c r="E103" s="1" t="s">
        <v>411</v>
      </c>
      <c r="F103" s="16">
        <v>41414</v>
      </c>
      <c r="G103" s="16">
        <v>41426</v>
      </c>
      <c r="H103" s="17">
        <f t="shared" si="12"/>
        <v>31</v>
      </c>
      <c r="I103" s="1">
        <f t="shared" si="11"/>
        <v>31000</v>
      </c>
      <c r="J103" s="17">
        <v>5000</v>
      </c>
      <c r="K103" s="17"/>
      <c r="L103" s="30">
        <f t="shared" si="13"/>
        <v>26000</v>
      </c>
      <c r="M103" s="31">
        <v>800</v>
      </c>
      <c r="N103" s="31">
        <v>800</v>
      </c>
      <c r="O103" s="31">
        <v>800</v>
      </c>
      <c r="P103" s="31">
        <v>800</v>
      </c>
      <c r="Q103" s="31">
        <v>800</v>
      </c>
      <c r="R103" s="31">
        <v>800</v>
      </c>
      <c r="S103" s="31">
        <v>800</v>
      </c>
      <c r="T103" s="31">
        <v>800</v>
      </c>
      <c r="U103" s="31">
        <v>800</v>
      </c>
      <c r="V103" s="31">
        <v>800</v>
      </c>
      <c r="W103" s="31">
        <v>800</v>
      </c>
      <c r="X103" s="31">
        <v>800</v>
      </c>
      <c r="Y103" s="30">
        <f t="shared" si="9"/>
        <v>35600</v>
      </c>
      <c r="Z103">
        <f>VLOOKUP(A103,справочник!$E$2:$F$322,2,FALSE)</f>
        <v>0</v>
      </c>
    </row>
    <row r="104" spans="1:26" hidden="1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f t="shared" si="12"/>
        <v>28</v>
      </c>
      <c r="I104" s="1">
        <f t="shared" si="11"/>
        <v>28000</v>
      </c>
      <c r="J104" s="17">
        <v>0</v>
      </c>
      <c r="K104" s="17"/>
      <c r="L104" s="30">
        <f t="shared" si="13"/>
        <v>28000</v>
      </c>
      <c r="M104" s="31">
        <v>800</v>
      </c>
      <c r="N104" s="31">
        <v>800</v>
      </c>
      <c r="O104" s="31">
        <v>800</v>
      </c>
      <c r="P104" s="31">
        <v>800</v>
      </c>
      <c r="Q104" s="31">
        <v>800</v>
      </c>
      <c r="R104" s="31">
        <v>800</v>
      </c>
      <c r="S104" s="31">
        <v>800</v>
      </c>
      <c r="T104" s="31">
        <v>800</v>
      </c>
      <c r="U104" s="31">
        <v>800</v>
      </c>
      <c r="V104" s="31">
        <v>800</v>
      </c>
      <c r="W104" s="31">
        <v>800</v>
      </c>
      <c r="X104" s="31">
        <v>800</v>
      </c>
      <c r="Y104" s="30">
        <f t="shared" si="9"/>
        <v>37600</v>
      </c>
      <c r="Z104">
        <f>VLOOKUP(A104,справочник!$E$2:$F$322,2,FALSE)</f>
        <v>0</v>
      </c>
    </row>
    <row r="105" spans="1:26" hidden="1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2"/>
        <v>36</v>
      </c>
      <c r="I105" s="1">
        <f t="shared" si="11"/>
        <v>36000</v>
      </c>
      <c r="J105" s="17">
        <v>36000</v>
      </c>
      <c r="K105" s="17"/>
      <c r="L105" s="30">
        <f t="shared" si="13"/>
        <v>0</v>
      </c>
      <c r="M105" s="31">
        <v>800</v>
      </c>
      <c r="N105" s="31">
        <v>800</v>
      </c>
      <c r="O105" s="31">
        <v>800</v>
      </c>
      <c r="P105" s="31">
        <v>800</v>
      </c>
      <c r="Q105" s="31">
        <v>800</v>
      </c>
      <c r="R105" s="31">
        <v>800</v>
      </c>
      <c r="S105" s="31">
        <v>800</v>
      </c>
      <c r="T105" s="31">
        <v>800</v>
      </c>
      <c r="U105" s="31">
        <v>800</v>
      </c>
      <c r="V105" s="31">
        <v>800</v>
      </c>
      <c r="W105" s="31">
        <v>800</v>
      </c>
      <c r="X105" s="31">
        <v>800</v>
      </c>
      <c r="Y105" s="30">
        <f t="shared" si="9"/>
        <v>9600</v>
      </c>
      <c r="Z105">
        <f>VLOOKUP(A105,справочник!$E$2:$F$322,2,FALSE)</f>
        <v>0</v>
      </c>
    </row>
    <row r="106" spans="1:26" hidden="1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2"/>
        <v>38</v>
      </c>
      <c r="I106" s="1">
        <f t="shared" si="11"/>
        <v>38000</v>
      </c>
      <c r="J106" s="17">
        <v>32000</v>
      </c>
      <c r="K106" s="17"/>
      <c r="L106" s="30">
        <f t="shared" si="13"/>
        <v>6000</v>
      </c>
      <c r="M106" s="31">
        <v>800</v>
      </c>
      <c r="N106" s="31">
        <v>800</v>
      </c>
      <c r="O106" s="31">
        <v>800</v>
      </c>
      <c r="P106" s="31">
        <v>800</v>
      </c>
      <c r="Q106" s="31">
        <v>800</v>
      </c>
      <c r="R106" s="31">
        <v>800</v>
      </c>
      <c r="S106" s="31">
        <v>800</v>
      </c>
      <c r="T106" s="31">
        <v>800</v>
      </c>
      <c r="U106" s="31">
        <v>800</v>
      </c>
      <c r="V106" s="31">
        <v>800</v>
      </c>
      <c r="W106" s="31">
        <v>800</v>
      </c>
      <c r="X106" s="31">
        <v>800</v>
      </c>
      <c r="Y106" s="30">
        <f t="shared" si="9"/>
        <v>15600</v>
      </c>
      <c r="Z106">
        <f>VLOOKUP(A106,справочник!$E$2:$F$322,2,FALSE)</f>
        <v>0</v>
      </c>
    </row>
    <row r="107" spans="1:26" hidden="1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2"/>
        <v>31</v>
      </c>
      <c r="I107" s="1">
        <f t="shared" si="11"/>
        <v>31000</v>
      </c>
      <c r="J107" s="17">
        <v>28000</v>
      </c>
      <c r="K107" s="17"/>
      <c r="L107" s="30">
        <f t="shared" si="13"/>
        <v>3000</v>
      </c>
      <c r="M107" s="31">
        <v>800</v>
      </c>
      <c r="N107" s="31">
        <v>800</v>
      </c>
      <c r="O107" s="31">
        <v>800</v>
      </c>
      <c r="P107" s="31">
        <v>800</v>
      </c>
      <c r="Q107" s="31">
        <v>800</v>
      </c>
      <c r="R107" s="31">
        <v>800</v>
      </c>
      <c r="S107" s="31">
        <v>800</v>
      </c>
      <c r="T107" s="31">
        <v>800</v>
      </c>
      <c r="U107" s="31">
        <v>800</v>
      </c>
      <c r="V107" s="31">
        <v>800</v>
      </c>
      <c r="W107" s="31">
        <v>800</v>
      </c>
      <c r="X107" s="31">
        <v>800</v>
      </c>
      <c r="Y107" s="30">
        <f t="shared" si="9"/>
        <v>12600</v>
      </c>
      <c r="Z107">
        <f>VLOOKUP(A107,справочник!$E$2:$F$322,2,FALSE)</f>
        <v>0</v>
      </c>
    </row>
    <row r="108" spans="1:26" hidden="1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2"/>
        <v>43</v>
      </c>
      <c r="I108" s="1">
        <f t="shared" si="11"/>
        <v>43000</v>
      </c>
      <c r="J108" s="17">
        <f>32000</f>
        <v>32000</v>
      </c>
      <c r="K108" s="17"/>
      <c r="L108" s="30">
        <f t="shared" si="13"/>
        <v>11000</v>
      </c>
      <c r="M108" s="31">
        <v>800</v>
      </c>
      <c r="N108" s="31">
        <v>800</v>
      </c>
      <c r="O108" s="31">
        <v>800</v>
      </c>
      <c r="P108" s="31">
        <v>800</v>
      </c>
      <c r="Q108" s="31">
        <v>800</v>
      </c>
      <c r="R108" s="31">
        <v>800</v>
      </c>
      <c r="S108" s="31">
        <v>800</v>
      </c>
      <c r="T108" s="31">
        <v>800</v>
      </c>
      <c r="U108" s="31">
        <v>800</v>
      </c>
      <c r="V108" s="31">
        <v>800</v>
      </c>
      <c r="W108" s="31">
        <v>800</v>
      </c>
      <c r="X108" s="31">
        <v>800</v>
      </c>
      <c r="Y108" s="30">
        <f t="shared" si="9"/>
        <v>20600</v>
      </c>
      <c r="Z108">
        <f>VLOOKUP(A108,справочник!$E$2:$F$322,2,FALSE)</f>
        <v>0</v>
      </c>
    </row>
    <row r="109" spans="1:26" hidden="1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2"/>
        <v>19</v>
      </c>
      <c r="I109" s="1">
        <f t="shared" si="11"/>
        <v>19000</v>
      </c>
      <c r="J109" s="17">
        <v>19000</v>
      </c>
      <c r="K109" s="17"/>
      <c r="L109" s="30">
        <f t="shared" si="13"/>
        <v>0</v>
      </c>
      <c r="M109" s="31">
        <v>800</v>
      </c>
      <c r="N109" s="31">
        <v>800</v>
      </c>
      <c r="O109" s="31">
        <v>800</v>
      </c>
      <c r="P109" s="31">
        <v>800</v>
      </c>
      <c r="Q109" s="31">
        <v>800</v>
      </c>
      <c r="R109" s="31">
        <v>800</v>
      </c>
      <c r="S109" s="31">
        <v>800</v>
      </c>
      <c r="T109" s="31">
        <v>800</v>
      </c>
      <c r="U109" s="31">
        <v>800</v>
      </c>
      <c r="V109" s="31">
        <v>800</v>
      </c>
      <c r="W109" s="31">
        <v>800</v>
      </c>
      <c r="X109" s="31">
        <v>800</v>
      </c>
      <c r="Y109" s="30">
        <f t="shared" si="9"/>
        <v>9600</v>
      </c>
      <c r="Z109">
        <f>VLOOKUP(A109,справочник!$E$2:$F$322,2,FALSE)</f>
        <v>0</v>
      </c>
    </row>
    <row r="110" spans="1:26" hidden="1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2"/>
        <v>49</v>
      </c>
      <c r="I110" s="1">
        <f t="shared" si="11"/>
        <v>49000</v>
      </c>
      <c r="J110" s="17">
        <f>42000+1000</f>
        <v>43000</v>
      </c>
      <c r="K110" s="17"/>
      <c r="L110" s="30">
        <f t="shared" si="13"/>
        <v>6000</v>
      </c>
      <c r="M110" s="31">
        <v>800</v>
      </c>
      <c r="N110" s="31">
        <v>800</v>
      </c>
      <c r="O110" s="31">
        <v>800</v>
      </c>
      <c r="P110" s="31">
        <v>800</v>
      </c>
      <c r="Q110" s="31">
        <v>800</v>
      </c>
      <c r="R110" s="31">
        <v>800</v>
      </c>
      <c r="S110" s="31">
        <v>800</v>
      </c>
      <c r="T110" s="31">
        <v>800</v>
      </c>
      <c r="U110" s="31">
        <v>800</v>
      </c>
      <c r="V110" s="31">
        <v>800</v>
      </c>
      <c r="W110" s="31">
        <v>800</v>
      </c>
      <c r="X110" s="31">
        <v>800</v>
      </c>
      <c r="Y110" s="30">
        <f t="shared" si="9"/>
        <v>15600</v>
      </c>
      <c r="Z110">
        <f>VLOOKUP(A110,справочник!$E$2:$F$322,2,FALSE)</f>
        <v>0</v>
      </c>
    </row>
    <row r="111" spans="1:26" hidden="1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2"/>
        <v>50</v>
      </c>
      <c r="I111" s="1">
        <f t="shared" si="11"/>
        <v>50000</v>
      </c>
      <c r="J111" s="17">
        <v>49000</v>
      </c>
      <c r="K111" s="17"/>
      <c r="L111" s="30">
        <f t="shared" si="13"/>
        <v>1000</v>
      </c>
      <c r="M111" s="31">
        <v>800</v>
      </c>
      <c r="N111" s="31">
        <v>800</v>
      </c>
      <c r="O111" s="31">
        <v>800</v>
      </c>
      <c r="P111" s="31">
        <v>800</v>
      </c>
      <c r="Q111" s="31">
        <v>800</v>
      </c>
      <c r="R111" s="31">
        <v>800</v>
      </c>
      <c r="S111" s="31">
        <v>800</v>
      </c>
      <c r="T111" s="31">
        <v>800</v>
      </c>
      <c r="U111" s="31">
        <v>800</v>
      </c>
      <c r="V111" s="31">
        <v>800</v>
      </c>
      <c r="W111" s="31">
        <v>800</v>
      </c>
      <c r="X111" s="31">
        <v>800</v>
      </c>
      <c r="Y111" s="30">
        <f t="shared" si="9"/>
        <v>10600</v>
      </c>
      <c r="Z111">
        <f>VLOOKUP(A111,справочник!$E$2:$F$322,2,FALSE)</f>
        <v>0</v>
      </c>
    </row>
    <row r="112" spans="1:26" hidden="1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2"/>
        <v>12</v>
      </c>
      <c r="I112" s="1">
        <f t="shared" si="11"/>
        <v>12000</v>
      </c>
      <c r="J112" s="17"/>
      <c r="K112" s="17"/>
      <c r="L112" s="30">
        <f t="shared" si="13"/>
        <v>12000</v>
      </c>
      <c r="M112" s="31">
        <v>800</v>
      </c>
      <c r="N112" s="31">
        <v>800</v>
      </c>
      <c r="O112" s="31">
        <v>800</v>
      </c>
      <c r="P112" s="31">
        <v>800</v>
      </c>
      <c r="Q112" s="31">
        <v>800</v>
      </c>
      <c r="R112" s="31">
        <v>800</v>
      </c>
      <c r="S112" s="31">
        <v>800</v>
      </c>
      <c r="T112" s="31">
        <v>800</v>
      </c>
      <c r="U112" s="31">
        <v>800</v>
      </c>
      <c r="V112" s="31">
        <v>800</v>
      </c>
      <c r="W112" s="31">
        <v>800</v>
      </c>
      <c r="X112" s="31">
        <v>800</v>
      </c>
      <c r="Y112" s="30">
        <f t="shared" si="9"/>
        <v>21600</v>
      </c>
      <c r="Z112">
        <f>VLOOKUP(A112,справочник!$E$2:$F$322,2,FALSE)</f>
        <v>0</v>
      </c>
    </row>
    <row r="113" spans="1:26" hidden="1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2"/>
        <v>46</v>
      </c>
      <c r="I113" s="1">
        <f t="shared" si="11"/>
        <v>46000</v>
      </c>
      <c r="J113" s="17">
        <f>46000</f>
        <v>46000</v>
      </c>
      <c r="K113" s="17"/>
      <c r="L113" s="30">
        <f t="shared" si="13"/>
        <v>0</v>
      </c>
      <c r="M113" s="31">
        <v>800</v>
      </c>
      <c r="N113" s="31">
        <v>800</v>
      </c>
      <c r="O113" s="31">
        <v>800</v>
      </c>
      <c r="P113" s="31">
        <v>800</v>
      </c>
      <c r="Q113" s="31">
        <v>800</v>
      </c>
      <c r="R113" s="31">
        <v>800</v>
      </c>
      <c r="S113" s="31">
        <v>800</v>
      </c>
      <c r="T113" s="31">
        <v>800</v>
      </c>
      <c r="U113" s="31">
        <v>800</v>
      </c>
      <c r="V113" s="31">
        <v>800</v>
      </c>
      <c r="W113" s="31">
        <v>800</v>
      </c>
      <c r="X113" s="31">
        <v>800</v>
      </c>
      <c r="Y113" s="30">
        <f t="shared" si="9"/>
        <v>9600</v>
      </c>
      <c r="Z113">
        <f>VLOOKUP(A113,справочник!$E$2:$F$322,2,FALSE)</f>
        <v>0</v>
      </c>
    </row>
    <row r="114" spans="1:26" ht="25.5" hidden="1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2" t="s">
        <v>105</v>
      </c>
      <c r="E114" s="1" t="s">
        <v>422</v>
      </c>
      <c r="F114" s="16">
        <v>41580</v>
      </c>
      <c r="G114" s="16">
        <v>41609</v>
      </c>
      <c r="H114" s="17">
        <f t="shared" si="12"/>
        <v>25</v>
      </c>
      <c r="I114" s="1">
        <f t="shared" si="11"/>
        <v>25000</v>
      </c>
      <c r="J114" s="17">
        <f>5000+1500+5000</f>
        <v>11500</v>
      </c>
      <c r="K114" s="17"/>
      <c r="L114" s="30">
        <f t="shared" si="13"/>
        <v>13500</v>
      </c>
      <c r="M114" s="31">
        <v>800</v>
      </c>
      <c r="N114" s="31">
        <v>800</v>
      </c>
      <c r="O114" s="31">
        <v>800</v>
      </c>
      <c r="P114" s="31">
        <v>800</v>
      </c>
      <c r="Q114" s="31">
        <v>800</v>
      </c>
      <c r="R114" s="31">
        <v>800</v>
      </c>
      <c r="S114" s="31">
        <v>800</v>
      </c>
      <c r="T114" s="31">
        <v>800</v>
      </c>
      <c r="U114" s="31">
        <v>800</v>
      </c>
      <c r="V114" s="31">
        <v>800</v>
      </c>
      <c r="W114" s="31">
        <v>800</v>
      </c>
      <c r="X114" s="31">
        <v>800</v>
      </c>
      <c r="Y114" s="30">
        <f t="shared" si="9"/>
        <v>23100</v>
      </c>
      <c r="Z114">
        <f>VLOOKUP(A114,справочник!$E$2:$F$322,2,FALSE)</f>
        <v>0</v>
      </c>
    </row>
    <row r="115" spans="1:26" hidden="1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2"/>
        <v>28</v>
      </c>
      <c r="I115" s="1">
        <f t="shared" si="11"/>
        <v>28000</v>
      </c>
      <c r="J115" s="17">
        <v>13000</v>
      </c>
      <c r="K115" s="17">
        <v>1000</v>
      </c>
      <c r="L115" s="30">
        <f t="shared" si="13"/>
        <v>14000</v>
      </c>
      <c r="M115" s="31">
        <v>800</v>
      </c>
      <c r="N115" s="31">
        <v>800</v>
      </c>
      <c r="O115" s="31">
        <v>800</v>
      </c>
      <c r="P115" s="31">
        <v>800</v>
      </c>
      <c r="Q115" s="31">
        <v>800</v>
      </c>
      <c r="R115" s="31">
        <v>800</v>
      </c>
      <c r="S115" s="31">
        <v>800</v>
      </c>
      <c r="T115" s="31">
        <v>800</v>
      </c>
      <c r="U115" s="31">
        <v>800</v>
      </c>
      <c r="V115" s="31">
        <v>800</v>
      </c>
      <c r="W115" s="31">
        <v>800</v>
      </c>
      <c r="X115" s="31">
        <v>800</v>
      </c>
      <c r="Y115" s="30">
        <f t="shared" si="9"/>
        <v>23600</v>
      </c>
      <c r="Z115">
        <f>VLOOKUP(A115,справочник!$E$2:$F$322,2,FALSE)</f>
        <v>0</v>
      </c>
    </row>
    <row r="116" spans="1:26" hidden="1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2"/>
        <v>45</v>
      </c>
      <c r="I116" s="1">
        <f t="shared" si="11"/>
        <v>45000</v>
      </c>
      <c r="J116" s="17">
        <v>41000</v>
      </c>
      <c r="K116" s="17"/>
      <c r="L116" s="30">
        <f t="shared" si="13"/>
        <v>4000</v>
      </c>
      <c r="M116" s="31">
        <v>800</v>
      </c>
      <c r="N116" s="31">
        <v>800</v>
      </c>
      <c r="O116" s="31">
        <v>800</v>
      </c>
      <c r="P116" s="31">
        <v>800</v>
      </c>
      <c r="Q116" s="31">
        <v>800</v>
      </c>
      <c r="R116" s="31">
        <v>800</v>
      </c>
      <c r="S116" s="31">
        <v>800</v>
      </c>
      <c r="T116" s="31">
        <v>800</v>
      </c>
      <c r="U116" s="31">
        <v>800</v>
      </c>
      <c r="V116" s="31">
        <v>800</v>
      </c>
      <c r="W116" s="31">
        <v>800</v>
      </c>
      <c r="X116" s="31">
        <v>800</v>
      </c>
      <c r="Y116" s="30">
        <f t="shared" si="9"/>
        <v>13600</v>
      </c>
      <c r="Z116">
        <f>VLOOKUP(A116,справочник!$E$2:$F$322,2,FALSE)</f>
        <v>0</v>
      </c>
    </row>
    <row r="117" spans="1:26" hidden="1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2"/>
        <v>36</v>
      </c>
      <c r="I117" s="1">
        <f t="shared" si="11"/>
        <v>36000</v>
      </c>
      <c r="J117" s="17">
        <v>1000</v>
      </c>
      <c r="K117" s="17"/>
      <c r="L117" s="30">
        <f t="shared" si="13"/>
        <v>35000</v>
      </c>
      <c r="M117" s="31">
        <v>800</v>
      </c>
      <c r="N117" s="31">
        <v>800</v>
      </c>
      <c r="O117" s="31">
        <v>800</v>
      </c>
      <c r="P117" s="31">
        <v>800</v>
      </c>
      <c r="Q117" s="31">
        <v>800</v>
      </c>
      <c r="R117" s="31">
        <v>800</v>
      </c>
      <c r="S117" s="31">
        <v>800</v>
      </c>
      <c r="T117" s="31">
        <v>800</v>
      </c>
      <c r="U117" s="31">
        <v>800</v>
      </c>
      <c r="V117" s="31">
        <v>800</v>
      </c>
      <c r="W117" s="31">
        <v>800</v>
      </c>
      <c r="X117" s="31">
        <v>800</v>
      </c>
      <c r="Y117" s="30">
        <f t="shared" si="9"/>
        <v>44600</v>
      </c>
      <c r="Z117">
        <f>VLOOKUP(A117,справочник!$E$2:$F$322,2,FALSE)</f>
        <v>0</v>
      </c>
    </row>
    <row r="118" spans="1:26" hidden="1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2"/>
        <v>30</v>
      </c>
      <c r="I118" s="1">
        <f t="shared" si="11"/>
        <v>30000</v>
      </c>
      <c r="J118" s="17">
        <v>25000</v>
      </c>
      <c r="K118" s="17">
        <v>5000</v>
      </c>
      <c r="L118" s="30">
        <f t="shared" si="13"/>
        <v>0</v>
      </c>
      <c r="M118" s="31">
        <v>800</v>
      </c>
      <c r="N118" s="31">
        <v>800</v>
      </c>
      <c r="O118" s="31">
        <v>800</v>
      </c>
      <c r="P118" s="31">
        <v>800</v>
      </c>
      <c r="Q118" s="31">
        <v>800</v>
      </c>
      <c r="R118" s="31">
        <v>800</v>
      </c>
      <c r="S118" s="31">
        <v>800</v>
      </c>
      <c r="T118" s="31">
        <v>800</v>
      </c>
      <c r="U118" s="31">
        <v>800</v>
      </c>
      <c r="V118" s="31">
        <v>800</v>
      </c>
      <c r="W118" s="31">
        <v>800</v>
      </c>
      <c r="X118" s="31">
        <v>800</v>
      </c>
      <c r="Y118" s="30">
        <f t="shared" si="9"/>
        <v>9600</v>
      </c>
      <c r="Z118">
        <f>VLOOKUP(A118,справочник!$E$2:$F$322,2,FALSE)</f>
        <v>0</v>
      </c>
    </row>
    <row r="119" spans="1:26" hidden="1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2" t="s">
        <v>110</v>
      </c>
      <c r="E119" s="1" t="s">
        <v>427</v>
      </c>
      <c r="F119" s="16">
        <v>41052</v>
      </c>
      <c r="G119" s="16">
        <v>41061</v>
      </c>
      <c r="H119" s="17">
        <f t="shared" si="12"/>
        <v>43</v>
      </c>
      <c r="I119" s="1">
        <f t="shared" si="11"/>
        <v>43000</v>
      </c>
      <c r="J119" s="17">
        <f>40500</f>
        <v>40500</v>
      </c>
      <c r="K119" s="17"/>
      <c r="L119" s="30">
        <f t="shared" si="13"/>
        <v>2500</v>
      </c>
      <c r="M119" s="31">
        <v>800</v>
      </c>
      <c r="N119" s="31">
        <v>800</v>
      </c>
      <c r="O119" s="31">
        <v>800</v>
      </c>
      <c r="P119" s="31">
        <v>800</v>
      </c>
      <c r="Q119" s="31">
        <v>800</v>
      </c>
      <c r="R119" s="31">
        <v>800</v>
      </c>
      <c r="S119" s="31">
        <v>800</v>
      </c>
      <c r="T119" s="31">
        <v>800</v>
      </c>
      <c r="U119" s="31">
        <v>800</v>
      </c>
      <c r="V119" s="31">
        <v>800</v>
      </c>
      <c r="W119" s="31">
        <v>800</v>
      </c>
      <c r="X119" s="31">
        <v>800</v>
      </c>
      <c r="Y119" s="30">
        <f t="shared" si="9"/>
        <v>12100</v>
      </c>
      <c r="Z119">
        <f>VLOOKUP(A119,справочник!$E$2:$F$322,2,FALSE)</f>
        <v>0</v>
      </c>
    </row>
    <row r="120" spans="1:26" ht="25.5" hidden="1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1">
        <v>217</v>
      </c>
      <c r="D120" s="2" t="s">
        <v>111</v>
      </c>
      <c r="E120" s="1"/>
      <c r="F120" s="1"/>
      <c r="G120" s="1"/>
      <c r="H120" s="17"/>
      <c r="I120" s="1">
        <f t="shared" si="11"/>
        <v>0</v>
      </c>
      <c r="J120" s="17"/>
      <c r="K120" s="17"/>
      <c r="L120" s="30">
        <f t="shared" si="13"/>
        <v>0</v>
      </c>
      <c r="M120" s="31">
        <v>800</v>
      </c>
      <c r="N120" s="31">
        <v>800</v>
      </c>
      <c r="O120" s="31">
        <v>800</v>
      </c>
      <c r="P120" s="31">
        <v>800</v>
      </c>
      <c r="Q120" s="31">
        <v>800</v>
      </c>
      <c r="R120" s="31">
        <v>800</v>
      </c>
      <c r="S120" s="31">
        <v>800</v>
      </c>
      <c r="T120" s="31">
        <v>800</v>
      </c>
      <c r="U120" s="31">
        <v>800</v>
      </c>
      <c r="V120" s="31">
        <v>800</v>
      </c>
      <c r="W120" s="31">
        <v>800</v>
      </c>
      <c r="X120" s="31">
        <v>800</v>
      </c>
      <c r="Y120" s="30">
        <f t="shared" si="9"/>
        <v>9600</v>
      </c>
      <c r="Z120">
        <f>VLOOKUP(A120,справочник!$E$2:$F$322,2,FALSE)</f>
        <v>0</v>
      </c>
    </row>
    <row r="121" spans="1:26" hidden="1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1"/>
        <v>33000</v>
      </c>
      <c r="J121" s="17">
        <v>28000</v>
      </c>
      <c r="K121" s="17"/>
      <c r="L121" s="30">
        <f t="shared" si="13"/>
        <v>5000</v>
      </c>
      <c r="M121" s="31">
        <v>800</v>
      </c>
      <c r="N121" s="31">
        <v>800</v>
      </c>
      <c r="O121" s="31">
        <v>800</v>
      </c>
      <c r="P121" s="31">
        <v>800</v>
      </c>
      <c r="Q121" s="31">
        <v>800</v>
      </c>
      <c r="R121" s="31">
        <v>800</v>
      </c>
      <c r="S121" s="31">
        <v>800</v>
      </c>
      <c r="T121" s="31">
        <v>800</v>
      </c>
      <c r="U121" s="31">
        <v>800</v>
      </c>
      <c r="V121" s="31">
        <v>800</v>
      </c>
      <c r="W121" s="31">
        <v>800</v>
      </c>
      <c r="X121" s="31">
        <v>800</v>
      </c>
      <c r="Y121" s="30">
        <f t="shared" si="9"/>
        <v>14600</v>
      </c>
      <c r="Z121">
        <f>VLOOKUP(A121,справочник!$E$2:$F$322,2,FALSE)</f>
        <v>0</v>
      </c>
    </row>
    <row r="122" spans="1:26" hidden="1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1"/>
        <v>55000</v>
      </c>
      <c r="J122" s="17">
        <v>54000</v>
      </c>
      <c r="K122" s="17">
        <v>3000</v>
      </c>
      <c r="L122" s="30">
        <f t="shared" si="13"/>
        <v>-2000</v>
      </c>
      <c r="M122" s="31">
        <v>800</v>
      </c>
      <c r="N122" s="31">
        <v>800</v>
      </c>
      <c r="O122" s="31">
        <v>800</v>
      </c>
      <c r="P122" s="31">
        <v>800</v>
      </c>
      <c r="Q122" s="31">
        <v>800</v>
      </c>
      <c r="R122" s="31">
        <v>800</v>
      </c>
      <c r="S122" s="31">
        <v>800</v>
      </c>
      <c r="T122" s="31">
        <v>800</v>
      </c>
      <c r="U122" s="31">
        <v>800</v>
      </c>
      <c r="V122" s="31">
        <v>800</v>
      </c>
      <c r="W122" s="31">
        <v>800</v>
      </c>
      <c r="X122" s="31">
        <v>800</v>
      </c>
      <c r="Y122" s="30">
        <f t="shared" si="9"/>
        <v>7600</v>
      </c>
      <c r="Z122">
        <f>VLOOKUP(A122,справочник!$E$2:$F$322,2,FALSE)</f>
        <v>0</v>
      </c>
    </row>
    <row r="123" spans="1:26" hidden="1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1"/>
        <v>40000</v>
      </c>
      <c r="J123" s="17">
        <v>35000</v>
      </c>
      <c r="K123" s="17"/>
      <c r="L123" s="30">
        <f t="shared" si="13"/>
        <v>5000</v>
      </c>
      <c r="M123" s="31">
        <v>800</v>
      </c>
      <c r="N123" s="31">
        <v>800</v>
      </c>
      <c r="O123" s="31">
        <v>800</v>
      </c>
      <c r="P123" s="31">
        <v>800</v>
      </c>
      <c r="Q123" s="31">
        <v>800</v>
      </c>
      <c r="R123" s="31">
        <v>800</v>
      </c>
      <c r="S123" s="31">
        <v>800</v>
      </c>
      <c r="T123" s="31">
        <v>800</v>
      </c>
      <c r="U123" s="31">
        <v>800</v>
      </c>
      <c r="V123" s="31">
        <v>800</v>
      </c>
      <c r="W123" s="31">
        <v>800</v>
      </c>
      <c r="X123" s="31">
        <v>800</v>
      </c>
      <c r="Y123" s="30">
        <f t="shared" si="9"/>
        <v>14600</v>
      </c>
      <c r="Z123">
        <f>VLOOKUP(A123,справочник!$E$2:$F$322,2,FALSE)</f>
        <v>0</v>
      </c>
    </row>
    <row r="124" spans="1:26" hidden="1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1"/>
        <v>20000</v>
      </c>
      <c r="J124" s="17">
        <v>18000</v>
      </c>
      <c r="K124" s="17"/>
      <c r="L124" s="30">
        <f t="shared" si="13"/>
        <v>2000</v>
      </c>
      <c r="M124" s="31">
        <v>800</v>
      </c>
      <c r="N124" s="31">
        <v>800</v>
      </c>
      <c r="O124" s="31">
        <v>800</v>
      </c>
      <c r="P124" s="31">
        <v>800</v>
      </c>
      <c r="Q124" s="31">
        <v>800</v>
      </c>
      <c r="R124" s="31">
        <v>800</v>
      </c>
      <c r="S124" s="31">
        <v>800</v>
      </c>
      <c r="T124" s="31">
        <v>800</v>
      </c>
      <c r="U124" s="31">
        <v>800</v>
      </c>
      <c r="V124" s="31">
        <v>800</v>
      </c>
      <c r="W124" s="31">
        <v>800</v>
      </c>
      <c r="X124" s="31">
        <v>800</v>
      </c>
      <c r="Y124" s="30">
        <f t="shared" si="9"/>
        <v>11600</v>
      </c>
      <c r="Z124">
        <f>VLOOKUP(A124,справочник!$E$2:$F$322,2,FALSE)</f>
        <v>0</v>
      </c>
    </row>
    <row r="125" spans="1:26" hidden="1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1"/>
        <v>51000</v>
      </c>
      <c r="J125" s="17">
        <f>1000</f>
        <v>1000</v>
      </c>
      <c r="K125" s="17">
        <v>1000</v>
      </c>
      <c r="L125" s="30">
        <f t="shared" si="13"/>
        <v>49000</v>
      </c>
      <c r="M125" s="31">
        <v>800</v>
      </c>
      <c r="N125" s="31">
        <v>800</v>
      </c>
      <c r="O125" s="31">
        <v>800</v>
      </c>
      <c r="P125" s="31">
        <v>800</v>
      </c>
      <c r="Q125" s="31">
        <v>800</v>
      </c>
      <c r="R125" s="31">
        <v>800</v>
      </c>
      <c r="S125" s="31">
        <v>800</v>
      </c>
      <c r="T125" s="31">
        <v>800</v>
      </c>
      <c r="U125" s="31">
        <v>800</v>
      </c>
      <c r="V125" s="31">
        <v>800</v>
      </c>
      <c r="W125" s="31">
        <v>800</v>
      </c>
      <c r="X125" s="31">
        <v>800</v>
      </c>
      <c r="Y125" s="30">
        <f t="shared" si="9"/>
        <v>58600</v>
      </c>
      <c r="Z125">
        <f>VLOOKUP(A125,справочник!$E$2:$F$322,2,FALSE)</f>
        <v>0</v>
      </c>
    </row>
    <row r="126" spans="1:26" hidden="1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2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1"/>
        <v>48000</v>
      </c>
      <c r="J126" s="17">
        <f>1000</f>
        <v>1000</v>
      </c>
      <c r="K126" s="17"/>
      <c r="L126" s="30">
        <f t="shared" si="13"/>
        <v>47000</v>
      </c>
      <c r="M126" s="31">
        <v>800</v>
      </c>
      <c r="N126" s="31">
        <v>800</v>
      </c>
      <c r="O126" s="31">
        <v>800</v>
      </c>
      <c r="P126" s="31">
        <v>800</v>
      </c>
      <c r="Q126" s="31">
        <v>800</v>
      </c>
      <c r="R126" s="31">
        <v>800</v>
      </c>
      <c r="S126" s="31">
        <v>800</v>
      </c>
      <c r="T126" s="31">
        <v>800</v>
      </c>
      <c r="U126" s="31">
        <v>800</v>
      </c>
      <c r="V126" s="31">
        <v>800</v>
      </c>
      <c r="W126" s="31">
        <v>800</v>
      </c>
      <c r="X126" s="31">
        <v>800</v>
      </c>
      <c r="Y126" s="30">
        <f t="shared" si="9"/>
        <v>56600</v>
      </c>
      <c r="Z126">
        <f>VLOOKUP(A126,справочник!$E$2:$F$322,2,FALSE)</f>
        <v>0</v>
      </c>
    </row>
    <row r="127" spans="1:26" hidden="1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1"/>
        <v>36000</v>
      </c>
      <c r="J127" s="17">
        <v>18000</v>
      </c>
      <c r="K127" s="17"/>
      <c r="L127" s="30">
        <f t="shared" si="13"/>
        <v>18000</v>
      </c>
      <c r="M127" s="31">
        <v>800</v>
      </c>
      <c r="N127" s="31">
        <v>800</v>
      </c>
      <c r="O127" s="31">
        <v>800</v>
      </c>
      <c r="P127" s="31">
        <v>800</v>
      </c>
      <c r="Q127" s="31">
        <v>800</v>
      </c>
      <c r="R127" s="31">
        <v>800</v>
      </c>
      <c r="S127" s="31">
        <v>800</v>
      </c>
      <c r="T127" s="31">
        <v>800</v>
      </c>
      <c r="U127" s="31">
        <v>800</v>
      </c>
      <c r="V127" s="31">
        <v>800</v>
      </c>
      <c r="W127" s="31">
        <v>800</v>
      </c>
      <c r="X127" s="31">
        <v>800</v>
      </c>
      <c r="Y127" s="30">
        <f t="shared" si="9"/>
        <v>27600</v>
      </c>
      <c r="Z127">
        <f>VLOOKUP(A127,справочник!$E$2:$F$322,2,FALSE)</f>
        <v>0</v>
      </c>
    </row>
    <row r="128" spans="1:26" hidden="1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1"/>
        <v>9000</v>
      </c>
      <c r="J128" s="17">
        <v>4000</v>
      </c>
      <c r="K128" s="17">
        <v>5000</v>
      </c>
      <c r="L128" s="30">
        <f t="shared" si="13"/>
        <v>0</v>
      </c>
      <c r="M128" s="31">
        <v>800</v>
      </c>
      <c r="N128" s="31">
        <v>800</v>
      </c>
      <c r="O128" s="31">
        <v>800</v>
      </c>
      <c r="P128" s="31">
        <v>800</v>
      </c>
      <c r="Q128" s="31">
        <v>800</v>
      </c>
      <c r="R128" s="31">
        <v>800</v>
      </c>
      <c r="S128" s="31">
        <v>800</v>
      </c>
      <c r="T128" s="31">
        <v>800</v>
      </c>
      <c r="U128" s="31">
        <v>800</v>
      </c>
      <c r="V128" s="31">
        <v>800</v>
      </c>
      <c r="W128" s="31">
        <v>800</v>
      </c>
      <c r="X128" s="31">
        <v>800</v>
      </c>
      <c r="Y128" s="30">
        <f t="shared" si="9"/>
        <v>9600</v>
      </c>
      <c r="Z128">
        <f>VLOOKUP(A128,справочник!$E$2:$F$322,2,FALSE)</f>
        <v>0</v>
      </c>
    </row>
    <row r="129" spans="1:26" hidden="1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1"/>
        <v>52000</v>
      </c>
      <c r="J129" s="17">
        <f>2000+27000</f>
        <v>29000</v>
      </c>
      <c r="K129" s="17"/>
      <c r="L129" s="30">
        <f t="shared" si="13"/>
        <v>23000</v>
      </c>
      <c r="M129" s="31">
        <v>800</v>
      </c>
      <c r="N129" s="31">
        <v>800</v>
      </c>
      <c r="O129" s="31">
        <v>800</v>
      </c>
      <c r="P129" s="31">
        <v>800</v>
      </c>
      <c r="Q129" s="31">
        <v>800</v>
      </c>
      <c r="R129" s="31">
        <v>800</v>
      </c>
      <c r="S129" s="31">
        <v>800</v>
      </c>
      <c r="T129" s="31">
        <v>800</v>
      </c>
      <c r="U129" s="31">
        <v>800</v>
      </c>
      <c r="V129" s="31">
        <v>800</v>
      </c>
      <c r="W129" s="31">
        <v>800</v>
      </c>
      <c r="X129" s="31">
        <v>800</v>
      </c>
      <c r="Y129" s="30">
        <f t="shared" si="9"/>
        <v>32600</v>
      </c>
      <c r="Z129">
        <f>VLOOKUP(A129,справочник!$E$2:$F$322,2,FALSE)</f>
        <v>0</v>
      </c>
    </row>
    <row r="130" spans="1:26" ht="25.5" hidden="1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2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1"/>
        <v>52000</v>
      </c>
      <c r="J130" s="17">
        <v>1000</v>
      </c>
      <c r="K130" s="17"/>
      <c r="L130" s="30">
        <f t="shared" si="13"/>
        <v>51000</v>
      </c>
      <c r="M130" s="31">
        <v>800</v>
      </c>
      <c r="N130" s="31">
        <v>800</v>
      </c>
      <c r="O130" s="31">
        <v>800</v>
      </c>
      <c r="P130" s="31">
        <v>800</v>
      </c>
      <c r="Q130" s="31">
        <v>800</v>
      </c>
      <c r="R130" s="31">
        <v>800</v>
      </c>
      <c r="S130" s="31">
        <v>800</v>
      </c>
      <c r="T130" s="31">
        <v>800</v>
      </c>
      <c r="U130" s="31">
        <v>800</v>
      </c>
      <c r="V130" s="31">
        <v>800</v>
      </c>
      <c r="W130" s="31">
        <v>800</v>
      </c>
      <c r="X130" s="31">
        <v>800</v>
      </c>
      <c r="Y130" s="30">
        <f t="shared" si="9"/>
        <v>60600</v>
      </c>
      <c r="Z130">
        <f>VLOOKUP(A130,справочник!$E$2:$F$322,2,FALSE)</f>
        <v>0</v>
      </c>
    </row>
    <row r="131" spans="1:26" hidden="1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1"/>
        <v>14000</v>
      </c>
      <c r="J131" s="17">
        <v>1000</v>
      </c>
      <c r="K131" s="17"/>
      <c r="L131" s="30">
        <f t="shared" si="13"/>
        <v>13000</v>
      </c>
      <c r="M131" s="31">
        <v>800</v>
      </c>
      <c r="N131" s="31">
        <v>800</v>
      </c>
      <c r="O131" s="31">
        <v>800</v>
      </c>
      <c r="P131" s="31">
        <v>800</v>
      </c>
      <c r="Q131" s="31">
        <v>800</v>
      </c>
      <c r="R131" s="31">
        <v>800</v>
      </c>
      <c r="S131" s="31">
        <v>800</v>
      </c>
      <c r="T131" s="31">
        <v>800</v>
      </c>
      <c r="U131" s="31">
        <v>800</v>
      </c>
      <c r="V131" s="31">
        <v>800</v>
      </c>
      <c r="W131" s="31">
        <v>800</v>
      </c>
      <c r="X131" s="31">
        <v>800</v>
      </c>
      <c r="Y131" s="30">
        <f t="shared" si="9"/>
        <v>22600</v>
      </c>
      <c r="Z131">
        <f>VLOOKUP(A131,справочник!$E$2:$F$322,2,FALSE)</f>
        <v>0</v>
      </c>
    </row>
    <row r="132" spans="1:26" hidden="1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1">
        <v>75</v>
      </c>
      <c r="D132" s="2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1"/>
        <v>52000</v>
      </c>
      <c r="J132" s="20">
        <f>3000+10000</f>
        <v>13000</v>
      </c>
      <c r="K132" s="20"/>
      <c r="L132" s="32">
        <f t="shared" si="13"/>
        <v>39000</v>
      </c>
      <c r="M132" s="31">
        <v>800</v>
      </c>
      <c r="N132" s="31">
        <v>800</v>
      </c>
      <c r="O132" s="31">
        <v>800</v>
      </c>
      <c r="P132" s="31">
        <v>800</v>
      </c>
      <c r="Q132" s="31">
        <v>800</v>
      </c>
      <c r="R132" s="31">
        <v>800</v>
      </c>
      <c r="S132" s="31">
        <v>800</v>
      </c>
      <c r="T132" s="31">
        <v>800</v>
      </c>
      <c r="U132" s="31">
        <v>800</v>
      </c>
      <c r="V132" s="31">
        <v>800</v>
      </c>
      <c r="W132" s="31">
        <v>800</v>
      </c>
      <c r="X132" s="31">
        <v>800</v>
      </c>
      <c r="Y132" s="30">
        <f t="shared" si="9"/>
        <v>48600</v>
      </c>
      <c r="Z132">
        <f>VLOOKUP(A132,справочник!$E$2:$F$322,2,FALSE)</f>
        <v>1</v>
      </c>
    </row>
    <row r="133" spans="1:26" hidden="1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1">
        <v>76</v>
      </c>
      <c r="D133" s="2" t="s">
        <v>123</v>
      </c>
      <c r="E133" s="1" t="s">
        <v>441</v>
      </c>
      <c r="F133" s="5"/>
      <c r="G133" s="5"/>
      <c r="H133" s="20"/>
      <c r="I133" s="5">
        <f t="shared" si="11"/>
        <v>0</v>
      </c>
      <c r="J133" s="20"/>
      <c r="K133" s="20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0">
        <f>SUM(L133:X133)</f>
        <v>0</v>
      </c>
      <c r="Z133">
        <f>VLOOKUP(A133,справочник!$E$2:$F$322,2,FALSE)</f>
        <v>1</v>
      </c>
    </row>
    <row r="134" spans="1:26" hidden="1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1"/>
        <v>27000</v>
      </c>
      <c r="J134" s="17">
        <v>24000</v>
      </c>
      <c r="K134" s="17"/>
      <c r="L134" s="30">
        <f t="shared" ref="L134:L186" si="17">I134-J134-K134</f>
        <v>3000</v>
      </c>
      <c r="M134" s="31">
        <v>800</v>
      </c>
      <c r="N134" s="31">
        <v>800</v>
      </c>
      <c r="O134" s="31">
        <v>800</v>
      </c>
      <c r="P134" s="31">
        <v>800</v>
      </c>
      <c r="Q134" s="31">
        <v>800</v>
      </c>
      <c r="R134" s="31">
        <v>800</v>
      </c>
      <c r="S134" s="31">
        <v>800</v>
      </c>
      <c r="T134" s="31">
        <v>800</v>
      </c>
      <c r="U134" s="31">
        <v>800</v>
      </c>
      <c r="V134" s="31">
        <v>800</v>
      </c>
      <c r="W134" s="31">
        <v>800</v>
      </c>
      <c r="X134" s="31">
        <v>800</v>
      </c>
      <c r="Y134" s="30">
        <f>SUM(L134:X134)</f>
        <v>12600</v>
      </c>
      <c r="Z134">
        <f>VLOOKUP(A134,справочник!$E$2:$F$322,2,FALSE)</f>
        <v>0</v>
      </c>
    </row>
    <row r="135" spans="1:26" hidden="1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1"/>
        <v>45000</v>
      </c>
      <c r="J135" s="17">
        <v>32000</v>
      </c>
      <c r="K135" s="17"/>
      <c r="L135" s="30">
        <f t="shared" si="17"/>
        <v>13000</v>
      </c>
      <c r="M135" s="31">
        <v>800</v>
      </c>
      <c r="N135" s="31">
        <v>800</v>
      </c>
      <c r="O135" s="31">
        <v>800</v>
      </c>
      <c r="P135" s="31">
        <v>800</v>
      </c>
      <c r="Q135" s="31">
        <v>800</v>
      </c>
      <c r="R135" s="31">
        <v>800</v>
      </c>
      <c r="S135" s="31">
        <v>800</v>
      </c>
      <c r="T135" s="31">
        <v>800</v>
      </c>
      <c r="U135" s="31">
        <v>800</v>
      </c>
      <c r="V135" s="31">
        <v>800</v>
      </c>
      <c r="W135" s="31">
        <v>800</v>
      </c>
      <c r="X135" s="31">
        <v>800</v>
      </c>
      <c r="Y135" s="30">
        <f t="shared" ref="Y135:Y186" si="18">SUM(L135:X135)</f>
        <v>22600</v>
      </c>
      <c r="Z135">
        <f>VLOOKUP(A135,справочник!$E$2:$F$322,2,FALSE)</f>
        <v>0</v>
      </c>
    </row>
    <row r="136" spans="1:26" hidden="1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1"/>
        <v>47000</v>
      </c>
      <c r="J136" s="17">
        <v>34000</v>
      </c>
      <c r="K136" s="17"/>
      <c r="L136" s="30">
        <f t="shared" si="17"/>
        <v>13000</v>
      </c>
      <c r="M136" s="31">
        <v>800</v>
      </c>
      <c r="N136" s="31">
        <v>800</v>
      </c>
      <c r="O136" s="31">
        <v>800</v>
      </c>
      <c r="P136" s="31">
        <v>800</v>
      </c>
      <c r="Q136" s="31">
        <v>800</v>
      </c>
      <c r="R136" s="31">
        <v>800</v>
      </c>
      <c r="S136" s="31">
        <v>800</v>
      </c>
      <c r="T136" s="31">
        <v>800</v>
      </c>
      <c r="U136" s="31">
        <v>800</v>
      </c>
      <c r="V136" s="31">
        <v>800</v>
      </c>
      <c r="W136" s="31">
        <v>800</v>
      </c>
      <c r="X136" s="31">
        <v>800</v>
      </c>
      <c r="Y136" s="30">
        <f t="shared" si="18"/>
        <v>22600</v>
      </c>
      <c r="Z136">
        <f>VLOOKUP(A136,справочник!$E$2:$F$322,2,FALSE)</f>
        <v>0</v>
      </c>
    </row>
    <row r="137" spans="1:26" ht="25.5" hidden="1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1"/>
        <v>18000</v>
      </c>
      <c r="J137" s="17">
        <f>5000+4000</f>
        <v>9000</v>
      </c>
      <c r="K137" s="17"/>
      <c r="L137" s="30">
        <f t="shared" si="17"/>
        <v>9000</v>
      </c>
      <c r="M137" s="31">
        <v>800</v>
      </c>
      <c r="N137" s="31">
        <v>800</v>
      </c>
      <c r="O137" s="31">
        <v>800</v>
      </c>
      <c r="P137" s="31">
        <v>800</v>
      </c>
      <c r="Q137" s="31">
        <v>800</v>
      </c>
      <c r="R137" s="31">
        <v>800</v>
      </c>
      <c r="S137" s="31">
        <v>800</v>
      </c>
      <c r="T137" s="31">
        <v>800</v>
      </c>
      <c r="U137" s="31">
        <v>800</v>
      </c>
      <c r="V137" s="31">
        <v>800</v>
      </c>
      <c r="W137" s="31">
        <v>800</v>
      </c>
      <c r="X137" s="31">
        <v>800</v>
      </c>
      <c r="Y137" s="30">
        <f t="shared" si="18"/>
        <v>18600</v>
      </c>
      <c r="Z137">
        <f>VLOOKUP(A137,справочник!$E$2:$F$322,2,FALSE)</f>
        <v>0</v>
      </c>
    </row>
    <row r="138" spans="1:26" hidden="1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1"/>
        <v>42000</v>
      </c>
      <c r="J138" s="17">
        <v>23000</v>
      </c>
      <c r="K138" s="17"/>
      <c r="L138" s="30">
        <f t="shared" si="17"/>
        <v>19000</v>
      </c>
      <c r="M138" s="31">
        <v>800</v>
      </c>
      <c r="N138" s="31">
        <v>800</v>
      </c>
      <c r="O138" s="31">
        <v>800</v>
      </c>
      <c r="P138" s="31">
        <v>800</v>
      </c>
      <c r="Q138" s="31">
        <v>800</v>
      </c>
      <c r="R138" s="31">
        <v>800</v>
      </c>
      <c r="S138" s="31">
        <v>800</v>
      </c>
      <c r="T138" s="31">
        <v>800</v>
      </c>
      <c r="U138" s="31">
        <v>800</v>
      </c>
      <c r="V138" s="31">
        <v>800</v>
      </c>
      <c r="W138" s="31">
        <v>800</v>
      </c>
      <c r="X138" s="31">
        <v>800</v>
      </c>
      <c r="Y138" s="30">
        <f t="shared" si="18"/>
        <v>28600</v>
      </c>
      <c r="Z138">
        <f>VLOOKUP(A138,справочник!$E$2:$F$322,2,FALSE)</f>
        <v>0</v>
      </c>
    </row>
    <row r="139" spans="1:26" ht="25.5" hidden="1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2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1"/>
        <v>42000</v>
      </c>
      <c r="J139" s="17">
        <f>25000</f>
        <v>25000</v>
      </c>
      <c r="K139" s="17"/>
      <c r="L139" s="30">
        <f t="shared" si="17"/>
        <v>17000</v>
      </c>
      <c r="M139" s="31">
        <v>800</v>
      </c>
      <c r="N139" s="31">
        <v>800</v>
      </c>
      <c r="O139" s="31">
        <v>800</v>
      </c>
      <c r="P139" s="31">
        <v>800</v>
      </c>
      <c r="Q139" s="31">
        <v>800</v>
      </c>
      <c r="R139" s="31">
        <v>800</v>
      </c>
      <c r="S139" s="31">
        <v>800</v>
      </c>
      <c r="T139" s="31">
        <v>800</v>
      </c>
      <c r="U139" s="31">
        <v>800</v>
      </c>
      <c r="V139" s="31">
        <v>800</v>
      </c>
      <c r="W139" s="31">
        <v>800</v>
      </c>
      <c r="X139" s="31">
        <v>800</v>
      </c>
      <c r="Y139" s="30">
        <f t="shared" si="18"/>
        <v>26600</v>
      </c>
      <c r="Z139">
        <f>VLOOKUP(A139,справочник!$E$2:$F$322,2,FALSE)</f>
        <v>0</v>
      </c>
    </row>
    <row r="140" spans="1:26" hidden="1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30">
        <f t="shared" si="17"/>
        <v>16000</v>
      </c>
      <c r="M140" s="31">
        <v>800</v>
      </c>
      <c r="N140" s="31">
        <v>800</v>
      </c>
      <c r="O140" s="31">
        <v>800</v>
      </c>
      <c r="P140" s="31">
        <v>800</v>
      </c>
      <c r="Q140" s="31">
        <v>800</v>
      </c>
      <c r="R140" s="31">
        <v>800</v>
      </c>
      <c r="S140" s="31">
        <v>800</v>
      </c>
      <c r="T140" s="31">
        <v>800</v>
      </c>
      <c r="U140" s="31">
        <v>800</v>
      </c>
      <c r="V140" s="31">
        <v>800</v>
      </c>
      <c r="W140" s="31">
        <v>800</v>
      </c>
      <c r="X140" s="31">
        <v>800</v>
      </c>
      <c r="Y140" s="30">
        <f t="shared" si="18"/>
        <v>25600</v>
      </c>
      <c r="Z140">
        <f>VLOOKUP(A140,справочник!$E$2:$F$322,2,FALSE)</f>
        <v>0</v>
      </c>
    </row>
    <row r="141" spans="1:26" hidden="1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30">
        <f t="shared" si="17"/>
        <v>5000</v>
      </c>
      <c r="M141" s="31">
        <v>800</v>
      </c>
      <c r="N141" s="31">
        <v>800</v>
      </c>
      <c r="O141" s="31">
        <v>800</v>
      </c>
      <c r="P141" s="31">
        <v>800</v>
      </c>
      <c r="Q141" s="31">
        <v>800</v>
      </c>
      <c r="R141" s="31">
        <v>800</v>
      </c>
      <c r="S141" s="31">
        <v>800</v>
      </c>
      <c r="T141" s="31">
        <v>800</v>
      </c>
      <c r="U141" s="31">
        <v>800</v>
      </c>
      <c r="V141" s="31">
        <v>800</v>
      </c>
      <c r="W141" s="31">
        <v>800</v>
      </c>
      <c r="X141" s="31">
        <v>800</v>
      </c>
      <c r="Y141" s="30">
        <f t="shared" si="18"/>
        <v>14600</v>
      </c>
      <c r="Z141">
        <f>VLOOKUP(A141,справочник!$E$2:$F$322,2,FALSE)</f>
        <v>0</v>
      </c>
    </row>
    <row r="142" spans="1:26" hidden="1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30">
        <f t="shared" si="17"/>
        <v>0</v>
      </c>
      <c r="M142" s="31">
        <v>800</v>
      </c>
      <c r="N142" s="31">
        <v>800</v>
      </c>
      <c r="O142" s="31">
        <v>800</v>
      </c>
      <c r="P142" s="31">
        <v>800</v>
      </c>
      <c r="Q142" s="31">
        <v>800</v>
      </c>
      <c r="R142" s="31">
        <v>800</v>
      </c>
      <c r="S142" s="31">
        <v>800</v>
      </c>
      <c r="T142" s="31">
        <v>800</v>
      </c>
      <c r="U142" s="31">
        <v>800</v>
      </c>
      <c r="V142" s="31">
        <v>800</v>
      </c>
      <c r="W142" s="31">
        <v>800</v>
      </c>
      <c r="X142" s="31">
        <v>800</v>
      </c>
      <c r="Y142" s="30">
        <f t="shared" si="18"/>
        <v>9600</v>
      </c>
      <c r="Z142">
        <f>VLOOKUP(A142,справочник!$E$2:$F$322,2,FALSE)</f>
        <v>0</v>
      </c>
    </row>
    <row r="143" spans="1:26" hidden="1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30">
        <f t="shared" si="17"/>
        <v>24000</v>
      </c>
      <c r="M143" s="31">
        <v>800</v>
      </c>
      <c r="N143" s="31">
        <v>800</v>
      </c>
      <c r="O143" s="31">
        <v>800</v>
      </c>
      <c r="P143" s="31">
        <v>800</v>
      </c>
      <c r="Q143" s="31">
        <v>800</v>
      </c>
      <c r="R143" s="31">
        <v>800</v>
      </c>
      <c r="S143" s="31">
        <v>800</v>
      </c>
      <c r="T143" s="31">
        <v>800</v>
      </c>
      <c r="U143" s="31">
        <v>800</v>
      </c>
      <c r="V143" s="31">
        <v>800</v>
      </c>
      <c r="W143" s="31">
        <v>800</v>
      </c>
      <c r="X143" s="31">
        <v>800</v>
      </c>
      <c r="Y143" s="30">
        <f t="shared" si="18"/>
        <v>33600</v>
      </c>
      <c r="Z143">
        <f>VLOOKUP(A143,справочник!$E$2:$F$322,2,FALSE)</f>
        <v>0</v>
      </c>
    </row>
    <row r="144" spans="1:26" hidden="1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2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30">
        <f t="shared" si="17"/>
        <v>17000</v>
      </c>
      <c r="M144" s="31">
        <v>800</v>
      </c>
      <c r="N144" s="31">
        <v>800</v>
      </c>
      <c r="O144" s="31">
        <v>800</v>
      </c>
      <c r="P144" s="31">
        <v>800</v>
      </c>
      <c r="Q144" s="31">
        <v>800</v>
      </c>
      <c r="R144" s="31">
        <v>800</v>
      </c>
      <c r="S144" s="31">
        <v>800</v>
      </c>
      <c r="T144" s="31">
        <v>800</v>
      </c>
      <c r="U144" s="31">
        <v>800</v>
      </c>
      <c r="V144" s="31">
        <v>800</v>
      </c>
      <c r="W144" s="31">
        <v>800</v>
      </c>
      <c r="X144" s="31">
        <v>800</v>
      </c>
      <c r="Y144" s="30">
        <f t="shared" si="18"/>
        <v>26600</v>
      </c>
      <c r="Z144">
        <f>VLOOKUP(A144,справочник!$E$2:$F$322,2,FALSE)</f>
        <v>0</v>
      </c>
    </row>
    <row r="145" spans="1:26" hidden="1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30">
        <f t="shared" si="17"/>
        <v>9000</v>
      </c>
      <c r="M145" s="31">
        <v>800</v>
      </c>
      <c r="N145" s="31">
        <v>800</v>
      </c>
      <c r="O145" s="31">
        <v>800</v>
      </c>
      <c r="P145" s="31">
        <v>800</v>
      </c>
      <c r="Q145" s="31">
        <v>800</v>
      </c>
      <c r="R145" s="31">
        <v>800</v>
      </c>
      <c r="S145" s="31">
        <v>800</v>
      </c>
      <c r="T145" s="31">
        <v>800</v>
      </c>
      <c r="U145" s="31">
        <v>800</v>
      </c>
      <c r="V145" s="31">
        <v>800</v>
      </c>
      <c r="W145" s="31">
        <v>800</v>
      </c>
      <c r="X145" s="31">
        <v>800</v>
      </c>
      <c r="Y145" s="30">
        <f t="shared" si="18"/>
        <v>18600</v>
      </c>
      <c r="Z145">
        <f>VLOOKUP(A145,справочник!$E$2:$F$322,2,FALSE)</f>
        <v>0</v>
      </c>
    </row>
    <row r="146" spans="1:26" hidden="1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30">
        <f t="shared" si="17"/>
        <v>13000</v>
      </c>
      <c r="M146" s="31">
        <v>800</v>
      </c>
      <c r="N146" s="31">
        <v>800</v>
      </c>
      <c r="O146" s="31">
        <v>800</v>
      </c>
      <c r="P146" s="31">
        <v>800</v>
      </c>
      <c r="Q146" s="31">
        <v>800</v>
      </c>
      <c r="R146" s="31">
        <v>800</v>
      </c>
      <c r="S146" s="31">
        <v>800</v>
      </c>
      <c r="T146" s="31">
        <v>800</v>
      </c>
      <c r="U146" s="31">
        <v>800</v>
      </c>
      <c r="V146" s="31">
        <v>800</v>
      </c>
      <c r="W146" s="31">
        <v>800</v>
      </c>
      <c r="X146" s="31">
        <v>800</v>
      </c>
      <c r="Y146" s="30">
        <f t="shared" si="18"/>
        <v>22600</v>
      </c>
      <c r="Z146">
        <f>VLOOKUP(A146,справочник!$E$2:$F$322,2,FALSE)</f>
        <v>0</v>
      </c>
    </row>
    <row r="147" spans="1:26" hidden="1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30">
        <f t="shared" si="17"/>
        <v>0</v>
      </c>
      <c r="M147" s="31">
        <v>800</v>
      </c>
      <c r="N147" s="31">
        <v>800</v>
      </c>
      <c r="O147" s="31">
        <v>800</v>
      </c>
      <c r="P147" s="31">
        <v>800</v>
      </c>
      <c r="Q147" s="31">
        <v>800</v>
      </c>
      <c r="R147" s="31">
        <v>800</v>
      </c>
      <c r="S147" s="31">
        <v>800</v>
      </c>
      <c r="T147" s="31">
        <v>800</v>
      </c>
      <c r="U147" s="31">
        <v>800</v>
      </c>
      <c r="V147" s="31">
        <v>800</v>
      </c>
      <c r="W147" s="31">
        <v>800</v>
      </c>
      <c r="X147" s="31">
        <v>800</v>
      </c>
      <c r="Y147" s="30">
        <f t="shared" si="18"/>
        <v>9600</v>
      </c>
      <c r="Z147">
        <f>VLOOKUP(A147,справочник!$E$2:$F$322,2,FALSE)</f>
        <v>0</v>
      </c>
    </row>
    <row r="148" spans="1:26" hidden="1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2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30">
        <f t="shared" si="17"/>
        <v>16000</v>
      </c>
      <c r="M148" s="31">
        <v>800</v>
      </c>
      <c r="N148" s="31">
        <v>800</v>
      </c>
      <c r="O148" s="31">
        <v>800</v>
      </c>
      <c r="P148" s="31">
        <v>800</v>
      </c>
      <c r="Q148" s="31">
        <v>800</v>
      </c>
      <c r="R148" s="31">
        <v>800</v>
      </c>
      <c r="S148" s="31">
        <v>800</v>
      </c>
      <c r="T148" s="31">
        <v>800</v>
      </c>
      <c r="U148" s="31">
        <v>800</v>
      </c>
      <c r="V148" s="31">
        <v>800</v>
      </c>
      <c r="W148" s="31">
        <v>800</v>
      </c>
      <c r="X148" s="31">
        <v>800</v>
      </c>
      <c r="Y148" s="30">
        <f t="shared" si="18"/>
        <v>25600</v>
      </c>
      <c r="Z148">
        <f>VLOOKUP(A148,справочник!$E$2:$F$322,2,FALSE)</f>
        <v>0</v>
      </c>
    </row>
    <row r="149" spans="1:26" hidden="1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2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30">
        <f t="shared" si="17"/>
        <v>11000</v>
      </c>
      <c r="M149" s="31">
        <v>800</v>
      </c>
      <c r="N149" s="31">
        <v>800</v>
      </c>
      <c r="O149" s="31">
        <v>800</v>
      </c>
      <c r="P149" s="31">
        <v>800</v>
      </c>
      <c r="Q149" s="31">
        <v>800</v>
      </c>
      <c r="R149" s="31">
        <v>800</v>
      </c>
      <c r="S149" s="31">
        <v>800</v>
      </c>
      <c r="T149" s="31">
        <v>800</v>
      </c>
      <c r="U149" s="31">
        <v>800</v>
      </c>
      <c r="V149" s="31">
        <v>800</v>
      </c>
      <c r="W149" s="31">
        <v>800</v>
      </c>
      <c r="X149" s="31">
        <v>800</v>
      </c>
      <c r="Y149" s="30">
        <f t="shared" si="18"/>
        <v>20600</v>
      </c>
      <c r="Z149">
        <f>VLOOKUP(A149,справочник!$E$2:$F$322,2,FALSE)</f>
        <v>0</v>
      </c>
    </row>
    <row r="150" spans="1:26" hidden="1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2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30">
        <f t="shared" si="17"/>
        <v>24000</v>
      </c>
      <c r="M150" s="31">
        <v>800</v>
      </c>
      <c r="N150" s="31">
        <v>800</v>
      </c>
      <c r="O150" s="31">
        <v>800</v>
      </c>
      <c r="P150" s="31">
        <v>800</v>
      </c>
      <c r="Q150" s="31">
        <v>800</v>
      </c>
      <c r="R150" s="31">
        <v>800</v>
      </c>
      <c r="S150" s="31">
        <v>800</v>
      </c>
      <c r="T150" s="31">
        <v>800</v>
      </c>
      <c r="U150" s="31">
        <v>800</v>
      </c>
      <c r="V150" s="31">
        <v>800</v>
      </c>
      <c r="W150" s="31">
        <v>800</v>
      </c>
      <c r="X150" s="31">
        <v>800</v>
      </c>
      <c r="Y150" s="30">
        <f t="shared" si="18"/>
        <v>33600</v>
      </c>
      <c r="Z150">
        <f>VLOOKUP(A150,справочник!$E$2:$F$322,2,FALSE)</f>
        <v>0</v>
      </c>
    </row>
    <row r="151" spans="1:26" hidden="1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30">
        <f t="shared" si="17"/>
        <v>4000</v>
      </c>
      <c r="M151" s="31">
        <v>800</v>
      </c>
      <c r="N151" s="31">
        <v>800</v>
      </c>
      <c r="O151" s="31">
        <v>800</v>
      </c>
      <c r="P151" s="31">
        <v>800</v>
      </c>
      <c r="Q151" s="31">
        <v>800</v>
      </c>
      <c r="R151" s="31">
        <v>800</v>
      </c>
      <c r="S151" s="31">
        <v>800</v>
      </c>
      <c r="T151" s="31">
        <v>800</v>
      </c>
      <c r="U151" s="31">
        <v>800</v>
      </c>
      <c r="V151" s="31">
        <v>800</v>
      </c>
      <c r="W151" s="31">
        <v>800</v>
      </c>
      <c r="X151" s="31">
        <v>800</v>
      </c>
      <c r="Y151" s="30">
        <f t="shared" si="18"/>
        <v>13600</v>
      </c>
      <c r="Z151">
        <f>VLOOKUP(A151,справочник!$E$2:$F$322,2,FALSE)</f>
        <v>0</v>
      </c>
    </row>
    <row r="152" spans="1:26" hidden="1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30">
        <f t="shared" si="17"/>
        <v>20000</v>
      </c>
      <c r="M152" s="31">
        <v>800</v>
      </c>
      <c r="N152" s="31">
        <v>800</v>
      </c>
      <c r="O152" s="31">
        <v>800</v>
      </c>
      <c r="P152" s="31">
        <v>800</v>
      </c>
      <c r="Q152" s="31">
        <v>800</v>
      </c>
      <c r="R152" s="31">
        <v>800</v>
      </c>
      <c r="S152" s="31">
        <v>800</v>
      </c>
      <c r="T152" s="31">
        <v>800</v>
      </c>
      <c r="U152" s="31">
        <v>800</v>
      </c>
      <c r="V152" s="31">
        <v>800</v>
      </c>
      <c r="W152" s="31">
        <v>800</v>
      </c>
      <c r="X152" s="31">
        <v>800</v>
      </c>
      <c r="Y152" s="30">
        <f t="shared" si="18"/>
        <v>29600</v>
      </c>
      <c r="Z152">
        <f>VLOOKUP(A152,справочник!$E$2:$F$322,2,FALSE)</f>
        <v>0</v>
      </c>
    </row>
    <row r="153" spans="1:26" hidden="1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30">
        <f t="shared" si="17"/>
        <v>0</v>
      </c>
      <c r="M153" s="31">
        <v>800</v>
      </c>
      <c r="N153" s="31">
        <v>800</v>
      </c>
      <c r="O153" s="31">
        <v>800</v>
      </c>
      <c r="P153" s="31">
        <v>800</v>
      </c>
      <c r="Q153" s="31">
        <v>800</v>
      </c>
      <c r="R153" s="31">
        <v>800</v>
      </c>
      <c r="S153" s="31">
        <v>800</v>
      </c>
      <c r="T153" s="31">
        <v>800</v>
      </c>
      <c r="U153" s="31">
        <v>800</v>
      </c>
      <c r="V153" s="31">
        <v>800</v>
      </c>
      <c r="W153" s="31">
        <v>800</v>
      </c>
      <c r="X153" s="31">
        <v>800</v>
      </c>
      <c r="Y153" s="30">
        <f t="shared" si="18"/>
        <v>9600</v>
      </c>
      <c r="Z153">
        <f>VLOOKUP(A153,справочник!$E$2:$F$322,2,FALSE)</f>
        <v>1</v>
      </c>
    </row>
    <row r="154" spans="1:26" hidden="1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30">
        <f t="shared" si="17"/>
        <v>0</v>
      </c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0">
        <f t="shared" si="18"/>
        <v>0</v>
      </c>
      <c r="Z154">
        <f>VLOOKUP(A154,справочник!$E$2:$F$322,2,FALSE)</f>
        <v>1</v>
      </c>
    </row>
    <row r="155" spans="1:26" hidden="1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30">
        <f t="shared" si="17"/>
        <v>53000</v>
      </c>
      <c r="M155" s="31">
        <v>800</v>
      </c>
      <c r="N155" s="31">
        <v>800</v>
      </c>
      <c r="O155" s="31">
        <v>800</v>
      </c>
      <c r="P155" s="31">
        <v>800</v>
      </c>
      <c r="Q155" s="31">
        <v>800</v>
      </c>
      <c r="R155" s="31">
        <v>800</v>
      </c>
      <c r="S155" s="31">
        <v>800</v>
      </c>
      <c r="T155" s="31">
        <v>800</v>
      </c>
      <c r="U155" s="31">
        <v>800</v>
      </c>
      <c r="V155" s="31">
        <v>800</v>
      </c>
      <c r="W155" s="31">
        <v>800</v>
      </c>
      <c r="X155" s="31">
        <v>800</v>
      </c>
      <c r="Y155" s="30">
        <f t="shared" si="18"/>
        <v>62600</v>
      </c>
      <c r="Z155">
        <f>VLOOKUP(A155,справочник!$E$2:$F$322,2,FALSE)</f>
        <v>0</v>
      </c>
    </row>
    <row r="156" spans="1:26" hidden="1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30">
        <f t="shared" si="17"/>
        <v>30000</v>
      </c>
      <c r="M156" s="31">
        <v>800</v>
      </c>
      <c r="N156" s="31">
        <v>800</v>
      </c>
      <c r="O156" s="31">
        <v>800</v>
      </c>
      <c r="P156" s="31">
        <v>800</v>
      </c>
      <c r="Q156" s="31">
        <v>800</v>
      </c>
      <c r="R156" s="31">
        <v>800</v>
      </c>
      <c r="S156" s="31">
        <v>800</v>
      </c>
      <c r="T156" s="31">
        <v>800</v>
      </c>
      <c r="U156" s="31">
        <v>800</v>
      </c>
      <c r="V156" s="31">
        <v>800</v>
      </c>
      <c r="W156" s="31">
        <v>800</v>
      </c>
      <c r="X156" s="31">
        <v>800</v>
      </c>
      <c r="Y156" s="30">
        <f t="shared" si="18"/>
        <v>39600</v>
      </c>
      <c r="Z156">
        <f>VLOOKUP(A156,справочник!$E$2:$F$322,2,FALSE)</f>
        <v>0</v>
      </c>
    </row>
    <row r="157" spans="1:26" hidden="1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30">
        <f t="shared" si="17"/>
        <v>6000</v>
      </c>
      <c r="M157" s="31">
        <v>800</v>
      </c>
      <c r="N157" s="31">
        <v>800</v>
      </c>
      <c r="O157" s="31">
        <v>800</v>
      </c>
      <c r="P157" s="31">
        <v>800</v>
      </c>
      <c r="Q157" s="31">
        <v>800</v>
      </c>
      <c r="R157" s="31">
        <v>800</v>
      </c>
      <c r="S157" s="31">
        <v>800</v>
      </c>
      <c r="T157" s="31">
        <v>800</v>
      </c>
      <c r="U157" s="31">
        <v>800</v>
      </c>
      <c r="V157" s="31">
        <v>800</v>
      </c>
      <c r="W157" s="31">
        <v>800</v>
      </c>
      <c r="X157" s="31">
        <v>800</v>
      </c>
      <c r="Y157" s="30">
        <f t="shared" si="18"/>
        <v>15600</v>
      </c>
      <c r="Z157">
        <f>VLOOKUP(A157,справочник!$E$2:$F$322,2,FALSE)</f>
        <v>0</v>
      </c>
    </row>
    <row r="158" spans="1:26" hidden="1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30">
        <f t="shared" si="17"/>
        <v>17000</v>
      </c>
      <c r="M158" s="31">
        <v>800</v>
      </c>
      <c r="N158" s="31">
        <v>800</v>
      </c>
      <c r="O158" s="31">
        <v>800</v>
      </c>
      <c r="P158" s="31">
        <v>800</v>
      </c>
      <c r="Q158" s="31">
        <v>800</v>
      </c>
      <c r="R158" s="31">
        <v>800</v>
      </c>
      <c r="S158" s="31">
        <v>800</v>
      </c>
      <c r="T158" s="31">
        <v>800</v>
      </c>
      <c r="U158" s="31">
        <v>800</v>
      </c>
      <c r="V158" s="31">
        <v>800</v>
      </c>
      <c r="W158" s="31">
        <v>800</v>
      </c>
      <c r="X158" s="31">
        <v>800</v>
      </c>
      <c r="Y158" s="30">
        <f t="shared" si="18"/>
        <v>26600</v>
      </c>
      <c r="Z158">
        <f>VLOOKUP(A158,справочник!$E$2:$F$322,2,FALSE)</f>
        <v>0</v>
      </c>
    </row>
    <row r="159" spans="1:26" hidden="1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30">
        <f t="shared" si="17"/>
        <v>21000</v>
      </c>
      <c r="M159" s="31">
        <v>800</v>
      </c>
      <c r="N159" s="31">
        <v>800</v>
      </c>
      <c r="O159" s="31">
        <v>800</v>
      </c>
      <c r="P159" s="31">
        <v>800</v>
      </c>
      <c r="Q159" s="31">
        <v>800</v>
      </c>
      <c r="R159" s="31">
        <v>800</v>
      </c>
      <c r="S159" s="31">
        <v>800</v>
      </c>
      <c r="T159" s="31">
        <v>800</v>
      </c>
      <c r="U159" s="31">
        <v>800</v>
      </c>
      <c r="V159" s="31">
        <v>800</v>
      </c>
      <c r="W159" s="31">
        <v>800</v>
      </c>
      <c r="X159" s="31">
        <v>800</v>
      </c>
      <c r="Y159" s="30">
        <f t="shared" si="18"/>
        <v>30600</v>
      </c>
      <c r="Z159">
        <f>VLOOKUP(A159,справочник!$E$2:$F$322,2,FALSE)</f>
        <v>0</v>
      </c>
    </row>
    <row r="160" spans="1:26" hidden="1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30">
        <f t="shared" si="17"/>
        <v>22000</v>
      </c>
      <c r="M160" s="31">
        <v>800</v>
      </c>
      <c r="N160" s="31">
        <v>800</v>
      </c>
      <c r="O160" s="31">
        <v>800</v>
      </c>
      <c r="P160" s="31">
        <v>800</v>
      </c>
      <c r="Q160" s="31">
        <v>800</v>
      </c>
      <c r="R160" s="31">
        <v>800</v>
      </c>
      <c r="S160" s="31">
        <v>800</v>
      </c>
      <c r="T160" s="31">
        <v>800</v>
      </c>
      <c r="U160" s="31">
        <v>800</v>
      </c>
      <c r="V160" s="31">
        <v>800</v>
      </c>
      <c r="W160" s="31">
        <v>800</v>
      </c>
      <c r="X160" s="31">
        <v>800</v>
      </c>
      <c r="Y160" s="30">
        <f t="shared" si="18"/>
        <v>31600</v>
      </c>
      <c r="Z160">
        <f>VLOOKUP(A160,справочник!$E$2:$F$322,2,FALSE)</f>
        <v>0</v>
      </c>
    </row>
    <row r="161" spans="1:26" hidden="1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1">
        <v>149</v>
      </c>
      <c r="D161" s="2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32">
        <f t="shared" si="17"/>
        <v>0</v>
      </c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0">
        <f t="shared" si="18"/>
        <v>0</v>
      </c>
      <c r="Z161">
        <f>VLOOKUP(A161,справочник!$E$2:$F$322,2,FALSE)</f>
        <v>1</v>
      </c>
    </row>
    <row r="162" spans="1:26" hidden="1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1">
        <v>147</v>
      </c>
      <c r="D162" s="2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32">
        <f t="shared" si="17"/>
        <v>0</v>
      </c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0">
        <f t="shared" si="18"/>
        <v>0</v>
      </c>
      <c r="Z162">
        <f>VLOOKUP(A162,справочник!$E$2:$F$322,2,FALSE)</f>
        <v>1</v>
      </c>
    </row>
    <row r="163" spans="1:26" hidden="1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1">
        <v>148</v>
      </c>
      <c r="D163" s="2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32">
        <f t="shared" si="17"/>
        <v>39000</v>
      </c>
      <c r="M163" s="31">
        <v>800</v>
      </c>
      <c r="N163" s="31">
        <v>800</v>
      </c>
      <c r="O163" s="31">
        <v>800</v>
      </c>
      <c r="P163" s="31">
        <v>800</v>
      </c>
      <c r="Q163" s="31">
        <v>800</v>
      </c>
      <c r="R163" s="31">
        <v>800</v>
      </c>
      <c r="S163" s="31">
        <v>800</v>
      </c>
      <c r="T163" s="31">
        <v>800</v>
      </c>
      <c r="U163" s="31">
        <v>800</v>
      </c>
      <c r="V163" s="31">
        <v>800</v>
      </c>
      <c r="W163" s="31">
        <v>800</v>
      </c>
      <c r="X163" s="31">
        <v>800</v>
      </c>
      <c r="Y163" s="30">
        <f t="shared" si="18"/>
        <v>48600</v>
      </c>
      <c r="Z163">
        <f>VLOOKUP(A163,справочник!$E$2:$F$322,2,FALSE)</f>
        <v>1</v>
      </c>
    </row>
    <row r="164" spans="1:26" hidden="1">
      <c r="A164" s="41">
        <f>VLOOKUP(B164,справочник!$B$2:$E$322,4,FALSE)</f>
        <v>261</v>
      </c>
      <c r="B164" t="str">
        <f t="shared" si="15"/>
        <v>274Леськов Олег Петрович</v>
      </c>
      <c r="C164" s="1">
        <v>274</v>
      </c>
      <c r="D164" s="2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32">
        <f t="shared" si="17"/>
        <v>13000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0">
        <f t="shared" si="18"/>
        <v>13000</v>
      </c>
      <c r="Z164">
        <f>VLOOKUP(A164,справочник!$E$2:$F$322,2,FALSE)</f>
        <v>1</v>
      </c>
    </row>
    <row r="165" spans="1:26" hidden="1">
      <c r="A165" s="41">
        <f>VLOOKUP(B165,справочник!$B$2:$E$322,4,FALSE)</f>
        <v>261</v>
      </c>
      <c r="B165" t="str">
        <f t="shared" si="15"/>
        <v>275Леськов Олег Петрович</v>
      </c>
      <c r="C165" s="1">
        <v>275</v>
      </c>
      <c r="D165" s="2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32">
        <f t="shared" si="17"/>
        <v>17000</v>
      </c>
      <c r="M165" s="31">
        <v>800</v>
      </c>
      <c r="N165" s="31">
        <v>800</v>
      </c>
      <c r="O165" s="31">
        <v>800</v>
      </c>
      <c r="P165" s="31">
        <v>800</v>
      </c>
      <c r="Q165" s="31">
        <v>800</v>
      </c>
      <c r="R165" s="31">
        <v>800</v>
      </c>
      <c r="S165" s="31">
        <v>800</v>
      </c>
      <c r="T165" s="31">
        <v>800</v>
      </c>
      <c r="U165" s="31">
        <v>800</v>
      </c>
      <c r="V165" s="31">
        <v>800</v>
      </c>
      <c r="W165" s="31">
        <v>800</v>
      </c>
      <c r="X165" s="31">
        <v>800</v>
      </c>
      <c r="Y165" s="30">
        <f t="shared" si="18"/>
        <v>26600</v>
      </c>
      <c r="Z165">
        <f>VLOOKUP(A165,справочник!$E$2:$F$322,2,FALSE)</f>
        <v>1</v>
      </c>
    </row>
    <row r="166" spans="1:26" hidden="1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30">
        <f t="shared" si="17"/>
        <v>28000</v>
      </c>
      <c r="M166" s="31">
        <v>800</v>
      </c>
      <c r="N166" s="31">
        <v>800</v>
      </c>
      <c r="O166" s="31">
        <v>800</v>
      </c>
      <c r="P166" s="31">
        <v>800</v>
      </c>
      <c r="Q166" s="31">
        <v>800</v>
      </c>
      <c r="R166" s="31">
        <v>800</v>
      </c>
      <c r="S166" s="31">
        <v>800</v>
      </c>
      <c r="T166" s="31">
        <v>800</v>
      </c>
      <c r="U166" s="31">
        <v>800</v>
      </c>
      <c r="V166" s="31">
        <v>800</v>
      </c>
      <c r="W166" s="31">
        <v>800</v>
      </c>
      <c r="X166" s="31">
        <v>800</v>
      </c>
      <c r="Y166" s="30">
        <f t="shared" si="18"/>
        <v>37600</v>
      </c>
      <c r="Z166">
        <f>VLOOKUP(A166,справочник!$E$2:$F$322,2,FALSE)</f>
        <v>0</v>
      </c>
    </row>
    <row r="167" spans="1:26" hidden="1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30">
        <f t="shared" si="17"/>
        <v>12000</v>
      </c>
      <c r="M167" s="31">
        <v>800</v>
      </c>
      <c r="N167" s="31">
        <v>800</v>
      </c>
      <c r="O167" s="31">
        <v>800</v>
      </c>
      <c r="P167" s="31">
        <v>800</v>
      </c>
      <c r="Q167" s="31">
        <v>800</v>
      </c>
      <c r="R167" s="31">
        <v>800</v>
      </c>
      <c r="S167" s="31">
        <v>800</v>
      </c>
      <c r="T167" s="31">
        <v>800</v>
      </c>
      <c r="U167" s="31">
        <v>800</v>
      </c>
      <c r="V167" s="31">
        <v>800</v>
      </c>
      <c r="W167" s="31">
        <v>800</v>
      </c>
      <c r="X167" s="31">
        <v>800</v>
      </c>
      <c r="Y167" s="30">
        <f t="shared" si="18"/>
        <v>21600</v>
      </c>
      <c r="Z167">
        <f>VLOOKUP(A167,справочник!$E$2:$F$322,2,FALSE)</f>
        <v>0</v>
      </c>
    </row>
    <row r="168" spans="1:26" hidden="1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30">
        <f t="shared" si="17"/>
        <v>7000</v>
      </c>
      <c r="M168" s="31">
        <v>800</v>
      </c>
      <c r="N168" s="31">
        <v>800</v>
      </c>
      <c r="O168" s="31">
        <v>800</v>
      </c>
      <c r="P168" s="31">
        <v>800</v>
      </c>
      <c r="Q168" s="31">
        <v>800</v>
      </c>
      <c r="R168" s="31">
        <v>800</v>
      </c>
      <c r="S168" s="31">
        <v>800</v>
      </c>
      <c r="T168" s="31">
        <v>800</v>
      </c>
      <c r="U168" s="31">
        <v>800</v>
      </c>
      <c r="V168" s="31">
        <v>800</v>
      </c>
      <c r="W168" s="31">
        <v>800</v>
      </c>
      <c r="X168" s="31">
        <v>800</v>
      </c>
      <c r="Y168" s="30">
        <f t="shared" si="18"/>
        <v>16600</v>
      </c>
      <c r="Z168">
        <f>VLOOKUP(A168,справочник!$E$2:$F$322,2,FALSE)</f>
        <v>0</v>
      </c>
    </row>
    <row r="169" spans="1:26" hidden="1">
      <c r="A169" s="41">
        <f>VLOOKUP(B169,справочник!$B$2:$E$322,4,FALSE)</f>
        <v>199</v>
      </c>
      <c r="B169" t="str">
        <f t="shared" si="15"/>
        <v>207Лошкарев Виктор Ильич</v>
      </c>
      <c r="C169" s="1">
        <v>207</v>
      </c>
      <c r="D169" s="2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32">
        <f t="shared" si="17"/>
        <v>43000</v>
      </c>
      <c r="M169" s="31">
        <v>800</v>
      </c>
      <c r="N169" s="31">
        <v>800</v>
      </c>
      <c r="O169" s="31">
        <v>800</v>
      </c>
      <c r="P169" s="31">
        <v>800</v>
      </c>
      <c r="Q169" s="31">
        <v>800</v>
      </c>
      <c r="R169" s="31">
        <v>800</v>
      </c>
      <c r="S169" s="31">
        <v>800</v>
      </c>
      <c r="T169" s="31">
        <v>800</v>
      </c>
      <c r="U169" s="31">
        <v>800</v>
      </c>
      <c r="V169" s="31">
        <v>800</v>
      </c>
      <c r="W169" s="31">
        <v>800</v>
      </c>
      <c r="X169" s="31">
        <v>800</v>
      </c>
      <c r="Y169" s="30">
        <f t="shared" si="18"/>
        <v>52600</v>
      </c>
      <c r="Z169">
        <f>VLOOKUP(A169,справочник!$E$2:$F$322,2,FALSE)</f>
        <v>1</v>
      </c>
    </row>
    <row r="170" spans="1:26" hidden="1">
      <c r="A170" s="41">
        <f>VLOOKUP(B170,справочник!$B$2:$E$322,4,FALSE)</f>
        <v>199</v>
      </c>
      <c r="B170" t="str">
        <f t="shared" si="15"/>
        <v>208Лошкарев Виктор Ильич</v>
      </c>
      <c r="C170" s="1">
        <v>208</v>
      </c>
      <c r="D170" s="2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32">
        <f t="shared" si="17"/>
        <v>43000</v>
      </c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0">
        <f t="shared" si="18"/>
        <v>43000</v>
      </c>
      <c r="Z170">
        <f>VLOOKUP(A170,справочник!$E$2:$F$322,2,FALSE)</f>
        <v>1</v>
      </c>
    </row>
    <row r="171" spans="1:26" hidden="1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30">
        <f t="shared" si="17"/>
        <v>25000</v>
      </c>
      <c r="M171" s="31">
        <v>800</v>
      </c>
      <c r="N171" s="31">
        <v>800</v>
      </c>
      <c r="O171" s="31">
        <v>800</v>
      </c>
      <c r="P171" s="31">
        <v>800</v>
      </c>
      <c r="Q171" s="31">
        <v>800</v>
      </c>
      <c r="R171" s="31">
        <v>800</v>
      </c>
      <c r="S171" s="31">
        <v>800</v>
      </c>
      <c r="T171" s="31">
        <v>800</v>
      </c>
      <c r="U171" s="31">
        <v>800</v>
      </c>
      <c r="V171" s="31">
        <v>800</v>
      </c>
      <c r="W171" s="31">
        <v>800</v>
      </c>
      <c r="X171" s="31">
        <v>800</v>
      </c>
      <c r="Y171" s="30">
        <f t="shared" si="18"/>
        <v>34600</v>
      </c>
      <c r="Z171">
        <f>VLOOKUP(A171,справочник!$E$2:$F$322,2,FALSE)</f>
        <v>0</v>
      </c>
    </row>
    <row r="172" spans="1:26" hidden="1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30">
        <f t="shared" si="17"/>
        <v>-3000</v>
      </c>
      <c r="M172" s="31">
        <v>800</v>
      </c>
      <c r="N172" s="31">
        <v>800</v>
      </c>
      <c r="O172" s="31">
        <v>800</v>
      </c>
      <c r="P172" s="31">
        <v>800</v>
      </c>
      <c r="Q172" s="31">
        <v>800</v>
      </c>
      <c r="R172" s="31">
        <v>800</v>
      </c>
      <c r="S172" s="31">
        <v>800</v>
      </c>
      <c r="T172" s="31">
        <v>800</v>
      </c>
      <c r="U172" s="31">
        <v>800</v>
      </c>
      <c r="V172" s="31">
        <v>800</v>
      </c>
      <c r="W172" s="31">
        <v>800</v>
      </c>
      <c r="X172" s="31">
        <v>800</v>
      </c>
      <c r="Y172" s="30">
        <f t="shared" si="18"/>
        <v>6600</v>
      </c>
      <c r="Z172">
        <f>VLOOKUP(A172,справочник!$E$2:$F$322,2,FALSE)</f>
        <v>0</v>
      </c>
    </row>
    <row r="173" spans="1:26" hidden="1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30">
        <f t="shared" si="17"/>
        <v>16000</v>
      </c>
      <c r="M173" s="31">
        <v>800</v>
      </c>
      <c r="N173" s="31">
        <v>800</v>
      </c>
      <c r="O173" s="31">
        <v>800</v>
      </c>
      <c r="P173" s="31">
        <v>800</v>
      </c>
      <c r="Q173" s="31">
        <v>800</v>
      </c>
      <c r="R173" s="31">
        <v>800</v>
      </c>
      <c r="S173" s="31">
        <v>800</v>
      </c>
      <c r="T173" s="31">
        <v>800</v>
      </c>
      <c r="U173" s="31">
        <v>800</v>
      </c>
      <c r="V173" s="31">
        <v>800</v>
      </c>
      <c r="W173" s="31">
        <v>800</v>
      </c>
      <c r="X173" s="31">
        <v>800</v>
      </c>
      <c r="Y173" s="30">
        <f t="shared" si="18"/>
        <v>25600</v>
      </c>
      <c r="Z173">
        <f>VLOOKUP(A173,справочник!$E$2:$F$322,2,FALSE)</f>
        <v>0</v>
      </c>
    </row>
    <row r="174" spans="1:26" hidden="1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30">
        <f t="shared" si="17"/>
        <v>4000</v>
      </c>
      <c r="M174" s="31">
        <v>800</v>
      </c>
      <c r="N174" s="31">
        <v>800</v>
      </c>
      <c r="O174" s="31">
        <v>800</v>
      </c>
      <c r="P174" s="31">
        <v>800</v>
      </c>
      <c r="Q174" s="31">
        <v>800</v>
      </c>
      <c r="R174" s="31">
        <v>800</v>
      </c>
      <c r="S174" s="31">
        <v>800</v>
      </c>
      <c r="T174" s="31">
        <v>800</v>
      </c>
      <c r="U174" s="31">
        <v>800</v>
      </c>
      <c r="V174" s="31">
        <v>800</v>
      </c>
      <c r="W174" s="31">
        <v>800</v>
      </c>
      <c r="X174" s="31">
        <v>800</v>
      </c>
      <c r="Y174" s="30">
        <f t="shared" si="18"/>
        <v>13600</v>
      </c>
      <c r="Z174">
        <f>VLOOKUP(A174,справочник!$E$2:$F$322,2,FALSE)</f>
        <v>0</v>
      </c>
    </row>
    <row r="175" spans="1:26" hidden="1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2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30">
        <f t="shared" si="17"/>
        <v>3000</v>
      </c>
      <c r="M175" s="31">
        <v>800</v>
      </c>
      <c r="N175" s="31">
        <v>800</v>
      </c>
      <c r="O175" s="31">
        <v>800</v>
      </c>
      <c r="P175" s="31">
        <v>800</v>
      </c>
      <c r="Q175" s="31">
        <v>800</v>
      </c>
      <c r="R175" s="31">
        <v>800</v>
      </c>
      <c r="S175" s="31">
        <v>800</v>
      </c>
      <c r="T175" s="31">
        <v>800</v>
      </c>
      <c r="U175" s="31">
        <v>800</v>
      </c>
      <c r="V175" s="31">
        <v>800</v>
      </c>
      <c r="W175" s="31">
        <v>800</v>
      </c>
      <c r="X175" s="31">
        <v>800</v>
      </c>
      <c r="Y175" s="30">
        <f t="shared" si="18"/>
        <v>12600</v>
      </c>
      <c r="Z175">
        <f>VLOOKUP(A175,справочник!$E$2:$F$322,2,FALSE)</f>
        <v>0</v>
      </c>
    </row>
    <row r="176" spans="1:26" hidden="1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30">
        <f t="shared" si="17"/>
        <v>4000</v>
      </c>
      <c r="M176" s="31">
        <v>800</v>
      </c>
      <c r="N176" s="31">
        <v>800</v>
      </c>
      <c r="O176" s="31">
        <v>800</v>
      </c>
      <c r="P176" s="31">
        <v>800</v>
      </c>
      <c r="Q176" s="31">
        <v>800</v>
      </c>
      <c r="R176" s="31">
        <v>800</v>
      </c>
      <c r="S176" s="31">
        <v>800</v>
      </c>
      <c r="T176" s="31">
        <v>800</v>
      </c>
      <c r="U176" s="31">
        <v>800</v>
      </c>
      <c r="V176" s="31">
        <v>800</v>
      </c>
      <c r="W176" s="31">
        <v>800</v>
      </c>
      <c r="X176" s="31">
        <v>800</v>
      </c>
      <c r="Y176" s="30">
        <f t="shared" si="18"/>
        <v>13600</v>
      </c>
      <c r="Z176">
        <f>VLOOKUP(A176,справочник!$E$2:$F$322,2,FALSE)</f>
        <v>0</v>
      </c>
    </row>
    <row r="177" spans="1:26" hidden="1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30">
        <f t="shared" si="17"/>
        <v>10000</v>
      </c>
      <c r="M177" s="31">
        <v>800</v>
      </c>
      <c r="N177" s="31">
        <v>800</v>
      </c>
      <c r="O177" s="31">
        <v>800</v>
      </c>
      <c r="P177" s="31">
        <v>800</v>
      </c>
      <c r="Q177" s="31">
        <v>800</v>
      </c>
      <c r="R177" s="31">
        <v>800</v>
      </c>
      <c r="S177" s="31">
        <v>800</v>
      </c>
      <c r="T177" s="31">
        <v>800</v>
      </c>
      <c r="U177" s="31">
        <v>800</v>
      </c>
      <c r="V177" s="31">
        <v>800</v>
      </c>
      <c r="W177" s="31">
        <v>800</v>
      </c>
      <c r="X177" s="31">
        <v>800</v>
      </c>
      <c r="Y177" s="30">
        <f t="shared" si="18"/>
        <v>19600</v>
      </c>
      <c r="Z177">
        <f>VLOOKUP(A177,справочник!$E$2:$F$322,2,FALSE)</f>
        <v>0</v>
      </c>
    </row>
    <row r="178" spans="1:26" hidden="1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30">
        <f t="shared" si="17"/>
        <v>23000</v>
      </c>
      <c r="M178" s="31">
        <v>800</v>
      </c>
      <c r="N178" s="31">
        <v>800</v>
      </c>
      <c r="O178" s="31">
        <v>800</v>
      </c>
      <c r="P178" s="31">
        <v>800</v>
      </c>
      <c r="Q178" s="31">
        <v>800</v>
      </c>
      <c r="R178" s="31">
        <v>800</v>
      </c>
      <c r="S178" s="31">
        <v>800</v>
      </c>
      <c r="T178" s="31">
        <v>800</v>
      </c>
      <c r="U178" s="31">
        <v>800</v>
      </c>
      <c r="V178" s="31">
        <v>800</v>
      </c>
      <c r="W178" s="31">
        <v>800</v>
      </c>
      <c r="X178" s="31">
        <v>800</v>
      </c>
      <c r="Y178" s="30">
        <f t="shared" si="18"/>
        <v>32600</v>
      </c>
      <c r="Z178">
        <f>VLOOKUP(A178,справочник!$E$2:$F$322,2,FALSE)</f>
        <v>0</v>
      </c>
    </row>
    <row r="179" spans="1:26" hidden="1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30">
        <f t="shared" si="17"/>
        <v>2000</v>
      </c>
      <c r="M179" s="31">
        <v>800</v>
      </c>
      <c r="N179" s="31">
        <v>800</v>
      </c>
      <c r="O179" s="31">
        <v>800</v>
      </c>
      <c r="P179" s="31">
        <v>800</v>
      </c>
      <c r="Q179" s="31">
        <v>800</v>
      </c>
      <c r="R179" s="31">
        <v>800</v>
      </c>
      <c r="S179" s="31">
        <v>800</v>
      </c>
      <c r="T179" s="31">
        <v>800</v>
      </c>
      <c r="U179" s="31">
        <v>800</v>
      </c>
      <c r="V179" s="31">
        <v>800</v>
      </c>
      <c r="W179" s="31">
        <v>800</v>
      </c>
      <c r="X179" s="31">
        <v>800</v>
      </c>
      <c r="Y179" s="30">
        <f t="shared" si="18"/>
        <v>11600</v>
      </c>
      <c r="Z179">
        <f>VLOOKUP(A179,справочник!$E$2:$F$322,2,FALSE)</f>
        <v>0</v>
      </c>
    </row>
    <row r="180" spans="1:26" ht="25.5" hidden="1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30">
        <f t="shared" si="17"/>
        <v>4000</v>
      </c>
      <c r="M180" s="31">
        <v>800</v>
      </c>
      <c r="N180" s="31">
        <v>800</v>
      </c>
      <c r="O180" s="31">
        <v>800</v>
      </c>
      <c r="P180" s="31">
        <v>800</v>
      </c>
      <c r="Q180" s="31">
        <v>800</v>
      </c>
      <c r="R180" s="31">
        <v>800</v>
      </c>
      <c r="S180" s="31">
        <v>800</v>
      </c>
      <c r="T180" s="31">
        <v>800</v>
      </c>
      <c r="U180" s="31">
        <v>800</v>
      </c>
      <c r="V180" s="31">
        <v>800</v>
      </c>
      <c r="W180" s="31">
        <v>800</v>
      </c>
      <c r="X180" s="31">
        <v>800</v>
      </c>
      <c r="Y180" s="30">
        <f t="shared" si="18"/>
        <v>13600</v>
      </c>
      <c r="Z180">
        <f>VLOOKUP(A180,справочник!$E$2:$F$322,2,FALSE)</f>
        <v>0</v>
      </c>
    </row>
    <row r="181" spans="1:26" hidden="1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1">
        <v>101</v>
      </c>
      <c r="D181" s="2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32">
        <f t="shared" si="17"/>
        <v>12988</v>
      </c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0">
        <f t="shared" si="18"/>
        <v>12988</v>
      </c>
      <c r="Z181">
        <f>VLOOKUP(A181,справочник!$E$2:$F$322,2,FALSE)</f>
        <v>1</v>
      </c>
    </row>
    <row r="182" spans="1:26" hidden="1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1">
        <v>102</v>
      </c>
      <c r="D182" s="2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32">
        <f t="shared" si="17"/>
        <v>13000</v>
      </c>
      <c r="M182" s="31">
        <v>800</v>
      </c>
      <c r="N182" s="31">
        <v>800</v>
      </c>
      <c r="O182" s="31">
        <v>800</v>
      </c>
      <c r="P182" s="31">
        <v>800</v>
      </c>
      <c r="Q182" s="31">
        <v>800</v>
      </c>
      <c r="R182" s="31">
        <v>800</v>
      </c>
      <c r="S182" s="31">
        <v>800</v>
      </c>
      <c r="T182" s="31">
        <v>800</v>
      </c>
      <c r="U182" s="31">
        <v>800</v>
      </c>
      <c r="V182" s="31">
        <v>800</v>
      </c>
      <c r="W182" s="31">
        <v>800</v>
      </c>
      <c r="X182" s="31">
        <v>800</v>
      </c>
      <c r="Y182" s="30">
        <f t="shared" si="18"/>
        <v>22600</v>
      </c>
      <c r="Z182">
        <f>VLOOKUP(A182,справочник!$E$2:$F$322,2,FALSE)</f>
        <v>1</v>
      </c>
    </row>
    <row r="183" spans="1:26" hidden="1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30">
        <f t="shared" si="17"/>
        <v>11000</v>
      </c>
      <c r="M183" s="31">
        <v>800</v>
      </c>
      <c r="N183" s="31">
        <v>800</v>
      </c>
      <c r="O183" s="31">
        <v>800</v>
      </c>
      <c r="P183" s="31">
        <v>800</v>
      </c>
      <c r="Q183" s="31">
        <v>800</v>
      </c>
      <c r="R183" s="31">
        <v>800</v>
      </c>
      <c r="S183" s="31">
        <v>800</v>
      </c>
      <c r="T183" s="31">
        <v>800</v>
      </c>
      <c r="U183" s="31">
        <v>800</v>
      </c>
      <c r="V183" s="31">
        <v>800</v>
      </c>
      <c r="W183" s="31">
        <v>800</v>
      </c>
      <c r="X183" s="31">
        <v>800</v>
      </c>
      <c r="Y183" s="30">
        <f t="shared" si="18"/>
        <v>20600</v>
      </c>
      <c r="Z183">
        <f>VLOOKUP(A183,справочник!$E$2:$F$322,2,FALSE)</f>
        <v>0</v>
      </c>
    </row>
    <row r="184" spans="1:26" hidden="1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2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30">
        <f t="shared" si="17"/>
        <v>20000</v>
      </c>
      <c r="M184" s="31">
        <v>800</v>
      </c>
      <c r="N184" s="31">
        <v>800</v>
      </c>
      <c r="O184" s="31">
        <v>800</v>
      </c>
      <c r="P184" s="31">
        <v>800</v>
      </c>
      <c r="Q184" s="31">
        <v>800</v>
      </c>
      <c r="R184" s="31">
        <v>800</v>
      </c>
      <c r="S184" s="31">
        <v>800</v>
      </c>
      <c r="T184" s="31">
        <v>800</v>
      </c>
      <c r="U184" s="31">
        <v>800</v>
      </c>
      <c r="V184" s="31">
        <v>800</v>
      </c>
      <c r="W184" s="31">
        <v>800</v>
      </c>
      <c r="X184" s="31">
        <v>800</v>
      </c>
      <c r="Y184" s="30">
        <f t="shared" si="18"/>
        <v>29600</v>
      </c>
      <c r="Z184">
        <f>VLOOKUP(A184,справочник!$E$2:$F$322,2,FALSE)</f>
        <v>0</v>
      </c>
    </row>
    <row r="185" spans="1:26" hidden="1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30">
        <f t="shared" si="17"/>
        <v>26000</v>
      </c>
      <c r="M185" s="31">
        <v>800</v>
      </c>
      <c r="N185" s="31">
        <v>800</v>
      </c>
      <c r="O185" s="31">
        <v>800</v>
      </c>
      <c r="P185" s="31">
        <v>800</v>
      </c>
      <c r="Q185" s="31">
        <v>800</v>
      </c>
      <c r="R185" s="31">
        <v>800</v>
      </c>
      <c r="S185" s="31">
        <v>800</v>
      </c>
      <c r="T185" s="31">
        <v>800</v>
      </c>
      <c r="U185" s="31">
        <v>800</v>
      </c>
      <c r="V185" s="31">
        <v>800</v>
      </c>
      <c r="W185" s="31">
        <v>800</v>
      </c>
      <c r="X185" s="31">
        <v>800</v>
      </c>
      <c r="Y185" s="30">
        <f t="shared" si="18"/>
        <v>35600</v>
      </c>
      <c r="Z185">
        <f>VLOOKUP(A185,справочник!$E$2:$F$322,2,FALSE)</f>
        <v>0</v>
      </c>
    </row>
    <row r="186" spans="1:26" hidden="1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30">
        <f t="shared" si="17"/>
        <v>3000</v>
      </c>
      <c r="M186" s="31">
        <v>800</v>
      </c>
      <c r="N186" s="31">
        <v>800</v>
      </c>
      <c r="O186" s="31">
        <v>800</v>
      </c>
      <c r="P186" s="31">
        <v>800</v>
      </c>
      <c r="Q186" s="31">
        <v>800</v>
      </c>
      <c r="R186" s="31">
        <v>800</v>
      </c>
      <c r="S186" s="31">
        <v>800</v>
      </c>
      <c r="T186" s="31">
        <v>800</v>
      </c>
      <c r="U186" s="31">
        <v>800</v>
      </c>
      <c r="V186" s="31">
        <v>800</v>
      </c>
      <c r="W186" s="31">
        <v>800</v>
      </c>
      <c r="X186" s="31">
        <v>800</v>
      </c>
      <c r="Y186" s="30">
        <f t="shared" si="18"/>
        <v>12600</v>
      </c>
      <c r="Z186">
        <f>VLOOKUP(A186,справочник!$E$2:$F$322,2,FALSE)</f>
        <v>0</v>
      </c>
    </row>
    <row r="187" spans="1:26" hidden="1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30"/>
      <c r="M187" s="31">
        <v>800</v>
      </c>
      <c r="N187" s="31">
        <v>800</v>
      </c>
      <c r="O187" s="31">
        <v>800</v>
      </c>
      <c r="P187" s="31">
        <v>800</v>
      </c>
      <c r="Q187" s="31">
        <v>800</v>
      </c>
      <c r="R187" s="31">
        <v>800</v>
      </c>
      <c r="S187" s="31">
        <v>800</v>
      </c>
      <c r="T187" s="31">
        <v>800</v>
      </c>
      <c r="U187" s="31">
        <v>800</v>
      </c>
      <c r="V187" s="31">
        <v>800</v>
      </c>
      <c r="W187" s="31">
        <v>800</v>
      </c>
      <c r="X187" s="31">
        <v>800</v>
      </c>
      <c r="Y187" s="30">
        <f>SUM(L187:X187)</f>
        <v>9600</v>
      </c>
      <c r="Z187">
        <f>VLOOKUP(A187,справочник!$E$2:$F$322,2,FALSE)</f>
        <v>1</v>
      </c>
    </row>
    <row r="188" spans="1:26" ht="25.5" hidden="1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30">
        <f t="shared" ref="L188:L251" si="22">I188-J188-K188</f>
        <v>4000</v>
      </c>
      <c r="M188" s="31">
        <v>800</v>
      </c>
      <c r="N188" s="31">
        <v>800</v>
      </c>
      <c r="O188" s="31">
        <v>800</v>
      </c>
      <c r="P188" s="31">
        <v>800</v>
      </c>
      <c r="Q188" s="31">
        <v>800</v>
      </c>
      <c r="R188" s="31">
        <v>800</v>
      </c>
      <c r="S188" s="31">
        <v>800</v>
      </c>
      <c r="T188" s="31">
        <v>800</v>
      </c>
      <c r="U188" s="31">
        <v>800</v>
      </c>
      <c r="V188" s="31">
        <v>800</v>
      </c>
      <c r="W188" s="31">
        <v>800</v>
      </c>
      <c r="X188" s="31">
        <v>800</v>
      </c>
      <c r="Y188" s="30">
        <f>SUM(L188:X188)</f>
        <v>13600</v>
      </c>
      <c r="Z188">
        <f>VLOOKUP(A188,справочник!$E$2:$F$322,2,FALSE)</f>
        <v>0</v>
      </c>
    </row>
    <row r="189" spans="1:26" hidden="1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30">
        <f t="shared" si="22"/>
        <v>27000</v>
      </c>
      <c r="M189" s="31">
        <v>800</v>
      </c>
      <c r="N189" s="31">
        <v>800</v>
      </c>
      <c r="O189" s="31">
        <v>800</v>
      </c>
      <c r="P189" s="31">
        <v>800</v>
      </c>
      <c r="Q189" s="31">
        <v>800</v>
      </c>
      <c r="R189" s="31">
        <v>800</v>
      </c>
      <c r="S189" s="31">
        <v>800</v>
      </c>
      <c r="T189" s="31">
        <v>800</v>
      </c>
      <c r="U189" s="31">
        <v>800</v>
      </c>
      <c r="V189" s="31">
        <v>800</v>
      </c>
      <c r="W189" s="31">
        <v>800</v>
      </c>
      <c r="X189" s="31">
        <v>800</v>
      </c>
      <c r="Y189" s="30">
        <f t="shared" ref="Y189:Y252" si="23">SUM(L189:X189)</f>
        <v>36600</v>
      </c>
      <c r="Z189">
        <f>VLOOKUP(A189,справочник!$E$2:$F$322,2,FALSE)</f>
        <v>0</v>
      </c>
    </row>
    <row r="190" spans="1:26" hidden="1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30">
        <f t="shared" si="22"/>
        <v>-2000</v>
      </c>
      <c r="M190" s="31">
        <v>800</v>
      </c>
      <c r="N190" s="31">
        <v>800</v>
      </c>
      <c r="O190" s="31">
        <v>800</v>
      </c>
      <c r="P190" s="31">
        <v>800</v>
      </c>
      <c r="Q190" s="31">
        <v>800</v>
      </c>
      <c r="R190" s="31">
        <v>800</v>
      </c>
      <c r="S190" s="31">
        <v>800</v>
      </c>
      <c r="T190" s="31">
        <v>800</v>
      </c>
      <c r="U190" s="31">
        <v>800</v>
      </c>
      <c r="V190" s="31">
        <v>800</v>
      </c>
      <c r="W190" s="31">
        <v>800</v>
      </c>
      <c r="X190" s="31">
        <v>800</v>
      </c>
      <c r="Y190" s="30">
        <f t="shared" si="23"/>
        <v>7600</v>
      </c>
      <c r="Z190">
        <f>VLOOKUP(A190,справочник!$E$2:$F$322,2,FALSE)</f>
        <v>0</v>
      </c>
    </row>
    <row r="191" spans="1:26" ht="25.5" hidden="1" customHeight="1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30">
        <f t="shared" si="22"/>
        <v>29000</v>
      </c>
      <c r="M191" s="31">
        <v>800</v>
      </c>
      <c r="N191" s="31">
        <v>800</v>
      </c>
      <c r="O191" s="31">
        <v>800</v>
      </c>
      <c r="P191" s="31">
        <v>800</v>
      </c>
      <c r="Q191" s="31">
        <v>800</v>
      </c>
      <c r="R191" s="31">
        <v>800</v>
      </c>
      <c r="S191" s="31">
        <v>800</v>
      </c>
      <c r="T191" s="31">
        <v>800</v>
      </c>
      <c r="U191" s="31">
        <v>800</v>
      </c>
      <c r="V191" s="31">
        <v>800</v>
      </c>
      <c r="W191" s="31">
        <v>800</v>
      </c>
      <c r="X191" s="31">
        <v>800</v>
      </c>
      <c r="Y191" s="30">
        <f t="shared" si="23"/>
        <v>38600</v>
      </c>
      <c r="Z191">
        <f>VLOOKUP(A191,справочник!$E$2:$F$322,2,FALSE)</f>
        <v>0</v>
      </c>
    </row>
    <row r="192" spans="1:26" hidden="1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30">
        <f t="shared" si="22"/>
        <v>14000</v>
      </c>
      <c r="M192" s="31">
        <v>800</v>
      </c>
      <c r="N192" s="31">
        <v>800</v>
      </c>
      <c r="O192" s="31">
        <v>800</v>
      </c>
      <c r="P192" s="31">
        <v>800</v>
      </c>
      <c r="Q192" s="31">
        <v>800</v>
      </c>
      <c r="R192" s="31">
        <v>800</v>
      </c>
      <c r="S192" s="31">
        <v>800</v>
      </c>
      <c r="T192" s="31">
        <v>800</v>
      </c>
      <c r="U192" s="31">
        <v>800</v>
      </c>
      <c r="V192" s="31">
        <v>800</v>
      </c>
      <c r="W192" s="31">
        <v>800</v>
      </c>
      <c r="X192" s="31">
        <v>800</v>
      </c>
      <c r="Y192" s="30">
        <f t="shared" si="23"/>
        <v>23600</v>
      </c>
      <c r="Z192">
        <f>VLOOKUP(A192,справочник!$E$2:$F$322,2,FALSE)</f>
        <v>0</v>
      </c>
    </row>
    <row r="193" spans="1:26" hidden="1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30">
        <f t="shared" si="22"/>
        <v>10000</v>
      </c>
      <c r="M193" s="31">
        <v>800</v>
      </c>
      <c r="N193" s="31">
        <v>800</v>
      </c>
      <c r="O193" s="31">
        <v>800</v>
      </c>
      <c r="P193" s="31">
        <v>800</v>
      </c>
      <c r="Q193" s="31">
        <v>800</v>
      </c>
      <c r="R193" s="31">
        <v>800</v>
      </c>
      <c r="S193" s="31">
        <v>800</v>
      </c>
      <c r="T193" s="31">
        <v>800</v>
      </c>
      <c r="U193" s="31">
        <v>800</v>
      </c>
      <c r="V193" s="31">
        <v>800</v>
      </c>
      <c r="W193" s="31">
        <v>800</v>
      </c>
      <c r="X193" s="31">
        <v>800</v>
      </c>
      <c r="Y193" s="30">
        <f t="shared" si="23"/>
        <v>19600</v>
      </c>
      <c r="Z193">
        <f>VLOOKUP(A193,справочник!$E$2:$F$322,2,FALSE)</f>
        <v>0</v>
      </c>
    </row>
    <row r="194" spans="1:26" hidden="1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30">
        <f t="shared" si="22"/>
        <v>2000</v>
      </c>
      <c r="M194" s="31">
        <v>800</v>
      </c>
      <c r="N194" s="31">
        <v>800</v>
      </c>
      <c r="O194" s="31">
        <v>800</v>
      </c>
      <c r="P194" s="31">
        <v>800</v>
      </c>
      <c r="Q194" s="31">
        <v>800</v>
      </c>
      <c r="R194" s="31">
        <v>800</v>
      </c>
      <c r="S194" s="31">
        <v>800</v>
      </c>
      <c r="T194" s="31">
        <v>800</v>
      </c>
      <c r="U194" s="31">
        <v>800</v>
      </c>
      <c r="V194" s="31">
        <v>800</v>
      </c>
      <c r="W194" s="31">
        <v>800</v>
      </c>
      <c r="X194" s="31">
        <v>800</v>
      </c>
      <c r="Y194" s="30">
        <f t="shared" si="23"/>
        <v>11600</v>
      </c>
      <c r="Z194">
        <f>VLOOKUP(A194,справочник!$E$2:$F$322,2,FALSE)</f>
        <v>0</v>
      </c>
    </row>
    <row r="195" spans="1:26" hidden="1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1">
        <v>178</v>
      </c>
      <c r="D195" s="2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32">
        <f t="shared" si="22"/>
        <v>0</v>
      </c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0">
        <f t="shared" si="23"/>
        <v>0</v>
      </c>
      <c r="Z195">
        <f>VLOOKUP(A195,справочник!$E$2:$F$322,2,FALSE)</f>
        <v>1</v>
      </c>
    </row>
    <row r="196" spans="1:26" hidden="1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1">
        <v>179</v>
      </c>
      <c r="D196" s="2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32">
        <f t="shared" si="22"/>
        <v>0</v>
      </c>
      <c r="M196" s="31">
        <v>800</v>
      </c>
      <c r="N196" s="31">
        <v>800</v>
      </c>
      <c r="O196" s="31">
        <v>800</v>
      </c>
      <c r="P196" s="31">
        <v>800</v>
      </c>
      <c r="Q196" s="31">
        <v>800</v>
      </c>
      <c r="R196" s="31">
        <v>800</v>
      </c>
      <c r="S196" s="31">
        <v>800</v>
      </c>
      <c r="T196" s="31">
        <v>800</v>
      </c>
      <c r="U196" s="31">
        <v>800</v>
      </c>
      <c r="V196" s="31">
        <v>800</v>
      </c>
      <c r="W196" s="31">
        <v>800</v>
      </c>
      <c r="X196" s="31">
        <v>800</v>
      </c>
      <c r="Y196" s="30">
        <f t="shared" si="23"/>
        <v>9600</v>
      </c>
      <c r="Z196">
        <f>VLOOKUP(A196,справочник!$E$2:$F$322,2,FALSE)</f>
        <v>1</v>
      </c>
    </row>
    <row r="197" spans="1:26" hidden="1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30">
        <f t="shared" si="22"/>
        <v>0</v>
      </c>
      <c r="M197" s="31">
        <v>800</v>
      </c>
      <c r="N197" s="31">
        <v>800</v>
      </c>
      <c r="O197" s="31">
        <v>800</v>
      </c>
      <c r="P197" s="31">
        <v>800</v>
      </c>
      <c r="Q197" s="31">
        <v>800</v>
      </c>
      <c r="R197" s="31">
        <v>800</v>
      </c>
      <c r="S197" s="31">
        <v>800</v>
      </c>
      <c r="T197" s="31">
        <v>800</v>
      </c>
      <c r="U197" s="31">
        <v>800</v>
      </c>
      <c r="V197" s="31">
        <v>800</v>
      </c>
      <c r="W197" s="31">
        <v>800</v>
      </c>
      <c r="X197" s="31">
        <v>800</v>
      </c>
      <c r="Y197" s="30">
        <f t="shared" si="23"/>
        <v>9600</v>
      </c>
      <c r="Z197">
        <f>VLOOKUP(A197,справочник!$E$2:$F$322,2,FALSE)</f>
        <v>0</v>
      </c>
    </row>
    <row r="198" spans="1:26" hidden="1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30">
        <f t="shared" si="22"/>
        <v>0</v>
      </c>
      <c r="M198" s="31">
        <v>800</v>
      </c>
      <c r="N198" s="31">
        <v>800</v>
      </c>
      <c r="O198" s="31">
        <v>800</v>
      </c>
      <c r="P198" s="31">
        <v>800</v>
      </c>
      <c r="Q198" s="31">
        <v>800</v>
      </c>
      <c r="R198" s="31">
        <v>800</v>
      </c>
      <c r="S198" s="31">
        <v>800</v>
      </c>
      <c r="T198" s="31">
        <v>800</v>
      </c>
      <c r="U198" s="31">
        <v>800</v>
      </c>
      <c r="V198" s="31">
        <v>800</v>
      </c>
      <c r="W198" s="31">
        <v>800</v>
      </c>
      <c r="X198" s="31">
        <v>800</v>
      </c>
      <c r="Y198" s="30">
        <f t="shared" si="23"/>
        <v>9600</v>
      </c>
      <c r="Z198">
        <f>VLOOKUP(A198,справочник!$E$2:$F$322,2,FALSE)</f>
        <v>0</v>
      </c>
    </row>
    <row r="199" spans="1:26" hidden="1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30">
        <f t="shared" si="22"/>
        <v>0</v>
      </c>
      <c r="M199" s="31">
        <v>800</v>
      </c>
      <c r="N199" s="31">
        <v>800</v>
      </c>
      <c r="O199" s="31">
        <v>800</v>
      </c>
      <c r="P199" s="31">
        <v>800</v>
      </c>
      <c r="Q199" s="31">
        <v>800</v>
      </c>
      <c r="R199" s="31">
        <v>800</v>
      </c>
      <c r="S199" s="31">
        <v>800</v>
      </c>
      <c r="T199" s="31">
        <v>800</v>
      </c>
      <c r="U199" s="31">
        <v>800</v>
      </c>
      <c r="V199" s="31">
        <v>800</v>
      </c>
      <c r="W199" s="31">
        <v>800</v>
      </c>
      <c r="X199" s="31">
        <v>800</v>
      </c>
      <c r="Y199" s="30">
        <f t="shared" si="23"/>
        <v>9600</v>
      </c>
      <c r="Z199">
        <f>VLOOKUP(A199,справочник!$E$2:$F$322,2,FALSE)</f>
        <v>0</v>
      </c>
    </row>
    <row r="200" spans="1:26" hidden="1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30">
        <f t="shared" si="22"/>
        <v>3000</v>
      </c>
      <c r="M200" s="31">
        <v>800</v>
      </c>
      <c r="N200" s="31">
        <v>800</v>
      </c>
      <c r="O200" s="31">
        <v>800</v>
      </c>
      <c r="P200" s="31">
        <v>800</v>
      </c>
      <c r="Q200" s="31">
        <v>800</v>
      </c>
      <c r="R200" s="31">
        <v>800</v>
      </c>
      <c r="S200" s="31">
        <v>800</v>
      </c>
      <c r="T200" s="31">
        <v>800</v>
      </c>
      <c r="U200" s="31">
        <v>800</v>
      </c>
      <c r="V200" s="31">
        <v>800</v>
      </c>
      <c r="W200" s="31">
        <v>800</v>
      </c>
      <c r="X200" s="31">
        <v>800</v>
      </c>
      <c r="Y200" s="30">
        <f t="shared" si="23"/>
        <v>12600</v>
      </c>
      <c r="Z200">
        <f>VLOOKUP(A200,справочник!$E$2:$F$322,2,FALSE)</f>
        <v>0</v>
      </c>
    </row>
    <row r="201" spans="1:26" ht="25.5" hidden="1" customHeight="1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30">
        <f t="shared" si="22"/>
        <v>0</v>
      </c>
      <c r="M201" s="31">
        <v>800</v>
      </c>
      <c r="N201" s="31">
        <v>800</v>
      </c>
      <c r="O201" s="31">
        <v>800</v>
      </c>
      <c r="P201" s="31">
        <v>800</v>
      </c>
      <c r="Q201" s="31">
        <v>800</v>
      </c>
      <c r="R201" s="31">
        <v>800</v>
      </c>
      <c r="S201" s="31">
        <v>800</v>
      </c>
      <c r="T201" s="31">
        <v>800</v>
      </c>
      <c r="U201" s="31">
        <v>800</v>
      </c>
      <c r="V201" s="31">
        <v>800</v>
      </c>
      <c r="W201" s="31">
        <v>800</v>
      </c>
      <c r="X201" s="31">
        <v>800</v>
      </c>
      <c r="Y201" s="30">
        <f t="shared" si="23"/>
        <v>9600</v>
      </c>
      <c r="Z201">
        <f>VLOOKUP(A201,справочник!$E$2:$F$322,2,FALSE)</f>
        <v>0</v>
      </c>
    </row>
    <row r="202" spans="1:26" ht="25.5" hidden="1" customHeight="1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30">
        <f t="shared" si="22"/>
        <v>11000</v>
      </c>
      <c r="M202" s="31">
        <v>800</v>
      </c>
      <c r="N202" s="31">
        <v>800</v>
      </c>
      <c r="O202" s="31">
        <v>800</v>
      </c>
      <c r="P202" s="31">
        <v>800</v>
      </c>
      <c r="Q202" s="31">
        <v>800</v>
      </c>
      <c r="R202" s="31">
        <v>800</v>
      </c>
      <c r="S202" s="31">
        <v>800</v>
      </c>
      <c r="T202" s="31">
        <v>800</v>
      </c>
      <c r="U202" s="31">
        <v>800</v>
      </c>
      <c r="V202" s="31">
        <v>800</v>
      </c>
      <c r="W202" s="31">
        <v>800</v>
      </c>
      <c r="X202" s="31">
        <v>800</v>
      </c>
      <c r="Y202" s="30">
        <f t="shared" si="23"/>
        <v>20600</v>
      </c>
      <c r="Z202">
        <f>VLOOKUP(A202,справочник!$E$2:$F$322,2,FALSE)</f>
        <v>0</v>
      </c>
    </row>
    <row r="203" spans="1:26" ht="25.5" hidden="1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2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30">
        <f t="shared" si="22"/>
        <v>23000</v>
      </c>
      <c r="M203" s="31">
        <v>800</v>
      </c>
      <c r="N203" s="31">
        <v>800</v>
      </c>
      <c r="O203" s="31">
        <v>800</v>
      </c>
      <c r="P203" s="31">
        <v>800</v>
      </c>
      <c r="Q203" s="31">
        <v>800</v>
      </c>
      <c r="R203" s="31">
        <v>800</v>
      </c>
      <c r="S203" s="31">
        <v>800</v>
      </c>
      <c r="T203" s="31">
        <v>800</v>
      </c>
      <c r="U203" s="31">
        <v>800</v>
      </c>
      <c r="V203" s="31">
        <v>800</v>
      </c>
      <c r="W203" s="31">
        <v>800</v>
      </c>
      <c r="X203" s="31">
        <v>800</v>
      </c>
      <c r="Y203" s="30">
        <f t="shared" si="23"/>
        <v>32600</v>
      </c>
      <c r="Z203">
        <f>VLOOKUP(A203,справочник!$E$2:$F$322,2,FALSE)</f>
        <v>0</v>
      </c>
    </row>
    <row r="204" spans="1:26" hidden="1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2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30">
        <f t="shared" si="22"/>
        <v>3000</v>
      </c>
      <c r="M204" s="31">
        <v>800</v>
      </c>
      <c r="N204" s="31">
        <v>800</v>
      </c>
      <c r="O204" s="31">
        <v>800</v>
      </c>
      <c r="P204" s="31">
        <v>800</v>
      </c>
      <c r="Q204" s="31">
        <v>800</v>
      </c>
      <c r="R204" s="31">
        <v>800</v>
      </c>
      <c r="S204" s="31">
        <v>800</v>
      </c>
      <c r="T204" s="31">
        <v>800</v>
      </c>
      <c r="U204" s="31">
        <v>800</v>
      </c>
      <c r="V204" s="31">
        <v>800</v>
      </c>
      <c r="W204" s="31">
        <v>800</v>
      </c>
      <c r="X204" s="31">
        <v>800</v>
      </c>
      <c r="Y204" s="30">
        <f t="shared" si="23"/>
        <v>12600</v>
      </c>
      <c r="Z204">
        <f>VLOOKUP(A204,справочник!$E$2:$F$322,2,FALSE)</f>
        <v>0</v>
      </c>
    </row>
    <row r="205" spans="1:26" ht="25.5" hidden="1" customHeight="1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30">
        <f t="shared" si="22"/>
        <v>0</v>
      </c>
      <c r="M205" s="31">
        <v>800</v>
      </c>
      <c r="N205" s="31">
        <v>800</v>
      </c>
      <c r="O205" s="31">
        <v>800</v>
      </c>
      <c r="P205" s="31">
        <v>800</v>
      </c>
      <c r="Q205" s="31">
        <v>800</v>
      </c>
      <c r="R205" s="31">
        <v>800</v>
      </c>
      <c r="S205" s="31">
        <v>800</v>
      </c>
      <c r="T205" s="31">
        <v>800</v>
      </c>
      <c r="U205" s="31">
        <v>800</v>
      </c>
      <c r="V205" s="31">
        <v>800</v>
      </c>
      <c r="W205" s="31">
        <v>800</v>
      </c>
      <c r="X205" s="31">
        <v>800</v>
      </c>
      <c r="Y205" s="30">
        <f t="shared" si="23"/>
        <v>9600</v>
      </c>
      <c r="Z205">
        <f>VLOOKUP(A205,справочник!$E$2:$F$322,2,FALSE)</f>
        <v>0</v>
      </c>
    </row>
    <row r="206" spans="1:26" hidden="1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30">
        <f t="shared" si="22"/>
        <v>0</v>
      </c>
      <c r="M206" s="31">
        <v>800</v>
      </c>
      <c r="N206" s="31">
        <v>800</v>
      </c>
      <c r="O206" s="31">
        <v>800</v>
      </c>
      <c r="P206" s="31">
        <v>800</v>
      </c>
      <c r="Q206" s="31">
        <v>800</v>
      </c>
      <c r="R206" s="31">
        <v>800</v>
      </c>
      <c r="S206" s="31">
        <v>800</v>
      </c>
      <c r="T206" s="31">
        <v>800</v>
      </c>
      <c r="U206" s="31">
        <v>800</v>
      </c>
      <c r="V206" s="31">
        <v>800</v>
      </c>
      <c r="W206" s="31">
        <v>800</v>
      </c>
      <c r="X206" s="31">
        <v>800</v>
      </c>
      <c r="Y206" s="30">
        <f t="shared" si="23"/>
        <v>9600</v>
      </c>
      <c r="Z206">
        <f>VLOOKUP(A206,справочник!$E$2:$F$322,2,FALSE)</f>
        <v>0</v>
      </c>
    </row>
    <row r="207" spans="1:26" hidden="1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2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30">
        <f t="shared" si="22"/>
        <v>21000</v>
      </c>
      <c r="M207" s="31">
        <v>800</v>
      </c>
      <c r="N207" s="31">
        <v>800</v>
      </c>
      <c r="O207" s="31">
        <v>800</v>
      </c>
      <c r="P207" s="31">
        <v>800</v>
      </c>
      <c r="Q207" s="31">
        <v>800</v>
      </c>
      <c r="R207" s="31">
        <v>800</v>
      </c>
      <c r="S207" s="31">
        <v>800</v>
      </c>
      <c r="T207" s="31">
        <v>800</v>
      </c>
      <c r="U207" s="31">
        <v>800</v>
      </c>
      <c r="V207" s="31">
        <v>800</v>
      </c>
      <c r="W207" s="31">
        <v>800</v>
      </c>
      <c r="X207" s="31">
        <v>800</v>
      </c>
      <c r="Y207" s="30">
        <f t="shared" si="23"/>
        <v>30600</v>
      </c>
      <c r="Z207">
        <f>VLOOKUP(A207,справочник!$E$2:$F$322,2,FALSE)</f>
        <v>0</v>
      </c>
    </row>
    <row r="208" spans="1:26" hidden="1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2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30">
        <f t="shared" si="22"/>
        <v>52000</v>
      </c>
      <c r="M208" s="31">
        <v>800</v>
      </c>
      <c r="N208" s="31">
        <v>800</v>
      </c>
      <c r="O208" s="31">
        <v>800</v>
      </c>
      <c r="P208" s="31">
        <v>800</v>
      </c>
      <c r="Q208" s="31">
        <v>800</v>
      </c>
      <c r="R208" s="31">
        <v>800</v>
      </c>
      <c r="S208" s="31">
        <v>800</v>
      </c>
      <c r="T208" s="31">
        <v>800</v>
      </c>
      <c r="U208" s="31">
        <v>800</v>
      </c>
      <c r="V208" s="31">
        <v>800</v>
      </c>
      <c r="W208" s="31">
        <v>800</v>
      </c>
      <c r="X208" s="31">
        <v>800</v>
      </c>
      <c r="Y208" s="30">
        <f t="shared" si="23"/>
        <v>61600</v>
      </c>
      <c r="Z208">
        <f>VLOOKUP(A208,справочник!$E$2:$F$322,2,FALSE)</f>
        <v>0</v>
      </c>
    </row>
    <row r="209" spans="1:26" hidden="1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1">
        <v>77</v>
      </c>
      <c r="D209" s="2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30">
        <f t="shared" si="22"/>
        <v>12000</v>
      </c>
      <c r="M209" s="31">
        <v>800</v>
      </c>
      <c r="N209" s="31">
        <v>800</v>
      </c>
      <c r="O209" s="31">
        <v>800</v>
      </c>
      <c r="P209" s="31">
        <v>800</v>
      </c>
      <c r="Q209" s="31">
        <v>800</v>
      </c>
      <c r="R209" s="31">
        <v>800</v>
      </c>
      <c r="S209" s="31">
        <v>800</v>
      </c>
      <c r="T209" s="31">
        <v>800</v>
      </c>
      <c r="U209" s="31">
        <v>800</v>
      </c>
      <c r="V209" s="31">
        <v>800</v>
      </c>
      <c r="W209" s="31">
        <v>800</v>
      </c>
      <c r="X209" s="31">
        <v>800</v>
      </c>
      <c r="Y209" s="30">
        <f t="shared" si="23"/>
        <v>21600</v>
      </c>
      <c r="Z209">
        <f>VLOOKUP(A209,справочник!$E$2:$F$322,2,FALSE)</f>
        <v>0</v>
      </c>
    </row>
    <row r="210" spans="1:26" ht="25.5" hidden="1" customHeight="1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30">
        <f t="shared" si="22"/>
        <v>14000</v>
      </c>
      <c r="M210" s="31">
        <v>800</v>
      </c>
      <c r="N210" s="31">
        <v>800</v>
      </c>
      <c r="O210" s="31">
        <v>800</v>
      </c>
      <c r="P210" s="31">
        <v>800</v>
      </c>
      <c r="Q210" s="31">
        <v>800</v>
      </c>
      <c r="R210" s="31">
        <v>800</v>
      </c>
      <c r="S210" s="31">
        <v>800</v>
      </c>
      <c r="T210" s="31">
        <v>800</v>
      </c>
      <c r="U210" s="31">
        <v>800</v>
      </c>
      <c r="V210" s="31">
        <v>800</v>
      </c>
      <c r="W210" s="31">
        <v>800</v>
      </c>
      <c r="X210" s="31">
        <v>800</v>
      </c>
      <c r="Y210" s="30">
        <f t="shared" si="23"/>
        <v>23600</v>
      </c>
      <c r="Z210">
        <f>VLOOKUP(A210,справочник!$E$2:$F$322,2,FALSE)</f>
        <v>0</v>
      </c>
    </row>
    <row r="211" spans="1:26" ht="25.5" hidden="1" customHeight="1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30">
        <f t="shared" si="22"/>
        <v>0</v>
      </c>
      <c r="M211" s="31">
        <v>800</v>
      </c>
      <c r="N211" s="31">
        <v>800</v>
      </c>
      <c r="O211" s="31">
        <v>800</v>
      </c>
      <c r="P211" s="31">
        <v>800</v>
      </c>
      <c r="Q211" s="31">
        <v>800</v>
      </c>
      <c r="R211" s="31">
        <v>800</v>
      </c>
      <c r="S211" s="31">
        <v>800</v>
      </c>
      <c r="T211" s="31">
        <v>800</v>
      </c>
      <c r="U211" s="31">
        <v>800</v>
      </c>
      <c r="V211" s="31">
        <v>800</v>
      </c>
      <c r="W211" s="31">
        <v>800</v>
      </c>
      <c r="X211" s="31">
        <v>800</v>
      </c>
      <c r="Y211" s="30">
        <f t="shared" si="23"/>
        <v>9600</v>
      </c>
      <c r="Z211">
        <f>VLOOKUP(A211,справочник!$E$2:$F$322,2,FALSE)</f>
        <v>0</v>
      </c>
    </row>
    <row r="212" spans="1:26" ht="38.25" hidden="1" customHeight="1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30">
        <f t="shared" si="22"/>
        <v>8000</v>
      </c>
      <c r="M212" s="31">
        <v>800</v>
      </c>
      <c r="N212" s="31">
        <v>800</v>
      </c>
      <c r="O212" s="31">
        <v>800</v>
      </c>
      <c r="P212" s="31">
        <v>800</v>
      </c>
      <c r="Q212" s="31">
        <v>800</v>
      </c>
      <c r="R212" s="31">
        <v>800</v>
      </c>
      <c r="S212" s="31">
        <v>800</v>
      </c>
      <c r="T212" s="31">
        <v>800</v>
      </c>
      <c r="U212" s="31">
        <v>800</v>
      </c>
      <c r="V212" s="31">
        <v>800</v>
      </c>
      <c r="W212" s="31">
        <v>800</v>
      </c>
      <c r="X212" s="31">
        <v>800</v>
      </c>
      <c r="Y212" s="30">
        <f t="shared" si="23"/>
        <v>17600</v>
      </c>
      <c r="Z212">
        <f>VLOOKUP(A212,справочник!$E$2:$F$322,2,FALSE)</f>
        <v>0</v>
      </c>
    </row>
    <row r="213" spans="1:26" hidden="1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2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30">
        <f t="shared" si="22"/>
        <v>15000</v>
      </c>
      <c r="M213" s="31">
        <v>800</v>
      </c>
      <c r="N213" s="31">
        <v>800</v>
      </c>
      <c r="O213" s="31">
        <v>800</v>
      </c>
      <c r="P213" s="31">
        <v>800</v>
      </c>
      <c r="Q213" s="31">
        <v>800</v>
      </c>
      <c r="R213" s="31">
        <v>800</v>
      </c>
      <c r="S213" s="31">
        <v>800</v>
      </c>
      <c r="T213" s="31">
        <v>800</v>
      </c>
      <c r="U213" s="31">
        <v>800</v>
      </c>
      <c r="V213" s="31">
        <v>800</v>
      </c>
      <c r="W213" s="31">
        <v>800</v>
      </c>
      <c r="X213" s="31">
        <v>800</v>
      </c>
      <c r="Y213" s="30">
        <f t="shared" si="23"/>
        <v>24600</v>
      </c>
      <c r="Z213">
        <f>VLOOKUP(A213,справочник!$E$2:$F$322,2,FALSE)</f>
        <v>0</v>
      </c>
    </row>
    <row r="214" spans="1:26" ht="25.5" hidden="1">
      <c r="A214" s="41" t="e">
        <f>VLOOKUP(B214,справочник!$B$2:$E$322,4,FALSE)</f>
        <v>#N/A</v>
      </c>
      <c r="B214" t="str">
        <f t="shared" si="24"/>
        <v>29_Петрик Наталья Вячеславовна(ПродалаУстинова Ирина)</v>
      </c>
      <c r="C214" s="1" t="s">
        <v>703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30">
        <f t="shared" si="22"/>
        <v>0</v>
      </c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0">
        <f t="shared" si="23"/>
        <v>0</v>
      </c>
      <c r="Z214" t="e">
        <f>VLOOKUP(A214,справочник!$E$2:$F$322,2,FALSE)</f>
        <v>#N/A</v>
      </c>
    </row>
    <row r="215" spans="1:26" hidden="1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30">
        <f t="shared" si="22"/>
        <v>7000</v>
      </c>
      <c r="M215" s="31">
        <v>800</v>
      </c>
      <c r="N215" s="31">
        <v>800</v>
      </c>
      <c r="O215" s="31">
        <v>800</v>
      </c>
      <c r="P215" s="31">
        <v>800</v>
      </c>
      <c r="Q215" s="31">
        <v>800</v>
      </c>
      <c r="R215" s="31">
        <v>800</v>
      </c>
      <c r="S215" s="31">
        <v>800</v>
      </c>
      <c r="T215" s="31">
        <v>800</v>
      </c>
      <c r="U215" s="31">
        <v>800</v>
      </c>
      <c r="V215" s="31">
        <v>800</v>
      </c>
      <c r="W215" s="31">
        <v>800</v>
      </c>
      <c r="X215" s="31">
        <v>800</v>
      </c>
      <c r="Y215" s="30">
        <f t="shared" si="23"/>
        <v>16600</v>
      </c>
      <c r="Z215">
        <f>VLOOKUP(A215,справочник!$E$2:$F$322,2,FALSE)</f>
        <v>0</v>
      </c>
    </row>
    <row r="216" spans="1:26" hidden="1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30">
        <f t="shared" si="22"/>
        <v>4000</v>
      </c>
      <c r="M216" s="31">
        <v>800</v>
      </c>
      <c r="N216" s="31">
        <v>800</v>
      </c>
      <c r="O216" s="31">
        <v>800</v>
      </c>
      <c r="P216" s="31">
        <v>800</v>
      </c>
      <c r="Q216" s="31">
        <v>800</v>
      </c>
      <c r="R216" s="31">
        <v>800</v>
      </c>
      <c r="S216" s="31">
        <v>800</v>
      </c>
      <c r="T216" s="31">
        <v>800</v>
      </c>
      <c r="U216" s="31">
        <v>800</v>
      </c>
      <c r="V216" s="31">
        <v>800</v>
      </c>
      <c r="W216" s="31">
        <v>800</v>
      </c>
      <c r="X216" s="31">
        <v>800</v>
      </c>
      <c r="Y216" s="30">
        <f t="shared" si="23"/>
        <v>13600</v>
      </c>
      <c r="Z216">
        <f>VLOOKUP(A216,справочник!$E$2:$F$322,2,FALSE)</f>
        <v>0</v>
      </c>
    </row>
    <row r="217" spans="1:26" hidden="1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2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30">
        <f t="shared" si="22"/>
        <v>14000</v>
      </c>
      <c r="M217" s="31">
        <v>800</v>
      </c>
      <c r="N217" s="31">
        <v>800</v>
      </c>
      <c r="O217" s="31">
        <v>800</v>
      </c>
      <c r="P217" s="31">
        <v>800</v>
      </c>
      <c r="Q217" s="31">
        <v>800</v>
      </c>
      <c r="R217" s="31">
        <v>800</v>
      </c>
      <c r="S217" s="31">
        <v>800</v>
      </c>
      <c r="T217" s="31">
        <v>800</v>
      </c>
      <c r="U217" s="31">
        <v>800</v>
      </c>
      <c r="V217" s="31">
        <v>800</v>
      </c>
      <c r="W217" s="31">
        <v>800</v>
      </c>
      <c r="X217" s="31">
        <v>800</v>
      </c>
      <c r="Y217" s="30">
        <f t="shared" si="23"/>
        <v>23600</v>
      </c>
      <c r="Z217">
        <f>VLOOKUP(A217,справочник!$E$2:$F$322,2,FALSE)</f>
        <v>0</v>
      </c>
    </row>
    <row r="218" spans="1:26" hidden="1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2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30">
        <f t="shared" si="22"/>
        <v>17000</v>
      </c>
      <c r="M218" s="31">
        <v>800</v>
      </c>
      <c r="N218" s="31">
        <v>800</v>
      </c>
      <c r="O218" s="31">
        <v>800</v>
      </c>
      <c r="P218" s="31">
        <v>800</v>
      </c>
      <c r="Q218" s="31">
        <v>800</v>
      </c>
      <c r="R218" s="31">
        <v>800</v>
      </c>
      <c r="S218" s="31">
        <v>800</v>
      </c>
      <c r="T218" s="31">
        <v>800</v>
      </c>
      <c r="U218" s="31">
        <v>800</v>
      </c>
      <c r="V218" s="31">
        <v>800</v>
      </c>
      <c r="W218" s="31">
        <v>800</v>
      </c>
      <c r="X218" s="31">
        <v>800</v>
      </c>
      <c r="Y218" s="30">
        <f t="shared" si="23"/>
        <v>26600</v>
      </c>
      <c r="Z218">
        <f>VLOOKUP(A218,справочник!$E$2:$F$322,2,FALSE)</f>
        <v>0</v>
      </c>
    </row>
    <row r="219" spans="1:26" hidden="1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2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30">
        <f t="shared" si="22"/>
        <v>14000</v>
      </c>
      <c r="M219" s="31">
        <v>800</v>
      </c>
      <c r="N219" s="31">
        <v>800</v>
      </c>
      <c r="O219" s="31">
        <v>800</v>
      </c>
      <c r="P219" s="31">
        <v>800</v>
      </c>
      <c r="Q219" s="31">
        <v>800</v>
      </c>
      <c r="R219" s="31">
        <v>800</v>
      </c>
      <c r="S219" s="31">
        <v>800</v>
      </c>
      <c r="T219" s="31">
        <v>800</v>
      </c>
      <c r="U219" s="31">
        <v>800</v>
      </c>
      <c r="V219" s="31">
        <v>800</v>
      </c>
      <c r="W219" s="31">
        <v>800</v>
      </c>
      <c r="X219" s="31">
        <v>800</v>
      </c>
      <c r="Y219" s="30">
        <f t="shared" si="23"/>
        <v>23600</v>
      </c>
      <c r="Z219">
        <f>VLOOKUP(A219,справочник!$E$2:$F$322,2,FALSE)</f>
        <v>0</v>
      </c>
    </row>
    <row r="220" spans="1:26" hidden="1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2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30">
        <f t="shared" si="22"/>
        <v>3000</v>
      </c>
      <c r="M220" s="31">
        <v>800</v>
      </c>
      <c r="N220" s="31">
        <v>800</v>
      </c>
      <c r="O220" s="31">
        <v>800</v>
      </c>
      <c r="P220" s="31">
        <v>800</v>
      </c>
      <c r="Q220" s="31">
        <v>800</v>
      </c>
      <c r="R220" s="31">
        <v>800</v>
      </c>
      <c r="S220" s="31">
        <v>800</v>
      </c>
      <c r="T220" s="31">
        <v>800</v>
      </c>
      <c r="U220" s="31">
        <v>800</v>
      </c>
      <c r="V220" s="31">
        <v>800</v>
      </c>
      <c r="W220" s="31">
        <v>800</v>
      </c>
      <c r="X220" s="31">
        <v>800</v>
      </c>
      <c r="Y220" s="30">
        <f t="shared" si="23"/>
        <v>12600</v>
      </c>
      <c r="Z220">
        <f>VLOOKUP(A220,справочник!$E$2:$F$322,2,FALSE)</f>
        <v>0</v>
      </c>
    </row>
    <row r="221" spans="1:26" hidden="1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2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30">
        <f t="shared" si="22"/>
        <v>21000</v>
      </c>
      <c r="M221" s="31">
        <v>800</v>
      </c>
      <c r="N221" s="31">
        <v>800</v>
      </c>
      <c r="O221" s="31">
        <v>800</v>
      </c>
      <c r="P221" s="31">
        <v>800</v>
      </c>
      <c r="Q221" s="31">
        <v>800</v>
      </c>
      <c r="R221" s="31">
        <v>800</v>
      </c>
      <c r="S221" s="31">
        <v>800</v>
      </c>
      <c r="T221" s="31">
        <v>800</v>
      </c>
      <c r="U221" s="31">
        <v>800</v>
      </c>
      <c r="V221" s="31">
        <v>800</v>
      </c>
      <c r="W221" s="31">
        <v>800</v>
      </c>
      <c r="X221" s="31">
        <v>800</v>
      </c>
      <c r="Y221" s="30">
        <f t="shared" si="23"/>
        <v>30600</v>
      </c>
      <c r="Z221">
        <f>VLOOKUP(A221,справочник!$E$2:$F$322,2,FALSE)</f>
        <v>0</v>
      </c>
    </row>
    <row r="222" spans="1:26" ht="25.5" hidden="1" customHeight="1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30">
        <f t="shared" si="22"/>
        <v>0</v>
      </c>
      <c r="M222" s="31">
        <v>800</v>
      </c>
      <c r="N222" s="31">
        <v>800</v>
      </c>
      <c r="O222" s="31">
        <v>800</v>
      </c>
      <c r="P222" s="31">
        <v>800</v>
      </c>
      <c r="Q222" s="31">
        <v>800</v>
      </c>
      <c r="R222" s="31">
        <v>800</v>
      </c>
      <c r="S222" s="31">
        <v>800</v>
      </c>
      <c r="T222" s="31">
        <v>800</v>
      </c>
      <c r="U222" s="31">
        <v>800</v>
      </c>
      <c r="V222" s="31">
        <v>800</v>
      </c>
      <c r="W222" s="31">
        <v>800</v>
      </c>
      <c r="X222" s="31">
        <v>800</v>
      </c>
      <c r="Y222" s="30">
        <f t="shared" si="23"/>
        <v>9600</v>
      </c>
      <c r="Z222">
        <f>VLOOKUP(A222,справочник!$E$2:$F$322,2,FALSE)</f>
        <v>0</v>
      </c>
    </row>
    <row r="223" spans="1:26" hidden="1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30">
        <f t="shared" si="22"/>
        <v>0</v>
      </c>
      <c r="M223" s="31">
        <v>800</v>
      </c>
      <c r="N223" s="31">
        <v>800</v>
      </c>
      <c r="O223" s="31">
        <v>800</v>
      </c>
      <c r="P223" s="31">
        <v>800</v>
      </c>
      <c r="Q223" s="31">
        <v>800</v>
      </c>
      <c r="R223" s="31">
        <v>800</v>
      </c>
      <c r="S223" s="31">
        <v>800</v>
      </c>
      <c r="T223" s="31">
        <v>800</v>
      </c>
      <c r="U223" s="31">
        <v>800</v>
      </c>
      <c r="V223" s="31">
        <v>800</v>
      </c>
      <c r="W223" s="31">
        <v>800</v>
      </c>
      <c r="X223" s="31">
        <v>800</v>
      </c>
      <c r="Y223" s="30">
        <f t="shared" si="23"/>
        <v>9600</v>
      </c>
      <c r="Z223">
        <f>VLOOKUP(A223,справочник!$E$2:$F$322,2,FALSE)</f>
        <v>0</v>
      </c>
    </row>
    <row r="224" spans="1:26" hidden="1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30">
        <f t="shared" si="22"/>
        <v>0</v>
      </c>
      <c r="M224" s="31">
        <v>800</v>
      </c>
      <c r="N224" s="31">
        <v>800</v>
      </c>
      <c r="O224" s="31">
        <v>800</v>
      </c>
      <c r="P224" s="31">
        <v>800</v>
      </c>
      <c r="Q224" s="31">
        <v>800</v>
      </c>
      <c r="R224" s="31">
        <v>800</v>
      </c>
      <c r="S224" s="31">
        <v>800</v>
      </c>
      <c r="T224" s="31">
        <v>800</v>
      </c>
      <c r="U224" s="31">
        <v>800</v>
      </c>
      <c r="V224" s="31">
        <v>800</v>
      </c>
      <c r="W224" s="31">
        <v>800</v>
      </c>
      <c r="X224" s="31">
        <v>800</v>
      </c>
      <c r="Y224" s="30">
        <f t="shared" si="23"/>
        <v>9600</v>
      </c>
      <c r="Z224">
        <f>VLOOKUP(A224,справочник!$E$2:$F$322,2,FALSE)</f>
        <v>0</v>
      </c>
    </row>
    <row r="225" spans="1:26" hidden="1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30">
        <f t="shared" si="22"/>
        <v>0</v>
      </c>
      <c r="M225" s="31">
        <v>800</v>
      </c>
      <c r="N225" s="31">
        <v>800</v>
      </c>
      <c r="O225" s="31">
        <v>800</v>
      </c>
      <c r="P225" s="31">
        <v>800</v>
      </c>
      <c r="Q225" s="31">
        <v>800</v>
      </c>
      <c r="R225" s="31">
        <v>800</v>
      </c>
      <c r="S225" s="31">
        <v>800</v>
      </c>
      <c r="T225" s="31">
        <v>800</v>
      </c>
      <c r="U225" s="31">
        <v>800</v>
      </c>
      <c r="V225" s="31">
        <v>800</v>
      </c>
      <c r="W225" s="31">
        <v>800</v>
      </c>
      <c r="X225" s="31">
        <v>800</v>
      </c>
      <c r="Y225" s="30">
        <f t="shared" si="23"/>
        <v>9600</v>
      </c>
      <c r="Z225">
        <f>VLOOKUP(A225,справочник!$E$2:$F$322,2,FALSE)</f>
        <v>0</v>
      </c>
    </row>
    <row r="226" spans="1:26" hidden="1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2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30">
        <f t="shared" si="22"/>
        <v>20000</v>
      </c>
      <c r="M226" s="31">
        <v>800</v>
      </c>
      <c r="N226" s="31">
        <v>800</v>
      </c>
      <c r="O226" s="31">
        <v>800</v>
      </c>
      <c r="P226" s="31">
        <v>800</v>
      </c>
      <c r="Q226" s="31">
        <v>800</v>
      </c>
      <c r="R226" s="31">
        <v>800</v>
      </c>
      <c r="S226" s="31">
        <v>800</v>
      </c>
      <c r="T226" s="31">
        <v>800</v>
      </c>
      <c r="U226" s="31">
        <v>800</v>
      </c>
      <c r="V226" s="31">
        <v>800</v>
      </c>
      <c r="W226" s="31">
        <v>800</v>
      </c>
      <c r="X226" s="31">
        <v>800</v>
      </c>
      <c r="Y226" s="30">
        <f t="shared" si="23"/>
        <v>29600</v>
      </c>
      <c r="Z226">
        <f>VLOOKUP(A226,справочник!$E$2:$F$322,2,FALSE)</f>
        <v>0</v>
      </c>
    </row>
    <row r="227" spans="1:26" hidden="1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1" t="s">
        <v>210</v>
      </c>
      <c r="D227" s="2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32">
        <f t="shared" si="22"/>
        <v>19000</v>
      </c>
      <c r="M227" s="31">
        <v>800</v>
      </c>
      <c r="N227" s="31">
        <v>800</v>
      </c>
      <c r="O227" s="31">
        <v>800</v>
      </c>
      <c r="P227" s="31">
        <v>800</v>
      </c>
      <c r="Q227" s="31">
        <v>800</v>
      </c>
      <c r="R227" s="31">
        <v>800</v>
      </c>
      <c r="S227" s="31">
        <v>800</v>
      </c>
      <c r="T227" s="31">
        <v>800</v>
      </c>
      <c r="U227" s="31">
        <v>800</v>
      </c>
      <c r="V227" s="31">
        <v>800</v>
      </c>
      <c r="W227" s="31">
        <v>800</v>
      </c>
      <c r="X227" s="31">
        <v>800</v>
      </c>
      <c r="Y227" s="30">
        <f t="shared" si="23"/>
        <v>28600</v>
      </c>
      <c r="Z227">
        <f>VLOOKUP(A227,справочник!$E$2:$F$322,2,FALSE)</f>
        <v>0</v>
      </c>
    </row>
    <row r="228" spans="1:26" s="40" customFormat="1" ht="25.5" hidden="1" customHeight="1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34" t="s">
        <v>212</v>
      </c>
      <c r="D228" s="35" t="s">
        <v>213</v>
      </c>
      <c r="E228" s="34" t="s">
        <v>527</v>
      </c>
      <c r="F228" s="36">
        <v>40816</v>
      </c>
      <c r="G228" s="36">
        <v>40817</v>
      </c>
      <c r="H228" s="37">
        <f t="shared" si="27"/>
        <v>51</v>
      </c>
      <c r="I228" s="34">
        <v>61000</v>
      </c>
      <c r="J228" s="37">
        <f>2000+55000</f>
        <v>57000</v>
      </c>
      <c r="K228" s="37">
        <v>4000</v>
      </c>
      <c r="L228" s="38">
        <f t="shared" si="22"/>
        <v>0</v>
      </c>
      <c r="M228" s="39">
        <v>800</v>
      </c>
      <c r="N228" s="39">
        <v>800</v>
      </c>
      <c r="O228" s="39">
        <v>800</v>
      </c>
      <c r="P228" s="39">
        <v>800</v>
      </c>
      <c r="Q228" s="39">
        <v>800</v>
      </c>
      <c r="R228" s="39">
        <v>800</v>
      </c>
      <c r="S228" s="39">
        <v>800</v>
      </c>
      <c r="T228" s="39">
        <v>800</v>
      </c>
      <c r="U228" s="39">
        <v>800</v>
      </c>
      <c r="V228" s="39">
        <v>800</v>
      </c>
      <c r="W228" s="39">
        <v>800</v>
      </c>
      <c r="X228" s="39">
        <v>800</v>
      </c>
      <c r="Y228" s="38">
        <f t="shared" si="23"/>
        <v>9600</v>
      </c>
      <c r="Z228" t="e">
        <f>VLOOKUP(A228,справочник!$E$2:$F$322,2,FALSE)</f>
        <v>#N/A</v>
      </c>
    </row>
    <row r="229" spans="1:26" s="40" customFormat="1" hidden="1">
      <c r="A229" s="41" t="e">
        <f>VLOOKUP(B229,справочник!$B$2:$E$322,4,FALSE)</f>
        <v>#N/A</v>
      </c>
      <c r="B229" t="str">
        <f t="shared" si="24"/>
        <v>210-211Решетов Владимир Генадьевич</v>
      </c>
      <c r="C229" s="34" t="s">
        <v>212</v>
      </c>
      <c r="D229" s="35" t="s">
        <v>213</v>
      </c>
      <c r="E229" s="34" t="s">
        <v>527</v>
      </c>
      <c r="F229" s="36">
        <v>40816</v>
      </c>
      <c r="G229" s="36">
        <v>40817</v>
      </c>
      <c r="H229" s="37">
        <f t="shared" si="27"/>
        <v>51</v>
      </c>
      <c r="I229" s="34">
        <v>61000</v>
      </c>
      <c r="J229" s="37">
        <v>58000</v>
      </c>
      <c r="K229" s="37">
        <v>3000</v>
      </c>
      <c r="L229" s="38">
        <f t="shared" si="22"/>
        <v>0</v>
      </c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8">
        <f t="shared" si="23"/>
        <v>0</v>
      </c>
      <c r="Z229" t="e">
        <f>VLOOKUP(A229,справочник!$E$2:$F$322,2,FALSE)</f>
        <v>#N/A</v>
      </c>
    </row>
    <row r="230" spans="1:26" ht="25.5" hidden="1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1">
        <v>203</v>
      </c>
      <c r="D230" s="2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30">
        <f t="shared" si="22"/>
        <v>24000</v>
      </c>
      <c r="M230" s="31">
        <v>800</v>
      </c>
      <c r="N230" s="31">
        <v>800</v>
      </c>
      <c r="O230" s="31">
        <v>800</v>
      </c>
      <c r="P230" s="31">
        <v>800</v>
      </c>
      <c r="Q230" s="31">
        <v>800</v>
      </c>
      <c r="R230" s="31">
        <v>800</v>
      </c>
      <c r="S230" s="31">
        <v>800</v>
      </c>
      <c r="T230" s="31">
        <v>800</v>
      </c>
      <c r="U230" s="31">
        <v>800</v>
      </c>
      <c r="V230" s="31">
        <v>800</v>
      </c>
      <c r="W230" s="31">
        <v>800</v>
      </c>
      <c r="X230" s="31">
        <v>800</v>
      </c>
      <c r="Y230" s="30">
        <f t="shared" si="23"/>
        <v>33600</v>
      </c>
      <c r="Z230">
        <f>VLOOKUP(A230,справочник!$E$2:$F$322,2,FALSE)</f>
        <v>0</v>
      </c>
    </row>
    <row r="231" spans="1:26" hidden="1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1">
        <v>152</v>
      </c>
      <c r="D231" s="2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32">
        <f t="shared" si="22"/>
        <v>51000</v>
      </c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0">
        <f t="shared" si="23"/>
        <v>51000</v>
      </c>
      <c r="Z231">
        <f>VLOOKUP(A231,справочник!$E$2:$F$322,2,FALSE)</f>
        <v>1</v>
      </c>
    </row>
    <row r="232" spans="1:26" hidden="1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1">
        <v>153</v>
      </c>
      <c r="D232" s="2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32">
        <f t="shared" si="22"/>
        <v>51000</v>
      </c>
      <c r="M232" s="31">
        <v>800</v>
      </c>
      <c r="N232" s="31">
        <v>800</v>
      </c>
      <c r="O232" s="31">
        <v>800</v>
      </c>
      <c r="P232" s="31">
        <v>800</v>
      </c>
      <c r="Q232" s="31">
        <v>800</v>
      </c>
      <c r="R232" s="31">
        <v>800</v>
      </c>
      <c r="S232" s="31">
        <v>800</v>
      </c>
      <c r="T232" s="31">
        <v>800</v>
      </c>
      <c r="U232" s="31">
        <v>800</v>
      </c>
      <c r="V232" s="31">
        <v>800</v>
      </c>
      <c r="W232" s="31">
        <v>800</v>
      </c>
      <c r="X232" s="31">
        <v>800</v>
      </c>
      <c r="Y232" s="30">
        <f t="shared" si="23"/>
        <v>60600</v>
      </c>
      <c r="Z232">
        <f>VLOOKUP(A232,справочник!$E$2:$F$322,2,FALSE)</f>
        <v>1</v>
      </c>
    </row>
    <row r="233" spans="1:26" hidden="1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1">
        <v>80</v>
      </c>
      <c r="D233" s="2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32">
        <f t="shared" si="22"/>
        <v>3000</v>
      </c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0">
        <f t="shared" si="23"/>
        <v>3000</v>
      </c>
      <c r="Z233">
        <f>VLOOKUP(A233,справочник!$E$2:$F$322,2,FALSE)</f>
        <v>1</v>
      </c>
    </row>
    <row r="234" spans="1:26" hidden="1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1">
        <v>81</v>
      </c>
      <c r="D234" s="2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32">
        <f t="shared" si="22"/>
        <v>3000</v>
      </c>
      <c r="M234" s="31">
        <v>800</v>
      </c>
      <c r="N234" s="31">
        <v>800</v>
      </c>
      <c r="O234" s="31">
        <v>800</v>
      </c>
      <c r="P234" s="31">
        <v>800</v>
      </c>
      <c r="Q234" s="31">
        <v>800</v>
      </c>
      <c r="R234" s="31">
        <v>800</v>
      </c>
      <c r="S234" s="31">
        <v>800</v>
      </c>
      <c r="T234" s="31">
        <v>800</v>
      </c>
      <c r="U234" s="31">
        <v>800</v>
      </c>
      <c r="V234" s="31">
        <v>800</v>
      </c>
      <c r="W234" s="31">
        <v>800</v>
      </c>
      <c r="X234" s="31">
        <v>800</v>
      </c>
      <c r="Y234" s="30">
        <f t="shared" si="23"/>
        <v>12600</v>
      </c>
      <c r="Z234">
        <f>VLOOKUP(A234,справочник!$E$2:$F$322,2,FALSE)</f>
        <v>1</v>
      </c>
    </row>
    <row r="235" spans="1:26" hidden="1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30">
        <f t="shared" si="22"/>
        <v>0</v>
      </c>
      <c r="M235" s="31">
        <v>800</v>
      </c>
      <c r="N235" s="31">
        <v>800</v>
      </c>
      <c r="O235" s="31">
        <v>800</v>
      </c>
      <c r="P235" s="31">
        <v>800</v>
      </c>
      <c r="Q235" s="31">
        <v>800</v>
      </c>
      <c r="R235" s="31">
        <v>800</v>
      </c>
      <c r="S235" s="31">
        <v>800</v>
      </c>
      <c r="T235" s="31">
        <v>800</v>
      </c>
      <c r="U235" s="31">
        <v>800</v>
      </c>
      <c r="V235" s="31">
        <v>800</v>
      </c>
      <c r="W235" s="31">
        <v>800</v>
      </c>
      <c r="X235" s="31">
        <v>800</v>
      </c>
      <c r="Y235" s="30">
        <f t="shared" si="23"/>
        <v>9600</v>
      </c>
      <c r="Z235">
        <f>VLOOKUP(A235,справочник!$E$2:$F$322,2,FALSE)</f>
        <v>0</v>
      </c>
    </row>
    <row r="236" spans="1:26" hidden="1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2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30">
        <f t="shared" si="22"/>
        <v>20000</v>
      </c>
      <c r="M236" s="31">
        <v>800</v>
      </c>
      <c r="N236" s="31">
        <v>800</v>
      </c>
      <c r="O236" s="31">
        <v>800</v>
      </c>
      <c r="P236" s="31">
        <v>800</v>
      </c>
      <c r="Q236" s="31">
        <v>800</v>
      </c>
      <c r="R236" s="31">
        <v>800</v>
      </c>
      <c r="S236" s="31">
        <v>800</v>
      </c>
      <c r="T236" s="31">
        <v>800</v>
      </c>
      <c r="U236" s="31">
        <v>800</v>
      </c>
      <c r="V236" s="31">
        <v>800</v>
      </c>
      <c r="W236" s="31">
        <v>800</v>
      </c>
      <c r="X236" s="31">
        <v>800</v>
      </c>
      <c r="Y236" s="30">
        <f t="shared" si="23"/>
        <v>29600</v>
      </c>
      <c r="Z236">
        <f>VLOOKUP(A236,справочник!$E$2:$F$322,2,FALSE)</f>
        <v>0</v>
      </c>
    </row>
    <row r="237" spans="1:26" hidden="1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30">
        <f t="shared" si="22"/>
        <v>12000</v>
      </c>
      <c r="M237" s="31">
        <v>800</v>
      </c>
      <c r="N237" s="31">
        <v>800</v>
      </c>
      <c r="O237" s="31">
        <v>800</v>
      </c>
      <c r="P237" s="31">
        <v>800</v>
      </c>
      <c r="Q237" s="31">
        <v>800</v>
      </c>
      <c r="R237" s="31">
        <v>800</v>
      </c>
      <c r="S237" s="31">
        <v>800</v>
      </c>
      <c r="T237" s="31">
        <v>800</v>
      </c>
      <c r="U237" s="31">
        <v>800</v>
      </c>
      <c r="V237" s="31">
        <v>800</v>
      </c>
      <c r="W237" s="31">
        <v>800</v>
      </c>
      <c r="X237" s="31">
        <v>800</v>
      </c>
      <c r="Y237" s="30">
        <f t="shared" si="23"/>
        <v>21600</v>
      </c>
      <c r="Z237">
        <f>VLOOKUP(A237,справочник!$E$2:$F$322,2,FALSE)</f>
        <v>0</v>
      </c>
    </row>
    <row r="238" spans="1:26" ht="38.25" hidden="1" customHeight="1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30">
        <f t="shared" si="22"/>
        <v>4000</v>
      </c>
      <c r="M238" s="31">
        <v>800</v>
      </c>
      <c r="N238" s="31">
        <v>800</v>
      </c>
      <c r="O238" s="31">
        <v>800</v>
      </c>
      <c r="P238" s="31">
        <v>800</v>
      </c>
      <c r="Q238" s="31">
        <v>800</v>
      </c>
      <c r="R238" s="31">
        <v>800</v>
      </c>
      <c r="S238" s="31">
        <v>800</v>
      </c>
      <c r="T238" s="31">
        <v>800</v>
      </c>
      <c r="U238" s="31">
        <v>800</v>
      </c>
      <c r="V238" s="31">
        <v>800</v>
      </c>
      <c r="W238" s="31">
        <v>800</v>
      </c>
      <c r="X238" s="31">
        <v>800</v>
      </c>
      <c r="Y238" s="30">
        <f t="shared" si="23"/>
        <v>13600</v>
      </c>
      <c r="Z238">
        <f>VLOOKUP(A238,справочник!$E$2:$F$322,2,FALSE)</f>
        <v>0</v>
      </c>
    </row>
    <row r="239" spans="1:26" hidden="1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30">
        <f t="shared" si="22"/>
        <v>0</v>
      </c>
      <c r="M239" s="31">
        <v>800</v>
      </c>
      <c r="N239" s="31">
        <v>800</v>
      </c>
      <c r="O239" s="31">
        <v>800</v>
      </c>
      <c r="P239" s="31">
        <v>800</v>
      </c>
      <c r="Q239" s="31">
        <v>800</v>
      </c>
      <c r="R239" s="31">
        <v>800</v>
      </c>
      <c r="S239" s="31">
        <v>800</v>
      </c>
      <c r="T239" s="31">
        <v>800</v>
      </c>
      <c r="U239" s="31">
        <v>800</v>
      </c>
      <c r="V239" s="31">
        <v>800</v>
      </c>
      <c r="W239" s="31">
        <v>800</v>
      </c>
      <c r="X239" s="31">
        <v>800</v>
      </c>
      <c r="Y239" s="30">
        <f t="shared" si="23"/>
        <v>9600</v>
      </c>
      <c r="Z239">
        <f>VLOOKUP(A239,справочник!$E$2:$F$322,2,FALSE)</f>
        <v>0</v>
      </c>
    </row>
    <row r="240" spans="1:26" ht="25.5" hidden="1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2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30">
        <f t="shared" si="22"/>
        <v>32000</v>
      </c>
      <c r="M240" s="31">
        <v>800</v>
      </c>
      <c r="N240" s="31">
        <v>800</v>
      </c>
      <c r="O240" s="31">
        <v>800</v>
      </c>
      <c r="P240" s="31">
        <v>800</v>
      </c>
      <c r="Q240" s="31">
        <v>800</v>
      </c>
      <c r="R240" s="31">
        <v>800</v>
      </c>
      <c r="S240" s="31">
        <v>800</v>
      </c>
      <c r="T240" s="31">
        <v>800</v>
      </c>
      <c r="U240" s="31">
        <v>800</v>
      </c>
      <c r="V240" s="31">
        <v>800</v>
      </c>
      <c r="W240" s="31">
        <v>800</v>
      </c>
      <c r="X240" s="31">
        <v>800</v>
      </c>
      <c r="Y240" s="30">
        <f t="shared" si="23"/>
        <v>41600</v>
      </c>
      <c r="Z240">
        <f>VLOOKUP(A240,справочник!$E$2:$F$322,2,FALSE)</f>
        <v>0</v>
      </c>
    </row>
    <row r="241" spans="1:26" hidden="1">
      <c r="A241" s="41"/>
      <c r="C241" s="1"/>
      <c r="D241" s="2"/>
      <c r="E241" s="1"/>
      <c r="F241" s="16"/>
      <c r="G241" s="16"/>
      <c r="H241" s="17"/>
      <c r="I241" s="1"/>
      <c r="J241" s="17"/>
      <c r="K241" s="17"/>
      <c r="L241" s="30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0"/>
    </row>
    <row r="242" spans="1:26" hidden="1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2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30">
        <f t="shared" si="22"/>
        <v>20000</v>
      </c>
      <c r="M242" s="31">
        <v>800</v>
      </c>
      <c r="N242" s="31">
        <v>800</v>
      </c>
      <c r="O242" s="31">
        <v>800</v>
      </c>
      <c r="P242" s="31">
        <v>800</v>
      </c>
      <c r="Q242" s="31">
        <v>800</v>
      </c>
      <c r="R242" s="31">
        <v>800</v>
      </c>
      <c r="S242" s="31">
        <v>800</v>
      </c>
      <c r="T242" s="31">
        <v>800</v>
      </c>
      <c r="U242" s="31">
        <v>800</v>
      </c>
      <c r="V242" s="31">
        <v>800</v>
      </c>
      <c r="W242" s="31">
        <v>800</v>
      </c>
      <c r="X242" s="31">
        <v>800</v>
      </c>
      <c r="Y242" s="30">
        <f t="shared" si="23"/>
        <v>29600</v>
      </c>
      <c r="Z242">
        <f>VLOOKUP(A242,справочник!$E$2:$F$322,2,FALSE)</f>
        <v>0</v>
      </c>
    </row>
    <row r="243" spans="1:26" hidden="1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1">
        <v>249</v>
      </c>
      <c r="D243" s="2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30">
        <f t="shared" si="22"/>
        <v>43000</v>
      </c>
      <c r="M243" s="31">
        <v>800</v>
      </c>
      <c r="N243" s="31">
        <v>800</v>
      </c>
      <c r="O243" s="31">
        <v>800</v>
      </c>
      <c r="P243" s="31">
        <v>800</v>
      </c>
      <c r="Q243" s="31">
        <v>800</v>
      </c>
      <c r="R243" s="31">
        <v>800</v>
      </c>
      <c r="S243" s="31">
        <v>800</v>
      </c>
      <c r="T243" s="31">
        <v>800</v>
      </c>
      <c r="U243" s="31">
        <v>800</v>
      </c>
      <c r="V243" s="31">
        <v>800</v>
      </c>
      <c r="W243" s="31">
        <v>800</v>
      </c>
      <c r="X243" s="31">
        <v>800</v>
      </c>
      <c r="Y243" s="30">
        <f t="shared" si="23"/>
        <v>52600</v>
      </c>
      <c r="Z243">
        <f>VLOOKUP(A243,справочник!$E$2:$F$322,2,FALSE)</f>
        <v>0</v>
      </c>
    </row>
    <row r="244" spans="1:26" hidden="1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2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30">
        <f t="shared" si="22"/>
        <v>12000</v>
      </c>
      <c r="M244" s="31">
        <v>800</v>
      </c>
      <c r="N244" s="31">
        <v>800</v>
      </c>
      <c r="O244" s="31">
        <v>800</v>
      </c>
      <c r="P244" s="31">
        <v>800</v>
      </c>
      <c r="Q244" s="31">
        <v>800</v>
      </c>
      <c r="R244" s="31">
        <v>800</v>
      </c>
      <c r="S244" s="31">
        <v>800</v>
      </c>
      <c r="T244" s="31">
        <v>800</v>
      </c>
      <c r="U244" s="31">
        <v>800</v>
      </c>
      <c r="V244" s="31">
        <v>800</v>
      </c>
      <c r="W244" s="31">
        <v>800</v>
      </c>
      <c r="X244" s="31">
        <v>800</v>
      </c>
      <c r="Y244" s="30">
        <f t="shared" si="23"/>
        <v>21600</v>
      </c>
      <c r="Z244">
        <f>VLOOKUP(A244,справочник!$E$2:$F$322,2,FALSE)</f>
        <v>0</v>
      </c>
    </row>
    <row r="245" spans="1:26" ht="25.5" hidden="1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30">
        <f t="shared" si="22"/>
        <v>7000</v>
      </c>
      <c r="M245" s="31">
        <v>800</v>
      </c>
      <c r="N245" s="31">
        <v>800</v>
      </c>
      <c r="O245" s="31">
        <v>800</v>
      </c>
      <c r="P245" s="31">
        <v>800</v>
      </c>
      <c r="Q245" s="31">
        <v>800</v>
      </c>
      <c r="R245" s="31">
        <v>800</v>
      </c>
      <c r="S245" s="31">
        <v>800</v>
      </c>
      <c r="T245" s="31">
        <v>800</v>
      </c>
      <c r="U245" s="31">
        <v>800</v>
      </c>
      <c r="V245" s="31">
        <v>800</v>
      </c>
      <c r="W245" s="31">
        <v>800</v>
      </c>
      <c r="X245" s="31">
        <v>800</v>
      </c>
      <c r="Y245" s="30">
        <f t="shared" si="23"/>
        <v>16600</v>
      </c>
      <c r="Z245">
        <f>VLOOKUP(A245,справочник!$E$2:$F$322,2,FALSE)</f>
        <v>0</v>
      </c>
    </row>
    <row r="246" spans="1:26" hidden="1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2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30">
        <f t="shared" si="22"/>
        <v>44000</v>
      </c>
      <c r="M246" s="31">
        <v>800</v>
      </c>
      <c r="N246" s="31">
        <v>800</v>
      </c>
      <c r="O246" s="31">
        <v>800</v>
      </c>
      <c r="P246" s="31">
        <v>800</v>
      </c>
      <c r="Q246" s="31">
        <v>800</v>
      </c>
      <c r="R246" s="31">
        <v>800</v>
      </c>
      <c r="S246" s="31">
        <v>800</v>
      </c>
      <c r="T246" s="31">
        <v>800</v>
      </c>
      <c r="U246" s="31">
        <v>800</v>
      </c>
      <c r="V246" s="31">
        <v>800</v>
      </c>
      <c r="W246" s="31">
        <v>800</v>
      </c>
      <c r="X246" s="31">
        <v>800</v>
      </c>
      <c r="Y246" s="30">
        <f t="shared" si="23"/>
        <v>53600</v>
      </c>
      <c r="Z246">
        <f>VLOOKUP(A246,справочник!$E$2:$F$322,2,FALSE)</f>
        <v>0</v>
      </c>
    </row>
    <row r="247" spans="1:26" hidden="1">
      <c r="A247" s="41" t="e">
        <f>VLOOKUP(B247,справочник!$B$2:$E$322,4,FALSE)</f>
        <v>#N/A</v>
      </c>
      <c r="B247" t="str">
        <f t="shared" si="24"/>
        <v>290_Севастьянов Михаил Григорьевич</v>
      </c>
      <c r="C247" s="1" t="s">
        <v>708</v>
      </c>
      <c r="D247" s="2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89">
        <f>H247*1000</f>
        <v>49000</v>
      </c>
      <c r="J247" s="73">
        <v>1000</v>
      </c>
      <c r="K247" s="17"/>
      <c r="L247" s="30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0">
        <f t="shared" si="23"/>
        <v>0</v>
      </c>
      <c r="Z247" t="e">
        <f>VLOOKUP(A247,справочник!$E$2:$F$322,2,FALSE)</f>
        <v>#N/A</v>
      </c>
    </row>
    <row r="248" spans="1:26" hidden="1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2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30">
        <f t="shared" si="22"/>
        <v>5000</v>
      </c>
      <c r="M248" s="31">
        <v>800</v>
      </c>
      <c r="N248" s="31">
        <v>800</v>
      </c>
      <c r="O248" s="31">
        <v>800</v>
      </c>
      <c r="P248" s="31">
        <v>800</v>
      </c>
      <c r="Q248" s="31">
        <v>800</v>
      </c>
      <c r="R248" s="31">
        <v>800</v>
      </c>
      <c r="S248" s="31">
        <v>800</v>
      </c>
      <c r="T248" s="31">
        <v>800</v>
      </c>
      <c r="U248" s="31">
        <v>800</v>
      </c>
      <c r="V248" s="31">
        <v>800</v>
      </c>
      <c r="W248" s="31">
        <v>800</v>
      </c>
      <c r="X248" s="31">
        <v>800</v>
      </c>
      <c r="Y248" s="30">
        <f t="shared" si="23"/>
        <v>14600</v>
      </c>
      <c r="Z248">
        <f>VLOOKUP(A248,справочник!$E$2:$F$322,2,FALSE)</f>
        <v>0</v>
      </c>
    </row>
    <row r="249" spans="1:26" hidden="1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30">
        <f t="shared" si="22"/>
        <v>3000</v>
      </c>
      <c r="M249" s="31">
        <v>800</v>
      </c>
      <c r="N249" s="31">
        <v>800</v>
      </c>
      <c r="O249" s="31">
        <v>800</v>
      </c>
      <c r="P249" s="31">
        <v>800</v>
      </c>
      <c r="Q249" s="31">
        <v>800</v>
      </c>
      <c r="R249" s="31">
        <v>800</v>
      </c>
      <c r="S249" s="31">
        <v>800</v>
      </c>
      <c r="T249" s="31">
        <v>800</v>
      </c>
      <c r="U249" s="31">
        <v>800</v>
      </c>
      <c r="V249" s="31">
        <v>800</v>
      </c>
      <c r="W249" s="31">
        <v>800</v>
      </c>
      <c r="X249" s="31">
        <v>800</v>
      </c>
      <c r="Y249" s="30">
        <f t="shared" si="23"/>
        <v>12600</v>
      </c>
      <c r="Z249">
        <f>VLOOKUP(A249,справочник!$E$2:$F$322,2,FALSE)</f>
        <v>0</v>
      </c>
    </row>
    <row r="250" spans="1:26" hidden="1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2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7000+41000+4800</f>
        <v>52800</v>
      </c>
      <c r="K250" s="17"/>
      <c r="L250" s="30">
        <f t="shared" si="22"/>
        <v>2200</v>
      </c>
      <c r="M250" s="31">
        <v>800</v>
      </c>
      <c r="N250" s="31">
        <v>800</v>
      </c>
      <c r="O250" s="31">
        <v>800</v>
      </c>
      <c r="P250" s="31">
        <v>800</v>
      </c>
      <c r="Q250" s="31">
        <v>800</v>
      </c>
      <c r="R250" s="31">
        <v>800</v>
      </c>
      <c r="S250" s="31">
        <v>800</v>
      </c>
      <c r="T250" s="31">
        <v>800</v>
      </c>
      <c r="U250" s="31">
        <v>800</v>
      </c>
      <c r="V250" s="31">
        <v>800</v>
      </c>
      <c r="W250" s="31">
        <v>800</v>
      </c>
      <c r="X250" s="31">
        <v>800</v>
      </c>
      <c r="Y250" s="30">
        <f t="shared" si="23"/>
        <v>11800</v>
      </c>
      <c r="Z250">
        <f>VLOOKUP(A250,справочник!$E$2:$F$322,2,FALSE)</f>
        <v>0</v>
      </c>
    </row>
    <row r="251" spans="1:26" hidden="1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2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30">
        <f t="shared" si="22"/>
        <v>6000</v>
      </c>
      <c r="M251" s="31">
        <v>800</v>
      </c>
      <c r="N251" s="31">
        <v>800</v>
      </c>
      <c r="O251" s="31">
        <v>800</v>
      </c>
      <c r="P251" s="31">
        <v>800</v>
      </c>
      <c r="Q251" s="31">
        <v>800</v>
      </c>
      <c r="R251" s="31">
        <v>800</v>
      </c>
      <c r="S251" s="31">
        <v>800</v>
      </c>
      <c r="T251" s="31">
        <v>800</v>
      </c>
      <c r="U251" s="31">
        <v>800</v>
      </c>
      <c r="V251" s="31">
        <v>800</v>
      </c>
      <c r="W251" s="31">
        <v>800</v>
      </c>
      <c r="X251" s="31">
        <v>800</v>
      </c>
      <c r="Y251" s="30">
        <f t="shared" si="23"/>
        <v>15600</v>
      </c>
      <c r="Z251">
        <f>VLOOKUP(A251,справочник!$E$2:$F$322,2,FALSE)</f>
        <v>0</v>
      </c>
    </row>
    <row r="252" spans="1:26" hidden="1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2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30">
        <f t="shared" ref="L252:L310" si="29">I252-J252-K252</f>
        <v>5000</v>
      </c>
      <c r="M252" s="31">
        <v>800</v>
      </c>
      <c r="N252" s="31">
        <v>800</v>
      </c>
      <c r="O252" s="31">
        <v>800</v>
      </c>
      <c r="P252" s="31">
        <v>800</v>
      </c>
      <c r="Q252" s="31">
        <v>800</v>
      </c>
      <c r="R252" s="31">
        <v>800</v>
      </c>
      <c r="S252" s="31">
        <v>800</v>
      </c>
      <c r="T252" s="31">
        <v>800</v>
      </c>
      <c r="U252" s="31">
        <v>800</v>
      </c>
      <c r="V252" s="31">
        <v>800</v>
      </c>
      <c r="W252" s="31">
        <v>800</v>
      </c>
      <c r="X252" s="31">
        <v>800</v>
      </c>
      <c r="Y252" s="30">
        <f t="shared" si="23"/>
        <v>14600</v>
      </c>
      <c r="Z252">
        <f>VLOOKUP(A252,справочник!$E$2:$F$322,2,FALSE)</f>
        <v>0</v>
      </c>
    </row>
    <row r="253" spans="1:26" hidden="1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30">
        <f t="shared" si="29"/>
        <v>0</v>
      </c>
      <c r="M253" s="31">
        <v>800</v>
      </c>
      <c r="N253" s="31">
        <v>800</v>
      </c>
      <c r="O253" s="31">
        <v>800</v>
      </c>
      <c r="P253" s="31">
        <v>800</v>
      </c>
      <c r="Q253" s="31">
        <v>800</v>
      </c>
      <c r="R253" s="31">
        <v>800</v>
      </c>
      <c r="S253" s="31">
        <v>800</v>
      </c>
      <c r="T253" s="31">
        <v>800</v>
      </c>
      <c r="U253" s="31">
        <v>800</v>
      </c>
      <c r="V253" s="31">
        <v>800</v>
      </c>
      <c r="W253" s="31">
        <v>800</v>
      </c>
      <c r="X253" s="31">
        <v>800</v>
      </c>
      <c r="Y253" s="30">
        <f t="shared" ref="Y253:Y315" si="30">SUM(L253:X253)</f>
        <v>9600</v>
      </c>
      <c r="Z253">
        <f>VLOOKUP(A253,справочник!$E$2:$F$322,2,FALSE)</f>
        <v>0</v>
      </c>
    </row>
    <row r="254" spans="1:26" ht="25.5" hidden="1" customHeight="1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1" t="s">
        <v>238</v>
      </c>
      <c r="D254" s="2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32">
        <f t="shared" si="29"/>
        <v>40000</v>
      </c>
      <c r="M254" s="31">
        <v>800</v>
      </c>
      <c r="N254" s="31">
        <v>800</v>
      </c>
      <c r="O254" s="31">
        <v>800</v>
      </c>
      <c r="P254" s="31">
        <v>800</v>
      </c>
      <c r="Q254" s="31">
        <v>800</v>
      </c>
      <c r="R254" s="31">
        <v>800</v>
      </c>
      <c r="S254" s="31">
        <v>800</v>
      </c>
      <c r="T254" s="31">
        <v>800</v>
      </c>
      <c r="U254" s="31">
        <v>800</v>
      </c>
      <c r="V254" s="31">
        <v>800</v>
      </c>
      <c r="W254" s="31">
        <v>800</v>
      </c>
      <c r="X254" s="31">
        <v>800</v>
      </c>
      <c r="Y254" s="30">
        <f t="shared" si="30"/>
        <v>49600</v>
      </c>
      <c r="Z254">
        <f>VLOOKUP(A254,справочник!$E$2:$F$322,2,FALSE)</f>
        <v>0</v>
      </c>
    </row>
    <row r="255" spans="1:26" hidden="1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2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30">
        <f t="shared" si="29"/>
        <v>12000</v>
      </c>
      <c r="M255" s="31">
        <v>800</v>
      </c>
      <c r="N255" s="31">
        <v>800</v>
      </c>
      <c r="O255" s="31">
        <v>800</v>
      </c>
      <c r="P255" s="31">
        <v>800</v>
      </c>
      <c r="Q255" s="31">
        <v>800</v>
      </c>
      <c r="R255" s="31">
        <v>800</v>
      </c>
      <c r="S255" s="31">
        <v>800</v>
      </c>
      <c r="T255" s="31">
        <v>800</v>
      </c>
      <c r="U255" s="31">
        <v>800</v>
      </c>
      <c r="V255" s="31">
        <v>800</v>
      </c>
      <c r="W255" s="31">
        <v>800</v>
      </c>
      <c r="X255" s="31">
        <v>800</v>
      </c>
      <c r="Y255" s="30">
        <f t="shared" si="30"/>
        <v>21600</v>
      </c>
      <c r="Z255">
        <f>VLOOKUP(A255,справочник!$E$2:$F$322,2,FALSE)</f>
        <v>0</v>
      </c>
    </row>
    <row r="256" spans="1:26" ht="25.5" hidden="1" customHeight="1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30">
        <f t="shared" si="29"/>
        <v>4000</v>
      </c>
      <c r="M256" s="31">
        <v>800</v>
      </c>
      <c r="N256" s="31">
        <v>800</v>
      </c>
      <c r="O256" s="31">
        <v>800</v>
      </c>
      <c r="P256" s="31">
        <v>800</v>
      </c>
      <c r="Q256" s="31">
        <v>800</v>
      </c>
      <c r="R256" s="31">
        <v>800</v>
      </c>
      <c r="S256" s="31">
        <v>800</v>
      </c>
      <c r="T256" s="31">
        <v>800</v>
      </c>
      <c r="U256" s="31">
        <v>800</v>
      </c>
      <c r="V256" s="31">
        <v>800</v>
      </c>
      <c r="W256" s="31">
        <v>800</v>
      </c>
      <c r="X256" s="31">
        <v>800</v>
      </c>
      <c r="Y256" s="30">
        <f t="shared" si="30"/>
        <v>13600</v>
      </c>
      <c r="Z256">
        <f>VLOOKUP(A256,справочник!$E$2:$F$322,2,FALSE)</f>
        <v>0</v>
      </c>
    </row>
    <row r="257" spans="1:26" hidden="1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2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30">
        <f t="shared" si="29"/>
        <v>29000</v>
      </c>
      <c r="M257" s="31">
        <v>800</v>
      </c>
      <c r="N257" s="31">
        <v>800</v>
      </c>
      <c r="O257" s="31">
        <v>800</v>
      </c>
      <c r="P257" s="31">
        <v>800</v>
      </c>
      <c r="Q257" s="31">
        <v>800</v>
      </c>
      <c r="R257" s="31">
        <v>800</v>
      </c>
      <c r="S257" s="31">
        <v>800</v>
      </c>
      <c r="T257" s="31">
        <v>800</v>
      </c>
      <c r="U257" s="31">
        <v>800</v>
      </c>
      <c r="V257" s="31">
        <v>800</v>
      </c>
      <c r="W257" s="31">
        <v>800</v>
      </c>
      <c r="X257" s="31">
        <v>800</v>
      </c>
      <c r="Y257" s="30">
        <f t="shared" si="30"/>
        <v>38600</v>
      </c>
      <c r="Z257">
        <f>VLOOKUP(A257,справочник!$E$2:$F$322,2,FALSE)</f>
        <v>0</v>
      </c>
    </row>
    <row r="258" spans="1:26" hidden="1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30">
        <f t="shared" si="29"/>
        <v>31000</v>
      </c>
      <c r="M258" s="31">
        <v>800</v>
      </c>
      <c r="N258" s="31">
        <v>800</v>
      </c>
      <c r="O258" s="31">
        <v>800</v>
      </c>
      <c r="P258" s="31">
        <v>800</v>
      </c>
      <c r="Q258" s="31">
        <v>800</v>
      </c>
      <c r="R258" s="31">
        <v>800</v>
      </c>
      <c r="S258" s="31">
        <v>800</v>
      </c>
      <c r="T258" s="31">
        <v>800</v>
      </c>
      <c r="U258" s="31">
        <v>800</v>
      </c>
      <c r="V258" s="31">
        <v>800</v>
      </c>
      <c r="W258" s="31">
        <v>800</v>
      </c>
      <c r="X258" s="31">
        <v>800</v>
      </c>
      <c r="Y258" s="30">
        <f t="shared" si="30"/>
        <v>40600</v>
      </c>
      <c r="Z258">
        <f>VLOOKUP(A258,справочник!$E$2:$F$322,2,FALSE)</f>
        <v>0</v>
      </c>
    </row>
    <row r="259" spans="1:26" hidden="1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30">
        <f t="shared" si="29"/>
        <v>3000</v>
      </c>
      <c r="M259" s="31">
        <v>800</v>
      </c>
      <c r="N259" s="31">
        <v>800</v>
      </c>
      <c r="O259" s="31">
        <v>800</v>
      </c>
      <c r="P259" s="31">
        <v>800</v>
      </c>
      <c r="Q259" s="31">
        <v>800</v>
      </c>
      <c r="R259" s="31">
        <v>800</v>
      </c>
      <c r="S259" s="31">
        <v>800</v>
      </c>
      <c r="T259" s="31">
        <v>800</v>
      </c>
      <c r="U259" s="31">
        <v>800</v>
      </c>
      <c r="V259" s="31">
        <v>800</v>
      </c>
      <c r="W259" s="31">
        <v>800</v>
      </c>
      <c r="X259" s="31">
        <v>800</v>
      </c>
      <c r="Y259" s="30">
        <f t="shared" si="30"/>
        <v>12600</v>
      </c>
      <c r="Z259">
        <f>VLOOKUP(A259,справочник!$E$2:$F$322,2,FALSE)</f>
        <v>0</v>
      </c>
    </row>
    <row r="260" spans="1:26" hidden="1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2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30">
        <f t="shared" si="29"/>
        <v>15000</v>
      </c>
      <c r="M260" s="31">
        <v>800</v>
      </c>
      <c r="N260" s="31">
        <v>800</v>
      </c>
      <c r="O260" s="31">
        <v>800</v>
      </c>
      <c r="P260" s="31">
        <v>800</v>
      </c>
      <c r="Q260" s="31">
        <v>800</v>
      </c>
      <c r="R260" s="31">
        <v>800</v>
      </c>
      <c r="S260" s="31">
        <v>800</v>
      </c>
      <c r="T260" s="31">
        <v>800</v>
      </c>
      <c r="U260" s="31">
        <v>800</v>
      </c>
      <c r="V260" s="31">
        <v>800</v>
      </c>
      <c r="W260" s="31">
        <v>800</v>
      </c>
      <c r="X260" s="31">
        <v>800</v>
      </c>
      <c r="Y260" s="30">
        <f t="shared" si="30"/>
        <v>24600</v>
      </c>
      <c r="Z260">
        <f>VLOOKUP(A260,справочник!$E$2:$F$322,2,FALSE)</f>
        <v>0</v>
      </c>
    </row>
    <row r="261" spans="1:26" hidden="1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30">
        <f t="shared" si="29"/>
        <v>12000</v>
      </c>
      <c r="M261" s="31">
        <v>800</v>
      </c>
      <c r="N261" s="31">
        <v>800</v>
      </c>
      <c r="O261" s="31">
        <v>800</v>
      </c>
      <c r="P261" s="31">
        <v>800</v>
      </c>
      <c r="Q261" s="31">
        <v>800</v>
      </c>
      <c r="R261" s="31">
        <v>800</v>
      </c>
      <c r="S261" s="31">
        <v>800</v>
      </c>
      <c r="T261" s="31">
        <v>800</v>
      </c>
      <c r="U261" s="31">
        <v>800</v>
      </c>
      <c r="V261" s="31">
        <v>800</v>
      </c>
      <c r="W261" s="31">
        <v>800</v>
      </c>
      <c r="X261" s="31">
        <v>800</v>
      </c>
      <c r="Y261" s="30">
        <f t="shared" si="30"/>
        <v>21600</v>
      </c>
      <c r="Z261">
        <f>VLOOKUP(A261,справочник!$E$2:$F$322,2,FALSE)</f>
        <v>0</v>
      </c>
    </row>
    <row r="262" spans="1:26" hidden="1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1">
        <v>191</v>
      </c>
      <c r="D262" s="2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32">
        <f t="shared" si="29"/>
        <v>27000</v>
      </c>
      <c r="M262" s="31">
        <v>800</v>
      </c>
      <c r="N262" s="31">
        <v>800</v>
      </c>
      <c r="O262" s="31">
        <v>800</v>
      </c>
      <c r="P262" s="31">
        <v>800</v>
      </c>
      <c r="Q262" s="31">
        <v>800</v>
      </c>
      <c r="R262" s="31">
        <v>800</v>
      </c>
      <c r="S262" s="31">
        <v>800</v>
      </c>
      <c r="T262" s="31">
        <v>800</v>
      </c>
      <c r="U262" s="31">
        <v>800</v>
      </c>
      <c r="V262" s="31">
        <v>800</v>
      </c>
      <c r="W262" s="31">
        <v>800</v>
      </c>
      <c r="X262" s="31">
        <v>800</v>
      </c>
      <c r="Y262" s="30">
        <f t="shared" si="30"/>
        <v>36600</v>
      </c>
      <c r="Z262">
        <f>VLOOKUP(A262,справочник!$E$2:$F$322,2,FALSE)</f>
        <v>1</v>
      </c>
    </row>
    <row r="263" spans="1:26" hidden="1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1">
        <v>192</v>
      </c>
      <c r="D263" s="2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32">
        <f t="shared" si="29"/>
        <v>27000</v>
      </c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0">
        <f t="shared" si="30"/>
        <v>27000</v>
      </c>
      <c r="Z263">
        <f>VLOOKUP(A263,справочник!$E$2:$F$322,2,FALSE)</f>
        <v>1</v>
      </c>
    </row>
    <row r="264" spans="1:26" ht="25.5" hidden="1" customHeight="1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2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30">
        <f t="shared" si="29"/>
        <v>2000</v>
      </c>
      <c r="M264" s="31">
        <v>800</v>
      </c>
      <c r="N264" s="31">
        <v>800</v>
      </c>
      <c r="O264" s="31">
        <v>800</v>
      </c>
      <c r="P264" s="31">
        <v>800</v>
      </c>
      <c r="Q264" s="31">
        <v>800</v>
      </c>
      <c r="R264" s="31">
        <v>800</v>
      </c>
      <c r="S264" s="31">
        <v>800</v>
      </c>
      <c r="T264" s="31">
        <v>800</v>
      </c>
      <c r="U264" s="31">
        <v>800</v>
      </c>
      <c r="V264" s="31">
        <v>800</v>
      </c>
      <c r="W264" s="31">
        <v>800</v>
      </c>
      <c r="X264" s="31">
        <v>800</v>
      </c>
      <c r="Y264" s="30">
        <f t="shared" si="30"/>
        <v>11600</v>
      </c>
      <c r="Z264">
        <f>VLOOKUP(A264,справочник!$E$2:$F$322,2,FALSE)</f>
        <v>0</v>
      </c>
    </row>
    <row r="265" spans="1:26" hidden="1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30">
        <f t="shared" si="29"/>
        <v>0</v>
      </c>
      <c r="M265" s="31">
        <v>800</v>
      </c>
      <c r="N265" s="31">
        <v>800</v>
      </c>
      <c r="O265" s="31">
        <v>800</v>
      </c>
      <c r="P265" s="31">
        <v>800</v>
      </c>
      <c r="Q265" s="31">
        <v>800</v>
      </c>
      <c r="R265" s="31">
        <v>800</v>
      </c>
      <c r="S265" s="31">
        <v>800</v>
      </c>
      <c r="T265" s="31">
        <v>800</v>
      </c>
      <c r="U265" s="31">
        <v>800</v>
      </c>
      <c r="V265" s="31">
        <v>800</v>
      </c>
      <c r="W265" s="31">
        <v>800</v>
      </c>
      <c r="X265" s="31">
        <v>800</v>
      </c>
      <c r="Y265" s="30">
        <f t="shared" si="30"/>
        <v>9600</v>
      </c>
      <c r="Z265">
        <f>VLOOKUP(A265,справочник!$E$2:$F$322,2,FALSE)</f>
        <v>0</v>
      </c>
    </row>
    <row r="266" spans="1:26" hidden="1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2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30">
        <f t="shared" si="29"/>
        <v>31000</v>
      </c>
      <c r="M266" s="31">
        <v>800</v>
      </c>
      <c r="N266" s="31">
        <v>800</v>
      </c>
      <c r="O266" s="31">
        <v>800</v>
      </c>
      <c r="P266" s="31">
        <v>800</v>
      </c>
      <c r="Q266" s="31">
        <v>800</v>
      </c>
      <c r="R266" s="31">
        <v>800</v>
      </c>
      <c r="S266" s="31">
        <v>800</v>
      </c>
      <c r="T266" s="31">
        <v>800</v>
      </c>
      <c r="U266" s="31">
        <v>800</v>
      </c>
      <c r="V266" s="31">
        <v>800</v>
      </c>
      <c r="W266" s="31">
        <v>800</v>
      </c>
      <c r="X266" s="31">
        <v>800</v>
      </c>
      <c r="Y266" s="30">
        <f t="shared" si="30"/>
        <v>40600</v>
      </c>
      <c r="Z266">
        <f>VLOOKUP(A266,справочник!$E$2:$F$322,2,FALSE)</f>
        <v>0</v>
      </c>
    </row>
    <row r="267" spans="1:26" hidden="1">
      <c r="A267" s="41">
        <v>317</v>
      </c>
      <c r="B267" t="str">
        <f t="shared" si="31"/>
        <v>51-52Стрелков Андрей Вячеславович</v>
      </c>
      <c r="C267" s="88" t="s">
        <v>252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30">
        <f t="shared" si="29"/>
        <v>0</v>
      </c>
      <c r="M267" s="31">
        <v>800</v>
      </c>
      <c r="N267" s="31">
        <v>800</v>
      </c>
      <c r="O267" s="31">
        <v>800</v>
      </c>
      <c r="P267" s="31">
        <v>800</v>
      </c>
      <c r="Q267" s="31">
        <v>800</v>
      </c>
      <c r="R267" s="31">
        <v>800</v>
      </c>
      <c r="S267" s="31">
        <v>800</v>
      </c>
      <c r="T267" s="31">
        <v>800</v>
      </c>
      <c r="U267" s="31">
        <v>800</v>
      </c>
      <c r="V267" s="31">
        <v>800</v>
      </c>
      <c r="W267" s="31">
        <v>800</v>
      </c>
      <c r="X267" s="31">
        <v>800</v>
      </c>
      <c r="Y267" s="30">
        <f t="shared" si="30"/>
        <v>9600</v>
      </c>
      <c r="Z267">
        <f>VLOOKUP(A267,справочник!$E$2:$F$322,2,FALSE)</f>
        <v>0</v>
      </c>
    </row>
    <row r="268" spans="1:26" hidden="1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30">
        <f t="shared" si="29"/>
        <v>0</v>
      </c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0">
        <f t="shared" si="30"/>
        <v>0</v>
      </c>
      <c r="Z268">
        <f>VLOOKUP(A268,справочник!$E$2:$F$322,2,FALSE)</f>
        <v>0</v>
      </c>
    </row>
    <row r="269" spans="1:26" hidden="1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2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30">
        <f t="shared" si="29"/>
        <v>10000</v>
      </c>
      <c r="M269" s="31">
        <v>800</v>
      </c>
      <c r="N269" s="31">
        <v>800</v>
      </c>
      <c r="O269" s="31">
        <v>800</v>
      </c>
      <c r="P269" s="31">
        <v>800</v>
      </c>
      <c r="Q269" s="31">
        <v>800</v>
      </c>
      <c r="R269" s="31">
        <v>800</v>
      </c>
      <c r="S269" s="31">
        <v>800</v>
      </c>
      <c r="T269" s="31">
        <v>800</v>
      </c>
      <c r="U269" s="31">
        <v>800</v>
      </c>
      <c r="V269" s="31">
        <v>800</v>
      </c>
      <c r="W269" s="31">
        <v>800</v>
      </c>
      <c r="X269" s="31">
        <v>800</v>
      </c>
      <c r="Y269" s="30">
        <f t="shared" si="30"/>
        <v>19600</v>
      </c>
      <c r="Z269">
        <f>VLOOKUP(A269,справочник!$E$2:$F$322,2,FALSE)</f>
        <v>0</v>
      </c>
    </row>
    <row r="270" spans="1:26" hidden="1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2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30">
        <f t="shared" si="29"/>
        <v>38000</v>
      </c>
      <c r="M270" s="31">
        <v>800</v>
      </c>
      <c r="N270" s="31">
        <v>800</v>
      </c>
      <c r="O270" s="31">
        <v>800</v>
      </c>
      <c r="P270" s="31">
        <v>800</v>
      </c>
      <c r="Q270" s="31">
        <v>800</v>
      </c>
      <c r="R270" s="31">
        <v>800</v>
      </c>
      <c r="S270" s="31">
        <v>800</v>
      </c>
      <c r="T270" s="31">
        <v>800</v>
      </c>
      <c r="U270" s="31">
        <v>800</v>
      </c>
      <c r="V270" s="31">
        <v>800</v>
      </c>
      <c r="W270" s="31">
        <v>800</v>
      </c>
      <c r="X270" s="31">
        <v>800</v>
      </c>
      <c r="Y270" s="30">
        <f t="shared" si="30"/>
        <v>47600</v>
      </c>
      <c r="Z270">
        <f>VLOOKUP(A270,справочник!$E$2:$F$322,2,FALSE)</f>
        <v>0</v>
      </c>
    </row>
    <row r="271" spans="1:26" hidden="1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30">
        <f t="shared" si="29"/>
        <v>8000</v>
      </c>
      <c r="M271" s="31">
        <v>800</v>
      </c>
      <c r="N271" s="31">
        <v>800</v>
      </c>
      <c r="O271" s="31">
        <v>800</v>
      </c>
      <c r="P271" s="31">
        <v>800</v>
      </c>
      <c r="Q271" s="31">
        <v>800</v>
      </c>
      <c r="R271" s="31">
        <v>800</v>
      </c>
      <c r="S271" s="31">
        <v>800</v>
      </c>
      <c r="T271" s="31">
        <v>800</v>
      </c>
      <c r="U271" s="31">
        <v>800</v>
      </c>
      <c r="V271" s="31">
        <v>800</v>
      </c>
      <c r="W271" s="31">
        <v>800</v>
      </c>
      <c r="X271" s="31">
        <v>800</v>
      </c>
      <c r="Y271" s="30">
        <f t="shared" si="30"/>
        <v>17600</v>
      </c>
      <c r="Z271">
        <f>VLOOKUP(A271,справочник!$E$2:$F$322,2,FALSE)</f>
        <v>0</v>
      </c>
    </row>
    <row r="272" spans="1:26" hidden="1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2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30">
        <f t="shared" si="29"/>
        <v>10000</v>
      </c>
      <c r="M272" s="31">
        <v>800</v>
      </c>
      <c r="N272" s="31">
        <v>800</v>
      </c>
      <c r="O272" s="31">
        <v>800</v>
      </c>
      <c r="P272" s="31">
        <v>800</v>
      </c>
      <c r="Q272" s="31">
        <v>800</v>
      </c>
      <c r="R272" s="31">
        <v>800</v>
      </c>
      <c r="S272" s="31">
        <v>800</v>
      </c>
      <c r="T272" s="31">
        <v>800</v>
      </c>
      <c r="U272" s="31">
        <v>800</v>
      </c>
      <c r="V272" s="31">
        <v>800</v>
      </c>
      <c r="W272" s="31">
        <v>800</v>
      </c>
      <c r="X272" s="31">
        <v>800</v>
      </c>
      <c r="Y272" s="30">
        <f t="shared" si="30"/>
        <v>19600</v>
      </c>
      <c r="Z272">
        <f>VLOOKUP(A272,справочник!$E$2:$F$322,2,FALSE)</f>
        <v>0</v>
      </c>
    </row>
    <row r="273" spans="1:26" hidden="1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2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30">
        <f t="shared" si="29"/>
        <v>15000</v>
      </c>
      <c r="M273" s="31">
        <v>800</v>
      </c>
      <c r="N273" s="31">
        <v>800</v>
      </c>
      <c r="O273" s="31">
        <v>800</v>
      </c>
      <c r="P273" s="31">
        <v>800</v>
      </c>
      <c r="Q273" s="31">
        <v>800</v>
      </c>
      <c r="R273" s="31">
        <v>800</v>
      </c>
      <c r="S273" s="31">
        <v>800</v>
      </c>
      <c r="T273" s="31">
        <v>800</v>
      </c>
      <c r="U273" s="31">
        <v>800</v>
      </c>
      <c r="V273" s="31">
        <v>800</v>
      </c>
      <c r="W273" s="31">
        <v>800</v>
      </c>
      <c r="X273" s="31">
        <v>800</v>
      </c>
      <c r="Y273" s="30">
        <f t="shared" si="30"/>
        <v>24600</v>
      </c>
      <c r="Z273">
        <f>VLOOKUP(A273,справочник!$E$2:$F$322,2,FALSE)</f>
        <v>0</v>
      </c>
    </row>
    <row r="274" spans="1:26" hidden="1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2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30">
        <f t="shared" si="29"/>
        <v>11000</v>
      </c>
      <c r="M274" s="31">
        <v>800</v>
      </c>
      <c r="N274" s="31">
        <v>800</v>
      </c>
      <c r="O274" s="31">
        <v>800</v>
      </c>
      <c r="P274" s="31">
        <v>800</v>
      </c>
      <c r="Q274" s="31">
        <v>800</v>
      </c>
      <c r="R274" s="31">
        <v>800</v>
      </c>
      <c r="S274" s="31">
        <v>800</v>
      </c>
      <c r="T274" s="31">
        <v>800</v>
      </c>
      <c r="U274" s="31">
        <v>800</v>
      </c>
      <c r="V274" s="31">
        <v>800</v>
      </c>
      <c r="W274" s="31">
        <v>800</v>
      </c>
      <c r="X274" s="31">
        <v>800</v>
      </c>
      <c r="Y274" s="30">
        <f t="shared" si="30"/>
        <v>20600</v>
      </c>
      <c r="Z274">
        <f>VLOOKUP(A274,справочник!$E$2:$F$322,2,FALSE)</f>
        <v>0</v>
      </c>
    </row>
    <row r="275" spans="1:26" hidden="1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30">
        <f t="shared" si="29"/>
        <v>6000</v>
      </c>
      <c r="M275" s="31">
        <v>800</v>
      </c>
      <c r="N275" s="31">
        <v>800</v>
      </c>
      <c r="O275" s="31">
        <v>800</v>
      </c>
      <c r="P275" s="31">
        <v>800</v>
      </c>
      <c r="Q275" s="31">
        <v>800</v>
      </c>
      <c r="R275" s="31">
        <v>800</v>
      </c>
      <c r="S275" s="31">
        <v>800</v>
      </c>
      <c r="T275" s="31">
        <v>800</v>
      </c>
      <c r="U275" s="31">
        <v>800</v>
      </c>
      <c r="V275" s="31">
        <v>800</v>
      </c>
      <c r="W275" s="31">
        <v>800</v>
      </c>
      <c r="X275" s="31">
        <v>800</v>
      </c>
      <c r="Y275" s="30">
        <f t="shared" si="30"/>
        <v>15600</v>
      </c>
      <c r="Z275">
        <f>VLOOKUP(A275,справочник!$E$2:$F$322,2,FALSE)</f>
        <v>0</v>
      </c>
    </row>
    <row r="276" spans="1:26" hidden="1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1">
        <v>263</v>
      </c>
      <c r="D276" s="2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32">
        <f t="shared" si="29"/>
        <v>5000</v>
      </c>
      <c r="M276" s="31">
        <v>800</v>
      </c>
      <c r="N276" s="31">
        <v>800</v>
      </c>
      <c r="O276" s="31">
        <v>800</v>
      </c>
      <c r="P276" s="31">
        <v>800</v>
      </c>
      <c r="Q276" s="31">
        <v>800</v>
      </c>
      <c r="R276" s="31">
        <v>800</v>
      </c>
      <c r="S276" s="31">
        <v>800</v>
      </c>
      <c r="T276" s="31">
        <v>800</v>
      </c>
      <c r="U276" s="31">
        <v>800</v>
      </c>
      <c r="V276" s="31">
        <v>800</v>
      </c>
      <c r="W276" s="31">
        <v>800</v>
      </c>
      <c r="X276" s="31">
        <v>800</v>
      </c>
      <c r="Y276" s="30">
        <f t="shared" si="30"/>
        <v>14600</v>
      </c>
      <c r="Z276">
        <f>VLOOKUP(A276,справочник!$E$2:$F$322,2,FALSE)</f>
        <v>1</v>
      </c>
    </row>
    <row r="277" spans="1:26" hidden="1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1">
        <v>264</v>
      </c>
      <c r="D277" s="2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32">
        <f t="shared" si="29"/>
        <v>5000</v>
      </c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0">
        <f t="shared" si="30"/>
        <v>5000</v>
      </c>
      <c r="Z277">
        <f>VLOOKUP(A277,справочник!$E$2:$F$322,2,FALSE)</f>
        <v>1</v>
      </c>
    </row>
    <row r="278" spans="1:26" ht="25.5" hidden="1" customHeight="1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30">
        <f t="shared" si="29"/>
        <v>0</v>
      </c>
      <c r="M278" s="31">
        <v>800</v>
      </c>
      <c r="N278" s="31">
        <v>800</v>
      </c>
      <c r="O278" s="31">
        <v>800</v>
      </c>
      <c r="P278" s="31">
        <v>800</v>
      </c>
      <c r="Q278" s="31">
        <v>800</v>
      </c>
      <c r="R278" s="31">
        <v>800</v>
      </c>
      <c r="S278" s="31">
        <v>800</v>
      </c>
      <c r="T278" s="31">
        <v>800</v>
      </c>
      <c r="U278" s="31">
        <v>800</v>
      </c>
      <c r="V278" s="31">
        <v>800</v>
      </c>
      <c r="W278" s="31">
        <v>800</v>
      </c>
      <c r="X278" s="31">
        <v>800</v>
      </c>
      <c r="Y278" s="30">
        <f t="shared" si="30"/>
        <v>9600</v>
      </c>
      <c r="Z278">
        <f>VLOOKUP(A278,справочник!$E$2:$F$322,2,FALSE)</f>
        <v>0</v>
      </c>
    </row>
    <row r="279" spans="1:26" hidden="1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30">
        <f t="shared" si="29"/>
        <v>0</v>
      </c>
      <c r="M279" s="31">
        <v>800</v>
      </c>
      <c r="N279" s="31">
        <v>800</v>
      </c>
      <c r="O279" s="31">
        <v>800</v>
      </c>
      <c r="P279" s="31">
        <v>800</v>
      </c>
      <c r="Q279" s="31">
        <v>800</v>
      </c>
      <c r="R279" s="31">
        <v>800</v>
      </c>
      <c r="S279" s="31">
        <v>800</v>
      </c>
      <c r="T279" s="31">
        <v>800</v>
      </c>
      <c r="U279" s="31">
        <v>800</v>
      </c>
      <c r="V279" s="31">
        <v>800</v>
      </c>
      <c r="W279" s="31">
        <v>800</v>
      </c>
      <c r="X279" s="31">
        <v>800</v>
      </c>
      <c r="Y279" s="30">
        <f t="shared" si="30"/>
        <v>9600</v>
      </c>
      <c r="Z279">
        <f>VLOOKUP(A279,справочник!$E$2:$F$322,2,FALSE)</f>
        <v>0</v>
      </c>
    </row>
    <row r="280" spans="1:26" hidden="1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2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30">
        <f t="shared" si="29"/>
        <v>18000</v>
      </c>
      <c r="M280" s="31">
        <v>800</v>
      </c>
      <c r="N280" s="31">
        <v>800</v>
      </c>
      <c r="O280" s="31">
        <v>800</v>
      </c>
      <c r="P280" s="31">
        <v>800</v>
      </c>
      <c r="Q280" s="31">
        <v>800</v>
      </c>
      <c r="R280" s="31">
        <v>800</v>
      </c>
      <c r="S280" s="31">
        <v>800</v>
      </c>
      <c r="T280" s="31">
        <v>800</v>
      </c>
      <c r="U280" s="31">
        <v>800</v>
      </c>
      <c r="V280" s="31">
        <v>800</v>
      </c>
      <c r="W280" s="31">
        <v>800</v>
      </c>
      <c r="X280" s="31">
        <v>800</v>
      </c>
      <c r="Y280" s="30">
        <f t="shared" si="30"/>
        <v>27600</v>
      </c>
      <c r="Z280">
        <f>VLOOKUP(A280,справочник!$E$2:$F$322,2,FALSE)</f>
        <v>0</v>
      </c>
    </row>
    <row r="281" spans="1:26" hidden="1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30">
        <f t="shared" si="29"/>
        <v>0</v>
      </c>
      <c r="M281" s="31">
        <v>800</v>
      </c>
      <c r="N281" s="31">
        <v>800</v>
      </c>
      <c r="O281" s="31">
        <v>800</v>
      </c>
      <c r="P281" s="31">
        <v>800</v>
      </c>
      <c r="Q281" s="31">
        <v>800</v>
      </c>
      <c r="R281" s="31">
        <v>800</v>
      </c>
      <c r="S281" s="31">
        <v>800</v>
      </c>
      <c r="T281" s="31">
        <v>800</v>
      </c>
      <c r="U281" s="31">
        <v>800</v>
      </c>
      <c r="V281" s="31">
        <v>800</v>
      </c>
      <c r="W281" s="31">
        <v>800</v>
      </c>
      <c r="X281" s="31">
        <v>800</v>
      </c>
      <c r="Y281" s="30">
        <f t="shared" si="30"/>
        <v>9600</v>
      </c>
      <c r="Z281">
        <f>VLOOKUP(A281,справочник!$E$2:$F$322,2,FALSE)</f>
        <v>0</v>
      </c>
    </row>
    <row r="282" spans="1:26" hidden="1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2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30">
        <f t="shared" si="29"/>
        <v>12000</v>
      </c>
      <c r="M282" s="31">
        <v>800</v>
      </c>
      <c r="N282" s="31">
        <v>800</v>
      </c>
      <c r="O282" s="31">
        <v>800</v>
      </c>
      <c r="P282" s="31">
        <v>800</v>
      </c>
      <c r="Q282" s="31">
        <v>800</v>
      </c>
      <c r="R282" s="31">
        <v>800</v>
      </c>
      <c r="S282" s="31">
        <v>800</v>
      </c>
      <c r="T282" s="31">
        <v>800</v>
      </c>
      <c r="U282" s="31">
        <v>800</v>
      </c>
      <c r="V282" s="31">
        <v>800</v>
      </c>
      <c r="W282" s="31">
        <v>800</v>
      </c>
      <c r="X282" s="31">
        <v>800</v>
      </c>
      <c r="Y282" s="30">
        <f t="shared" si="30"/>
        <v>21600</v>
      </c>
      <c r="Z282">
        <f>VLOOKUP(A282,справочник!$E$2:$F$322,2,FALSE)</f>
        <v>0</v>
      </c>
    </row>
    <row r="283" spans="1:26" ht="25.5" hidden="1" customHeight="1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2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30">
        <f t="shared" si="29"/>
        <v>29000</v>
      </c>
      <c r="M283" s="31">
        <v>800</v>
      </c>
      <c r="N283" s="31">
        <v>800</v>
      </c>
      <c r="O283" s="31">
        <v>800</v>
      </c>
      <c r="P283" s="31">
        <v>800</v>
      </c>
      <c r="Q283" s="31">
        <v>800</v>
      </c>
      <c r="R283" s="31">
        <v>800</v>
      </c>
      <c r="S283" s="31">
        <v>800</v>
      </c>
      <c r="T283" s="31">
        <v>800</v>
      </c>
      <c r="U283" s="31">
        <v>800</v>
      </c>
      <c r="V283" s="31">
        <v>800</v>
      </c>
      <c r="W283" s="31">
        <v>800</v>
      </c>
      <c r="X283" s="31">
        <v>800</v>
      </c>
      <c r="Y283" s="30">
        <f t="shared" si="30"/>
        <v>38600</v>
      </c>
      <c r="Z283">
        <f>VLOOKUP(A283,справочник!$E$2:$F$322,2,FALSE)</f>
        <v>0</v>
      </c>
    </row>
    <row r="284" spans="1:26" hidden="1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2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30">
        <f t="shared" si="29"/>
        <v>22000</v>
      </c>
      <c r="M284" s="31">
        <v>800</v>
      </c>
      <c r="N284" s="31">
        <v>800</v>
      </c>
      <c r="O284" s="31">
        <v>800</v>
      </c>
      <c r="P284" s="31">
        <v>800</v>
      </c>
      <c r="Q284" s="31">
        <v>800</v>
      </c>
      <c r="R284" s="31">
        <v>800</v>
      </c>
      <c r="S284" s="31">
        <v>800</v>
      </c>
      <c r="T284" s="31">
        <v>800</v>
      </c>
      <c r="U284" s="31">
        <v>800</v>
      </c>
      <c r="V284" s="31">
        <v>800</v>
      </c>
      <c r="W284" s="31">
        <v>800</v>
      </c>
      <c r="X284" s="31">
        <v>800</v>
      </c>
      <c r="Y284" s="30">
        <f t="shared" si="30"/>
        <v>31600</v>
      </c>
      <c r="Z284">
        <f>VLOOKUP(A284,справочник!$E$2:$F$322,2,FALSE)</f>
        <v>0</v>
      </c>
    </row>
    <row r="285" spans="1:26" hidden="1">
      <c r="A285" s="41">
        <f>VLOOKUP(B285,справочник!$B$2:$E$322,4,FALSE)</f>
        <v>29</v>
      </c>
      <c r="B285" t="str">
        <f t="shared" si="31"/>
        <v>29Петрик Наталья Вячеславовна</v>
      </c>
      <c r="C285" s="1">
        <v>29</v>
      </c>
      <c r="D285" s="46" t="s">
        <v>707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30">
        <f t="shared" si="29"/>
        <v>9000</v>
      </c>
      <c r="M285" s="31">
        <v>800</v>
      </c>
      <c r="N285" s="31">
        <v>800</v>
      </c>
      <c r="O285" s="31">
        <v>800</v>
      </c>
      <c r="P285" s="31">
        <v>800</v>
      </c>
      <c r="Q285" s="31">
        <v>800</v>
      </c>
      <c r="R285" s="31">
        <v>800</v>
      </c>
      <c r="S285" s="31">
        <v>800</v>
      </c>
      <c r="T285" s="31">
        <v>800</v>
      </c>
      <c r="U285" s="31">
        <v>800</v>
      </c>
      <c r="V285" s="31">
        <v>800</v>
      </c>
      <c r="W285" s="31">
        <v>800</v>
      </c>
      <c r="X285" s="31">
        <v>800</v>
      </c>
      <c r="Y285" s="30">
        <f t="shared" si="30"/>
        <v>18600</v>
      </c>
      <c r="Z285">
        <f>VLOOKUP(A285,справочник!$E$2:$F$322,2,FALSE)</f>
        <v>0</v>
      </c>
    </row>
    <row r="286" spans="1:26" hidden="1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30">
        <f t="shared" si="29"/>
        <v>3000</v>
      </c>
      <c r="M286" s="31">
        <v>800</v>
      </c>
      <c r="N286" s="31">
        <v>800</v>
      </c>
      <c r="O286" s="31">
        <v>800</v>
      </c>
      <c r="P286" s="31">
        <v>800</v>
      </c>
      <c r="Q286" s="31">
        <v>800</v>
      </c>
      <c r="R286" s="31">
        <v>800</v>
      </c>
      <c r="S286" s="31">
        <v>800</v>
      </c>
      <c r="T286" s="31">
        <v>800</v>
      </c>
      <c r="U286" s="31">
        <v>800</v>
      </c>
      <c r="V286" s="31">
        <v>800</v>
      </c>
      <c r="W286" s="31">
        <v>800</v>
      </c>
      <c r="X286" s="31">
        <v>800</v>
      </c>
      <c r="Y286" s="30">
        <f t="shared" si="30"/>
        <v>12600</v>
      </c>
      <c r="Z286">
        <f>VLOOKUP(A286,справочник!$E$2:$F$322,2,FALSE)</f>
        <v>0</v>
      </c>
    </row>
    <row r="287" spans="1:26" hidden="1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2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30">
        <f t="shared" si="29"/>
        <v>12000</v>
      </c>
      <c r="M287" s="31">
        <v>800</v>
      </c>
      <c r="N287" s="31">
        <v>800</v>
      </c>
      <c r="O287" s="31">
        <v>800</v>
      </c>
      <c r="P287" s="31">
        <v>800</v>
      </c>
      <c r="Q287" s="31">
        <v>800</v>
      </c>
      <c r="R287" s="31">
        <v>800</v>
      </c>
      <c r="S287" s="31">
        <v>800</v>
      </c>
      <c r="T287" s="31">
        <v>800</v>
      </c>
      <c r="U287" s="31">
        <v>800</v>
      </c>
      <c r="V287" s="31">
        <v>800</v>
      </c>
      <c r="W287" s="31">
        <v>800</v>
      </c>
      <c r="X287" s="31">
        <v>800</v>
      </c>
      <c r="Y287" s="30">
        <f t="shared" si="30"/>
        <v>21600</v>
      </c>
      <c r="Z287">
        <f>VLOOKUP(A287,справочник!$E$2:$F$322,2,FALSE)</f>
        <v>0</v>
      </c>
    </row>
    <row r="288" spans="1:26" hidden="1">
      <c r="A288" s="41">
        <f>VLOOKUP(B288,справочник!$B$2:$E$322,4,FALSE)</f>
        <v>135</v>
      </c>
      <c r="B288" t="str">
        <f t="shared" si="31"/>
        <v>142-143Финогин Сергей Александрович</v>
      </c>
      <c r="C288" s="91" t="s">
        <v>274</v>
      </c>
      <c r="D288" s="2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32">
        <f t="shared" si="29"/>
        <v>10000</v>
      </c>
      <c r="M288" s="31">
        <v>800</v>
      </c>
      <c r="N288" s="31">
        <v>800</v>
      </c>
      <c r="O288" s="31">
        <v>800</v>
      </c>
      <c r="P288" s="31">
        <v>800</v>
      </c>
      <c r="Q288" s="31">
        <v>800</v>
      </c>
      <c r="R288" s="31">
        <v>800</v>
      </c>
      <c r="S288" s="31">
        <v>800</v>
      </c>
      <c r="T288" s="31">
        <v>800</v>
      </c>
      <c r="U288" s="31">
        <v>800</v>
      </c>
      <c r="V288" s="31">
        <v>800</v>
      </c>
      <c r="W288" s="31">
        <v>800</v>
      </c>
      <c r="X288" s="31">
        <v>800</v>
      </c>
      <c r="Y288" s="30">
        <f t="shared" si="30"/>
        <v>19600</v>
      </c>
      <c r="Z288">
        <f>VLOOKUP(A288,справочник!$E$2:$F$322,2,FALSE)</f>
        <v>1</v>
      </c>
    </row>
    <row r="289" spans="1:26" hidden="1">
      <c r="A289" s="41">
        <f>VLOOKUP(B289,справочник!$B$2:$E$322,4,FALSE)</f>
        <v>135</v>
      </c>
      <c r="B289" t="str">
        <f t="shared" si="31"/>
        <v>142-143Финогин Сергей Александрович</v>
      </c>
      <c r="C289" s="91" t="s">
        <v>274</v>
      </c>
      <c r="D289" s="2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32">
        <f t="shared" si="29"/>
        <v>10000</v>
      </c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0">
        <f t="shared" si="30"/>
        <v>10000</v>
      </c>
      <c r="Z289">
        <f>VLOOKUP(A289,справочник!$E$2:$F$322,2,FALSE)</f>
        <v>1</v>
      </c>
    </row>
    <row r="290" spans="1:26" hidden="1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1" t="s">
        <v>274</v>
      </c>
      <c r="D290" s="2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32">
        <f t="shared" si="29"/>
        <v>39000</v>
      </c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0">
        <f t="shared" si="30"/>
        <v>39000</v>
      </c>
      <c r="Z290">
        <f>VLOOKUP(A290,справочник!$E$2:$F$322,2,FALSE)</f>
        <v>1</v>
      </c>
    </row>
    <row r="291" spans="1:26" hidden="1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30">
        <f t="shared" si="29"/>
        <v>0</v>
      </c>
      <c r="M291" s="31">
        <v>800</v>
      </c>
      <c r="N291" s="31">
        <v>800</v>
      </c>
      <c r="O291" s="31">
        <v>800</v>
      </c>
      <c r="P291" s="31">
        <v>800</v>
      </c>
      <c r="Q291" s="31">
        <v>800</v>
      </c>
      <c r="R291" s="31">
        <v>800</v>
      </c>
      <c r="S291" s="31">
        <v>800</v>
      </c>
      <c r="T291" s="31">
        <v>800</v>
      </c>
      <c r="U291" s="31">
        <v>800</v>
      </c>
      <c r="V291" s="31">
        <v>800</v>
      </c>
      <c r="W291" s="31">
        <v>800</v>
      </c>
      <c r="X291" s="31">
        <v>800</v>
      </c>
      <c r="Y291" s="30">
        <f t="shared" si="30"/>
        <v>9600</v>
      </c>
      <c r="Z291">
        <f>VLOOKUP(A291,справочник!$E$2:$F$322,2,FALSE)</f>
        <v>0</v>
      </c>
    </row>
    <row r="292" spans="1:26" hidden="1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2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30">
        <f t="shared" si="29"/>
        <v>-13000</v>
      </c>
      <c r="M292" s="31">
        <v>800</v>
      </c>
      <c r="N292" s="31">
        <v>800</v>
      </c>
      <c r="O292" s="31">
        <v>800</v>
      </c>
      <c r="P292" s="31">
        <v>800</v>
      </c>
      <c r="Q292" s="31">
        <v>800</v>
      </c>
      <c r="R292" s="31">
        <v>800</v>
      </c>
      <c r="S292" s="31">
        <v>800</v>
      </c>
      <c r="T292" s="31">
        <v>800</v>
      </c>
      <c r="U292" s="31">
        <v>800</v>
      </c>
      <c r="V292" s="31">
        <v>800</v>
      </c>
      <c r="W292" s="31">
        <v>800</v>
      </c>
      <c r="X292" s="31">
        <v>800</v>
      </c>
      <c r="Y292" s="30">
        <f t="shared" si="30"/>
        <v>-3400</v>
      </c>
      <c r="Z292">
        <f>VLOOKUP(A292,справочник!$E$2:$F$322,2,FALSE)</f>
        <v>0</v>
      </c>
    </row>
    <row r="293" spans="1:26" hidden="1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2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30">
        <f t="shared" si="29"/>
        <v>2700</v>
      </c>
      <c r="M293" s="31">
        <v>800</v>
      </c>
      <c r="N293" s="31">
        <v>800</v>
      </c>
      <c r="O293" s="31">
        <v>800</v>
      </c>
      <c r="P293" s="31">
        <v>800</v>
      </c>
      <c r="Q293" s="31">
        <v>800</v>
      </c>
      <c r="R293" s="31">
        <v>800</v>
      </c>
      <c r="S293" s="31">
        <v>800</v>
      </c>
      <c r="T293" s="31">
        <v>800</v>
      </c>
      <c r="U293" s="31">
        <v>800</v>
      </c>
      <c r="V293" s="31">
        <v>800</v>
      </c>
      <c r="W293" s="31">
        <v>800</v>
      </c>
      <c r="X293" s="31">
        <v>800</v>
      </c>
      <c r="Y293" s="30">
        <f t="shared" si="30"/>
        <v>12300</v>
      </c>
      <c r="Z293">
        <f>VLOOKUP(A293,справочник!$E$2:$F$322,2,FALSE)</f>
        <v>0</v>
      </c>
    </row>
    <row r="294" spans="1:26" hidden="1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2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30">
        <f t="shared" si="29"/>
        <v>11000</v>
      </c>
      <c r="M294" s="31">
        <v>800</v>
      </c>
      <c r="N294" s="31">
        <v>800</v>
      </c>
      <c r="O294" s="31">
        <v>800</v>
      </c>
      <c r="P294" s="31">
        <v>800</v>
      </c>
      <c r="Q294" s="31">
        <v>800</v>
      </c>
      <c r="R294" s="31">
        <v>800</v>
      </c>
      <c r="S294" s="31">
        <v>800</v>
      </c>
      <c r="T294" s="31">
        <v>800</v>
      </c>
      <c r="U294" s="31">
        <v>800</v>
      </c>
      <c r="V294" s="31">
        <v>800</v>
      </c>
      <c r="W294" s="31">
        <v>800</v>
      </c>
      <c r="X294" s="31">
        <v>800</v>
      </c>
      <c r="Y294" s="30">
        <f t="shared" si="30"/>
        <v>20600</v>
      </c>
      <c r="Z294">
        <f>VLOOKUP(A294,справочник!$E$2:$F$322,2,FALSE)</f>
        <v>0</v>
      </c>
    </row>
    <row r="295" spans="1:26" hidden="1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30">
        <f t="shared" si="29"/>
        <v>7000</v>
      </c>
      <c r="M295" s="31">
        <v>800</v>
      </c>
      <c r="N295" s="31">
        <v>800</v>
      </c>
      <c r="O295" s="31">
        <v>800</v>
      </c>
      <c r="P295" s="31">
        <v>800</v>
      </c>
      <c r="Q295" s="31">
        <v>800</v>
      </c>
      <c r="R295" s="31">
        <v>800</v>
      </c>
      <c r="S295" s="31">
        <v>800</v>
      </c>
      <c r="T295" s="31">
        <v>800</v>
      </c>
      <c r="U295" s="31">
        <v>800</v>
      </c>
      <c r="V295" s="31">
        <v>800</v>
      </c>
      <c r="W295" s="31">
        <v>800</v>
      </c>
      <c r="X295" s="31">
        <v>800</v>
      </c>
      <c r="Y295" s="30">
        <f t="shared" si="30"/>
        <v>16600</v>
      </c>
      <c r="Z295">
        <f>VLOOKUP(A295,справочник!$E$2:$F$322,2,FALSE)</f>
        <v>0</v>
      </c>
    </row>
    <row r="296" spans="1:26" ht="25.5" hidden="1" customHeight="1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30">
        <f t="shared" si="29"/>
        <v>12000</v>
      </c>
      <c r="M296" s="31">
        <v>800</v>
      </c>
      <c r="N296" s="31">
        <v>800</v>
      </c>
      <c r="O296" s="31">
        <v>800</v>
      </c>
      <c r="P296" s="31">
        <v>800</v>
      </c>
      <c r="Q296" s="31">
        <v>800</v>
      </c>
      <c r="R296" s="31">
        <v>800</v>
      </c>
      <c r="S296" s="31">
        <v>800</v>
      </c>
      <c r="T296" s="31">
        <v>800</v>
      </c>
      <c r="U296" s="31">
        <v>800</v>
      </c>
      <c r="V296" s="31">
        <v>800</v>
      </c>
      <c r="W296" s="31">
        <v>800</v>
      </c>
      <c r="X296" s="31">
        <v>800</v>
      </c>
      <c r="Y296" s="30">
        <f t="shared" si="30"/>
        <v>21600</v>
      </c>
      <c r="Z296">
        <f>VLOOKUP(A296,справочник!$E$2:$F$322,2,FALSE)</f>
        <v>0</v>
      </c>
    </row>
    <row r="297" spans="1:26" hidden="1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2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30">
        <f t="shared" si="29"/>
        <v>2000</v>
      </c>
      <c r="M297" s="31">
        <v>800</v>
      </c>
      <c r="N297" s="31">
        <v>800</v>
      </c>
      <c r="O297" s="31">
        <v>800</v>
      </c>
      <c r="P297" s="31">
        <v>800</v>
      </c>
      <c r="Q297" s="31">
        <v>800</v>
      </c>
      <c r="R297" s="31">
        <v>800</v>
      </c>
      <c r="S297" s="31">
        <v>800</v>
      </c>
      <c r="T297" s="31">
        <v>800</v>
      </c>
      <c r="U297" s="31">
        <v>800</v>
      </c>
      <c r="V297" s="31">
        <v>800</v>
      </c>
      <c r="W297" s="31">
        <v>800</v>
      </c>
      <c r="X297" s="31">
        <v>800</v>
      </c>
      <c r="Y297" s="30">
        <f t="shared" si="30"/>
        <v>11600</v>
      </c>
      <c r="Z297">
        <f>VLOOKUP(A297,справочник!$E$2:$F$322,2,FALSE)</f>
        <v>0</v>
      </c>
    </row>
    <row r="298" spans="1:26" hidden="1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2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30">
        <f t="shared" si="29"/>
        <v>17000</v>
      </c>
      <c r="M298" s="31">
        <v>800</v>
      </c>
      <c r="N298" s="31">
        <v>800</v>
      </c>
      <c r="O298" s="31">
        <v>800</v>
      </c>
      <c r="P298" s="31">
        <v>800</v>
      </c>
      <c r="Q298" s="31">
        <v>800</v>
      </c>
      <c r="R298" s="31">
        <v>800</v>
      </c>
      <c r="S298" s="31">
        <v>800</v>
      </c>
      <c r="T298" s="31">
        <v>800</v>
      </c>
      <c r="U298" s="31">
        <v>800</v>
      </c>
      <c r="V298" s="31">
        <v>800</v>
      </c>
      <c r="W298" s="31">
        <v>800</v>
      </c>
      <c r="X298" s="31">
        <v>800</v>
      </c>
      <c r="Y298" s="30">
        <f t="shared" si="30"/>
        <v>26600</v>
      </c>
      <c r="Z298">
        <f>VLOOKUP(A298,справочник!$E$2:$F$322,2,FALSE)</f>
        <v>0</v>
      </c>
    </row>
    <row r="299" spans="1:26" hidden="1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30">
        <f t="shared" si="29"/>
        <v>3000</v>
      </c>
      <c r="M299" s="31">
        <v>800</v>
      </c>
      <c r="N299" s="31">
        <v>800</v>
      </c>
      <c r="O299" s="31">
        <v>800</v>
      </c>
      <c r="P299" s="31">
        <v>800</v>
      </c>
      <c r="Q299" s="31">
        <v>800</v>
      </c>
      <c r="R299" s="31">
        <v>800</v>
      </c>
      <c r="S299" s="31">
        <v>800</v>
      </c>
      <c r="T299" s="31">
        <v>800</v>
      </c>
      <c r="U299" s="31">
        <v>800</v>
      </c>
      <c r="V299" s="31">
        <v>800</v>
      </c>
      <c r="W299" s="31">
        <v>800</v>
      </c>
      <c r="X299" s="31">
        <v>800</v>
      </c>
      <c r="Y299" s="30">
        <f t="shared" si="30"/>
        <v>12600</v>
      </c>
      <c r="Z299">
        <f>VLOOKUP(A299,справочник!$E$2:$F$322,2,FALSE)</f>
        <v>0</v>
      </c>
    </row>
    <row r="300" spans="1:26" hidden="1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30">
        <f t="shared" si="29"/>
        <v>-2000</v>
      </c>
      <c r="M300" s="31">
        <v>800</v>
      </c>
      <c r="N300" s="31">
        <v>800</v>
      </c>
      <c r="O300" s="31">
        <v>800</v>
      </c>
      <c r="P300" s="31">
        <v>800</v>
      </c>
      <c r="Q300" s="31">
        <v>800</v>
      </c>
      <c r="R300" s="31">
        <v>800</v>
      </c>
      <c r="S300" s="31">
        <v>800</v>
      </c>
      <c r="T300" s="31">
        <v>800</v>
      </c>
      <c r="U300" s="31">
        <v>800</v>
      </c>
      <c r="V300" s="31">
        <v>800</v>
      </c>
      <c r="W300" s="31">
        <v>800</v>
      </c>
      <c r="X300" s="31">
        <v>800</v>
      </c>
      <c r="Y300" s="30">
        <f t="shared" si="30"/>
        <v>7600</v>
      </c>
      <c r="Z300">
        <f>VLOOKUP(A300,справочник!$E$2:$F$322,2,FALSE)</f>
        <v>0</v>
      </c>
    </row>
    <row r="301" spans="1:26" ht="25.5" hidden="1" customHeight="1">
      <c r="A301" s="41">
        <f>VLOOKUP(B301,справочник!$B$2:$E$322,4,FALSE)</f>
        <v>113</v>
      </c>
      <c r="B301" t="str">
        <f t="shared" si="31"/>
        <v>116+118+120Хрупало Николай Алексеевич</v>
      </c>
      <c r="C301" s="1" t="s">
        <v>705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30">
        <f t="shared" si="29"/>
        <v>0</v>
      </c>
      <c r="M301" s="31">
        <v>800</v>
      </c>
      <c r="N301" s="31">
        <v>800</v>
      </c>
      <c r="O301" s="31">
        <v>800</v>
      </c>
      <c r="P301" s="31">
        <v>800</v>
      </c>
      <c r="Q301" s="31">
        <v>800</v>
      </c>
      <c r="R301" s="31">
        <v>800</v>
      </c>
      <c r="S301" s="31">
        <v>800</v>
      </c>
      <c r="T301" s="31">
        <v>800</v>
      </c>
      <c r="U301" s="31">
        <v>800</v>
      </c>
      <c r="V301" s="31">
        <v>800</v>
      </c>
      <c r="W301" s="31">
        <v>800</v>
      </c>
      <c r="X301" s="31">
        <v>800</v>
      </c>
      <c r="Y301" s="30">
        <f t="shared" si="30"/>
        <v>9600</v>
      </c>
      <c r="Z301">
        <f>VLOOKUP(A301,справочник!$E$2:$F$322,2,FALSE)</f>
        <v>1</v>
      </c>
    </row>
    <row r="302" spans="1:26" hidden="1">
      <c r="A302" s="41">
        <f>VLOOKUP(B302,справочник!$B$2:$E$322,4,FALSE)</f>
        <v>113</v>
      </c>
      <c r="B302" t="str">
        <f t="shared" si="31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32">
        <f t="shared" si="29"/>
        <v>21000</v>
      </c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0">
        <f t="shared" si="30"/>
        <v>21000</v>
      </c>
      <c r="Z302">
        <f>VLOOKUP(A302,справочник!$E$2:$F$322,2,FALSE)</f>
        <v>1</v>
      </c>
    </row>
    <row r="303" spans="1:26" hidden="1">
      <c r="A303" s="41">
        <f>VLOOKUP(B303,справочник!$B$2:$E$322,4,FALSE)</f>
        <v>113</v>
      </c>
      <c r="B303" t="str">
        <f t="shared" si="31"/>
        <v>116+118+120Хрупало Николай Алексеевич</v>
      </c>
      <c r="C303" s="91" t="s">
        <v>705</v>
      </c>
      <c r="D303" s="2" t="s">
        <v>285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32">
        <f t="shared" si="29"/>
        <v>41000</v>
      </c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0">
        <f t="shared" si="30"/>
        <v>41000</v>
      </c>
      <c r="Z303">
        <f>VLOOKUP(A303,справочник!$E$2:$F$322,2,FALSE)</f>
        <v>1</v>
      </c>
    </row>
    <row r="304" spans="1:26" ht="25.5" hidden="1" customHeight="1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30">
        <f t="shared" si="29"/>
        <v>0</v>
      </c>
      <c r="M304" s="31">
        <v>800</v>
      </c>
      <c r="N304" s="31">
        <v>800</v>
      </c>
      <c r="O304" s="31">
        <v>800</v>
      </c>
      <c r="P304" s="31">
        <v>800</v>
      </c>
      <c r="Q304" s="31">
        <v>800</v>
      </c>
      <c r="R304" s="31">
        <v>800</v>
      </c>
      <c r="S304" s="31">
        <v>800</v>
      </c>
      <c r="T304" s="31">
        <v>800</v>
      </c>
      <c r="U304" s="31">
        <v>800</v>
      </c>
      <c r="V304" s="31">
        <v>800</v>
      </c>
      <c r="W304" s="31">
        <v>800</v>
      </c>
      <c r="X304" s="31">
        <v>800</v>
      </c>
      <c r="Y304" s="30">
        <f t="shared" si="30"/>
        <v>9600</v>
      </c>
      <c r="Z304">
        <f>VLOOKUP(A304,справочник!$E$2:$F$322,2,FALSE)</f>
        <v>0</v>
      </c>
    </row>
    <row r="305" spans="1:26" hidden="1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2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30">
        <f t="shared" si="29"/>
        <v>9000</v>
      </c>
      <c r="M305" s="31">
        <v>800</v>
      </c>
      <c r="N305" s="31">
        <v>800</v>
      </c>
      <c r="O305" s="31">
        <v>800</v>
      </c>
      <c r="P305" s="31">
        <v>800</v>
      </c>
      <c r="Q305" s="31">
        <v>800</v>
      </c>
      <c r="R305" s="31">
        <v>800</v>
      </c>
      <c r="S305" s="31">
        <v>800</v>
      </c>
      <c r="T305" s="31">
        <v>800</v>
      </c>
      <c r="U305" s="31">
        <v>800</v>
      </c>
      <c r="V305" s="31">
        <v>800</v>
      </c>
      <c r="W305" s="31">
        <v>800</v>
      </c>
      <c r="X305" s="31">
        <v>800</v>
      </c>
      <c r="Y305" s="30">
        <f t="shared" si="30"/>
        <v>18600</v>
      </c>
      <c r="Z305">
        <f>VLOOKUP(A305,справочник!$E$2:$F$322,2,FALSE)</f>
        <v>0</v>
      </c>
    </row>
    <row r="306" spans="1:26" ht="25.5" hidden="1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2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30">
        <f t="shared" si="29"/>
        <v>0</v>
      </c>
      <c r="M306" s="31">
        <v>800</v>
      </c>
      <c r="N306" s="31">
        <v>800</v>
      </c>
      <c r="O306" s="31">
        <v>800</v>
      </c>
      <c r="P306" s="31">
        <v>800</v>
      </c>
      <c r="Q306" s="31">
        <v>800</v>
      </c>
      <c r="R306" s="31">
        <v>800</v>
      </c>
      <c r="S306" s="31">
        <v>800</v>
      </c>
      <c r="T306" s="31">
        <v>800</v>
      </c>
      <c r="U306" s="31">
        <v>800</v>
      </c>
      <c r="V306" s="31">
        <v>800</v>
      </c>
      <c r="W306" s="31">
        <v>800</v>
      </c>
      <c r="X306" s="31">
        <v>800</v>
      </c>
      <c r="Y306" s="30">
        <f t="shared" si="30"/>
        <v>9600</v>
      </c>
      <c r="Z306">
        <f>VLOOKUP(A306,справочник!$E$2:$F$322,2,FALSE)</f>
        <v>0</v>
      </c>
    </row>
    <row r="307" spans="1:26" hidden="1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30">
        <f t="shared" si="29"/>
        <v>0</v>
      </c>
      <c r="M307" s="31">
        <v>800</v>
      </c>
      <c r="N307" s="31">
        <v>800</v>
      </c>
      <c r="O307" s="31">
        <v>800</v>
      </c>
      <c r="P307" s="31">
        <v>800</v>
      </c>
      <c r="Q307" s="31">
        <v>800</v>
      </c>
      <c r="R307" s="31">
        <v>800</v>
      </c>
      <c r="S307" s="31">
        <v>800</v>
      </c>
      <c r="T307" s="31">
        <v>800</v>
      </c>
      <c r="U307" s="31">
        <v>800</v>
      </c>
      <c r="V307" s="31">
        <v>800</v>
      </c>
      <c r="W307" s="31">
        <v>800</v>
      </c>
      <c r="X307" s="31">
        <v>800</v>
      </c>
      <c r="Y307" s="30">
        <f t="shared" si="30"/>
        <v>9600</v>
      </c>
      <c r="Z307">
        <f>VLOOKUP(A307,справочник!$E$2:$F$322,2,FALSE)</f>
        <v>0</v>
      </c>
    </row>
    <row r="308" spans="1:26" ht="25.5" hidden="1" customHeight="1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30">
        <f t="shared" si="29"/>
        <v>0</v>
      </c>
      <c r="M308" s="31">
        <v>800</v>
      </c>
      <c r="N308" s="31">
        <v>800</v>
      </c>
      <c r="O308" s="31">
        <v>800</v>
      </c>
      <c r="P308" s="31">
        <v>800</v>
      </c>
      <c r="Q308" s="31">
        <v>800</v>
      </c>
      <c r="R308" s="31">
        <v>800</v>
      </c>
      <c r="S308" s="31">
        <v>800</v>
      </c>
      <c r="T308" s="31">
        <v>800</v>
      </c>
      <c r="U308" s="31">
        <v>800</v>
      </c>
      <c r="V308" s="31">
        <v>800</v>
      </c>
      <c r="W308" s="31">
        <v>800</v>
      </c>
      <c r="X308" s="31">
        <v>800</v>
      </c>
      <c r="Y308" s="30">
        <f t="shared" si="30"/>
        <v>9600</v>
      </c>
      <c r="Z308">
        <f>VLOOKUP(A308,справочник!$E$2:$F$322,2,FALSE)</f>
        <v>0</v>
      </c>
    </row>
    <row r="309" spans="1:26" hidden="1">
      <c r="A309" s="41">
        <f>VLOOKUP(B309,справочник!$B$2:$E$322,4,FALSE)</f>
        <v>88</v>
      </c>
      <c r="B309" t="str">
        <f t="shared" si="31"/>
        <v>97+93Шалинов Андрей Вадимович</v>
      </c>
      <c r="C309" s="1" t="s">
        <v>706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30">
        <f t="shared" si="29"/>
        <v>4000</v>
      </c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0">
        <f t="shared" si="30"/>
        <v>4000</v>
      </c>
      <c r="Z309">
        <f>VLOOKUP(A309,справочник!$E$2:$F$322,2,FALSE)</f>
        <v>1</v>
      </c>
    </row>
    <row r="310" spans="1:26" hidden="1">
      <c r="A310" s="41">
        <f>VLOOKUP(B310,справочник!$B$2:$E$322,4,FALSE)</f>
        <v>88</v>
      </c>
      <c r="B310" t="str">
        <f t="shared" si="31"/>
        <v>97+93Шалинов Андрей Вадимович</v>
      </c>
      <c r="C310" s="91" t="s">
        <v>706</v>
      </c>
      <c r="D310" s="2" t="s">
        <v>292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30">
        <f t="shared" si="29"/>
        <v>4000</v>
      </c>
      <c r="M310" s="31">
        <v>800</v>
      </c>
      <c r="N310" s="31">
        <v>800</v>
      </c>
      <c r="O310" s="31">
        <v>800</v>
      </c>
      <c r="P310" s="31">
        <v>800</v>
      </c>
      <c r="Q310" s="31">
        <v>800</v>
      </c>
      <c r="R310" s="31">
        <v>800</v>
      </c>
      <c r="S310" s="31">
        <v>800</v>
      </c>
      <c r="T310" s="31">
        <v>800</v>
      </c>
      <c r="U310" s="31">
        <v>800</v>
      </c>
      <c r="V310" s="31">
        <v>800</v>
      </c>
      <c r="W310" s="31">
        <v>800</v>
      </c>
      <c r="X310" s="31">
        <v>800</v>
      </c>
      <c r="Y310" s="30">
        <f t="shared" si="30"/>
        <v>13600</v>
      </c>
      <c r="Z310">
        <f>VLOOKUP(A310,справочник!$E$2:$F$322,2,FALSE)</f>
        <v>1</v>
      </c>
    </row>
    <row r="311" spans="1:26" hidden="1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1">
        <v>83</v>
      </c>
      <c r="D311" s="2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30">
        <v>30000</v>
      </c>
      <c r="M311" s="31">
        <v>800</v>
      </c>
      <c r="N311" s="31">
        <v>800</v>
      </c>
      <c r="O311" s="31">
        <v>800</v>
      </c>
      <c r="P311" s="31">
        <v>800</v>
      </c>
      <c r="Q311" s="31">
        <v>800</v>
      </c>
      <c r="R311" s="31">
        <v>800</v>
      </c>
      <c r="S311" s="31">
        <v>800</v>
      </c>
      <c r="T311" s="31">
        <v>800</v>
      </c>
      <c r="U311" s="31">
        <v>800</v>
      </c>
      <c r="V311" s="31">
        <v>800</v>
      </c>
      <c r="W311" s="31">
        <v>800</v>
      </c>
      <c r="X311" s="31">
        <v>800</v>
      </c>
      <c r="Y311" s="30">
        <f t="shared" si="30"/>
        <v>39600</v>
      </c>
      <c r="Z311">
        <f>VLOOKUP(A311,справочник!$E$2:$F$322,2,FALSE)</f>
        <v>0</v>
      </c>
    </row>
    <row r="312" spans="1:26" hidden="1">
      <c r="A312" s="41">
        <f>VLOOKUP(B312,справочник!$B$2:$E$322,4,FALSE)</f>
        <v>77</v>
      </c>
      <c r="B312" t="str">
        <f t="shared" si="31"/>
        <v>83Самородов</v>
      </c>
      <c r="C312" s="1">
        <v>83</v>
      </c>
      <c r="D312" s="2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30">
        <f t="shared" ref="L312:L326" si="37">I312-J312-K312</f>
        <v>33000</v>
      </c>
      <c r="M312" s="31">
        <v>800</v>
      </c>
      <c r="N312" s="31">
        <v>800</v>
      </c>
      <c r="O312" s="31">
        <v>800</v>
      </c>
      <c r="P312" s="31">
        <v>800</v>
      </c>
      <c r="Q312" s="31">
        <v>800</v>
      </c>
      <c r="R312" s="31">
        <v>800</v>
      </c>
      <c r="S312" s="31">
        <v>800</v>
      </c>
      <c r="T312" s="31">
        <v>800</v>
      </c>
      <c r="U312" s="31">
        <v>800</v>
      </c>
      <c r="V312" s="31">
        <v>800</v>
      </c>
      <c r="W312" s="31">
        <v>800</v>
      </c>
      <c r="X312" s="31">
        <v>800</v>
      </c>
      <c r="Y312" s="30">
        <f t="shared" si="30"/>
        <v>42600</v>
      </c>
      <c r="Z312">
        <f>VLOOKUP(A312,справочник!$E$2:$F$322,2,FALSE)</f>
        <v>0</v>
      </c>
    </row>
    <row r="313" spans="1:26" ht="25.5" hidden="1" customHeight="1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2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30">
        <f t="shared" si="37"/>
        <v>31000</v>
      </c>
      <c r="M313" s="31">
        <v>800</v>
      </c>
      <c r="N313" s="31">
        <v>800</v>
      </c>
      <c r="O313" s="31">
        <v>800</v>
      </c>
      <c r="P313" s="31">
        <v>800</v>
      </c>
      <c r="Q313" s="31">
        <v>800</v>
      </c>
      <c r="R313" s="31">
        <v>800</v>
      </c>
      <c r="S313" s="31">
        <v>800</v>
      </c>
      <c r="T313" s="31">
        <v>800</v>
      </c>
      <c r="U313" s="31">
        <v>800</v>
      </c>
      <c r="V313" s="31">
        <v>800</v>
      </c>
      <c r="W313" s="31">
        <v>800</v>
      </c>
      <c r="X313" s="31">
        <v>800</v>
      </c>
      <c r="Y313" s="30">
        <f t="shared" si="30"/>
        <v>40600</v>
      </c>
      <c r="Z313">
        <f>VLOOKUP(A313,справочник!$E$2:$F$322,2,FALSE)</f>
        <v>0</v>
      </c>
    </row>
    <row r="314" spans="1:26" ht="25.5" hidden="1" customHeight="1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30">
        <f t="shared" si="37"/>
        <v>6000</v>
      </c>
      <c r="M314" s="31">
        <v>800</v>
      </c>
      <c r="N314" s="31">
        <v>800</v>
      </c>
      <c r="O314" s="31">
        <v>800</v>
      </c>
      <c r="P314" s="31">
        <v>800</v>
      </c>
      <c r="Q314" s="31">
        <v>800</v>
      </c>
      <c r="R314" s="31">
        <v>800</v>
      </c>
      <c r="S314" s="31">
        <v>800</v>
      </c>
      <c r="T314" s="31">
        <v>800</v>
      </c>
      <c r="U314" s="31">
        <v>800</v>
      </c>
      <c r="V314" s="31">
        <v>800</v>
      </c>
      <c r="W314" s="31">
        <v>800</v>
      </c>
      <c r="X314" s="31">
        <v>800</v>
      </c>
      <c r="Y314" s="30">
        <f t="shared" si="30"/>
        <v>15600</v>
      </c>
      <c r="Z314">
        <f>VLOOKUP(A314,справочник!$E$2:$F$322,2,FALSE)</f>
        <v>0</v>
      </c>
    </row>
    <row r="315" spans="1:26" hidden="1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2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30">
        <f t="shared" si="37"/>
        <v>5000</v>
      </c>
      <c r="M315" s="31">
        <v>800</v>
      </c>
      <c r="N315" s="31">
        <v>800</v>
      </c>
      <c r="O315" s="31">
        <v>800</v>
      </c>
      <c r="P315" s="31">
        <v>800</v>
      </c>
      <c r="Q315" s="31">
        <v>800</v>
      </c>
      <c r="R315" s="31">
        <v>800</v>
      </c>
      <c r="S315" s="31">
        <v>800</v>
      </c>
      <c r="T315" s="31">
        <v>800</v>
      </c>
      <c r="U315" s="31">
        <v>800</v>
      </c>
      <c r="V315" s="31">
        <v>800</v>
      </c>
      <c r="W315" s="31">
        <v>800</v>
      </c>
      <c r="X315" s="31">
        <v>800</v>
      </c>
      <c r="Y315" s="30">
        <f t="shared" si="30"/>
        <v>14600</v>
      </c>
      <c r="Z315">
        <f>VLOOKUP(A315,справочник!$E$2:$F$322,2,FALSE)</f>
        <v>0</v>
      </c>
    </row>
    <row r="316" spans="1:26" hidden="1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30">
        <f t="shared" si="37"/>
        <v>4000</v>
      </c>
      <c r="M316" s="31">
        <v>800</v>
      </c>
      <c r="N316" s="31">
        <v>800</v>
      </c>
      <c r="O316" s="31">
        <v>800</v>
      </c>
      <c r="P316" s="31">
        <v>800</v>
      </c>
      <c r="Q316" s="31">
        <v>800</v>
      </c>
      <c r="R316" s="31">
        <v>800</v>
      </c>
      <c r="S316" s="31">
        <v>800</v>
      </c>
      <c r="T316" s="31">
        <v>800</v>
      </c>
      <c r="U316" s="31">
        <v>800</v>
      </c>
      <c r="V316" s="31">
        <v>800</v>
      </c>
      <c r="W316" s="31">
        <v>800</v>
      </c>
      <c r="X316" s="31">
        <v>800</v>
      </c>
      <c r="Y316" s="30">
        <f>SUM(L316:X316)</f>
        <v>13600</v>
      </c>
      <c r="Z316">
        <f>VLOOKUP(A316,справочник!$E$2:$F$322,2,FALSE)</f>
        <v>0</v>
      </c>
    </row>
    <row r="317" spans="1:26" hidden="1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2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30">
        <f t="shared" si="37"/>
        <v>15000</v>
      </c>
      <c r="M317" s="31">
        <v>800</v>
      </c>
      <c r="N317" s="31">
        <v>800</v>
      </c>
      <c r="O317" s="31">
        <v>800</v>
      </c>
      <c r="P317" s="31">
        <v>800</v>
      </c>
      <c r="Q317" s="31">
        <v>800</v>
      </c>
      <c r="R317" s="31">
        <v>800</v>
      </c>
      <c r="S317" s="31">
        <v>800</v>
      </c>
      <c r="T317" s="31">
        <v>800</v>
      </c>
      <c r="U317" s="31">
        <v>800</v>
      </c>
      <c r="V317" s="31">
        <v>800</v>
      </c>
      <c r="W317" s="31">
        <v>800</v>
      </c>
      <c r="X317" s="31">
        <v>800</v>
      </c>
      <c r="Y317" s="30">
        <f>SUM(L317:X317)</f>
        <v>24600</v>
      </c>
      <c r="Z317">
        <f>VLOOKUP(A317,справочник!$E$2:$F$322,2,FALSE)</f>
        <v>0</v>
      </c>
    </row>
    <row r="318" spans="1:26" ht="25.5" hidden="1" customHeight="1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2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30">
        <f t="shared" si="37"/>
        <v>3000</v>
      </c>
      <c r="M318" s="31">
        <v>800</v>
      </c>
      <c r="N318" s="31">
        <v>800</v>
      </c>
      <c r="O318" s="31">
        <v>800</v>
      </c>
      <c r="P318" s="31">
        <v>800</v>
      </c>
      <c r="Q318" s="31">
        <v>800</v>
      </c>
      <c r="R318" s="31">
        <v>800</v>
      </c>
      <c r="S318" s="31">
        <v>800</v>
      </c>
      <c r="T318" s="31">
        <v>800</v>
      </c>
      <c r="U318" s="31">
        <v>800</v>
      </c>
      <c r="V318" s="31">
        <v>800</v>
      </c>
      <c r="W318" s="31">
        <v>800</v>
      </c>
      <c r="X318" s="31">
        <v>800</v>
      </c>
      <c r="Y318" s="30">
        <f t="shared" ref="Y318:Y326" si="38">SUM(L318:X318)</f>
        <v>12600</v>
      </c>
      <c r="Z318">
        <f>VLOOKUP(A318,справочник!$E$2:$F$322,2,FALSE)</f>
        <v>0</v>
      </c>
    </row>
    <row r="319" spans="1:26" hidden="1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2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30">
        <f t="shared" si="37"/>
        <v>11000</v>
      </c>
      <c r="M319" s="31">
        <v>800</v>
      </c>
      <c r="N319" s="31">
        <v>800</v>
      </c>
      <c r="O319" s="31">
        <v>800</v>
      </c>
      <c r="P319" s="31">
        <v>800</v>
      </c>
      <c r="Q319" s="31">
        <v>800</v>
      </c>
      <c r="R319" s="31">
        <v>800</v>
      </c>
      <c r="S319" s="31">
        <v>800</v>
      </c>
      <c r="T319" s="31">
        <v>800</v>
      </c>
      <c r="U319" s="31">
        <v>800</v>
      </c>
      <c r="V319" s="31">
        <v>800</v>
      </c>
      <c r="W319" s="31">
        <v>800</v>
      </c>
      <c r="X319" s="31">
        <v>800</v>
      </c>
      <c r="Y319" s="30">
        <f t="shared" si="38"/>
        <v>20600</v>
      </c>
      <c r="Z319">
        <f>VLOOKUP(A319,справочник!$E$2:$F$322,2,FALSE)</f>
        <v>0</v>
      </c>
    </row>
    <row r="320" spans="1:26" hidden="1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30">
        <f t="shared" si="37"/>
        <v>4000</v>
      </c>
      <c r="M320" s="31">
        <v>800</v>
      </c>
      <c r="N320" s="31">
        <v>800</v>
      </c>
      <c r="O320" s="31">
        <v>800</v>
      </c>
      <c r="P320" s="31">
        <v>800</v>
      </c>
      <c r="Q320" s="31">
        <v>800</v>
      </c>
      <c r="R320" s="31">
        <v>800</v>
      </c>
      <c r="S320" s="31">
        <v>800</v>
      </c>
      <c r="T320" s="31">
        <v>800</v>
      </c>
      <c r="U320" s="31">
        <v>800</v>
      </c>
      <c r="V320" s="31">
        <v>800</v>
      </c>
      <c r="W320" s="31">
        <v>800</v>
      </c>
      <c r="X320" s="31">
        <v>800</v>
      </c>
      <c r="Y320" s="30">
        <f t="shared" si="38"/>
        <v>13600</v>
      </c>
      <c r="Z320">
        <f>VLOOKUP(A320,справочник!$E$2:$F$322,2,FALSE)</f>
        <v>0</v>
      </c>
    </row>
    <row r="321" spans="1:26" hidden="1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30">
        <f t="shared" si="37"/>
        <v>-1000</v>
      </c>
      <c r="M321" s="31">
        <v>800</v>
      </c>
      <c r="N321" s="31">
        <v>800</v>
      </c>
      <c r="O321" s="31">
        <v>800</v>
      </c>
      <c r="P321" s="31">
        <v>800</v>
      </c>
      <c r="Q321" s="31">
        <v>800</v>
      </c>
      <c r="R321" s="31">
        <v>800</v>
      </c>
      <c r="S321" s="31">
        <v>800</v>
      </c>
      <c r="T321" s="31">
        <v>800</v>
      </c>
      <c r="U321" s="31">
        <v>800</v>
      </c>
      <c r="V321" s="31">
        <v>800</v>
      </c>
      <c r="W321" s="31">
        <v>800</v>
      </c>
      <c r="X321" s="31">
        <v>800</v>
      </c>
      <c r="Y321" s="30">
        <f t="shared" si="38"/>
        <v>8600</v>
      </c>
      <c r="Z321">
        <f>VLOOKUP(A321,справочник!$E$2:$F$322,2,FALSE)</f>
        <v>0</v>
      </c>
    </row>
    <row r="322" spans="1:26" hidden="1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30">
        <f t="shared" si="37"/>
        <v>0</v>
      </c>
      <c r="M322" s="31">
        <v>800</v>
      </c>
      <c r="N322" s="31">
        <v>800</v>
      </c>
      <c r="O322" s="31">
        <v>800</v>
      </c>
      <c r="P322" s="31">
        <v>800</v>
      </c>
      <c r="Q322" s="31">
        <v>800</v>
      </c>
      <c r="R322" s="31">
        <v>800</v>
      </c>
      <c r="S322" s="31">
        <v>800</v>
      </c>
      <c r="T322" s="31">
        <v>800</v>
      </c>
      <c r="U322" s="31">
        <v>800</v>
      </c>
      <c r="V322" s="31">
        <v>800</v>
      </c>
      <c r="W322" s="31">
        <v>800</v>
      </c>
      <c r="X322" s="31">
        <v>800</v>
      </c>
      <c r="Y322" s="30">
        <f t="shared" si="38"/>
        <v>9600</v>
      </c>
      <c r="Z322">
        <f>VLOOKUP(A322,справочник!$E$2:$F$322,2,FALSE)</f>
        <v>0</v>
      </c>
    </row>
    <row r="323" spans="1:26" hidden="1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30">
        <f t="shared" si="37"/>
        <v>-4000</v>
      </c>
      <c r="M323" s="31">
        <v>800</v>
      </c>
      <c r="N323" s="31">
        <v>800</v>
      </c>
      <c r="O323" s="31">
        <v>800</v>
      </c>
      <c r="P323" s="31">
        <v>800</v>
      </c>
      <c r="Q323" s="31">
        <v>800</v>
      </c>
      <c r="R323" s="31">
        <v>800</v>
      </c>
      <c r="S323" s="31">
        <v>800</v>
      </c>
      <c r="T323" s="31">
        <v>800</v>
      </c>
      <c r="U323" s="31">
        <v>800</v>
      </c>
      <c r="V323" s="31">
        <v>800</v>
      </c>
      <c r="W323" s="31">
        <v>800</v>
      </c>
      <c r="X323" s="31">
        <v>800</v>
      </c>
      <c r="Y323" s="30">
        <f t="shared" si="38"/>
        <v>5600</v>
      </c>
      <c r="Z323">
        <f>VLOOKUP(A323,справочник!$E$2:$F$322,2,FALSE)</f>
        <v>0</v>
      </c>
    </row>
    <row r="324" spans="1:26" hidden="1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2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30">
        <f t="shared" si="37"/>
        <v>22000</v>
      </c>
      <c r="M324" s="31">
        <v>800</v>
      </c>
      <c r="N324" s="31">
        <v>800</v>
      </c>
      <c r="O324" s="31">
        <v>800</v>
      </c>
      <c r="P324" s="31">
        <v>800</v>
      </c>
      <c r="Q324" s="31">
        <v>800</v>
      </c>
      <c r="R324" s="31">
        <v>800</v>
      </c>
      <c r="S324" s="31">
        <v>800</v>
      </c>
      <c r="T324" s="31">
        <v>800</v>
      </c>
      <c r="U324" s="31">
        <v>800</v>
      </c>
      <c r="V324" s="31">
        <v>800</v>
      </c>
      <c r="W324" s="31">
        <v>800</v>
      </c>
      <c r="X324" s="31">
        <v>800</v>
      </c>
      <c r="Y324" s="30">
        <f t="shared" si="38"/>
        <v>31600</v>
      </c>
      <c r="Z324">
        <f>VLOOKUP(A324,справочник!$E$2:$F$322,2,FALSE)</f>
        <v>0</v>
      </c>
    </row>
    <row r="325" spans="1:26" hidden="1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30">
        <f t="shared" si="37"/>
        <v>5000</v>
      </c>
      <c r="M325" s="31">
        <v>800</v>
      </c>
      <c r="N325" s="31">
        <v>800</v>
      </c>
      <c r="O325" s="31">
        <v>800</v>
      </c>
      <c r="P325" s="31">
        <v>800</v>
      </c>
      <c r="Q325" s="31">
        <v>800</v>
      </c>
      <c r="R325" s="31">
        <v>800</v>
      </c>
      <c r="S325" s="31">
        <v>800</v>
      </c>
      <c r="T325" s="31">
        <v>800</v>
      </c>
      <c r="U325" s="31">
        <v>800</v>
      </c>
      <c r="V325" s="31">
        <v>800</v>
      </c>
      <c r="W325" s="31">
        <v>800</v>
      </c>
      <c r="X325" s="31">
        <v>800</v>
      </c>
      <c r="Y325" s="30">
        <f t="shared" si="38"/>
        <v>14600</v>
      </c>
      <c r="Z325">
        <f>VLOOKUP(A325,справочник!$E$2:$F$322,2,FALSE)</f>
        <v>0</v>
      </c>
    </row>
    <row r="326" spans="1:26" hidden="1">
      <c r="A326" s="41">
        <f>VLOOKUP(B326,справочник!$B$2:$E$322,4,FALSE)</f>
        <v>40</v>
      </c>
      <c r="B326" t="str">
        <f t="shared" ref="B326" si="39">CONCATENATE(C326,D326)</f>
        <v>40Яшин Евгений Иванович</v>
      </c>
      <c r="C326" s="1">
        <v>40</v>
      </c>
      <c r="D326" s="2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30">
        <f t="shared" si="37"/>
        <v>15000</v>
      </c>
      <c r="M326" s="31">
        <v>800</v>
      </c>
      <c r="N326" s="31">
        <v>800</v>
      </c>
      <c r="O326" s="31">
        <v>800</v>
      </c>
      <c r="P326" s="31">
        <v>800</v>
      </c>
      <c r="Q326" s="31">
        <v>800</v>
      </c>
      <c r="R326" s="31">
        <v>800</v>
      </c>
      <c r="S326" s="31">
        <v>800</v>
      </c>
      <c r="T326" s="31">
        <v>800</v>
      </c>
      <c r="U326" s="31">
        <v>800</v>
      </c>
      <c r="V326" s="31">
        <v>800</v>
      </c>
      <c r="W326" s="31">
        <v>800</v>
      </c>
      <c r="X326" s="31">
        <v>800</v>
      </c>
      <c r="Y326" s="30">
        <f t="shared" si="38"/>
        <v>24600</v>
      </c>
      <c r="Z326">
        <f>VLOOKUP(A326,справочник!$E$2:$F$322,2,FALSE)</f>
        <v>0</v>
      </c>
    </row>
    <row r="327" spans="1:26" hidden="1">
      <c r="H327" s="26">
        <v>42369</v>
      </c>
      <c r="L327" s="27">
        <f>SUM(L5:L326)</f>
        <v>3600608</v>
      </c>
      <c r="M327" s="27">
        <f t="shared" ref="M327:Y327" si="40">SUM(M5:M326)</f>
        <v>232800</v>
      </c>
      <c r="N327" s="27">
        <f t="shared" si="40"/>
        <v>232800</v>
      </c>
      <c r="O327" s="27">
        <f t="shared" si="40"/>
        <v>232800</v>
      </c>
      <c r="P327" s="27">
        <f t="shared" si="40"/>
        <v>232800</v>
      </c>
      <c r="Q327" s="27">
        <f t="shared" si="40"/>
        <v>232800</v>
      </c>
      <c r="R327" s="27">
        <f t="shared" si="40"/>
        <v>232800</v>
      </c>
      <c r="S327" s="27">
        <f t="shared" si="40"/>
        <v>232800</v>
      </c>
      <c r="T327" s="27">
        <f t="shared" si="40"/>
        <v>232800</v>
      </c>
      <c r="U327" s="27">
        <f t="shared" si="40"/>
        <v>232800</v>
      </c>
      <c r="V327" s="27">
        <f t="shared" si="40"/>
        <v>232800</v>
      </c>
      <c r="W327" s="27">
        <f t="shared" si="40"/>
        <v>232800</v>
      </c>
      <c r="X327" s="27">
        <f t="shared" si="40"/>
        <v>232800</v>
      </c>
      <c r="Y327" s="27">
        <f t="shared" si="40"/>
        <v>6394208</v>
      </c>
    </row>
  </sheetData>
  <autoFilter ref="A4:Z327">
    <filterColumn colId="3">
      <filters>
        <filter val="Васильева Ольга Александровна"/>
      </filters>
    </filterColumn>
  </autoFilter>
  <mergeCells count="4">
    <mergeCell ref="C3:C4"/>
    <mergeCell ref="D3:D4"/>
    <mergeCell ref="E3:E4"/>
    <mergeCell ref="H3:L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T329"/>
  <sheetViews>
    <sheetView tabSelected="1" workbookViewId="0">
      <pane xSplit="4" ySplit="4" topLeftCell="AN312" activePane="bottomRight" state="frozen"/>
      <selection activeCell="F189" sqref="F189"/>
      <selection pane="topRight" activeCell="F189" sqref="F189"/>
      <selection pane="bottomLeft" activeCell="F189" sqref="F189"/>
      <selection pane="bottomRight" activeCell="AS246" sqref="AS246"/>
    </sheetView>
  </sheetViews>
  <sheetFormatPr defaultRowHeight="15"/>
  <cols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2" width="13.85546875" style="27" customWidth="1"/>
    <col min="23" max="23" width="13.85546875" style="94" customWidth="1"/>
    <col min="24" max="27" width="13.85546875" style="27" customWidth="1"/>
    <col min="28" max="29" width="16.28515625" style="27" customWidth="1"/>
    <col min="30" max="30" width="13.7109375" customWidth="1"/>
    <col min="31" max="31" width="14.85546875" customWidth="1"/>
    <col min="32" max="32" width="16.28515625" style="27" customWidth="1"/>
    <col min="33" max="33" width="13.7109375" customWidth="1"/>
    <col min="34" max="34" width="14.85546875" customWidth="1"/>
    <col min="35" max="35" width="16.28515625" style="27" customWidth="1"/>
    <col min="36" max="36" width="13.7109375" customWidth="1"/>
    <col min="37" max="37" width="14.85546875" customWidth="1"/>
    <col min="38" max="38" width="16.28515625" style="27" customWidth="1"/>
    <col min="39" max="39" width="13.7109375" customWidth="1"/>
    <col min="40" max="40" width="14.85546875" customWidth="1"/>
    <col min="41" max="41" width="16.28515625" style="27" customWidth="1"/>
    <col min="42" max="42" width="13.7109375" style="84" customWidth="1"/>
    <col min="43" max="43" width="14.85546875" customWidth="1"/>
    <col min="44" max="44" width="16.28515625" style="27" customWidth="1"/>
    <col min="45" max="45" width="13.7109375" style="84" customWidth="1"/>
    <col min="46" max="46" width="14.85546875" customWidth="1"/>
  </cols>
  <sheetData>
    <row r="1" spans="1:46" ht="15" hidden="1" customHeight="1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93"/>
      <c r="X1" s="13"/>
      <c r="Y1" s="13"/>
      <c r="Z1" s="13"/>
      <c r="AA1" s="13"/>
      <c r="AB1" s="13"/>
      <c r="AC1" s="13"/>
      <c r="AF1" s="13"/>
      <c r="AI1" s="13"/>
      <c r="AL1" s="13"/>
      <c r="AO1" s="13"/>
      <c r="AR1" s="13"/>
    </row>
    <row r="2" spans="1:46" ht="15" hidden="1" customHeight="1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3"/>
      <c r="X2" s="13"/>
      <c r="Y2" s="13"/>
      <c r="Z2" s="13"/>
      <c r="AA2" s="13"/>
      <c r="AB2" s="13"/>
      <c r="AC2" s="13"/>
      <c r="AF2" s="13"/>
      <c r="AI2" s="13"/>
      <c r="AL2" s="13"/>
      <c r="AO2" s="13"/>
      <c r="AR2" s="13"/>
    </row>
    <row r="3" spans="1:46" ht="15" hidden="1" customHeight="1">
      <c r="C3" s="56" t="s">
        <v>0</v>
      </c>
      <c r="D3" s="2" t="s">
        <v>1</v>
      </c>
      <c r="E3" s="121" t="s">
        <v>312</v>
      </c>
      <c r="F3" s="1"/>
      <c r="G3" s="1"/>
      <c r="H3" s="132" t="s">
        <v>313</v>
      </c>
      <c r="I3" s="133"/>
      <c r="J3" s="133"/>
      <c r="K3" s="133"/>
      <c r="L3" s="134"/>
      <c r="M3">
        <f t="shared" ref="M3:X3" si="0">COUNTA(M5:M324)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64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84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</row>
    <row r="4" spans="1:46" ht="76.5">
      <c r="A4" s="41" t="s">
        <v>617</v>
      </c>
      <c r="B4" t="s">
        <v>622</v>
      </c>
      <c r="C4" s="56" t="s">
        <v>0</v>
      </c>
      <c r="D4" s="2" t="s">
        <v>1</v>
      </c>
      <c r="E4" s="121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 t="s">
        <v>709</v>
      </c>
      <c r="N4" s="28" t="s">
        <v>710</v>
      </c>
      <c r="O4" s="28" t="s">
        <v>711</v>
      </c>
      <c r="P4" s="28" t="s">
        <v>712</v>
      </c>
      <c r="Q4" s="28" t="s">
        <v>713</v>
      </c>
      <c r="R4" s="28" t="s">
        <v>714</v>
      </c>
      <c r="S4" s="28" t="s">
        <v>715</v>
      </c>
      <c r="T4" s="28" t="s">
        <v>716</v>
      </c>
      <c r="U4" s="28" t="s">
        <v>717</v>
      </c>
      <c r="V4" s="28" t="s">
        <v>718</v>
      </c>
      <c r="W4" s="28" t="s">
        <v>719</v>
      </c>
      <c r="X4" s="28" t="s">
        <v>720</v>
      </c>
      <c r="Y4" s="15" t="s">
        <v>721</v>
      </c>
      <c r="Z4" s="95" t="s">
        <v>722</v>
      </c>
      <c r="AA4" s="95" t="s">
        <v>723</v>
      </c>
      <c r="AB4" s="95" t="s">
        <v>724</v>
      </c>
      <c r="AC4" s="95" t="s">
        <v>725</v>
      </c>
      <c r="AD4" s="100" t="s">
        <v>726</v>
      </c>
      <c r="AE4" s="101" t="s">
        <v>727</v>
      </c>
      <c r="AF4" s="95" t="s">
        <v>728</v>
      </c>
      <c r="AG4" s="100" t="s">
        <v>729</v>
      </c>
      <c r="AH4" s="101" t="s">
        <v>730</v>
      </c>
      <c r="AI4" s="95" t="s">
        <v>732</v>
      </c>
      <c r="AJ4" s="100" t="s">
        <v>733</v>
      </c>
      <c r="AK4" s="101" t="s">
        <v>734</v>
      </c>
      <c r="AL4" s="95" t="s">
        <v>735</v>
      </c>
      <c r="AM4" s="100" t="s">
        <v>736</v>
      </c>
      <c r="AN4" s="101" t="s">
        <v>737</v>
      </c>
      <c r="AO4" s="117" t="s">
        <v>739</v>
      </c>
      <c r="AP4" s="118" t="s">
        <v>740</v>
      </c>
      <c r="AQ4" s="101" t="s">
        <v>741</v>
      </c>
      <c r="AR4" s="117" t="s">
        <v>742</v>
      </c>
      <c r="AS4" s="118" t="s">
        <v>743</v>
      </c>
      <c r="AT4" s="101" t="s">
        <v>744</v>
      </c>
    </row>
    <row r="5" spans="1:46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1">INT(($H$325-G5)/30)</f>
        <v>54</v>
      </c>
      <c r="I5" s="1">
        <f t="shared" ref="I5:I67" si="2">H5*1000</f>
        <v>54000</v>
      </c>
      <c r="J5" s="17">
        <f>49000+1000</f>
        <v>50000</v>
      </c>
      <c r="K5" s="17"/>
      <c r="L5" s="18">
        <f t="shared" ref="L5:L29" si="3">I5-J5-K5</f>
        <v>4000</v>
      </c>
      <c r="M5" s="22"/>
      <c r="N5" s="22">
        <v>4000</v>
      </c>
      <c r="O5" s="22"/>
      <c r="P5" s="22">
        <v>2400</v>
      </c>
      <c r="Q5" s="22"/>
      <c r="R5" s="22"/>
      <c r="S5" s="22"/>
      <c r="T5" s="22"/>
      <c r="U5" s="22">
        <v>4800</v>
      </c>
      <c r="V5" s="22"/>
      <c r="W5" s="22"/>
      <c r="X5" s="22"/>
      <c r="Y5" s="18">
        <f>SUM(M5:X5)</f>
        <v>11200</v>
      </c>
      <c r="Z5" s="96">
        <v>12</v>
      </c>
      <c r="AA5" s="96">
        <f>Z5*800</f>
        <v>9600</v>
      </c>
      <c r="AB5" s="96">
        <f>L5+AA5-Y5</f>
        <v>2400</v>
      </c>
      <c r="AC5" s="99">
        <v>800</v>
      </c>
      <c r="AD5" s="98"/>
      <c r="AE5" s="102">
        <f>AB5+AC5-AD5</f>
        <v>3200</v>
      </c>
      <c r="AF5" s="99">
        <v>800</v>
      </c>
      <c r="AG5" s="98"/>
      <c r="AH5" s="102">
        <f>AE5+AF5-AG5</f>
        <v>4000</v>
      </c>
      <c r="AI5" s="99">
        <v>800</v>
      </c>
      <c r="AJ5" s="98">
        <v>4800</v>
      </c>
      <c r="AK5" s="102">
        <f>AH5+AI5-AJ5</f>
        <v>0</v>
      </c>
      <c r="AL5" s="99">
        <v>800</v>
      </c>
      <c r="AM5" s="98"/>
      <c r="AN5" s="102">
        <f>AK5+AL5-AM5</f>
        <v>800</v>
      </c>
      <c r="AO5" s="99">
        <v>800</v>
      </c>
      <c r="AP5" s="114">
        <v>800</v>
      </c>
      <c r="AQ5" s="102">
        <f>AN5+AO5-AP5</f>
        <v>800</v>
      </c>
      <c r="AR5" s="99">
        <v>800</v>
      </c>
      <c r="AS5" s="114"/>
      <c r="AT5" s="102">
        <f>AQ5+AR5-AS5</f>
        <v>1600</v>
      </c>
    </row>
    <row r="6" spans="1:46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18">
        <f t="shared" si="3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ref="Y6:Y69" si="5">SUM(M6:X6)</f>
        <v>0</v>
      </c>
      <c r="Z6" s="96">
        <v>12</v>
      </c>
      <c r="AA6" s="96">
        <f t="shared" ref="AA6:AA69" si="6">Z6*800</f>
        <v>9600</v>
      </c>
      <c r="AB6" s="96">
        <f t="shared" ref="AB6:AB69" si="7">L6+AA6-Y6</f>
        <v>25600</v>
      </c>
      <c r="AC6" s="99">
        <v>800</v>
      </c>
      <c r="AD6" s="98"/>
      <c r="AE6" s="102">
        <f t="shared" ref="AE6:AE69" si="8">AB6+AC6-AD6</f>
        <v>26400</v>
      </c>
      <c r="AF6" s="99">
        <v>800</v>
      </c>
      <c r="AG6" s="98"/>
      <c r="AH6" s="102">
        <f t="shared" ref="AH6:AH15" si="9">AE6+AF6-AG6</f>
        <v>27200</v>
      </c>
      <c r="AI6" s="99">
        <v>800</v>
      </c>
      <c r="AJ6" s="98"/>
      <c r="AK6" s="102">
        <f t="shared" ref="AK6:AK15" si="10">AH6+AI6-AJ6</f>
        <v>28000</v>
      </c>
      <c r="AL6" s="99">
        <v>800</v>
      </c>
      <c r="AM6" s="98"/>
      <c r="AN6" s="102">
        <f t="shared" ref="AN6:AN15" si="11">AK6+AL6-AM6</f>
        <v>28800</v>
      </c>
      <c r="AO6" s="99">
        <v>800</v>
      </c>
      <c r="AP6" s="114"/>
      <c r="AQ6" s="102">
        <f t="shared" ref="AQ6:AQ15" si="12">AN6+AO6-AP6</f>
        <v>29600</v>
      </c>
      <c r="AR6" s="99">
        <v>800</v>
      </c>
      <c r="AS6" s="114"/>
      <c r="AT6" s="102">
        <f t="shared" ref="AT6:AT15" si="13">AQ6+AR6-AS6</f>
        <v>30400</v>
      </c>
    </row>
    <row r="7" spans="1:46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18">
        <f t="shared" si="3"/>
        <v>8000</v>
      </c>
      <c r="M7" s="22"/>
      <c r="N7" s="22">
        <v>2000</v>
      </c>
      <c r="O7" s="22"/>
      <c r="P7" s="22"/>
      <c r="Q7" s="22">
        <v>1000</v>
      </c>
      <c r="R7" s="22">
        <v>2000</v>
      </c>
      <c r="S7" s="22">
        <v>2000</v>
      </c>
      <c r="T7">
        <v>3000</v>
      </c>
      <c r="U7">
        <v>2000</v>
      </c>
      <c r="V7" s="22">
        <v>2000</v>
      </c>
      <c r="W7" s="22">
        <v>2000</v>
      </c>
      <c r="X7" s="22">
        <v>2000</v>
      </c>
      <c r="Y7" s="18">
        <f t="shared" si="5"/>
        <v>18000</v>
      </c>
      <c r="Z7" s="96">
        <v>12</v>
      </c>
      <c r="AA7" s="96">
        <f t="shared" si="6"/>
        <v>9600</v>
      </c>
      <c r="AB7" s="96">
        <f t="shared" si="7"/>
        <v>-400</v>
      </c>
      <c r="AC7" s="99">
        <v>800</v>
      </c>
      <c r="AD7" s="98"/>
      <c r="AE7" s="102">
        <f t="shared" si="8"/>
        <v>400</v>
      </c>
      <c r="AF7" s="99">
        <v>800</v>
      </c>
      <c r="AG7" s="98"/>
      <c r="AH7" s="102">
        <f t="shared" si="9"/>
        <v>1200</v>
      </c>
      <c r="AI7" s="99">
        <v>800</v>
      </c>
      <c r="AJ7" s="98"/>
      <c r="AK7" s="102">
        <f t="shared" si="10"/>
        <v>2000</v>
      </c>
      <c r="AL7" s="99">
        <v>800</v>
      </c>
      <c r="AM7" s="98">
        <v>2000</v>
      </c>
      <c r="AN7" s="102">
        <f t="shared" si="11"/>
        <v>800</v>
      </c>
      <c r="AO7" s="99">
        <v>800</v>
      </c>
      <c r="AP7" s="114"/>
      <c r="AQ7" s="102">
        <f t="shared" si="12"/>
        <v>1600</v>
      </c>
      <c r="AR7" s="99">
        <v>800</v>
      </c>
      <c r="AS7" s="114"/>
      <c r="AT7" s="102">
        <f t="shared" si="13"/>
        <v>2400</v>
      </c>
    </row>
    <row r="8" spans="1:46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18">
        <f t="shared" si="3"/>
        <v>1000</v>
      </c>
      <c r="M8" s="22">
        <v>2600</v>
      </c>
      <c r="N8" s="22"/>
      <c r="O8" s="22"/>
      <c r="P8" s="22"/>
      <c r="Q8" s="22">
        <v>4200</v>
      </c>
      <c r="R8" s="22"/>
      <c r="S8" s="22">
        <v>3200</v>
      </c>
      <c r="T8" s="22"/>
      <c r="U8" s="22"/>
      <c r="V8" s="22"/>
      <c r="W8" s="22"/>
      <c r="X8" s="22"/>
      <c r="Y8" s="18">
        <f t="shared" si="5"/>
        <v>10000</v>
      </c>
      <c r="Z8" s="96">
        <v>12</v>
      </c>
      <c r="AA8" s="96">
        <f t="shared" si="6"/>
        <v>9600</v>
      </c>
      <c r="AB8" s="96">
        <f t="shared" si="7"/>
        <v>600</v>
      </c>
      <c r="AC8" s="99">
        <v>800</v>
      </c>
      <c r="AD8" s="98">
        <v>2400</v>
      </c>
      <c r="AE8" s="102">
        <f t="shared" si="8"/>
        <v>-1000</v>
      </c>
      <c r="AF8" s="99">
        <v>800</v>
      </c>
      <c r="AG8" s="98"/>
      <c r="AH8" s="102">
        <f t="shared" si="9"/>
        <v>-200</v>
      </c>
      <c r="AI8" s="99">
        <v>800</v>
      </c>
      <c r="AJ8" s="98"/>
      <c r="AK8" s="102">
        <f t="shared" si="10"/>
        <v>600</v>
      </c>
      <c r="AL8" s="99">
        <v>800</v>
      </c>
      <c r="AM8" s="98"/>
      <c r="AN8" s="102">
        <f t="shared" si="11"/>
        <v>1400</v>
      </c>
      <c r="AO8" s="99">
        <v>800</v>
      </c>
      <c r="AP8" s="114"/>
      <c r="AQ8" s="102">
        <f t="shared" si="12"/>
        <v>2200</v>
      </c>
      <c r="AR8" s="99">
        <v>800</v>
      </c>
      <c r="AS8" s="114"/>
      <c r="AT8" s="102">
        <f t="shared" si="13"/>
        <v>3000</v>
      </c>
    </row>
    <row r="9" spans="1:46" s="84" customFormat="1">
      <c r="A9" s="83">
        <f>VLOOKUP(B9,справочник!$B$2:$E$322,4,FALSE)</f>
        <v>316</v>
      </c>
      <c r="B9" s="84" t="str">
        <f t="shared" si="4"/>
        <v>306-307Алексеев Андрей Олегович</v>
      </c>
      <c r="C9" s="113" t="s">
        <v>6</v>
      </c>
      <c r="D9" s="2" t="s">
        <v>7</v>
      </c>
      <c r="E9" s="113" t="s">
        <v>325</v>
      </c>
      <c r="F9" s="16">
        <v>40893</v>
      </c>
      <c r="G9" s="16">
        <v>40878</v>
      </c>
      <c r="H9" s="17">
        <f t="shared" si="1"/>
        <v>49</v>
      </c>
      <c r="I9" s="113">
        <f t="shared" si="2"/>
        <v>49000</v>
      </c>
      <c r="J9" s="17">
        <f>30000+1000+1000</f>
        <v>32000</v>
      </c>
      <c r="K9" s="17"/>
      <c r="L9" s="22">
        <f t="shared" si="3"/>
        <v>17000</v>
      </c>
      <c r="M9" s="22">
        <v>800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>
        <f t="shared" si="5"/>
        <v>800</v>
      </c>
      <c r="Z9" s="99">
        <v>12</v>
      </c>
      <c r="AA9" s="99">
        <f t="shared" si="6"/>
        <v>9600</v>
      </c>
      <c r="AB9" s="99">
        <f t="shared" si="7"/>
        <v>25800</v>
      </c>
      <c r="AC9" s="99">
        <v>800</v>
      </c>
      <c r="AD9" s="114"/>
      <c r="AE9" s="115">
        <f t="shared" si="8"/>
        <v>26600</v>
      </c>
      <c r="AF9" s="99">
        <v>800</v>
      </c>
      <c r="AG9" s="114"/>
      <c r="AH9" s="115">
        <f t="shared" si="9"/>
        <v>27400</v>
      </c>
      <c r="AI9" s="99">
        <v>800</v>
      </c>
      <c r="AJ9" s="114"/>
      <c r="AK9" s="115">
        <f t="shared" si="10"/>
        <v>28200</v>
      </c>
      <c r="AL9" s="99">
        <v>800</v>
      </c>
      <c r="AM9" s="114"/>
      <c r="AN9" s="115">
        <f t="shared" si="11"/>
        <v>29000</v>
      </c>
      <c r="AO9" s="99">
        <v>800</v>
      </c>
      <c r="AP9" s="114"/>
      <c r="AQ9" s="115">
        <f t="shared" si="12"/>
        <v>29800</v>
      </c>
      <c r="AR9" s="99">
        <v>800</v>
      </c>
      <c r="AS9" s="114"/>
      <c r="AT9" s="115">
        <f t="shared" si="13"/>
        <v>30600</v>
      </c>
    </row>
    <row r="10" spans="1:46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2" t="s">
        <v>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18">
        <f t="shared" si="3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5"/>
        <v>0</v>
      </c>
      <c r="Z10" s="96">
        <v>12</v>
      </c>
      <c r="AA10" s="96">
        <f t="shared" si="6"/>
        <v>9600</v>
      </c>
      <c r="AB10" s="96">
        <f t="shared" si="7"/>
        <v>33600</v>
      </c>
      <c r="AC10" s="99">
        <v>800</v>
      </c>
      <c r="AD10" s="98"/>
      <c r="AE10" s="102">
        <f t="shared" si="8"/>
        <v>34400</v>
      </c>
      <c r="AF10" s="99">
        <v>800</v>
      </c>
      <c r="AG10" s="98"/>
      <c r="AH10" s="102">
        <f t="shared" si="9"/>
        <v>35200</v>
      </c>
      <c r="AI10" s="99">
        <v>800</v>
      </c>
      <c r="AJ10" s="98"/>
      <c r="AK10" s="102">
        <f t="shared" si="10"/>
        <v>36000</v>
      </c>
      <c r="AL10" s="99">
        <v>800</v>
      </c>
      <c r="AM10" s="98"/>
      <c r="AN10" s="102">
        <f t="shared" si="11"/>
        <v>36800</v>
      </c>
      <c r="AO10" s="99">
        <v>800</v>
      </c>
      <c r="AP10" s="114"/>
      <c r="AQ10" s="102">
        <f t="shared" si="12"/>
        <v>37600</v>
      </c>
      <c r="AR10" s="99">
        <v>800</v>
      </c>
      <c r="AS10" s="114"/>
      <c r="AT10" s="102">
        <f t="shared" si="13"/>
        <v>38400</v>
      </c>
    </row>
    <row r="11" spans="1:46" ht="25.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18">
        <f t="shared" si="3"/>
        <v>-2000</v>
      </c>
      <c r="M11" s="22"/>
      <c r="N11" s="22"/>
      <c r="O11" s="22"/>
      <c r="P11" s="22"/>
      <c r="Q11" s="22"/>
      <c r="R11" s="22"/>
      <c r="S11" s="22">
        <v>1000</v>
      </c>
      <c r="T11" s="22"/>
      <c r="U11">
        <v>2000</v>
      </c>
      <c r="V11" s="22"/>
      <c r="W11" s="22"/>
      <c r="X11" s="22"/>
      <c r="Y11" s="18">
        <f t="shared" si="5"/>
        <v>3000</v>
      </c>
      <c r="Z11" s="96">
        <v>12</v>
      </c>
      <c r="AA11" s="96">
        <f t="shared" si="6"/>
        <v>9600</v>
      </c>
      <c r="AB11" s="96">
        <f t="shared" si="7"/>
        <v>4600</v>
      </c>
      <c r="AC11" s="99">
        <v>800</v>
      </c>
      <c r="AD11" s="98"/>
      <c r="AE11" s="102">
        <f t="shared" si="8"/>
        <v>5400</v>
      </c>
      <c r="AF11" s="99">
        <v>800</v>
      </c>
      <c r="AG11" s="98">
        <v>2000</v>
      </c>
      <c r="AH11" s="102">
        <f t="shared" si="9"/>
        <v>4200</v>
      </c>
      <c r="AI11" s="99">
        <v>800</v>
      </c>
      <c r="AJ11" s="98">
        <v>1000</v>
      </c>
      <c r="AK11" s="102">
        <f t="shared" si="10"/>
        <v>4000</v>
      </c>
      <c r="AL11" s="99">
        <v>800</v>
      </c>
      <c r="AM11" s="98">
        <v>1000</v>
      </c>
      <c r="AN11" s="102">
        <f t="shared" si="11"/>
        <v>3800</v>
      </c>
      <c r="AO11" s="99">
        <v>800</v>
      </c>
      <c r="AP11" s="114">
        <v>1000</v>
      </c>
      <c r="AQ11" s="102">
        <f t="shared" si="12"/>
        <v>3600</v>
      </c>
      <c r="AR11" s="99">
        <v>800</v>
      </c>
      <c r="AS11" s="114"/>
      <c r="AT11" s="102">
        <f t="shared" si="13"/>
        <v>4400</v>
      </c>
    </row>
    <row r="12" spans="1:46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2" t="s">
        <v>10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18">
        <f t="shared" si="3"/>
        <v>14000</v>
      </c>
      <c r="M12" s="22">
        <v>12000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5"/>
        <v>12000</v>
      </c>
      <c r="Z12" s="96">
        <v>12</v>
      </c>
      <c r="AA12" s="96">
        <f t="shared" si="6"/>
        <v>9600</v>
      </c>
      <c r="AB12" s="96">
        <f t="shared" si="7"/>
        <v>11600</v>
      </c>
      <c r="AC12" s="99">
        <v>800</v>
      </c>
      <c r="AD12" s="98"/>
      <c r="AE12" s="102">
        <f t="shared" si="8"/>
        <v>12400</v>
      </c>
      <c r="AF12" s="99">
        <v>800</v>
      </c>
      <c r="AG12" s="98">
        <v>12000</v>
      </c>
      <c r="AH12" s="102">
        <f t="shared" si="9"/>
        <v>1200</v>
      </c>
      <c r="AI12" s="99">
        <v>800</v>
      </c>
      <c r="AJ12" s="98"/>
      <c r="AK12" s="102">
        <f t="shared" si="10"/>
        <v>2000</v>
      </c>
      <c r="AL12" s="99">
        <v>800</v>
      </c>
      <c r="AM12" s="98"/>
      <c r="AN12" s="102">
        <f t="shared" si="11"/>
        <v>2800</v>
      </c>
      <c r="AO12" s="99">
        <v>800</v>
      </c>
      <c r="AP12" s="114"/>
      <c r="AQ12" s="102">
        <f t="shared" si="12"/>
        <v>3600</v>
      </c>
      <c r="AR12" s="99">
        <v>800</v>
      </c>
      <c r="AS12" s="114"/>
      <c r="AT12" s="102">
        <f t="shared" si="13"/>
        <v>4400</v>
      </c>
    </row>
    <row r="13" spans="1:46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18">
        <f t="shared" si="3"/>
        <v>4000</v>
      </c>
      <c r="M13" s="22"/>
      <c r="N13" s="22"/>
      <c r="O13" s="22"/>
      <c r="P13" s="22"/>
      <c r="Q13" s="22"/>
      <c r="R13" s="22"/>
      <c r="S13" s="22">
        <v>3000</v>
      </c>
      <c r="T13" s="22"/>
      <c r="U13">
        <v>5000</v>
      </c>
      <c r="V13" s="22">
        <v>2400</v>
      </c>
      <c r="W13" s="22"/>
      <c r="X13" s="22"/>
      <c r="Y13" s="18">
        <f t="shared" si="5"/>
        <v>10400</v>
      </c>
      <c r="Z13" s="96">
        <v>12</v>
      </c>
      <c r="AA13" s="96">
        <f t="shared" si="6"/>
        <v>9600</v>
      </c>
      <c r="AB13" s="96">
        <f t="shared" si="7"/>
        <v>3200</v>
      </c>
      <c r="AC13" s="99">
        <v>800</v>
      </c>
      <c r="AD13" s="98"/>
      <c r="AE13" s="102">
        <f t="shared" si="8"/>
        <v>4000</v>
      </c>
      <c r="AF13" s="99">
        <v>800</v>
      </c>
      <c r="AG13" s="98">
        <v>2400</v>
      </c>
      <c r="AH13" s="102">
        <f t="shared" si="9"/>
        <v>2400</v>
      </c>
      <c r="AI13" s="99">
        <v>800</v>
      </c>
      <c r="AJ13" s="98"/>
      <c r="AK13" s="102">
        <f t="shared" si="10"/>
        <v>3200</v>
      </c>
      <c r="AL13" s="99">
        <v>800</v>
      </c>
      <c r="AM13" s="98"/>
      <c r="AN13" s="102">
        <f t="shared" si="11"/>
        <v>4000</v>
      </c>
      <c r="AO13" s="99">
        <v>800</v>
      </c>
      <c r="AP13" s="114"/>
      <c r="AQ13" s="102">
        <f t="shared" si="12"/>
        <v>4800</v>
      </c>
      <c r="AR13" s="99">
        <v>800</v>
      </c>
      <c r="AS13" s="114"/>
      <c r="AT13" s="102">
        <f t="shared" si="13"/>
        <v>5600</v>
      </c>
    </row>
    <row r="14" spans="1:46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18">
        <f t="shared" si="3"/>
        <v>21000</v>
      </c>
      <c r="M14" s="22"/>
      <c r="N14" s="22">
        <v>1000</v>
      </c>
      <c r="O14" s="22">
        <v>1000</v>
      </c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5"/>
        <v>2000</v>
      </c>
      <c r="Z14" s="96">
        <v>12</v>
      </c>
      <c r="AA14" s="96">
        <f t="shared" si="6"/>
        <v>9600</v>
      </c>
      <c r="AB14" s="96">
        <f t="shared" si="7"/>
        <v>28600</v>
      </c>
      <c r="AC14" s="99">
        <v>800</v>
      </c>
      <c r="AD14" s="98"/>
      <c r="AE14" s="102">
        <f t="shared" si="8"/>
        <v>29400</v>
      </c>
      <c r="AF14" s="99">
        <v>800</v>
      </c>
      <c r="AG14" s="98"/>
      <c r="AH14" s="102">
        <f t="shared" si="9"/>
        <v>30200</v>
      </c>
      <c r="AI14" s="99">
        <v>800</v>
      </c>
      <c r="AJ14" s="98"/>
      <c r="AK14" s="102">
        <f t="shared" si="10"/>
        <v>31000</v>
      </c>
      <c r="AL14" s="99">
        <v>800</v>
      </c>
      <c r="AM14" s="98"/>
      <c r="AN14" s="102">
        <f t="shared" si="11"/>
        <v>31800</v>
      </c>
      <c r="AO14" s="99">
        <v>800</v>
      </c>
      <c r="AP14" s="114"/>
      <c r="AQ14" s="102">
        <f t="shared" si="12"/>
        <v>32600</v>
      </c>
      <c r="AR14" s="99">
        <v>800</v>
      </c>
      <c r="AS14" s="114"/>
      <c r="AT14" s="102">
        <f t="shared" si="13"/>
        <v>33400</v>
      </c>
    </row>
    <row r="15" spans="1:46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18">
        <f t="shared" si="3"/>
        <v>0</v>
      </c>
      <c r="M15" s="22"/>
      <c r="N15" s="22">
        <v>800</v>
      </c>
      <c r="O15" s="22"/>
      <c r="P15" s="22"/>
      <c r="Q15" s="22"/>
      <c r="R15" s="22">
        <v>3200</v>
      </c>
      <c r="S15" s="22"/>
      <c r="T15" s="22"/>
      <c r="U15" s="22">
        <v>8000</v>
      </c>
      <c r="V15" s="22"/>
      <c r="W15" s="22"/>
      <c r="X15" s="22"/>
      <c r="Y15" s="18">
        <f t="shared" si="5"/>
        <v>12000</v>
      </c>
      <c r="Z15" s="96">
        <v>12</v>
      </c>
      <c r="AA15" s="96">
        <f t="shared" si="6"/>
        <v>9600</v>
      </c>
      <c r="AB15" s="96">
        <f t="shared" si="7"/>
        <v>-2400</v>
      </c>
      <c r="AC15" s="99">
        <v>800</v>
      </c>
      <c r="AD15" s="98"/>
      <c r="AE15" s="102">
        <f t="shared" si="8"/>
        <v>-1600</v>
      </c>
      <c r="AF15" s="99">
        <v>800</v>
      </c>
      <c r="AG15" s="98"/>
      <c r="AH15" s="102">
        <f t="shared" si="9"/>
        <v>-800</v>
      </c>
      <c r="AI15" s="99">
        <v>800</v>
      </c>
      <c r="AJ15" s="98"/>
      <c r="AK15" s="102">
        <f t="shared" si="10"/>
        <v>0</v>
      </c>
      <c r="AL15" s="99">
        <v>800</v>
      </c>
      <c r="AM15" s="98"/>
      <c r="AN15" s="102">
        <f t="shared" si="11"/>
        <v>800</v>
      </c>
      <c r="AO15" s="99">
        <v>800</v>
      </c>
      <c r="AP15" s="114">
        <v>800</v>
      </c>
      <c r="AQ15" s="102">
        <f t="shared" si="12"/>
        <v>800</v>
      </c>
      <c r="AR15" s="99">
        <v>800</v>
      </c>
      <c r="AS15" s="114">
        <v>2400</v>
      </c>
      <c r="AT15" s="102">
        <f t="shared" si="13"/>
        <v>-800</v>
      </c>
    </row>
    <row r="16" spans="1:46" s="80" customFormat="1">
      <c r="A16" s="103">
        <f>VLOOKUP(B16,справочник!$B$2:$E$322,4,FALSE)</f>
        <v>7</v>
      </c>
      <c r="B16" s="80" t="str">
        <f t="shared" si="4"/>
        <v>7Артемьев Сергей Иванович</v>
      </c>
      <c r="C16" s="5">
        <v>7</v>
      </c>
      <c r="D16" s="7" t="s">
        <v>14</v>
      </c>
      <c r="E16" s="5" t="s">
        <v>330</v>
      </c>
      <c r="F16" s="19">
        <v>41467</v>
      </c>
      <c r="G16" s="19">
        <v>41518</v>
      </c>
      <c r="H16" s="20">
        <f t="shared" si="1"/>
        <v>28</v>
      </c>
      <c r="I16" s="5">
        <f t="shared" si="2"/>
        <v>28000</v>
      </c>
      <c r="J16" s="20"/>
      <c r="K16" s="20"/>
      <c r="L16" s="21">
        <f t="shared" si="3"/>
        <v>28000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>
        <f t="shared" si="5"/>
        <v>0</v>
      </c>
      <c r="Z16" s="104">
        <v>12</v>
      </c>
      <c r="AA16" s="104">
        <f t="shared" si="6"/>
        <v>9600</v>
      </c>
      <c r="AB16" s="104">
        <f t="shared" si="7"/>
        <v>37600</v>
      </c>
      <c r="AC16" s="104">
        <v>800</v>
      </c>
      <c r="AD16" s="105"/>
      <c r="AE16" s="127">
        <f>SUM(AB16:AB17)+SUM(AC16:AC17)-SUM(AD16:AD17)</f>
        <v>49400</v>
      </c>
      <c r="AF16" s="104">
        <v>800</v>
      </c>
      <c r="AG16" s="105"/>
      <c r="AH16" s="127">
        <f>SUM(AE16:AE17)+SUM(AF16:AF17)-SUM(AG16:AG17)</f>
        <v>50200</v>
      </c>
      <c r="AI16" s="104">
        <v>800</v>
      </c>
      <c r="AJ16" s="105"/>
      <c r="AK16" s="127">
        <f>SUM(AH16:AH17)+SUM(AI16:AI17)-SUM(AJ16:AJ17)</f>
        <v>51000</v>
      </c>
      <c r="AL16" s="104">
        <v>800</v>
      </c>
      <c r="AM16" s="105"/>
      <c r="AN16" s="127">
        <f>SUM(AK16:AK17)+SUM(AL16:AL17)-SUM(AM16:AM17)</f>
        <v>51800</v>
      </c>
      <c r="AO16" s="104">
        <v>800</v>
      </c>
      <c r="AP16" s="105"/>
      <c r="AQ16" s="127">
        <f>SUM(AN16:AN17)+SUM(AO16:AO17)-SUM(AP16:AP17)</f>
        <v>52600</v>
      </c>
      <c r="AR16" s="104">
        <v>800</v>
      </c>
      <c r="AS16" s="105"/>
      <c r="AT16" s="127">
        <f>SUM(AQ16:AQ17)+SUM(AR16:AR17)-SUM(AS16:AS17)</f>
        <v>53400</v>
      </c>
    </row>
    <row r="17" spans="1:46" s="80" customFormat="1">
      <c r="A17" s="103">
        <f>VLOOKUP(B17,справочник!$B$2:$E$322,4,FALSE)</f>
        <v>7</v>
      </c>
      <c r="B17" s="80" t="str">
        <f t="shared" si="4"/>
        <v>14Артемьев Сергей Иванович</v>
      </c>
      <c r="C17" s="5">
        <v>14</v>
      </c>
      <c r="D17" s="7" t="s">
        <v>14</v>
      </c>
      <c r="E17" s="5" t="s">
        <v>331</v>
      </c>
      <c r="F17" s="19">
        <v>41204</v>
      </c>
      <c r="G17" s="19">
        <v>41214</v>
      </c>
      <c r="H17" s="20">
        <f t="shared" si="1"/>
        <v>38</v>
      </c>
      <c r="I17" s="5">
        <f t="shared" si="2"/>
        <v>38000</v>
      </c>
      <c r="J17" s="20">
        <v>27000</v>
      </c>
      <c r="K17" s="20"/>
      <c r="L17" s="21">
        <f t="shared" si="3"/>
        <v>11000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>
        <f t="shared" si="5"/>
        <v>0</v>
      </c>
      <c r="Z17" s="104">
        <v>0</v>
      </c>
      <c r="AA17" s="104">
        <f t="shared" si="6"/>
        <v>0</v>
      </c>
      <c r="AB17" s="104">
        <f t="shared" si="7"/>
        <v>11000</v>
      </c>
      <c r="AC17" s="104">
        <v>0</v>
      </c>
      <c r="AD17" s="105"/>
      <c r="AE17" s="129"/>
      <c r="AF17" s="104">
        <v>0</v>
      </c>
      <c r="AG17" s="105"/>
      <c r="AH17" s="129"/>
      <c r="AI17" s="104">
        <v>0</v>
      </c>
      <c r="AJ17" s="105"/>
      <c r="AK17" s="129"/>
      <c r="AL17" s="104">
        <v>0</v>
      </c>
      <c r="AM17" s="105"/>
      <c r="AN17" s="129"/>
      <c r="AO17" s="104">
        <v>0</v>
      </c>
      <c r="AP17" s="105"/>
      <c r="AQ17" s="129"/>
      <c r="AR17" s="104">
        <v>0</v>
      </c>
      <c r="AS17" s="105"/>
      <c r="AT17" s="129"/>
    </row>
    <row r="18" spans="1:46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18">
        <f t="shared" si="3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5"/>
        <v>0</v>
      </c>
      <c r="Z18" s="96">
        <v>12</v>
      </c>
      <c r="AA18" s="96">
        <f t="shared" si="6"/>
        <v>9600</v>
      </c>
      <c r="AB18" s="96">
        <f t="shared" si="7"/>
        <v>9600</v>
      </c>
      <c r="AC18" s="99">
        <v>800</v>
      </c>
      <c r="AD18" s="98"/>
      <c r="AE18" s="102">
        <f t="shared" si="8"/>
        <v>10400</v>
      </c>
      <c r="AF18" s="99">
        <v>800</v>
      </c>
      <c r="AG18" s="98"/>
      <c r="AH18" s="102">
        <f t="shared" ref="AH18:AH37" si="14">AE18+AF18-AG18</f>
        <v>11200</v>
      </c>
      <c r="AI18" s="99">
        <v>800</v>
      </c>
      <c r="AJ18" s="98"/>
      <c r="AK18" s="102">
        <f t="shared" ref="AK18:AK30" si="15">AH18+AI18-AJ18</f>
        <v>12000</v>
      </c>
      <c r="AL18" s="99">
        <v>800</v>
      </c>
      <c r="AM18" s="98"/>
      <c r="AN18" s="102">
        <f t="shared" ref="AN18:AN30" si="16">AK18+AL18-AM18</f>
        <v>12800</v>
      </c>
      <c r="AO18" s="99">
        <v>800</v>
      </c>
      <c r="AP18" s="114">
        <v>3200</v>
      </c>
      <c r="AQ18" s="102">
        <f t="shared" ref="AQ18:AQ30" si="17">AN18+AO18-AP18</f>
        <v>10400</v>
      </c>
      <c r="AR18" s="99">
        <v>800</v>
      </c>
      <c r="AS18" s="114"/>
      <c r="AT18" s="102">
        <f t="shared" ref="AT18:AT30" si="18">AQ18+AR18-AS18</f>
        <v>11200</v>
      </c>
    </row>
    <row r="19" spans="1:46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INT(($H$325-G19)/30)</f>
        <v>14</v>
      </c>
      <c r="I19" s="1">
        <f t="shared" si="2"/>
        <v>14000</v>
      </c>
      <c r="J19" s="17">
        <v>1000</v>
      </c>
      <c r="K19" s="17"/>
      <c r="L19" s="18">
        <f t="shared" si="3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84">
        <v>10000</v>
      </c>
      <c r="X19" s="22"/>
      <c r="Y19" s="18">
        <f t="shared" si="5"/>
        <v>10000</v>
      </c>
      <c r="Z19" s="96">
        <v>12</v>
      </c>
      <c r="AA19" s="96">
        <f t="shared" si="6"/>
        <v>9600</v>
      </c>
      <c r="AB19" s="96">
        <f t="shared" si="7"/>
        <v>12600</v>
      </c>
      <c r="AC19" s="99">
        <v>800</v>
      </c>
      <c r="AD19" s="98">
        <v>13000</v>
      </c>
      <c r="AE19" s="102">
        <f t="shared" si="8"/>
        <v>400</v>
      </c>
      <c r="AF19" s="99">
        <v>800</v>
      </c>
      <c r="AG19" s="98"/>
      <c r="AH19" s="102">
        <f t="shared" si="14"/>
        <v>1200</v>
      </c>
      <c r="AI19" s="99">
        <v>800</v>
      </c>
      <c r="AJ19" s="98"/>
      <c r="AK19" s="102">
        <f t="shared" si="15"/>
        <v>2000</v>
      </c>
      <c r="AL19" s="99">
        <v>800</v>
      </c>
      <c r="AM19" s="98"/>
      <c r="AN19" s="102">
        <f t="shared" si="16"/>
        <v>2800</v>
      </c>
      <c r="AO19" s="99">
        <v>800</v>
      </c>
      <c r="AP19" s="114"/>
      <c r="AQ19" s="102">
        <f t="shared" si="17"/>
        <v>3600</v>
      </c>
      <c r="AR19" s="99">
        <v>800</v>
      </c>
      <c r="AS19" s="114">
        <f>5000+3000</f>
        <v>8000</v>
      </c>
      <c r="AT19" s="102">
        <f t="shared" si="18"/>
        <v>-3600</v>
      </c>
    </row>
    <row r="20" spans="1:46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INT(($H$325-G20)/30)</f>
        <v>31</v>
      </c>
      <c r="I20" s="1">
        <f t="shared" si="2"/>
        <v>31000</v>
      </c>
      <c r="J20" s="17">
        <v>11000</v>
      </c>
      <c r="K20" s="17"/>
      <c r="L20" s="18">
        <f t="shared" si="3"/>
        <v>20000</v>
      </c>
      <c r="M20" s="22"/>
      <c r="N20" s="22"/>
      <c r="O20" s="22">
        <v>3000</v>
      </c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5"/>
        <v>3000</v>
      </c>
      <c r="Z20" s="96">
        <v>12</v>
      </c>
      <c r="AA20" s="96">
        <f t="shared" si="6"/>
        <v>9600</v>
      </c>
      <c r="AB20" s="96">
        <f t="shared" si="7"/>
        <v>26600</v>
      </c>
      <c r="AC20" s="99">
        <v>800</v>
      </c>
      <c r="AD20" s="98"/>
      <c r="AE20" s="102">
        <f t="shared" si="8"/>
        <v>27400</v>
      </c>
      <c r="AF20" s="99">
        <v>800</v>
      </c>
      <c r="AG20" s="98"/>
      <c r="AH20" s="102">
        <f t="shared" si="14"/>
        <v>28200</v>
      </c>
      <c r="AI20" s="99">
        <v>800</v>
      </c>
      <c r="AJ20" s="98"/>
      <c r="AK20" s="102">
        <f t="shared" si="15"/>
        <v>29000</v>
      </c>
      <c r="AL20" s="99">
        <v>800</v>
      </c>
      <c r="AM20" s="98"/>
      <c r="AN20" s="102">
        <f t="shared" si="16"/>
        <v>29800</v>
      </c>
      <c r="AO20" s="99">
        <v>800</v>
      </c>
      <c r="AP20" s="114"/>
      <c r="AQ20" s="102">
        <f t="shared" si="17"/>
        <v>30600</v>
      </c>
      <c r="AR20" s="99">
        <v>800</v>
      </c>
      <c r="AS20" s="114"/>
      <c r="AT20" s="102">
        <f t="shared" si="18"/>
        <v>31400</v>
      </c>
    </row>
    <row r="21" spans="1:46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INT(($H$325-G21)/30)</f>
        <v>48</v>
      </c>
      <c r="I21" s="1">
        <f t="shared" si="2"/>
        <v>48000</v>
      </c>
      <c r="J21" s="17">
        <f>11500+24500</f>
        <v>36000</v>
      </c>
      <c r="K21" s="17"/>
      <c r="L21" s="18">
        <f t="shared" si="3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5"/>
        <v>0</v>
      </c>
      <c r="Z21" s="96">
        <v>12</v>
      </c>
      <c r="AA21" s="96">
        <f t="shared" si="6"/>
        <v>9600</v>
      </c>
      <c r="AB21" s="96">
        <f t="shared" si="7"/>
        <v>21600</v>
      </c>
      <c r="AC21" s="99">
        <v>800</v>
      </c>
      <c r="AD21" s="98"/>
      <c r="AE21" s="102">
        <f t="shared" si="8"/>
        <v>22400</v>
      </c>
      <c r="AF21" s="99">
        <v>800</v>
      </c>
      <c r="AG21" s="98"/>
      <c r="AH21" s="102">
        <f t="shared" si="14"/>
        <v>23200</v>
      </c>
      <c r="AI21" s="99">
        <v>800</v>
      </c>
      <c r="AJ21" s="98"/>
      <c r="AK21" s="102">
        <f t="shared" si="15"/>
        <v>24000</v>
      </c>
      <c r="AL21" s="99">
        <v>800</v>
      </c>
      <c r="AM21" s="98"/>
      <c r="AN21" s="102">
        <f t="shared" si="16"/>
        <v>24800</v>
      </c>
      <c r="AO21" s="99">
        <v>800</v>
      </c>
      <c r="AP21" s="114"/>
      <c r="AQ21" s="102">
        <f t="shared" si="17"/>
        <v>25600</v>
      </c>
      <c r="AR21" s="99">
        <v>800</v>
      </c>
      <c r="AS21" s="114"/>
      <c r="AT21" s="102">
        <f t="shared" si="18"/>
        <v>26400</v>
      </c>
    </row>
    <row r="22" spans="1:46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18">
        <f t="shared" si="3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5"/>
        <v>0</v>
      </c>
      <c r="Z22" s="96">
        <v>12</v>
      </c>
      <c r="AA22" s="96">
        <f t="shared" si="6"/>
        <v>9600</v>
      </c>
      <c r="AB22" s="96">
        <f t="shared" si="7"/>
        <v>9600</v>
      </c>
      <c r="AC22" s="99">
        <v>800</v>
      </c>
      <c r="AD22" s="98"/>
      <c r="AE22" s="102">
        <f t="shared" si="8"/>
        <v>10400</v>
      </c>
      <c r="AF22" s="99">
        <v>800</v>
      </c>
      <c r="AG22" s="98"/>
      <c r="AH22" s="102">
        <f t="shared" si="14"/>
        <v>11200</v>
      </c>
      <c r="AI22" s="99">
        <v>800</v>
      </c>
      <c r="AJ22" s="98"/>
      <c r="AK22" s="102">
        <f t="shared" si="15"/>
        <v>12000</v>
      </c>
      <c r="AL22" s="99">
        <v>800</v>
      </c>
      <c r="AM22" s="98"/>
      <c r="AN22" s="102">
        <f t="shared" si="16"/>
        <v>12800</v>
      </c>
      <c r="AO22" s="99">
        <v>800</v>
      </c>
      <c r="AP22" s="114"/>
      <c r="AQ22" s="102">
        <f t="shared" si="17"/>
        <v>13600</v>
      </c>
      <c r="AR22" s="99">
        <v>800</v>
      </c>
      <c r="AS22" s="114"/>
      <c r="AT22" s="102">
        <f t="shared" si="18"/>
        <v>14400</v>
      </c>
    </row>
    <row r="23" spans="1:46" ht="25.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2" t="s">
        <v>20</v>
      </c>
      <c r="E23" s="1" t="s">
        <v>337</v>
      </c>
      <c r="F23" s="16">
        <v>41604</v>
      </c>
      <c r="G23" s="16">
        <v>41609</v>
      </c>
      <c r="H23" s="17">
        <f t="shared" ref="H23:H54" si="19">INT(($H$325-G23)/30)</f>
        <v>25</v>
      </c>
      <c r="I23" s="1">
        <f t="shared" si="2"/>
        <v>25000</v>
      </c>
      <c r="J23" s="17">
        <f>1000</f>
        <v>1000</v>
      </c>
      <c r="K23" s="17"/>
      <c r="L23" s="18">
        <f t="shared" si="3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5"/>
        <v>0</v>
      </c>
      <c r="Z23" s="96">
        <v>12</v>
      </c>
      <c r="AA23" s="96">
        <f t="shared" si="6"/>
        <v>9600</v>
      </c>
      <c r="AB23" s="96">
        <f t="shared" si="7"/>
        <v>33600</v>
      </c>
      <c r="AC23" s="99">
        <v>800</v>
      </c>
      <c r="AD23" s="98"/>
      <c r="AE23" s="102">
        <f t="shared" si="8"/>
        <v>34400</v>
      </c>
      <c r="AF23" s="99">
        <v>800</v>
      </c>
      <c r="AG23" s="98"/>
      <c r="AH23" s="102">
        <f t="shared" si="14"/>
        <v>35200</v>
      </c>
      <c r="AI23" s="99">
        <v>800</v>
      </c>
      <c r="AJ23" s="98">
        <v>15000</v>
      </c>
      <c r="AK23" s="102">
        <f t="shared" si="15"/>
        <v>21000</v>
      </c>
      <c r="AL23" s="99">
        <v>800</v>
      </c>
      <c r="AM23" s="98"/>
      <c r="AN23" s="102">
        <f t="shared" si="16"/>
        <v>21800</v>
      </c>
      <c r="AO23" s="99">
        <v>800</v>
      </c>
      <c r="AP23" s="114"/>
      <c r="AQ23" s="102">
        <f t="shared" si="17"/>
        <v>22600</v>
      </c>
      <c r="AR23" s="99">
        <v>800</v>
      </c>
      <c r="AS23" s="114"/>
      <c r="AT23" s="102">
        <f t="shared" si="18"/>
        <v>23400</v>
      </c>
    </row>
    <row r="24" spans="1:46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19"/>
        <v>52</v>
      </c>
      <c r="I24" s="1">
        <f t="shared" si="2"/>
        <v>52000</v>
      </c>
      <c r="J24" s="17">
        <f>19000+1500+2500+23000</f>
        <v>46000</v>
      </c>
      <c r="K24" s="17"/>
      <c r="L24" s="18">
        <f t="shared" si="3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84"/>
      <c r="X24" s="22"/>
      <c r="Y24" s="18">
        <f t="shared" si="5"/>
        <v>0</v>
      </c>
      <c r="Z24" s="96">
        <v>12</v>
      </c>
      <c r="AA24" s="96">
        <f t="shared" si="6"/>
        <v>9600</v>
      </c>
      <c r="AB24" s="96">
        <f t="shared" si="7"/>
        <v>15600</v>
      </c>
      <c r="AC24" s="99">
        <v>800</v>
      </c>
      <c r="AD24" s="98"/>
      <c r="AE24" s="102">
        <f t="shared" si="8"/>
        <v>16400</v>
      </c>
      <c r="AF24" s="99">
        <v>800</v>
      </c>
      <c r="AG24" s="98"/>
      <c r="AH24" s="102">
        <f t="shared" si="14"/>
        <v>17200</v>
      </c>
      <c r="AI24" s="99">
        <v>800</v>
      </c>
      <c r="AJ24" s="98"/>
      <c r="AK24" s="102">
        <f t="shared" si="15"/>
        <v>18000</v>
      </c>
      <c r="AL24" s="99">
        <v>800</v>
      </c>
      <c r="AM24" s="98"/>
      <c r="AN24" s="102">
        <f t="shared" si="16"/>
        <v>18800</v>
      </c>
      <c r="AO24" s="99">
        <v>800</v>
      </c>
      <c r="AP24" s="114"/>
      <c r="AQ24" s="102">
        <f t="shared" si="17"/>
        <v>19600</v>
      </c>
      <c r="AR24" s="99">
        <v>800</v>
      </c>
      <c r="AS24" s="114"/>
      <c r="AT24" s="102">
        <f t="shared" si="18"/>
        <v>20400</v>
      </c>
    </row>
    <row r="25" spans="1:46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19"/>
        <v>13</v>
      </c>
      <c r="I25" s="1">
        <f t="shared" si="2"/>
        <v>13000</v>
      </c>
      <c r="J25" s="17">
        <v>8000</v>
      </c>
      <c r="K25" s="17"/>
      <c r="L25" s="18">
        <f t="shared" si="3"/>
        <v>5000</v>
      </c>
      <c r="M25" s="22"/>
      <c r="N25" s="22"/>
      <c r="O25" s="22"/>
      <c r="P25" s="22"/>
      <c r="Q25" s="22"/>
      <c r="R25" s="22">
        <v>3000</v>
      </c>
      <c r="S25" s="22"/>
      <c r="T25" s="22"/>
      <c r="U25" s="22">
        <v>3000</v>
      </c>
      <c r="V25" s="22"/>
      <c r="W25" s="84">
        <v>3000</v>
      </c>
      <c r="X25" s="22"/>
      <c r="Y25" s="18">
        <f t="shared" si="5"/>
        <v>9000</v>
      </c>
      <c r="Z25" s="96">
        <v>12</v>
      </c>
      <c r="AA25" s="96">
        <f t="shared" si="6"/>
        <v>9600</v>
      </c>
      <c r="AB25" s="96">
        <f t="shared" si="7"/>
        <v>5600</v>
      </c>
      <c r="AC25" s="99">
        <v>800</v>
      </c>
      <c r="AD25" s="98"/>
      <c r="AE25" s="102">
        <f t="shared" si="8"/>
        <v>6400</v>
      </c>
      <c r="AF25" s="99">
        <v>800</v>
      </c>
      <c r="AG25" s="98"/>
      <c r="AH25" s="102">
        <f t="shared" si="14"/>
        <v>7200</v>
      </c>
      <c r="AI25" s="99">
        <v>800</v>
      </c>
      <c r="AJ25" s="98"/>
      <c r="AK25" s="102">
        <f t="shared" si="15"/>
        <v>8000</v>
      </c>
      <c r="AL25" s="99">
        <v>800</v>
      </c>
      <c r="AM25" s="98"/>
      <c r="AN25" s="102">
        <f t="shared" si="16"/>
        <v>8800</v>
      </c>
      <c r="AO25" s="99">
        <v>800</v>
      </c>
      <c r="AP25" s="114"/>
      <c r="AQ25" s="102">
        <f t="shared" si="17"/>
        <v>9600</v>
      </c>
      <c r="AR25" s="99">
        <v>800</v>
      </c>
      <c r="AS25" s="114"/>
      <c r="AT25" s="102">
        <f t="shared" si="18"/>
        <v>10400</v>
      </c>
    </row>
    <row r="26" spans="1:46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19"/>
        <v>32</v>
      </c>
      <c r="I26" s="1">
        <f t="shared" si="2"/>
        <v>32000</v>
      </c>
      <c r="J26" s="17">
        <v>9000</v>
      </c>
      <c r="K26" s="17"/>
      <c r="L26" s="18">
        <f t="shared" si="3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5"/>
        <v>0</v>
      </c>
      <c r="Z26" s="96">
        <v>12</v>
      </c>
      <c r="AA26" s="96">
        <f t="shared" si="6"/>
        <v>9600</v>
      </c>
      <c r="AB26" s="96">
        <f t="shared" si="7"/>
        <v>32600</v>
      </c>
      <c r="AC26" s="99">
        <v>800</v>
      </c>
      <c r="AD26" s="98"/>
      <c r="AE26" s="102">
        <f t="shared" si="8"/>
        <v>33400</v>
      </c>
      <c r="AF26" s="99">
        <v>800</v>
      </c>
      <c r="AG26" s="98"/>
      <c r="AH26" s="102">
        <f t="shared" si="14"/>
        <v>34200</v>
      </c>
      <c r="AI26" s="99">
        <v>800</v>
      </c>
      <c r="AJ26" s="98"/>
      <c r="AK26" s="102">
        <f t="shared" si="15"/>
        <v>35000</v>
      </c>
      <c r="AL26" s="99">
        <v>800</v>
      </c>
      <c r="AM26" s="98"/>
      <c r="AN26" s="102">
        <f t="shared" si="16"/>
        <v>35800</v>
      </c>
      <c r="AO26" s="99">
        <v>800</v>
      </c>
      <c r="AP26" s="114"/>
      <c r="AQ26" s="102">
        <f t="shared" si="17"/>
        <v>36600</v>
      </c>
      <c r="AR26" s="99">
        <v>800</v>
      </c>
      <c r="AS26" s="114"/>
      <c r="AT26" s="102">
        <f t="shared" si="18"/>
        <v>37400</v>
      </c>
    </row>
    <row r="27" spans="1:46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2" t="s">
        <v>24</v>
      </c>
      <c r="E27" s="1" t="s">
        <v>341</v>
      </c>
      <c r="F27" s="16">
        <v>41008</v>
      </c>
      <c r="G27" s="16">
        <v>41000</v>
      </c>
      <c r="H27" s="17">
        <f t="shared" si="19"/>
        <v>45</v>
      </c>
      <c r="I27" s="1">
        <f t="shared" si="2"/>
        <v>45000</v>
      </c>
      <c r="J27" s="17">
        <v>1000</v>
      </c>
      <c r="K27" s="17"/>
      <c r="L27" s="18">
        <f t="shared" si="3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5"/>
        <v>0</v>
      </c>
      <c r="Z27" s="96">
        <v>12</v>
      </c>
      <c r="AA27" s="96">
        <f t="shared" si="6"/>
        <v>9600</v>
      </c>
      <c r="AB27" s="96">
        <f t="shared" si="7"/>
        <v>53600</v>
      </c>
      <c r="AC27" s="99">
        <v>800</v>
      </c>
      <c r="AD27" s="98"/>
      <c r="AE27" s="102">
        <f t="shared" si="8"/>
        <v>54400</v>
      </c>
      <c r="AF27" s="99">
        <v>800</v>
      </c>
      <c r="AG27" s="98"/>
      <c r="AH27" s="102">
        <f t="shared" si="14"/>
        <v>55200</v>
      </c>
      <c r="AI27" s="99">
        <v>800</v>
      </c>
      <c r="AJ27" s="98"/>
      <c r="AK27" s="102">
        <f t="shared" si="15"/>
        <v>56000</v>
      </c>
      <c r="AL27" s="99">
        <v>800</v>
      </c>
      <c r="AM27" s="98"/>
      <c r="AN27" s="102">
        <f t="shared" si="16"/>
        <v>56800</v>
      </c>
      <c r="AO27" s="99">
        <v>800</v>
      </c>
      <c r="AP27" s="114"/>
      <c r="AQ27" s="102">
        <f t="shared" si="17"/>
        <v>57600</v>
      </c>
      <c r="AR27" s="99">
        <v>800</v>
      </c>
      <c r="AS27" s="114"/>
      <c r="AT27" s="102">
        <f t="shared" si="18"/>
        <v>58400</v>
      </c>
    </row>
    <row r="28" spans="1:46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89">
        <v>293</v>
      </c>
      <c r="D28" s="2" t="s">
        <v>25</v>
      </c>
      <c r="E28" s="1" t="s">
        <v>342</v>
      </c>
      <c r="F28" s="16">
        <v>41766</v>
      </c>
      <c r="G28" s="16">
        <v>41791</v>
      </c>
      <c r="H28" s="17">
        <f t="shared" si="19"/>
        <v>19</v>
      </c>
      <c r="I28" s="1">
        <f t="shared" si="2"/>
        <v>19000</v>
      </c>
      <c r="J28" s="17">
        <v>1000</v>
      </c>
      <c r="K28" s="17"/>
      <c r="L28" s="18">
        <f t="shared" si="3"/>
        <v>18000</v>
      </c>
      <c r="M28" s="22"/>
      <c r="N28" s="22"/>
      <c r="O28" s="22"/>
      <c r="P28" s="22"/>
      <c r="Q28" s="22"/>
      <c r="R28" s="22"/>
      <c r="S28" s="22"/>
      <c r="T28" s="22"/>
      <c r="U28" s="22">
        <v>10000</v>
      </c>
      <c r="V28" s="22"/>
      <c r="W28" s="22"/>
      <c r="X28" s="22"/>
      <c r="Y28" s="18">
        <f t="shared" si="5"/>
        <v>10000</v>
      </c>
      <c r="Z28" s="96">
        <v>12</v>
      </c>
      <c r="AA28" s="96">
        <f t="shared" si="6"/>
        <v>9600</v>
      </c>
      <c r="AB28" s="96">
        <f t="shared" si="7"/>
        <v>17600</v>
      </c>
      <c r="AC28" s="99">
        <v>800</v>
      </c>
      <c r="AD28" s="98">
        <v>15000</v>
      </c>
      <c r="AE28" s="102">
        <f t="shared" si="8"/>
        <v>3400</v>
      </c>
      <c r="AF28" s="99">
        <v>800</v>
      </c>
      <c r="AG28" s="98"/>
      <c r="AH28" s="102">
        <f t="shared" si="14"/>
        <v>4200</v>
      </c>
      <c r="AI28" s="99">
        <v>800</v>
      </c>
      <c r="AJ28" s="98"/>
      <c r="AK28" s="102">
        <f t="shared" si="15"/>
        <v>5000</v>
      </c>
      <c r="AL28" s="99">
        <v>800</v>
      </c>
      <c r="AM28" s="98"/>
      <c r="AN28" s="102">
        <f t="shared" si="16"/>
        <v>5800</v>
      </c>
      <c r="AO28" s="99">
        <v>800</v>
      </c>
      <c r="AP28" s="114"/>
      <c r="AQ28" s="102">
        <f t="shared" si="17"/>
        <v>6600</v>
      </c>
      <c r="AR28" s="99">
        <v>800</v>
      </c>
      <c r="AS28" s="114"/>
      <c r="AT28" s="102">
        <f t="shared" si="18"/>
        <v>7400</v>
      </c>
    </row>
    <row r="29" spans="1:46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19"/>
        <v>52</v>
      </c>
      <c r="I29" s="1">
        <f t="shared" si="2"/>
        <v>52000</v>
      </c>
      <c r="J29" s="17">
        <f>50000+1000</f>
        <v>51000</v>
      </c>
      <c r="K29" s="17">
        <v>1000</v>
      </c>
      <c r="L29" s="18">
        <f t="shared" si="3"/>
        <v>0</v>
      </c>
      <c r="M29" s="22"/>
      <c r="N29" s="22"/>
      <c r="O29" s="22">
        <v>3200</v>
      </c>
      <c r="P29" s="22"/>
      <c r="Q29" s="22">
        <v>800</v>
      </c>
      <c r="R29" s="22"/>
      <c r="S29" s="22"/>
      <c r="T29">
        <v>3200</v>
      </c>
      <c r="U29" s="22"/>
      <c r="V29" s="22">
        <v>800</v>
      </c>
      <c r="W29" s="84">
        <v>1600</v>
      </c>
      <c r="X29" s="22"/>
      <c r="Y29" s="18">
        <f t="shared" si="5"/>
        <v>9600</v>
      </c>
      <c r="Z29" s="96">
        <v>12</v>
      </c>
      <c r="AA29" s="96">
        <f t="shared" si="6"/>
        <v>9600</v>
      </c>
      <c r="AB29" s="96">
        <f t="shared" si="7"/>
        <v>0</v>
      </c>
      <c r="AC29" s="99">
        <v>800</v>
      </c>
      <c r="AD29" s="98"/>
      <c r="AE29" s="102">
        <f t="shared" si="8"/>
        <v>800</v>
      </c>
      <c r="AF29" s="99">
        <v>800</v>
      </c>
      <c r="AG29" s="98">
        <v>1600</v>
      </c>
      <c r="AH29" s="102">
        <f t="shared" si="14"/>
        <v>0</v>
      </c>
      <c r="AI29" s="99">
        <v>800</v>
      </c>
      <c r="AJ29" s="98"/>
      <c r="AK29" s="102">
        <f t="shared" si="15"/>
        <v>800</v>
      </c>
      <c r="AL29" s="99">
        <v>800</v>
      </c>
      <c r="AM29" s="98">
        <v>1600</v>
      </c>
      <c r="AN29" s="102">
        <f t="shared" si="16"/>
        <v>0</v>
      </c>
      <c r="AO29" s="99">
        <v>800</v>
      </c>
      <c r="AP29" s="114"/>
      <c r="AQ29" s="102">
        <f t="shared" si="17"/>
        <v>800</v>
      </c>
      <c r="AR29" s="99">
        <v>800</v>
      </c>
      <c r="AS29" s="114">
        <v>1600</v>
      </c>
      <c r="AT29" s="102">
        <f t="shared" si="18"/>
        <v>0</v>
      </c>
    </row>
    <row r="30" spans="1:46" s="80" customFormat="1" ht="25.5">
      <c r="A30" s="103">
        <f>VLOOKUP(B30,справочник!$B$2:$E$322,4,FALSE)</f>
        <v>52</v>
      </c>
      <c r="B30" s="80" t="str">
        <f t="shared" si="4"/>
        <v>54Бельская Светлана Александровна (Владимир)</v>
      </c>
      <c r="C30" s="5">
        <v>54</v>
      </c>
      <c r="D30" s="7" t="s">
        <v>27</v>
      </c>
      <c r="E30" s="5" t="s">
        <v>344</v>
      </c>
      <c r="F30" s="19">
        <v>41016</v>
      </c>
      <c r="G30" s="19">
        <v>41000</v>
      </c>
      <c r="H30" s="20">
        <f t="shared" si="19"/>
        <v>45</v>
      </c>
      <c r="I30" s="5">
        <f t="shared" si="2"/>
        <v>45000</v>
      </c>
      <c r="J30" s="20">
        <v>40000</v>
      </c>
      <c r="K30" s="20">
        <v>5000</v>
      </c>
      <c r="L30" s="21">
        <v>5000</v>
      </c>
      <c r="M30" s="21">
        <v>3000</v>
      </c>
      <c r="N30" s="21">
        <v>2000</v>
      </c>
      <c r="O30" s="21">
        <v>800</v>
      </c>
      <c r="P30" s="21"/>
      <c r="Q30" s="21">
        <v>1600</v>
      </c>
      <c r="R30" s="21"/>
      <c r="S30" s="21"/>
      <c r="T30" s="112">
        <v>1600</v>
      </c>
      <c r="U30" s="21"/>
      <c r="V30" s="21">
        <v>800</v>
      </c>
      <c r="W30" s="21">
        <v>800</v>
      </c>
      <c r="X30" s="21"/>
      <c r="Y30" s="21">
        <f>SUM(M30:X30)</f>
        <v>10600</v>
      </c>
      <c r="Z30" s="104">
        <v>12</v>
      </c>
      <c r="AA30" s="104">
        <f t="shared" si="6"/>
        <v>9600</v>
      </c>
      <c r="AB30" s="135">
        <f>SUM(L30:L31)+SUM(AA30:AA31)-SUM(Y30:Y31)</f>
        <v>-1600</v>
      </c>
      <c r="AC30" s="104">
        <v>800</v>
      </c>
      <c r="AD30" s="105"/>
      <c r="AE30" s="106">
        <f t="shared" si="8"/>
        <v>-800</v>
      </c>
      <c r="AF30" s="104">
        <v>800</v>
      </c>
      <c r="AG30" s="105"/>
      <c r="AH30" s="130">
        <f t="shared" si="14"/>
        <v>0</v>
      </c>
      <c r="AI30" s="104">
        <v>800</v>
      </c>
      <c r="AJ30" s="105">
        <f>800+1600</f>
        <v>2400</v>
      </c>
      <c r="AK30" s="130">
        <f t="shared" si="15"/>
        <v>-1600</v>
      </c>
      <c r="AL30" s="104">
        <v>800</v>
      </c>
      <c r="AM30" s="105"/>
      <c r="AN30" s="130">
        <f t="shared" si="16"/>
        <v>-800</v>
      </c>
      <c r="AO30" s="104">
        <v>800</v>
      </c>
      <c r="AP30" s="105"/>
      <c r="AQ30" s="130">
        <f t="shared" si="17"/>
        <v>0</v>
      </c>
      <c r="AR30" s="104">
        <v>800</v>
      </c>
      <c r="AS30" s="105"/>
      <c r="AT30" s="130">
        <f t="shared" si="18"/>
        <v>800</v>
      </c>
    </row>
    <row r="31" spans="1:46" s="80" customFormat="1" ht="25.5">
      <c r="A31" s="103">
        <f>VLOOKUP(B31,справочник!$B$2:$E$322,4,FALSE)</f>
        <v>51</v>
      </c>
      <c r="B31" s="80" t="str">
        <f t="shared" si="4"/>
        <v>53Бельский Владимир Владимирович (Светлана)</v>
      </c>
      <c r="C31" s="5">
        <v>53</v>
      </c>
      <c r="D31" s="7" t="s">
        <v>28</v>
      </c>
      <c r="E31" s="5" t="s">
        <v>345</v>
      </c>
      <c r="F31" s="19">
        <v>41016</v>
      </c>
      <c r="G31" s="19">
        <v>41000</v>
      </c>
      <c r="H31" s="20">
        <f t="shared" si="19"/>
        <v>45</v>
      </c>
      <c r="I31" s="5">
        <f t="shared" si="2"/>
        <v>45000</v>
      </c>
      <c r="J31" s="20">
        <v>28000</v>
      </c>
      <c r="K31" s="20">
        <v>7000</v>
      </c>
      <c r="L31" s="21">
        <v>5000</v>
      </c>
      <c r="M31" s="21">
        <v>3000</v>
      </c>
      <c r="N31" s="21">
        <v>2000</v>
      </c>
      <c r="O31" s="21">
        <v>800</v>
      </c>
      <c r="P31" s="21"/>
      <c r="Q31" s="21">
        <v>1600</v>
      </c>
      <c r="R31" s="21"/>
      <c r="S31" s="21"/>
      <c r="T31" s="112">
        <v>1600</v>
      </c>
      <c r="U31" s="21">
        <v>800</v>
      </c>
      <c r="V31" s="21"/>
      <c r="W31" s="21">
        <v>800</v>
      </c>
      <c r="X31" s="21"/>
      <c r="Y31" s="21">
        <f t="shared" si="5"/>
        <v>10600</v>
      </c>
      <c r="Z31" s="104">
        <v>0</v>
      </c>
      <c r="AA31" s="104">
        <f t="shared" si="6"/>
        <v>0</v>
      </c>
      <c r="AB31" s="136"/>
      <c r="AC31" s="104">
        <v>0</v>
      </c>
      <c r="AD31" s="105"/>
      <c r="AE31" s="106">
        <f t="shared" si="8"/>
        <v>0</v>
      </c>
      <c r="AF31" s="104">
        <v>0</v>
      </c>
      <c r="AG31" s="105"/>
      <c r="AH31" s="131"/>
      <c r="AI31" s="104">
        <v>0</v>
      </c>
      <c r="AJ31" s="105"/>
      <c r="AK31" s="131"/>
      <c r="AL31" s="104">
        <v>0</v>
      </c>
      <c r="AM31" s="105"/>
      <c r="AN31" s="131"/>
      <c r="AO31" s="104">
        <v>0</v>
      </c>
      <c r="AP31" s="105"/>
      <c r="AQ31" s="131"/>
      <c r="AR31" s="104">
        <v>0</v>
      </c>
      <c r="AS31" s="105"/>
      <c r="AT31" s="131"/>
    </row>
    <row r="32" spans="1:46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si="19"/>
        <v>38</v>
      </c>
      <c r="I32" s="1">
        <f t="shared" si="2"/>
        <v>38000</v>
      </c>
      <c r="J32" s="17">
        <v>28000</v>
      </c>
      <c r="K32" s="17"/>
      <c r="L32" s="18">
        <f t="shared" ref="L32:L95" si="20">I32-J32-K32</f>
        <v>10000</v>
      </c>
      <c r="M32" s="22"/>
      <c r="N32" s="22"/>
      <c r="O32" s="22"/>
      <c r="P32" s="22"/>
      <c r="Q32" s="22"/>
      <c r="R32" s="22"/>
      <c r="S32" s="22">
        <v>6000</v>
      </c>
      <c r="T32">
        <v>4800</v>
      </c>
      <c r="U32" s="22"/>
      <c r="V32" s="22"/>
      <c r="W32" s="22"/>
      <c r="X32" s="22">
        <v>4800</v>
      </c>
      <c r="Y32" s="18">
        <f t="shared" si="5"/>
        <v>15600</v>
      </c>
      <c r="Z32" s="96">
        <v>12</v>
      </c>
      <c r="AA32" s="96">
        <f t="shared" si="6"/>
        <v>9600</v>
      </c>
      <c r="AB32" s="96">
        <f t="shared" si="7"/>
        <v>4000</v>
      </c>
      <c r="AC32" s="99">
        <v>800</v>
      </c>
      <c r="AD32" s="98"/>
      <c r="AE32" s="102">
        <f t="shared" si="8"/>
        <v>4800</v>
      </c>
      <c r="AF32" s="99">
        <v>800</v>
      </c>
      <c r="AG32" s="98"/>
      <c r="AH32" s="102">
        <f t="shared" si="14"/>
        <v>5600</v>
      </c>
      <c r="AI32" s="99">
        <v>800</v>
      </c>
      <c r="AJ32" s="98"/>
      <c r="AK32" s="102">
        <f t="shared" ref="AK32:AK37" si="21">AH32+AI32-AJ32</f>
        <v>6400</v>
      </c>
      <c r="AL32" s="99">
        <v>800</v>
      </c>
      <c r="AM32" s="98"/>
      <c r="AN32" s="102">
        <f t="shared" ref="AN32:AN37" si="22">AK32+AL32-AM32</f>
        <v>7200</v>
      </c>
      <c r="AO32" s="99">
        <v>800</v>
      </c>
      <c r="AP32" s="114"/>
      <c r="AQ32" s="102">
        <f t="shared" ref="AQ32:AQ37" si="23">AN32+AO32-AP32</f>
        <v>8000</v>
      </c>
      <c r="AR32" s="99">
        <v>800</v>
      </c>
      <c r="AS32" s="114"/>
      <c r="AT32" s="102">
        <f t="shared" ref="AT32:AT37" si="24">AQ32+AR32-AS32</f>
        <v>8800</v>
      </c>
    </row>
    <row r="33" spans="1:46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2" t="s">
        <v>30</v>
      </c>
      <c r="E33" s="1" t="s">
        <v>347</v>
      </c>
      <c r="F33" s="16">
        <v>41204</v>
      </c>
      <c r="G33" s="16">
        <v>41214</v>
      </c>
      <c r="H33" s="17">
        <f t="shared" si="19"/>
        <v>38</v>
      </c>
      <c r="I33" s="1">
        <f t="shared" si="2"/>
        <v>38000</v>
      </c>
      <c r="J33" s="17">
        <v>26000</v>
      </c>
      <c r="K33" s="17"/>
      <c r="L33" s="18">
        <f t="shared" si="20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5"/>
        <v>0</v>
      </c>
      <c r="Z33" s="96">
        <v>12</v>
      </c>
      <c r="AA33" s="96">
        <f t="shared" si="6"/>
        <v>9600</v>
      </c>
      <c r="AB33" s="96">
        <f t="shared" si="7"/>
        <v>21600</v>
      </c>
      <c r="AC33" s="99">
        <v>800</v>
      </c>
      <c r="AD33" s="98"/>
      <c r="AE33" s="102">
        <f t="shared" si="8"/>
        <v>22400</v>
      </c>
      <c r="AF33" s="99">
        <v>800</v>
      </c>
      <c r="AG33" s="98"/>
      <c r="AH33" s="102">
        <f t="shared" si="14"/>
        <v>23200</v>
      </c>
      <c r="AI33" s="99">
        <v>800</v>
      </c>
      <c r="AJ33" s="98"/>
      <c r="AK33" s="102">
        <f t="shared" si="21"/>
        <v>24000</v>
      </c>
      <c r="AL33" s="99">
        <v>800</v>
      </c>
      <c r="AM33" s="98"/>
      <c r="AN33" s="102">
        <f t="shared" si="22"/>
        <v>24800</v>
      </c>
      <c r="AO33" s="99">
        <v>800</v>
      </c>
      <c r="AP33" s="114"/>
      <c r="AQ33" s="102">
        <f t="shared" si="23"/>
        <v>25600</v>
      </c>
      <c r="AR33" s="99">
        <v>800</v>
      </c>
      <c r="AS33" s="114"/>
      <c r="AT33" s="102">
        <f t="shared" si="24"/>
        <v>26400</v>
      </c>
    </row>
    <row r="34" spans="1:46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2" t="s">
        <v>31</v>
      </c>
      <c r="E34" s="1" t="s">
        <v>348</v>
      </c>
      <c r="F34" s="16">
        <v>41262</v>
      </c>
      <c r="G34" s="16">
        <v>41275</v>
      </c>
      <c r="H34" s="17">
        <f t="shared" si="19"/>
        <v>36</v>
      </c>
      <c r="I34" s="1">
        <f t="shared" si="2"/>
        <v>36000</v>
      </c>
      <c r="J34" s="17">
        <v>1000</v>
      </c>
      <c r="K34" s="17"/>
      <c r="L34" s="18">
        <f t="shared" si="20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5"/>
        <v>0</v>
      </c>
      <c r="Z34" s="96">
        <v>12</v>
      </c>
      <c r="AA34" s="96">
        <f t="shared" si="6"/>
        <v>9600</v>
      </c>
      <c r="AB34" s="96">
        <f t="shared" si="7"/>
        <v>44600</v>
      </c>
      <c r="AC34" s="99">
        <v>800</v>
      </c>
      <c r="AD34" s="98"/>
      <c r="AE34" s="102">
        <f t="shared" si="8"/>
        <v>45400</v>
      </c>
      <c r="AF34" s="99">
        <v>800</v>
      </c>
      <c r="AG34" s="98"/>
      <c r="AH34" s="102">
        <f t="shared" si="14"/>
        <v>46200</v>
      </c>
      <c r="AI34" s="99">
        <v>800</v>
      </c>
      <c r="AJ34" s="98"/>
      <c r="AK34" s="102">
        <f t="shared" si="21"/>
        <v>47000</v>
      </c>
      <c r="AL34" s="99">
        <v>800</v>
      </c>
      <c r="AM34" s="98"/>
      <c r="AN34" s="102">
        <f t="shared" si="22"/>
        <v>47800</v>
      </c>
      <c r="AO34" s="99">
        <v>800</v>
      </c>
      <c r="AP34" s="114"/>
      <c r="AQ34" s="102">
        <f t="shared" si="23"/>
        <v>48600</v>
      </c>
      <c r="AR34" s="99">
        <v>800</v>
      </c>
      <c r="AS34" s="114">
        <v>4800</v>
      </c>
      <c r="AT34" s="102">
        <f t="shared" si="24"/>
        <v>44600</v>
      </c>
    </row>
    <row r="35" spans="1:46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19"/>
        <v>41</v>
      </c>
      <c r="I35" s="1">
        <f t="shared" si="2"/>
        <v>41000</v>
      </c>
      <c r="J35" s="17">
        <v>17000</v>
      </c>
      <c r="K35" s="17"/>
      <c r="L35" s="18">
        <f t="shared" si="20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5"/>
        <v>0</v>
      </c>
      <c r="Z35" s="96">
        <v>12</v>
      </c>
      <c r="AA35" s="96">
        <f t="shared" si="6"/>
        <v>9600</v>
      </c>
      <c r="AB35" s="96">
        <f t="shared" si="7"/>
        <v>33600</v>
      </c>
      <c r="AC35" s="99">
        <v>800</v>
      </c>
      <c r="AD35" s="98"/>
      <c r="AE35" s="102">
        <f t="shared" si="8"/>
        <v>34400</v>
      </c>
      <c r="AF35" s="99">
        <v>800</v>
      </c>
      <c r="AG35" s="98"/>
      <c r="AH35" s="102">
        <f t="shared" si="14"/>
        <v>35200</v>
      </c>
      <c r="AI35" s="99">
        <v>800</v>
      </c>
      <c r="AJ35" s="98"/>
      <c r="AK35" s="102">
        <f t="shared" si="21"/>
        <v>36000</v>
      </c>
      <c r="AL35" s="99">
        <v>800</v>
      </c>
      <c r="AM35" s="98"/>
      <c r="AN35" s="102">
        <f t="shared" si="22"/>
        <v>36800</v>
      </c>
      <c r="AO35" s="99">
        <v>800</v>
      </c>
      <c r="AP35" s="114"/>
      <c r="AQ35" s="102">
        <f t="shared" si="23"/>
        <v>37600</v>
      </c>
      <c r="AR35" s="99">
        <v>800</v>
      </c>
      <c r="AS35" s="114"/>
      <c r="AT35" s="102">
        <f t="shared" si="24"/>
        <v>38400</v>
      </c>
    </row>
    <row r="36" spans="1:46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19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18">
        <f t="shared" si="20"/>
        <v>0</v>
      </c>
      <c r="M36" s="22"/>
      <c r="N36" s="22"/>
      <c r="O36" s="22"/>
      <c r="P36" s="22"/>
      <c r="Q36" s="22"/>
      <c r="R36" s="22"/>
      <c r="S36" s="22">
        <v>6400</v>
      </c>
      <c r="T36" s="22"/>
      <c r="U36" s="22"/>
      <c r="V36" s="22"/>
      <c r="W36" s="22"/>
      <c r="X36" s="22"/>
      <c r="Y36" s="18">
        <f t="shared" si="5"/>
        <v>6400</v>
      </c>
      <c r="Z36" s="96">
        <v>12</v>
      </c>
      <c r="AA36" s="96">
        <f t="shared" si="6"/>
        <v>9600</v>
      </c>
      <c r="AB36" s="96">
        <f t="shared" si="7"/>
        <v>3200</v>
      </c>
      <c r="AC36" s="99">
        <v>800</v>
      </c>
      <c r="AD36" s="98"/>
      <c r="AE36" s="102">
        <f t="shared" si="8"/>
        <v>4000</v>
      </c>
      <c r="AF36" s="99">
        <v>800</v>
      </c>
      <c r="AG36" s="98"/>
      <c r="AH36" s="102">
        <f t="shared" si="14"/>
        <v>4800</v>
      </c>
      <c r="AI36" s="99">
        <v>800</v>
      </c>
      <c r="AJ36" s="98"/>
      <c r="AK36" s="102">
        <f t="shared" si="21"/>
        <v>5600</v>
      </c>
      <c r="AL36" s="99">
        <v>800</v>
      </c>
      <c r="AM36" s="98"/>
      <c r="AN36" s="102">
        <f t="shared" si="22"/>
        <v>6400</v>
      </c>
      <c r="AO36" s="99">
        <v>800</v>
      </c>
      <c r="AP36" s="114"/>
      <c r="AQ36" s="102">
        <f t="shared" si="23"/>
        <v>7200</v>
      </c>
      <c r="AR36" s="99">
        <v>800</v>
      </c>
      <c r="AS36" s="114"/>
      <c r="AT36" s="102">
        <f t="shared" si="24"/>
        <v>8000</v>
      </c>
    </row>
    <row r="37" spans="1:46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19"/>
        <v>14</v>
      </c>
      <c r="I37" s="1">
        <f t="shared" si="2"/>
        <v>14000</v>
      </c>
      <c r="J37" s="17">
        <v>9000</v>
      </c>
      <c r="K37" s="17"/>
      <c r="L37" s="18">
        <f t="shared" si="20"/>
        <v>5000</v>
      </c>
      <c r="M37" s="22"/>
      <c r="N37" s="22"/>
      <c r="O37" s="22"/>
      <c r="P37" s="22"/>
      <c r="Q37" s="22"/>
      <c r="R37" s="22">
        <v>9000</v>
      </c>
      <c r="S37" s="22"/>
      <c r="T37" s="22"/>
      <c r="U37" s="22"/>
      <c r="V37" s="22"/>
      <c r="W37" s="22"/>
      <c r="X37" s="22"/>
      <c r="Y37" s="18">
        <f t="shared" si="5"/>
        <v>9000</v>
      </c>
      <c r="Z37" s="96">
        <v>12</v>
      </c>
      <c r="AA37" s="96">
        <f t="shared" si="6"/>
        <v>9600</v>
      </c>
      <c r="AB37" s="96">
        <f t="shared" si="7"/>
        <v>5600</v>
      </c>
      <c r="AC37" s="99">
        <v>800</v>
      </c>
      <c r="AD37" s="98"/>
      <c r="AE37" s="102">
        <f t="shared" si="8"/>
        <v>6400</v>
      </c>
      <c r="AF37" s="99">
        <v>800</v>
      </c>
      <c r="AG37" s="98"/>
      <c r="AH37" s="102">
        <f t="shared" si="14"/>
        <v>7200</v>
      </c>
      <c r="AI37" s="99">
        <v>800</v>
      </c>
      <c r="AJ37" s="98"/>
      <c r="AK37" s="102">
        <f t="shared" si="21"/>
        <v>8000</v>
      </c>
      <c r="AL37" s="99">
        <v>800</v>
      </c>
      <c r="AM37" s="98">
        <v>3500</v>
      </c>
      <c r="AN37" s="102">
        <f t="shared" si="22"/>
        <v>5300</v>
      </c>
      <c r="AO37" s="99">
        <v>800</v>
      </c>
      <c r="AP37" s="114"/>
      <c r="AQ37" s="102">
        <f t="shared" si="23"/>
        <v>6100</v>
      </c>
      <c r="AR37" s="99">
        <v>800</v>
      </c>
      <c r="AS37" s="114"/>
      <c r="AT37" s="102">
        <f t="shared" si="24"/>
        <v>6900</v>
      </c>
    </row>
    <row r="38" spans="1:46" s="80" customFormat="1">
      <c r="A38" s="103">
        <f>VLOOKUP(B38,справочник!$B$2:$E$322,4,FALSE)</f>
        <v>188</v>
      </c>
      <c r="B38" s="80" t="str">
        <f t="shared" si="4"/>
        <v>196Бондаренко Владимир Иванович</v>
      </c>
      <c r="C38" s="5">
        <v>196</v>
      </c>
      <c r="D38" s="7" t="s">
        <v>35</v>
      </c>
      <c r="E38" s="5" t="s">
        <v>352</v>
      </c>
      <c r="F38" s="19">
        <v>41674</v>
      </c>
      <c r="G38" s="19">
        <v>41699</v>
      </c>
      <c r="H38" s="20">
        <f t="shared" si="19"/>
        <v>22</v>
      </c>
      <c r="I38" s="5">
        <f t="shared" si="2"/>
        <v>22000</v>
      </c>
      <c r="J38" s="20">
        <v>10000</v>
      </c>
      <c r="K38" s="20"/>
      <c r="L38" s="21">
        <f t="shared" si="20"/>
        <v>12000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>
        <f t="shared" si="5"/>
        <v>0</v>
      </c>
      <c r="Z38" s="104">
        <v>12</v>
      </c>
      <c r="AA38" s="104">
        <f t="shared" si="6"/>
        <v>9600</v>
      </c>
      <c r="AB38" s="104">
        <f t="shared" si="7"/>
        <v>21600</v>
      </c>
      <c r="AC38" s="104">
        <v>800</v>
      </c>
      <c r="AD38" s="105"/>
      <c r="AE38" s="127">
        <f>SUM(AB38:AB39)+SUM(AC38:AC39)-SUM(AD38:AD39)</f>
        <v>44400</v>
      </c>
      <c r="AF38" s="104">
        <v>800</v>
      </c>
      <c r="AG38" s="105"/>
      <c r="AH38" s="127">
        <f>SUM(AE38:AE39)+SUM(AF38:AF39)-SUM(AG38:AG39)</f>
        <v>45200</v>
      </c>
      <c r="AI38" s="104">
        <v>800</v>
      </c>
      <c r="AJ38" s="105"/>
      <c r="AK38" s="127">
        <f>SUM(AH38:AH39)+SUM(AI38:AI39)-SUM(AJ38:AJ39)</f>
        <v>46000</v>
      </c>
      <c r="AL38" s="104">
        <v>800</v>
      </c>
      <c r="AM38" s="105"/>
      <c r="AN38" s="127">
        <f>SUM(AK38:AK39)+SUM(AL38:AL39)-SUM(AM38:AM39)</f>
        <v>14200</v>
      </c>
      <c r="AO38" s="104">
        <v>800</v>
      </c>
      <c r="AP38" s="105"/>
      <c r="AQ38" s="127">
        <f>SUM(AN38:AN39)+SUM(AO38:AO39)-SUM(AP38:AP39)</f>
        <v>15000</v>
      </c>
      <c r="AR38" s="104">
        <v>800</v>
      </c>
      <c r="AS38" s="105"/>
      <c r="AT38" s="127">
        <f>SUM(AQ38:AQ39)+SUM(AR38:AR39)-SUM(AS38:AS39)</f>
        <v>15800</v>
      </c>
    </row>
    <row r="39" spans="1:46" s="80" customFormat="1">
      <c r="A39" s="103">
        <f>VLOOKUP(B39,справочник!$B$2:$E$322,4,FALSE)</f>
        <v>188</v>
      </c>
      <c r="B39" s="80" t="str">
        <f t="shared" si="4"/>
        <v>197Бондаренко Владимир Иванович</v>
      </c>
      <c r="C39" s="5">
        <v>197</v>
      </c>
      <c r="D39" s="7" t="s">
        <v>35</v>
      </c>
      <c r="E39" s="5"/>
      <c r="F39" s="19">
        <v>41674</v>
      </c>
      <c r="G39" s="19">
        <v>41699</v>
      </c>
      <c r="H39" s="20">
        <f t="shared" si="19"/>
        <v>22</v>
      </c>
      <c r="I39" s="5">
        <f t="shared" si="2"/>
        <v>22000</v>
      </c>
      <c r="J39" s="20"/>
      <c r="K39" s="20"/>
      <c r="L39" s="21">
        <f t="shared" si="20"/>
        <v>22000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>
        <f t="shared" si="5"/>
        <v>0</v>
      </c>
      <c r="Z39" s="104">
        <v>0</v>
      </c>
      <c r="AA39" s="104">
        <f t="shared" si="6"/>
        <v>0</v>
      </c>
      <c r="AB39" s="104">
        <f t="shared" si="7"/>
        <v>22000</v>
      </c>
      <c r="AC39" s="104">
        <v>0</v>
      </c>
      <c r="AD39" s="105"/>
      <c r="AE39" s="129"/>
      <c r="AF39" s="104">
        <v>0</v>
      </c>
      <c r="AG39" s="105"/>
      <c r="AH39" s="129"/>
      <c r="AI39" s="104">
        <v>0</v>
      </c>
      <c r="AJ39" s="105"/>
      <c r="AK39" s="129"/>
      <c r="AL39" s="104">
        <v>0</v>
      </c>
      <c r="AM39" s="105">
        <v>32600</v>
      </c>
      <c r="AN39" s="129"/>
      <c r="AO39" s="104">
        <v>0</v>
      </c>
      <c r="AP39" s="105"/>
      <c r="AQ39" s="129"/>
      <c r="AR39" s="104">
        <v>0</v>
      </c>
      <c r="AS39" s="105"/>
      <c r="AT39" s="129"/>
    </row>
    <row r="40" spans="1:46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19"/>
        <v>16</v>
      </c>
      <c r="I40" s="1">
        <f t="shared" si="2"/>
        <v>16000</v>
      </c>
      <c r="J40" s="17">
        <v>13000</v>
      </c>
      <c r="K40" s="17">
        <v>3000</v>
      </c>
      <c r="L40" s="18">
        <f t="shared" si="20"/>
        <v>0</v>
      </c>
      <c r="M40" s="22"/>
      <c r="N40" s="22"/>
      <c r="O40" s="22">
        <v>3000</v>
      </c>
      <c r="P40" s="22"/>
      <c r="Q40" s="22"/>
      <c r="R40" s="22">
        <v>3000</v>
      </c>
      <c r="S40" s="22"/>
      <c r="T40" s="22"/>
      <c r="U40" s="22">
        <v>3000</v>
      </c>
      <c r="V40" s="22">
        <v>600</v>
      </c>
      <c r="W40" s="22"/>
      <c r="X40" s="22"/>
      <c r="Y40" s="18">
        <f t="shared" si="5"/>
        <v>9600</v>
      </c>
      <c r="Z40" s="96">
        <v>12</v>
      </c>
      <c r="AA40" s="96">
        <f t="shared" si="6"/>
        <v>9600</v>
      </c>
      <c r="AB40" s="96">
        <f t="shared" si="7"/>
        <v>0</v>
      </c>
      <c r="AC40" s="99">
        <v>800</v>
      </c>
      <c r="AD40" s="98"/>
      <c r="AE40" s="102">
        <f t="shared" si="8"/>
        <v>800</v>
      </c>
      <c r="AF40" s="99">
        <v>800</v>
      </c>
      <c r="AG40" s="98">
        <v>800</v>
      </c>
      <c r="AH40" s="102">
        <f t="shared" ref="AH40:AH44" si="25">AE40+AF40-AG40</f>
        <v>800</v>
      </c>
      <c r="AI40" s="99">
        <v>800</v>
      </c>
      <c r="AJ40" s="98">
        <v>800</v>
      </c>
      <c r="AK40" s="102">
        <f t="shared" ref="AK40:AK44" si="26">AH40+AI40-AJ40</f>
        <v>800</v>
      </c>
      <c r="AL40" s="99">
        <v>800</v>
      </c>
      <c r="AM40" s="98">
        <v>800</v>
      </c>
      <c r="AN40" s="102">
        <f t="shared" ref="AN40:AN44" si="27">AK40+AL40-AM40</f>
        <v>800</v>
      </c>
      <c r="AO40" s="99">
        <v>800</v>
      </c>
      <c r="AP40" s="114"/>
      <c r="AQ40" s="102">
        <f t="shared" ref="AQ40:AQ44" si="28">AN40+AO40-AP40</f>
        <v>1600</v>
      </c>
      <c r="AR40" s="99">
        <v>800</v>
      </c>
      <c r="AS40" s="114">
        <v>6100</v>
      </c>
      <c r="AT40" s="102">
        <f t="shared" ref="AT40:AT44" si="29">AQ40+AR40-AS40</f>
        <v>-3700</v>
      </c>
    </row>
    <row r="41" spans="1:46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19"/>
        <v>47</v>
      </c>
      <c r="I41" s="1">
        <f t="shared" si="2"/>
        <v>47000</v>
      </c>
      <c r="J41" s="17">
        <v>1000</v>
      </c>
      <c r="K41" s="17">
        <v>45000</v>
      </c>
      <c r="L41" s="18">
        <f t="shared" si="20"/>
        <v>1000</v>
      </c>
      <c r="M41" s="22"/>
      <c r="N41" s="22"/>
      <c r="O41" s="22"/>
      <c r="P41" s="22"/>
      <c r="Q41" s="22"/>
      <c r="R41" s="22"/>
      <c r="S41" s="22"/>
      <c r="T41" s="22"/>
      <c r="U41" s="22">
        <v>10000</v>
      </c>
      <c r="V41" s="22"/>
      <c r="W41" s="22"/>
      <c r="X41" s="22"/>
      <c r="Y41" s="18">
        <f t="shared" si="5"/>
        <v>10000</v>
      </c>
      <c r="Z41" s="96">
        <v>12</v>
      </c>
      <c r="AA41" s="96">
        <f t="shared" si="6"/>
        <v>9600</v>
      </c>
      <c r="AB41" s="96">
        <f t="shared" si="7"/>
        <v>600</v>
      </c>
      <c r="AC41" s="99">
        <v>800</v>
      </c>
      <c r="AD41" s="98"/>
      <c r="AE41" s="102">
        <f t="shared" si="8"/>
        <v>1400</v>
      </c>
      <c r="AF41" s="99">
        <v>800</v>
      </c>
      <c r="AG41" s="98"/>
      <c r="AH41" s="102">
        <f t="shared" si="25"/>
        <v>2200</v>
      </c>
      <c r="AI41" s="99">
        <v>800</v>
      </c>
      <c r="AJ41" s="98">
        <v>1500</v>
      </c>
      <c r="AK41" s="102">
        <f t="shared" si="26"/>
        <v>1500</v>
      </c>
      <c r="AL41" s="99">
        <v>800</v>
      </c>
      <c r="AM41" s="98"/>
      <c r="AN41" s="102">
        <f t="shared" si="27"/>
        <v>2300</v>
      </c>
      <c r="AO41" s="99">
        <v>800</v>
      </c>
      <c r="AP41" s="114"/>
      <c r="AQ41" s="102">
        <f t="shared" si="28"/>
        <v>3100</v>
      </c>
      <c r="AR41" s="99">
        <v>800</v>
      </c>
      <c r="AS41" s="114"/>
      <c r="AT41" s="102">
        <f t="shared" si="29"/>
        <v>3900</v>
      </c>
    </row>
    <row r="42" spans="1:46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19"/>
        <v>44</v>
      </c>
      <c r="I42" s="1">
        <f t="shared" si="2"/>
        <v>44000</v>
      </c>
      <c r="J42" s="17">
        <v>44000</v>
      </c>
      <c r="K42" s="17"/>
      <c r="L42" s="18">
        <f t="shared" si="20"/>
        <v>0</v>
      </c>
      <c r="M42" s="22"/>
      <c r="N42" s="22">
        <v>1600</v>
      </c>
      <c r="O42" s="22"/>
      <c r="P42" s="22"/>
      <c r="Q42" s="22"/>
      <c r="R42" s="22">
        <v>800</v>
      </c>
      <c r="S42" s="22"/>
      <c r="T42" s="22"/>
      <c r="U42" s="22"/>
      <c r="V42" s="22"/>
      <c r="W42" s="22"/>
      <c r="X42" s="22"/>
      <c r="Y42" s="18">
        <f t="shared" si="5"/>
        <v>2400</v>
      </c>
      <c r="Z42" s="96">
        <v>12</v>
      </c>
      <c r="AA42" s="96">
        <f t="shared" si="6"/>
        <v>9600</v>
      </c>
      <c r="AB42" s="96">
        <f t="shared" si="7"/>
        <v>7200</v>
      </c>
      <c r="AC42" s="99">
        <v>800</v>
      </c>
      <c r="AD42" s="98"/>
      <c r="AE42" s="102">
        <f t="shared" si="8"/>
        <v>8000</v>
      </c>
      <c r="AF42" s="99">
        <v>800</v>
      </c>
      <c r="AG42" s="98"/>
      <c r="AH42" s="102">
        <f t="shared" si="25"/>
        <v>8800</v>
      </c>
      <c r="AI42" s="99">
        <v>800</v>
      </c>
      <c r="AJ42" s="98"/>
      <c r="AK42" s="102">
        <f t="shared" si="26"/>
        <v>9600</v>
      </c>
      <c r="AL42" s="99">
        <v>800</v>
      </c>
      <c r="AM42" s="98"/>
      <c r="AN42" s="102">
        <f t="shared" si="27"/>
        <v>10400</v>
      </c>
      <c r="AO42" s="99">
        <v>800</v>
      </c>
      <c r="AP42" s="114"/>
      <c r="AQ42" s="102">
        <f t="shared" si="28"/>
        <v>11200</v>
      </c>
      <c r="AR42" s="99">
        <v>800</v>
      </c>
      <c r="AS42" s="114"/>
      <c r="AT42" s="102">
        <f t="shared" si="29"/>
        <v>12000</v>
      </c>
    </row>
    <row r="43" spans="1:46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19"/>
        <v>48</v>
      </c>
      <c r="I43" s="1">
        <f t="shared" si="2"/>
        <v>48000</v>
      </c>
      <c r="J43" s="17">
        <v>28000</v>
      </c>
      <c r="K43" s="17"/>
      <c r="L43" s="18">
        <f t="shared" si="20"/>
        <v>20000</v>
      </c>
      <c r="M43" s="22">
        <v>3000</v>
      </c>
      <c r="N43" s="22"/>
      <c r="O43" s="22"/>
      <c r="P43" s="22"/>
      <c r="Q43" s="22"/>
      <c r="R43" s="22">
        <v>800</v>
      </c>
      <c r="S43" s="22"/>
      <c r="T43" s="22"/>
      <c r="U43" s="22">
        <v>1600</v>
      </c>
      <c r="V43" s="22"/>
      <c r="W43" s="22"/>
      <c r="X43" s="22">
        <v>800</v>
      </c>
      <c r="Y43" s="18">
        <f t="shared" si="5"/>
        <v>6200</v>
      </c>
      <c r="Z43" s="96">
        <v>12</v>
      </c>
      <c r="AA43" s="96">
        <f t="shared" si="6"/>
        <v>9600</v>
      </c>
      <c r="AB43" s="96">
        <f t="shared" si="7"/>
        <v>23400</v>
      </c>
      <c r="AC43" s="99">
        <v>800</v>
      </c>
      <c r="AD43" s="98"/>
      <c r="AE43" s="102">
        <f t="shared" si="8"/>
        <v>24200</v>
      </c>
      <c r="AF43" s="99">
        <v>800</v>
      </c>
      <c r="AG43" s="98"/>
      <c r="AH43" s="102">
        <f t="shared" si="25"/>
        <v>25000</v>
      </c>
      <c r="AI43" s="99">
        <v>800</v>
      </c>
      <c r="AJ43" s="98">
        <v>800</v>
      </c>
      <c r="AK43" s="102">
        <f t="shared" si="26"/>
        <v>25000</v>
      </c>
      <c r="AL43" s="99">
        <v>800</v>
      </c>
      <c r="AM43" s="98"/>
      <c r="AN43" s="102">
        <f t="shared" si="27"/>
        <v>25800</v>
      </c>
      <c r="AO43" s="99">
        <v>800</v>
      </c>
      <c r="AP43" s="114"/>
      <c r="AQ43" s="102">
        <f t="shared" si="28"/>
        <v>26600</v>
      </c>
      <c r="AR43" s="99">
        <v>800</v>
      </c>
      <c r="AS43" s="114"/>
      <c r="AT43" s="102">
        <f t="shared" si="29"/>
        <v>27400</v>
      </c>
    </row>
    <row r="44" spans="1:46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19"/>
        <v>49</v>
      </c>
      <c r="I44" s="1">
        <f t="shared" si="2"/>
        <v>49000</v>
      </c>
      <c r="J44" s="17">
        <f>29000+1000</f>
        <v>30000</v>
      </c>
      <c r="K44" s="17"/>
      <c r="L44" s="18">
        <f t="shared" si="20"/>
        <v>19000</v>
      </c>
      <c r="M44" s="22"/>
      <c r="N44" s="22"/>
      <c r="O44" s="22"/>
      <c r="P44" s="22"/>
      <c r="Q44" s="22"/>
      <c r="R44" s="22"/>
      <c r="S44" s="22"/>
      <c r="T44">
        <v>4000</v>
      </c>
      <c r="U44" s="22"/>
      <c r="V44" s="22"/>
      <c r="W44" s="22"/>
      <c r="X44" s="22"/>
      <c r="Y44" s="18">
        <f t="shared" si="5"/>
        <v>4000</v>
      </c>
      <c r="Z44" s="96">
        <v>12</v>
      </c>
      <c r="AA44" s="96">
        <f t="shared" si="6"/>
        <v>9600</v>
      </c>
      <c r="AB44" s="96">
        <f t="shared" si="7"/>
        <v>24600</v>
      </c>
      <c r="AC44" s="99">
        <v>800</v>
      </c>
      <c r="AD44" s="98"/>
      <c r="AE44" s="102">
        <f t="shared" si="8"/>
        <v>25400</v>
      </c>
      <c r="AF44" s="99">
        <v>800</v>
      </c>
      <c r="AG44" s="98"/>
      <c r="AH44" s="102">
        <f t="shared" si="25"/>
        <v>26200</v>
      </c>
      <c r="AI44" s="99">
        <v>800</v>
      </c>
      <c r="AJ44" s="98"/>
      <c r="AK44" s="102">
        <f t="shared" si="26"/>
        <v>27000</v>
      </c>
      <c r="AL44" s="99">
        <v>800</v>
      </c>
      <c r="AM44" s="98"/>
      <c r="AN44" s="102">
        <f t="shared" si="27"/>
        <v>27800</v>
      </c>
      <c r="AO44" s="99">
        <v>800</v>
      </c>
      <c r="AP44" s="114"/>
      <c r="AQ44" s="102">
        <f t="shared" si="28"/>
        <v>28600</v>
      </c>
      <c r="AR44" s="99">
        <v>800</v>
      </c>
      <c r="AS44" s="114"/>
      <c r="AT44" s="102">
        <f t="shared" si="29"/>
        <v>29400</v>
      </c>
    </row>
    <row r="45" spans="1:46" s="80" customFormat="1">
      <c r="A45" s="103">
        <f>VLOOKUP(B45,справочник!$B$2:$E$322,4,FALSE)</f>
        <v>274</v>
      </c>
      <c r="B45" s="80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19"/>
        <v>11</v>
      </c>
      <c r="I45" s="5">
        <f t="shared" si="2"/>
        <v>11000</v>
      </c>
      <c r="J45" s="20">
        <v>2000</v>
      </c>
      <c r="K45" s="20"/>
      <c r="L45" s="21">
        <f t="shared" si="20"/>
        <v>9000</v>
      </c>
      <c r="M45" s="21"/>
      <c r="N45" s="21"/>
      <c r="O45" s="21">
        <v>1600</v>
      </c>
      <c r="P45" s="21"/>
      <c r="Q45" s="21"/>
      <c r="R45" s="21">
        <v>26800</v>
      </c>
      <c r="S45" s="21">
        <v>800</v>
      </c>
      <c r="T45" s="21"/>
      <c r="U45" s="21"/>
      <c r="V45" s="21"/>
      <c r="X45" s="21"/>
      <c r="Y45" s="21">
        <f t="shared" si="5"/>
        <v>29200</v>
      </c>
      <c r="Z45" s="104">
        <v>12</v>
      </c>
      <c r="AA45" s="104">
        <f t="shared" si="6"/>
        <v>9600</v>
      </c>
      <c r="AB45" s="104">
        <f t="shared" si="7"/>
        <v>-10600</v>
      </c>
      <c r="AC45" s="104">
        <v>0</v>
      </c>
      <c r="AD45" s="105"/>
      <c r="AE45" s="127">
        <f>SUM(AB45:AB46)+SUM(AC45:AC46)-SUM(AD45:AD46)</f>
        <v>-2800</v>
      </c>
      <c r="AF45" s="104">
        <v>0</v>
      </c>
      <c r="AG45" s="105"/>
      <c r="AH45" s="127">
        <f>SUM(AE45:AE46)+SUM(AF45:AF46)-SUM(AG45:AG46)</f>
        <v>-2800</v>
      </c>
      <c r="AI45" s="104">
        <v>0</v>
      </c>
      <c r="AJ45" s="105"/>
      <c r="AK45" s="127">
        <f>SUM(AH45:AH46)+SUM(AI45:AI46)-SUM(AJ45:AJ46)</f>
        <v>-2800</v>
      </c>
      <c r="AL45" s="104">
        <v>0</v>
      </c>
      <c r="AM45" s="105"/>
      <c r="AN45" s="127">
        <f>SUM(AK45:AK46)+SUM(AL45:AL46)-SUM(AM45:AM46)</f>
        <v>-2000</v>
      </c>
      <c r="AO45" s="104">
        <v>0</v>
      </c>
      <c r="AP45" s="105"/>
      <c r="AQ45" s="127">
        <f>SUM(AN45:AN46)+SUM(AO45:AO46)-SUM(AP45:AP46)</f>
        <v>-2000</v>
      </c>
      <c r="AR45" s="104">
        <v>0</v>
      </c>
      <c r="AS45" s="105"/>
      <c r="AT45" s="127">
        <f>SUM(AQ45:AQ46)+SUM(AR45:AR46)-SUM(AS45:AS46)</f>
        <v>-2400</v>
      </c>
    </row>
    <row r="46" spans="1:46" s="80" customFormat="1">
      <c r="A46" s="103">
        <f>VLOOKUP(B46,справочник!$B$2:$E$322,4,FALSE)</f>
        <v>274</v>
      </c>
      <c r="B46" s="80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f t="shared" si="19"/>
        <v>11</v>
      </c>
      <c r="I46" s="5">
        <f t="shared" si="2"/>
        <v>11000</v>
      </c>
      <c r="J46" s="20"/>
      <c r="K46" s="20"/>
      <c r="L46" s="21">
        <f t="shared" si="20"/>
        <v>11000</v>
      </c>
      <c r="M46" s="21"/>
      <c r="N46" s="21"/>
      <c r="O46" s="21"/>
      <c r="P46" s="21"/>
      <c r="Q46" s="21"/>
      <c r="R46" s="21"/>
      <c r="S46" s="21"/>
      <c r="T46" s="21"/>
      <c r="U46" s="21">
        <v>1600</v>
      </c>
      <c r="V46" s="21">
        <v>800</v>
      </c>
      <c r="W46" s="80">
        <v>800</v>
      </c>
      <c r="X46" s="21">
        <v>800</v>
      </c>
      <c r="Y46" s="21">
        <f t="shared" si="5"/>
        <v>4000</v>
      </c>
      <c r="Z46" s="104">
        <v>0</v>
      </c>
      <c r="AA46" s="104">
        <f t="shared" si="6"/>
        <v>0</v>
      </c>
      <c r="AB46" s="104">
        <f t="shared" si="7"/>
        <v>7000</v>
      </c>
      <c r="AC46" s="104">
        <v>800</v>
      </c>
      <c r="AD46" s="105"/>
      <c r="AE46" s="129"/>
      <c r="AF46" s="104">
        <v>800</v>
      </c>
      <c r="AG46" s="105">
        <v>800</v>
      </c>
      <c r="AH46" s="129"/>
      <c r="AI46" s="104">
        <v>800</v>
      </c>
      <c r="AJ46" s="105">
        <v>800</v>
      </c>
      <c r="AK46" s="129"/>
      <c r="AL46" s="104">
        <v>800</v>
      </c>
      <c r="AM46" s="105"/>
      <c r="AN46" s="129"/>
      <c r="AO46" s="104">
        <v>800</v>
      </c>
      <c r="AP46" s="105">
        <v>800</v>
      </c>
      <c r="AQ46" s="129"/>
      <c r="AR46" s="104">
        <v>800</v>
      </c>
      <c r="AS46" s="105">
        <v>1200</v>
      </c>
      <c r="AT46" s="129"/>
    </row>
    <row r="47" spans="1:46" s="80" customFormat="1">
      <c r="A47" s="103">
        <f>VLOOKUP(B47,справочник!$B$2:$E$322,4,FALSE)</f>
        <v>175</v>
      </c>
      <c r="B47" s="80" t="str">
        <f t="shared" si="4"/>
        <v>183Буланова Лилия Михайловна</v>
      </c>
      <c r="C47" s="5">
        <v>183</v>
      </c>
      <c r="D47" s="7" t="s">
        <v>42</v>
      </c>
      <c r="E47" s="5" t="s">
        <v>358</v>
      </c>
      <c r="F47" s="19">
        <v>41865</v>
      </c>
      <c r="G47" s="19">
        <v>41883</v>
      </c>
      <c r="H47" s="20">
        <f t="shared" si="19"/>
        <v>16</v>
      </c>
      <c r="I47" s="5">
        <f t="shared" si="2"/>
        <v>16000</v>
      </c>
      <c r="J47" s="20"/>
      <c r="K47" s="20"/>
      <c r="L47" s="21">
        <f t="shared" si="20"/>
        <v>16000</v>
      </c>
      <c r="M47" s="21"/>
      <c r="N47" s="21"/>
      <c r="O47" s="21"/>
      <c r="P47" s="21"/>
      <c r="Q47" s="21">
        <v>21600</v>
      </c>
      <c r="R47" s="21"/>
      <c r="S47" s="21"/>
      <c r="T47" s="21"/>
      <c r="U47" s="21">
        <v>20000</v>
      </c>
      <c r="V47" s="21"/>
      <c r="W47" s="21"/>
      <c r="X47" s="21"/>
      <c r="Y47" s="21">
        <f t="shared" si="5"/>
        <v>41600</v>
      </c>
      <c r="Z47" s="104">
        <v>12</v>
      </c>
      <c r="AA47" s="104">
        <f t="shared" si="6"/>
        <v>9600</v>
      </c>
      <c r="AB47" s="104">
        <f t="shared" si="7"/>
        <v>-16000</v>
      </c>
      <c r="AC47" s="104">
        <v>800</v>
      </c>
      <c r="AD47" s="105"/>
      <c r="AE47" s="127">
        <f>SUM(AB47:AB48)+SUM(AC47:AC48)</f>
        <v>800</v>
      </c>
      <c r="AF47" s="104">
        <v>800</v>
      </c>
      <c r="AG47" s="105"/>
      <c r="AH47" s="127">
        <f>SUM(AE47:AE48)+SUM(AF47:AF48)</f>
        <v>1600</v>
      </c>
      <c r="AI47" s="104">
        <v>800</v>
      </c>
      <c r="AJ47" s="105"/>
      <c r="AK47" s="127">
        <f>SUM(AH47:AH48)+SUM(AI47:AI48)</f>
        <v>2400</v>
      </c>
      <c r="AL47" s="104">
        <v>800</v>
      </c>
      <c r="AM47" s="105"/>
      <c r="AN47" s="127">
        <f>SUM(AK47:AK48)+SUM(AL47:AL48)</f>
        <v>3200</v>
      </c>
      <c r="AO47" s="104">
        <v>800</v>
      </c>
      <c r="AP47" s="105"/>
      <c r="AQ47" s="127">
        <f>SUM(AN47:AN48)+SUM(AO47:AO48)</f>
        <v>4000</v>
      </c>
      <c r="AR47" s="104">
        <v>800</v>
      </c>
      <c r="AS47" s="105"/>
      <c r="AT47" s="127">
        <f>SUM(AQ47:AQ48)+SUM(AR47:AR48)</f>
        <v>4800</v>
      </c>
    </row>
    <row r="48" spans="1:46" s="80" customFormat="1">
      <c r="A48" s="103">
        <f>VLOOKUP(B48,справочник!$B$2:$E$322,4,FALSE)</f>
        <v>175</v>
      </c>
      <c r="B48" s="80" t="str">
        <f t="shared" si="4"/>
        <v>187Буланова Лилия Михайловна</v>
      </c>
      <c r="C48" s="5">
        <v>187</v>
      </c>
      <c r="D48" s="7" t="s">
        <v>42</v>
      </c>
      <c r="E48" s="5" t="s">
        <v>359</v>
      </c>
      <c r="F48" s="19">
        <v>41865</v>
      </c>
      <c r="G48" s="19">
        <v>41883</v>
      </c>
      <c r="H48" s="20">
        <f t="shared" si="19"/>
        <v>16</v>
      </c>
      <c r="I48" s="5">
        <f t="shared" si="2"/>
        <v>16000</v>
      </c>
      <c r="J48" s="20"/>
      <c r="K48" s="20"/>
      <c r="L48" s="21">
        <f t="shared" si="20"/>
        <v>16000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f t="shared" si="5"/>
        <v>0</v>
      </c>
      <c r="Z48" s="104">
        <v>0</v>
      </c>
      <c r="AA48" s="104">
        <f t="shared" si="6"/>
        <v>0</v>
      </c>
      <c r="AB48" s="104">
        <f t="shared" si="7"/>
        <v>16000</v>
      </c>
      <c r="AC48" s="104">
        <v>0</v>
      </c>
      <c r="AD48" s="105"/>
      <c r="AE48" s="129"/>
      <c r="AF48" s="104">
        <v>0</v>
      </c>
      <c r="AG48" s="105"/>
      <c r="AH48" s="129"/>
      <c r="AI48" s="104">
        <v>0</v>
      </c>
      <c r="AJ48" s="105"/>
      <c r="AK48" s="129"/>
      <c r="AL48" s="104">
        <v>0</v>
      </c>
      <c r="AM48" s="105"/>
      <c r="AN48" s="129"/>
      <c r="AO48" s="104">
        <v>0</v>
      </c>
      <c r="AP48" s="105"/>
      <c r="AQ48" s="129"/>
      <c r="AR48" s="104">
        <v>0</v>
      </c>
      <c r="AS48" s="105"/>
      <c r="AT48" s="129"/>
    </row>
    <row r="49" spans="1:46" s="80" customFormat="1">
      <c r="A49" s="103">
        <f>VLOOKUP(B49,справочник!$B$2:$E$322,4,FALSE)</f>
        <v>303</v>
      </c>
      <c r="B49" s="80" t="str">
        <f t="shared" si="4"/>
        <v>318Бурдух Юрие</v>
      </c>
      <c r="C49" s="5">
        <v>318</v>
      </c>
      <c r="D49" s="7" t="s">
        <v>43</v>
      </c>
      <c r="E49" s="5" t="s">
        <v>360</v>
      </c>
      <c r="F49" s="19">
        <v>42002</v>
      </c>
      <c r="G49" s="19">
        <v>42005</v>
      </c>
      <c r="H49" s="20">
        <f t="shared" si="19"/>
        <v>12</v>
      </c>
      <c r="I49" s="5">
        <f t="shared" si="2"/>
        <v>12000</v>
      </c>
      <c r="J49" s="20"/>
      <c r="K49" s="20"/>
      <c r="L49" s="21">
        <f t="shared" si="20"/>
        <v>12000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>
        <f t="shared" si="5"/>
        <v>0</v>
      </c>
      <c r="Z49" s="104">
        <v>12</v>
      </c>
      <c r="AA49" s="104">
        <f t="shared" si="6"/>
        <v>9600</v>
      </c>
      <c r="AB49" s="104">
        <f t="shared" si="7"/>
        <v>21600</v>
      </c>
      <c r="AC49" s="104">
        <v>800</v>
      </c>
      <c r="AD49" s="105"/>
      <c r="AE49" s="127">
        <f>SUM(AB49:AB50)+SUM(AC49:AC50)-SUM(AD49:AD50)</f>
        <v>34400</v>
      </c>
      <c r="AF49" s="104">
        <v>800</v>
      </c>
      <c r="AG49" s="105"/>
      <c r="AH49" s="127">
        <f>SUM(AE49:AE50)+SUM(AF49:AF50)-SUM(AG49:AG50)</f>
        <v>35200</v>
      </c>
      <c r="AI49" s="104">
        <v>800</v>
      </c>
      <c r="AJ49" s="105"/>
      <c r="AK49" s="127">
        <f>SUM(AH49:AH50)+SUM(AI49:AI50)-SUM(AJ49:AJ50)</f>
        <v>36000</v>
      </c>
      <c r="AL49" s="104">
        <v>800</v>
      </c>
      <c r="AM49" s="105"/>
      <c r="AN49" s="127">
        <f>SUM(AK49:AK50)+SUM(AL49:AL50)-SUM(AM49:AM50)</f>
        <v>36800</v>
      </c>
      <c r="AO49" s="104">
        <v>800</v>
      </c>
      <c r="AP49" s="105"/>
      <c r="AQ49" s="127">
        <f>SUM(AN49:AN50)+SUM(AO49:AO50)-SUM(AP49:AP50)</f>
        <v>37600</v>
      </c>
      <c r="AR49" s="104">
        <v>800</v>
      </c>
      <c r="AS49" s="105"/>
      <c r="AT49" s="127">
        <f>SUM(AQ49:AQ50)+SUM(AR49:AR50)-SUM(AS49:AS50)</f>
        <v>38400</v>
      </c>
    </row>
    <row r="50" spans="1:46" s="80" customFormat="1">
      <c r="A50" s="103">
        <f>VLOOKUP(B50,справочник!$B$2:$E$322,4,FALSE)</f>
        <v>303</v>
      </c>
      <c r="B50" s="80" t="str">
        <f t="shared" si="4"/>
        <v>319Бурдух Юрие</v>
      </c>
      <c r="C50" s="5">
        <v>319</v>
      </c>
      <c r="D50" s="7" t="s">
        <v>43</v>
      </c>
      <c r="E50" s="5" t="s">
        <v>361</v>
      </c>
      <c r="F50" s="19">
        <v>42002</v>
      </c>
      <c r="G50" s="19">
        <v>42005</v>
      </c>
      <c r="H50" s="20">
        <f t="shared" si="19"/>
        <v>12</v>
      </c>
      <c r="I50" s="5">
        <f t="shared" si="2"/>
        <v>12000</v>
      </c>
      <c r="J50" s="20"/>
      <c r="K50" s="20"/>
      <c r="L50" s="21">
        <f t="shared" si="20"/>
        <v>12000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>
        <f t="shared" si="5"/>
        <v>0</v>
      </c>
      <c r="Z50" s="104">
        <v>0</v>
      </c>
      <c r="AA50" s="104">
        <f t="shared" si="6"/>
        <v>0</v>
      </c>
      <c r="AB50" s="104">
        <f t="shared" si="7"/>
        <v>12000</v>
      </c>
      <c r="AC50" s="104">
        <v>0</v>
      </c>
      <c r="AD50" s="105"/>
      <c r="AE50" s="129"/>
      <c r="AF50" s="104">
        <v>0</v>
      </c>
      <c r="AG50" s="105"/>
      <c r="AH50" s="129"/>
      <c r="AI50" s="104">
        <v>0</v>
      </c>
      <c r="AJ50" s="105"/>
      <c r="AK50" s="129"/>
      <c r="AL50" s="104">
        <v>0</v>
      </c>
      <c r="AM50" s="105"/>
      <c r="AN50" s="129"/>
      <c r="AO50" s="104">
        <v>0</v>
      </c>
      <c r="AP50" s="105"/>
      <c r="AQ50" s="129"/>
      <c r="AR50" s="104">
        <v>0</v>
      </c>
      <c r="AS50" s="105"/>
      <c r="AT50" s="129"/>
    </row>
    <row r="51" spans="1:46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19"/>
        <v>52</v>
      </c>
      <c r="I51" s="1">
        <f t="shared" si="2"/>
        <v>52000</v>
      </c>
      <c r="J51" s="17">
        <f>36000+4000+12000</f>
        <v>52000</v>
      </c>
      <c r="K51" s="17"/>
      <c r="L51" s="18">
        <f t="shared" si="20"/>
        <v>0</v>
      </c>
      <c r="M51" s="22"/>
      <c r="N51" s="22"/>
      <c r="O51" s="22"/>
      <c r="P51" s="22">
        <v>4800</v>
      </c>
      <c r="Q51" s="22"/>
      <c r="R51" s="22"/>
      <c r="S51" s="22"/>
      <c r="T51" s="22"/>
      <c r="U51" s="22">
        <v>4800</v>
      </c>
      <c r="V51" s="22"/>
      <c r="W51" s="22"/>
      <c r="X51" s="22"/>
      <c r="Y51" s="18">
        <f t="shared" si="5"/>
        <v>9600</v>
      </c>
      <c r="Z51" s="96">
        <v>12</v>
      </c>
      <c r="AA51" s="96">
        <f t="shared" si="6"/>
        <v>9600</v>
      </c>
      <c r="AB51" s="96">
        <f t="shared" si="7"/>
        <v>0</v>
      </c>
      <c r="AC51" s="99">
        <v>800</v>
      </c>
      <c r="AD51" s="98"/>
      <c r="AE51" s="102">
        <f t="shared" si="8"/>
        <v>800</v>
      </c>
      <c r="AF51" s="99">
        <v>800</v>
      </c>
      <c r="AG51" s="98"/>
      <c r="AH51" s="102">
        <f t="shared" ref="AH51:AH100" si="30">AE51+AF51-AG51</f>
        <v>1600</v>
      </c>
      <c r="AI51" s="99">
        <v>800</v>
      </c>
      <c r="AJ51" s="98">
        <v>4800</v>
      </c>
      <c r="AK51" s="102">
        <f t="shared" ref="AK51:AK52" si="31">AH51+AI51-AJ51</f>
        <v>-2400</v>
      </c>
      <c r="AL51" s="99">
        <v>800</v>
      </c>
      <c r="AM51" s="98"/>
      <c r="AN51" s="102">
        <f t="shared" ref="AN51:AN52" si="32">AK51+AL51-AM51</f>
        <v>-1600</v>
      </c>
      <c r="AO51" s="99">
        <v>800</v>
      </c>
      <c r="AP51" s="114"/>
      <c r="AQ51" s="102">
        <f t="shared" ref="AQ51:AQ52" si="33">AN51+AO51-AP51</f>
        <v>-800</v>
      </c>
      <c r="AR51" s="99">
        <v>800</v>
      </c>
      <c r="AS51" s="114"/>
      <c r="AT51" s="102">
        <f t="shared" ref="AT51:AT52" si="34">AQ51+AR51-AS51</f>
        <v>0</v>
      </c>
    </row>
    <row r="52" spans="1:46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2" t="s">
        <v>45</v>
      </c>
      <c r="E52" s="1" t="s">
        <v>363</v>
      </c>
      <c r="F52" s="16">
        <v>40953</v>
      </c>
      <c r="G52" s="16">
        <v>40940</v>
      </c>
      <c r="H52" s="17">
        <f t="shared" si="19"/>
        <v>47</v>
      </c>
      <c r="I52" s="1">
        <f t="shared" si="2"/>
        <v>47000</v>
      </c>
      <c r="J52" s="17">
        <v>38000</v>
      </c>
      <c r="K52" s="17"/>
      <c r="L52" s="18">
        <f t="shared" si="20"/>
        <v>9000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>
        <v>10000</v>
      </c>
      <c r="Y52" s="18">
        <f t="shared" si="5"/>
        <v>10000</v>
      </c>
      <c r="Z52" s="96">
        <v>12</v>
      </c>
      <c r="AA52" s="96">
        <f t="shared" si="6"/>
        <v>9600</v>
      </c>
      <c r="AB52" s="96">
        <f t="shared" si="7"/>
        <v>8600</v>
      </c>
      <c r="AC52" s="99">
        <v>800</v>
      </c>
      <c r="AD52" s="98"/>
      <c r="AE52" s="102">
        <f t="shared" si="8"/>
        <v>9400</v>
      </c>
      <c r="AF52" s="99">
        <v>800</v>
      </c>
      <c r="AG52" s="98"/>
      <c r="AH52" s="102">
        <f t="shared" si="30"/>
        <v>10200</v>
      </c>
      <c r="AI52" s="99">
        <v>800</v>
      </c>
      <c r="AJ52" s="98"/>
      <c r="AK52" s="102">
        <f t="shared" si="31"/>
        <v>11000</v>
      </c>
      <c r="AL52" s="99">
        <v>800</v>
      </c>
      <c r="AM52" s="98"/>
      <c r="AN52" s="102">
        <f t="shared" si="32"/>
        <v>11800</v>
      </c>
      <c r="AO52" s="99">
        <v>800</v>
      </c>
      <c r="AP52" s="114"/>
      <c r="AQ52" s="102">
        <f t="shared" si="33"/>
        <v>12600</v>
      </c>
      <c r="AR52" s="99">
        <v>800</v>
      </c>
      <c r="AS52" s="114"/>
      <c r="AT52" s="102">
        <f t="shared" si="34"/>
        <v>13400</v>
      </c>
    </row>
    <row r="53" spans="1:46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19"/>
        <v>52</v>
      </c>
      <c r="I53" s="1">
        <f t="shared" si="2"/>
        <v>52000</v>
      </c>
      <c r="J53" s="17">
        <f>42000+1000</f>
        <v>43000</v>
      </c>
      <c r="K53" s="17"/>
      <c r="L53" s="18">
        <f t="shared" si="20"/>
        <v>9000</v>
      </c>
      <c r="M53" s="22">
        <v>7000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8">
        <f t="shared" si="5"/>
        <v>7000</v>
      </c>
      <c r="Z53" s="96">
        <v>12</v>
      </c>
      <c r="AA53" s="96">
        <f t="shared" si="6"/>
        <v>9600</v>
      </c>
      <c r="AB53" s="96">
        <f t="shared" si="7"/>
        <v>11600</v>
      </c>
      <c r="AC53" s="99">
        <v>800</v>
      </c>
      <c r="AD53" s="98"/>
      <c r="AE53" s="102">
        <f t="shared" si="8"/>
        <v>12400</v>
      </c>
      <c r="AF53" s="99">
        <v>800</v>
      </c>
      <c r="AG53" s="98"/>
      <c r="AH53" s="102">
        <f>AE53+AF53-AG53</f>
        <v>13200</v>
      </c>
      <c r="AI53" s="99">
        <v>800</v>
      </c>
      <c r="AJ53" s="98">
        <f>2400+4800</f>
        <v>7200</v>
      </c>
      <c r="AK53" s="102">
        <f>AH53+AI53-AJ53</f>
        <v>6800</v>
      </c>
      <c r="AL53" s="99">
        <v>800</v>
      </c>
      <c r="AM53" s="98"/>
      <c r="AN53" s="102">
        <f>AK53+AL53-AM53</f>
        <v>7600</v>
      </c>
      <c r="AO53" s="99">
        <v>800</v>
      </c>
      <c r="AP53" s="114"/>
      <c r="AQ53" s="102">
        <f>AN53+AO53-AP53</f>
        <v>8400</v>
      </c>
      <c r="AR53" s="99">
        <v>800</v>
      </c>
      <c r="AS53" s="114"/>
      <c r="AT53" s="102">
        <f>AQ53+AR53-AS53</f>
        <v>9200</v>
      </c>
    </row>
    <row r="54" spans="1:46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19"/>
        <v>50</v>
      </c>
      <c r="I54" s="1">
        <f>H54*1000</f>
        <v>50000</v>
      </c>
      <c r="J54" s="17">
        <f>34000+13000</f>
        <v>47000</v>
      </c>
      <c r="K54" s="17">
        <v>4000</v>
      </c>
      <c r="L54" s="18">
        <f t="shared" si="20"/>
        <v>-1000</v>
      </c>
      <c r="M54" s="22"/>
      <c r="N54" s="22">
        <v>2000</v>
      </c>
      <c r="O54" s="22"/>
      <c r="P54" s="22">
        <v>1000</v>
      </c>
      <c r="Q54" s="22"/>
      <c r="R54" s="22">
        <v>1600</v>
      </c>
      <c r="S54" s="22"/>
      <c r="T54">
        <v>800</v>
      </c>
      <c r="U54" s="22">
        <v>800</v>
      </c>
      <c r="V54" s="22"/>
      <c r="W54" s="84">
        <v>2400</v>
      </c>
      <c r="X54" s="22"/>
      <c r="Y54" s="18">
        <f t="shared" si="5"/>
        <v>8600</v>
      </c>
      <c r="Z54" s="96">
        <v>12</v>
      </c>
      <c r="AA54" s="96">
        <f t="shared" si="6"/>
        <v>9600</v>
      </c>
      <c r="AB54" s="96">
        <f t="shared" si="7"/>
        <v>0</v>
      </c>
      <c r="AC54" s="99">
        <v>800</v>
      </c>
      <c r="AD54" s="98"/>
      <c r="AE54" s="102">
        <f t="shared" si="8"/>
        <v>800</v>
      </c>
      <c r="AF54" s="99">
        <v>800</v>
      </c>
      <c r="AG54" s="98">
        <v>800</v>
      </c>
      <c r="AH54" s="102">
        <f t="shared" si="30"/>
        <v>800</v>
      </c>
      <c r="AI54" s="99">
        <v>800</v>
      </c>
      <c r="AJ54" s="98">
        <v>1600</v>
      </c>
      <c r="AK54" s="102">
        <f t="shared" ref="AK54:AK100" si="35">AH54+AI54-AJ54</f>
        <v>0</v>
      </c>
      <c r="AL54" s="99">
        <v>800</v>
      </c>
      <c r="AM54" s="98"/>
      <c r="AN54" s="102">
        <f t="shared" ref="AN54:AN100" si="36">AK54+AL54-AM54</f>
        <v>800</v>
      </c>
      <c r="AO54" s="99">
        <v>800</v>
      </c>
      <c r="AP54" s="114">
        <v>1600</v>
      </c>
      <c r="AQ54" s="102">
        <f t="shared" ref="AQ54:AQ100" si="37">AN54+AO54-AP54</f>
        <v>0</v>
      </c>
      <c r="AR54" s="99">
        <v>800</v>
      </c>
      <c r="AS54" s="114"/>
      <c r="AT54" s="102">
        <f t="shared" ref="AT54:AT100" si="38">AQ54+AR54-AS54</f>
        <v>800</v>
      </c>
    </row>
    <row r="55" spans="1:46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ref="H55:H74" si="39">INT(($H$325-G55)/30)</f>
        <v>52</v>
      </c>
      <c r="I55" s="1">
        <f t="shared" si="2"/>
        <v>52000</v>
      </c>
      <c r="J55" s="17">
        <f>27000+2000</f>
        <v>29000</v>
      </c>
      <c r="K55" s="17"/>
      <c r="L55" s="18">
        <f t="shared" si="20"/>
        <v>23000</v>
      </c>
      <c r="M55" s="22"/>
      <c r="N55" s="22"/>
      <c r="O55" s="22"/>
      <c r="P55" s="22"/>
      <c r="Q55" s="22"/>
      <c r="R55" s="22">
        <v>2000</v>
      </c>
      <c r="S55" s="22"/>
      <c r="T55">
        <v>2000</v>
      </c>
      <c r="U55" s="22">
        <v>2000</v>
      </c>
      <c r="V55" s="22"/>
      <c r="W55" s="22"/>
      <c r="X55" s="22"/>
      <c r="Y55" s="18">
        <f t="shared" si="5"/>
        <v>6000</v>
      </c>
      <c r="Z55" s="96">
        <v>12</v>
      </c>
      <c r="AA55" s="96">
        <f t="shared" si="6"/>
        <v>9600</v>
      </c>
      <c r="AB55" s="96">
        <f t="shared" si="7"/>
        <v>26600</v>
      </c>
      <c r="AC55" s="99">
        <v>800</v>
      </c>
      <c r="AD55" s="98"/>
      <c r="AE55" s="102">
        <f t="shared" si="8"/>
        <v>27400</v>
      </c>
      <c r="AF55" s="99">
        <v>800</v>
      </c>
      <c r="AG55" s="98"/>
      <c r="AH55" s="102">
        <f t="shared" si="30"/>
        <v>28200</v>
      </c>
      <c r="AI55" s="99">
        <v>800</v>
      </c>
      <c r="AJ55" s="98"/>
      <c r="AK55" s="102">
        <f t="shared" si="35"/>
        <v>29000</v>
      </c>
      <c r="AL55" s="99">
        <v>800</v>
      </c>
      <c r="AM55" s="98"/>
      <c r="AN55" s="102">
        <f t="shared" si="36"/>
        <v>29800</v>
      </c>
      <c r="AO55" s="99">
        <v>800</v>
      </c>
      <c r="AP55" s="114"/>
      <c r="AQ55" s="102">
        <f t="shared" si="37"/>
        <v>30600</v>
      </c>
      <c r="AR55" s="99">
        <v>800</v>
      </c>
      <c r="AS55" s="114">
        <v>1000</v>
      </c>
      <c r="AT55" s="102">
        <f t="shared" si="38"/>
        <v>30400</v>
      </c>
    </row>
    <row r="56" spans="1:46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39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18">
        <f t="shared" si="20"/>
        <v>0</v>
      </c>
      <c r="M56" s="22"/>
      <c r="N56" s="22"/>
      <c r="O56" s="22">
        <v>3000</v>
      </c>
      <c r="P56" s="22"/>
      <c r="Q56" s="22">
        <v>3000</v>
      </c>
      <c r="R56" s="22">
        <v>800</v>
      </c>
      <c r="S56" s="22"/>
      <c r="T56">
        <v>3000</v>
      </c>
      <c r="U56" s="22"/>
      <c r="V56" s="22">
        <v>3000</v>
      </c>
      <c r="W56" s="22"/>
      <c r="X56" s="22"/>
      <c r="Y56" s="18">
        <f t="shared" si="5"/>
        <v>12800</v>
      </c>
      <c r="Z56" s="96">
        <v>12</v>
      </c>
      <c r="AA56" s="96">
        <f t="shared" si="6"/>
        <v>9600</v>
      </c>
      <c r="AB56" s="96">
        <f t="shared" si="7"/>
        <v>-3200</v>
      </c>
      <c r="AC56" s="99">
        <v>800</v>
      </c>
      <c r="AD56" s="98"/>
      <c r="AE56" s="102">
        <f t="shared" si="8"/>
        <v>-2400</v>
      </c>
      <c r="AF56" s="99">
        <v>800</v>
      </c>
      <c r="AG56" s="98"/>
      <c r="AH56" s="102">
        <f t="shared" si="30"/>
        <v>-1600</v>
      </c>
      <c r="AI56" s="99">
        <v>800</v>
      </c>
      <c r="AJ56" s="98"/>
      <c r="AK56" s="102">
        <f t="shared" si="35"/>
        <v>-800</v>
      </c>
      <c r="AL56" s="99">
        <v>800</v>
      </c>
      <c r="AM56" s="98"/>
      <c r="AN56" s="102">
        <f t="shared" si="36"/>
        <v>0</v>
      </c>
      <c r="AO56" s="99">
        <v>800</v>
      </c>
      <c r="AP56" s="114">
        <v>2400</v>
      </c>
      <c r="AQ56" s="102">
        <f t="shared" si="37"/>
        <v>-1600</v>
      </c>
      <c r="AR56" s="99">
        <v>800</v>
      </c>
      <c r="AS56" s="114"/>
      <c r="AT56" s="102">
        <f t="shared" si="38"/>
        <v>-800</v>
      </c>
    </row>
    <row r="57" spans="1:46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39"/>
        <v>53</v>
      </c>
      <c r="I57" s="1">
        <f t="shared" si="2"/>
        <v>53000</v>
      </c>
      <c r="J57" s="17">
        <f>53000</f>
        <v>53000</v>
      </c>
      <c r="K57" s="17"/>
      <c r="L57" s="18">
        <f t="shared" si="20"/>
        <v>0</v>
      </c>
      <c r="M57" s="22"/>
      <c r="N57" s="22">
        <v>3000</v>
      </c>
      <c r="O57" s="22"/>
      <c r="P57" s="22"/>
      <c r="Q57" s="22"/>
      <c r="R57" s="22">
        <v>2900</v>
      </c>
      <c r="S57" s="22"/>
      <c r="T57" s="22"/>
      <c r="U57" s="22"/>
      <c r="V57" s="22"/>
      <c r="W57" s="22">
        <v>5000</v>
      </c>
      <c r="X57" s="22"/>
      <c r="Y57" s="18">
        <f t="shared" si="5"/>
        <v>10900</v>
      </c>
      <c r="Z57" s="96">
        <v>12</v>
      </c>
      <c r="AA57" s="96">
        <f t="shared" si="6"/>
        <v>9600</v>
      </c>
      <c r="AB57" s="96">
        <f t="shared" si="7"/>
        <v>-1300</v>
      </c>
      <c r="AC57" s="99">
        <v>800</v>
      </c>
      <c r="AD57" s="98"/>
      <c r="AE57" s="102">
        <f t="shared" si="8"/>
        <v>-500</v>
      </c>
      <c r="AF57" s="99">
        <v>800</v>
      </c>
      <c r="AG57" s="98"/>
      <c r="AH57" s="102">
        <f t="shared" si="30"/>
        <v>300</v>
      </c>
      <c r="AI57" s="99">
        <v>800</v>
      </c>
      <c r="AJ57" s="98"/>
      <c r="AK57" s="102">
        <f t="shared" si="35"/>
        <v>1100</v>
      </c>
      <c r="AL57" s="99">
        <v>800</v>
      </c>
      <c r="AM57" s="98"/>
      <c r="AN57" s="102">
        <f t="shared" si="36"/>
        <v>1900</v>
      </c>
      <c r="AO57" s="99">
        <v>800</v>
      </c>
      <c r="AP57" s="114"/>
      <c r="AQ57" s="102">
        <f t="shared" si="37"/>
        <v>2700</v>
      </c>
      <c r="AR57" s="99">
        <v>800</v>
      </c>
      <c r="AS57" s="114"/>
      <c r="AT57" s="102">
        <f t="shared" si="38"/>
        <v>3500</v>
      </c>
    </row>
    <row r="58" spans="1:46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39"/>
        <v>21</v>
      </c>
      <c r="I58" s="1">
        <f t="shared" si="2"/>
        <v>21000</v>
      </c>
      <c r="J58" s="17"/>
      <c r="K58" s="17"/>
      <c r="L58" s="18">
        <f t="shared" si="20"/>
        <v>21000</v>
      </c>
      <c r="M58" s="22"/>
      <c r="N58" s="22"/>
      <c r="O58" s="22"/>
      <c r="P58" s="22"/>
      <c r="Q58" s="22"/>
      <c r="R58" s="22"/>
      <c r="S58" s="22">
        <v>25800</v>
      </c>
      <c r="T58" s="22"/>
      <c r="U58" s="22"/>
      <c r="V58" s="22"/>
      <c r="W58" s="22"/>
      <c r="X58" s="22"/>
      <c r="Y58" s="18">
        <f t="shared" si="5"/>
        <v>25800</v>
      </c>
      <c r="Z58" s="96">
        <v>12</v>
      </c>
      <c r="AA58" s="96">
        <f t="shared" si="6"/>
        <v>9600</v>
      </c>
      <c r="AB58" s="96">
        <f t="shared" si="7"/>
        <v>4800</v>
      </c>
      <c r="AC58" s="99">
        <v>800</v>
      </c>
      <c r="AD58" s="98"/>
      <c r="AE58" s="102">
        <f t="shared" si="8"/>
        <v>5600</v>
      </c>
      <c r="AF58" s="99">
        <v>800</v>
      </c>
      <c r="AG58" s="98"/>
      <c r="AH58" s="102">
        <f t="shared" si="30"/>
        <v>6400</v>
      </c>
      <c r="AI58" s="99">
        <v>800</v>
      </c>
      <c r="AJ58" s="98"/>
      <c r="AK58" s="102">
        <f t="shared" si="35"/>
        <v>7200</v>
      </c>
      <c r="AL58" s="99">
        <v>800</v>
      </c>
      <c r="AM58" s="98"/>
      <c r="AN58" s="102">
        <f t="shared" si="36"/>
        <v>8000</v>
      </c>
      <c r="AO58" s="99">
        <v>800</v>
      </c>
      <c r="AP58" s="114"/>
      <c r="AQ58" s="102">
        <f t="shared" si="37"/>
        <v>8800</v>
      </c>
      <c r="AR58" s="99">
        <v>800</v>
      </c>
      <c r="AS58" s="114"/>
      <c r="AT58" s="102">
        <f t="shared" si="38"/>
        <v>9600</v>
      </c>
    </row>
    <row r="59" spans="1:46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39"/>
        <v>52</v>
      </c>
      <c r="I59" s="1">
        <f t="shared" si="2"/>
        <v>52000</v>
      </c>
      <c r="J59" s="17">
        <f>48000+4000</f>
        <v>52000</v>
      </c>
      <c r="K59" s="17"/>
      <c r="L59" s="18">
        <f t="shared" si="20"/>
        <v>0</v>
      </c>
      <c r="M59" s="22"/>
      <c r="N59" s="22"/>
      <c r="O59" s="22"/>
      <c r="P59" s="22"/>
      <c r="Q59" s="22"/>
      <c r="R59" s="22"/>
      <c r="S59" s="22">
        <v>5600</v>
      </c>
      <c r="T59" s="22"/>
      <c r="U59" s="22">
        <v>4000</v>
      </c>
      <c r="V59" s="22"/>
      <c r="W59" s="22"/>
      <c r="X59" s="22"/>
      <c r="Y59" s="18">
        <f t="shared" si="5"/>
        <v>9600</v>
      </c>
      <c r="Z59" s="96">
        <v>12</v>
      </c>
      <c r="AA59" s="96">
        <f t="shared" si="6"/>
        <v>9600</v>
      </c>
      <c r="AB59" s="96">
        <f t="shared" si="7"/>
        <v>0</v>
      </c>
      <c r="AC59" s="99">
        <v>800</v>
      </c>
      <c r="AD59" s="98">
        <v>9600</v>
      </c>
      <c r="AE59" s="102">
        <f t="shared" si="8"/>
        <v>-8800</v>
      </c>
      <c r="AF59" s="99">
        <v>800</v>
      </c>
      <c r="AG59" s="98"/>
      <c r="AH59" s="102">
        <f t="shared" si="30"/>
        <v>-8000</v>
      </c>
      <c r="AI59" s="99">
        <v>800</v>
      </c>
      <c r="AJ59" s="98"/>
      <c r="AK59" s="102">
        <f t="shared" si="35"/>
        <v>-7200</v>
      </c>
      <c r="AL59" s="99">
        <v>800</v>
      </c>
      <c r="AM59" s="98"/>
      <c r="AN59" s="102">
        <f t="shared" si="36"/>
        <v>-6400</v>
      </c>
      <c r="AO59" s="99">
        <v>800</v>
      </c>
      <c r="AP59" s="114"/>
      <c r="AQ59" s="102">
        <f t="shared" si="37"/>
        <v>-5600</v>
      </c>
      <c r="AR59" s="99">
        <v>800</v>
      </c>
      <c r="AS59" s="114"/>
      <c r="AT59" s="102">
        <f t="shared" si="38"/>
        <v>-4800</v>
      </c>
    </row>
    <row r="60" spans="1:46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39"/>
        <v>37</v>
      </c>
      <c r="I60" s="1">
        <f t="shared" si="2"/>
        <v>37000</v>
      </c>
      <c r="J60" s="17">
        <f>24000</f>
        <v>24000</v>
      </c>
      <c r="K60" s="17">
        <v>13000</v>
      </c>
      <c r="L60" s="18">
        <f t="shared" si="20"/>
        <v>0</v>
      </c>
      <c r="M60" s="22"/>
      <c r="N60" s="22"/>
      <c r="O60" s="22">
        <v>2400</v>
      </c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5"/>
        <v>2400</v>
      </c>
      <c r="Z60" s="96">
        <v>12</v>
      </c>
      <c r="AA60" s="96">
        <f t="shared" si="6"/>
        <v>9600</v>
      </c>
      <c r="AB60" s="96">
        <f t="shared" si="7"/>
        <v>7200</v>
      </c>
      <c r="AC60" s="99">
        <v>800</v>
      </c>
      <c r="AD60" s="98"/>
      <c r="AE60" s="102">
        <f t="shared" si="8"/>
        <v>8000</v>
      </c>
      <c r="AF60" s="99">
        <v>800</v>
      </c>
      <c r="AG60" s="98"/>
      <c r="AH60" s="102">
        <f t="shared" si="30"/>
        <v>8800</v>
      </c>
      <c r="AI60" s="99">
        <v>800</v>
      </c>
      <c r="AJ60" s="98">
        <v>8800</v>
      </c>
      <c r="AK60" s="102">
        <f t="shared" si="35"/>
        <v>800</v>
      </c>
      <c r="AL60" s="99">
        <v>800</v>
      </c>
      <c r="AM60" s="98"/>
      <c r="AN60" s="102">
        <f t="shared" si="36"/>
        <v>1600</v>
      </c>
      <c r="AO60" s="99">
        <v>800</v>
      </c>
      <c r="AP60" s="114"/>
      <c r="AQ60" s="102">
        <f t="shared" si="37"/>
        <v>2400</v>
      </c>
      <c r="AR60" s="99">
        <v>800</v>
      </c>
      <c r="AS60" s="114"/>
      <c r="AT60" s="102">
        <f t="shared" si="38"/>
        <v>3200</v>
      </c>
    </row>
    <row r="61" spans="1:46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39"/>
        <v>35</v>
      </c>
      <c r="I61" s="1">
        <f t="shared" si="2"/>
        <v>35000</v>
      </c>
      <c r="J61" s="17">
        <f>31000</f>
        <v>31000</v>
      </c>
      <c r="K61" s="17"/>
      <c r="L61" s="18">
        <f t="shared" si="20"/>
        <v>4000</v>
      </c>
      <c r="M61" s="22"/>
      <c r="N61" s="22"/>
      <c r="O61" s="22">
        <v>2400</v>
      </c>
      <c r="P61" s="22"/>
      <c r="Q61" s="22"/>
      <c r="R61" s="22">
        <v>5600</v>
      </c>
      <c r="S61" s="22"/>
      <c r="T61" s="22"/>
      <c r="U61" s="22"/>
      <c r="V61" s="22"/>
      <c r="W61" s="22"/>
      <c r="X61" s="22"/>
      <c r="Y61" s="18">
        <f t="shared" si="5"/>
        <v>8000</v>
      </c>
      <c r="Z61" s="96">
        <v>12</v>
      </c>
      <c r="AA61" s="96">
        <f t="shared" si="6"/>
        <v>9600</v>
      </c>
      <c r="AB61" s="96">
        <f t="shared" si="7"/>
        <v>5600</v>
      </c>
      <c r="AC61" s="99">
        <v>800</v>
      </c>
      <c r="AD61" s="98">
        <v>8000</v>
      </c>
      <c r="AE61" s="102">
        <f t="shared" si="8"/>
        <v>-1600</v>
      </c>
      <c r="AF61" s="99">
        <v>800</v>
      </c>
      <c r="AG61" s="98"/>
      <c r="AH61" s="102">
        <f t="shared" si="30"/>
        <v>-800</v>
      </c>
      <c r="AI61" s="99">
        <v>800</v>
      </c>
      <c r="AJ61" s="98"/>
      <c r="AK61" s="102">
        <f t="shared" si="35"/>
        <v>0</v>
      </c>
      <c r="AL61" s="99">
        <v>800</v>
      </c>
      <c r="AM61" s="98"/>
      <c r="AN61" s="102">
        <f t="shared" si="36"/>
        <v>800</v>
      </c>
      <c r="AO61" s="99">
        <v>800</v>
      </c>
      <c r="AP61" s="114">
        <v>800</v>
      </c>
      <c r="AQ61" s="102">
        <f t="shared" si="37"/>
        <v>800</v>
      </c>
      <c r="AR61" s="99">
        <v>800</v>
      </c>
      <c r="AS61" s="114">
        <v>2000</v>
      </c>
      <c r="AT61" s="102">
        <f t="shared" si="38"/>
        <v>-400</v>
      </c>
    </row>
    <row r="62" spans="1:46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39"/>
        <v>31</v>
      </c>
      <c r="I62" s="1">
        <f t="shared" si="2"/>
        <v>31000</v>
      </c>
      <c r="J62" s="17">
        <f>12000</f>
        <v>12000</v>
      </c>
      <c r="K62" s="17"/>
      <c r="L62" s="18">
        <f t="shared" si="20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5"/>
        <v>0</v>
      </c>
      <c r="Z62" s="96">
        <v>12</v>
      </c>
      <c r="AA62" s="96">
        <f t="shared" si="6"/>
        <v>9600</v>
      </c>
      <c r="AB62" s="96">
        <f t="shared" si="7"/>
        <v>28600</v>
      </c>
      <c r="AC62" s="99">
        <v>800</v>
      </c>
      <c r="AD62" s="98"/>
      <c r="AE62" s="102">
        <f t="shared" si="8"/>
        <v>29400</v>
      </c>
      <c r="AF62" s="99">
        <v>800</v>
      </c>
      <c r="AG62" s="98"/>
      <c r="AH62" s="102">
        <f t="shared" si="30"/>
        <v>30200</v>
      </c>
      <c r="AI62" s="99">
        <v>800</v>
      </c>
      <c r="AJ62" s="98"/>
      <c r="AK62" s="102">
        <f t="shared" si="35"/>
        <v>31000</v>
      </c>
      <c r="AL62" s="99">
        <v>800</v>
      </c>
      <c r="AM62" s="98"/>
      <c r="AN62" s="102">
        <f t="shared" si="36"/>
        <v>31800</v>
      </c>
      <c r="AO62" s="99">
        <v>800</v>
      </c>
      <c r="AP62" s="114"/>
      <c r="AQ62" s="102">
        <f t="shared" si="37"/>
        <v>32600</v>
      </c>
      <c r="AR62" s="99">
        <v>800</v>
      </c>
      <c r="AS62" s="114"/>
      <c r="AT62" s="102">
        <f t="shared" si="38"/>
        <v>33400</v>
      </c>
    </row>
    <row r="63" spans="1:46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39"/>
        <v>48</v>
      </c>
      <c r="I63" s="1">
        <f t="shared" si="2"/>
        <v>48000</v>
      </c>
      <c r="J63" s="17">
        <f>27000</f>
        <v>27000</v>
      </c>
      <c r="K63" s="17"/>
      <c r="L63" s="18">
        <f t="shared" si="20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5"/>
        <v>0</v>
      </c>
      <c r="Z63" s="96">
        <v>12</v>
      </c>
      <c r="AA63" s="96">
        <f t="shared" si="6"/>
        <v>9600</v>
      </c>
      <c r="AB63" s="96">
        <f t="shared" si="7"/>
        <v>30600</v>
      </c>
      <c r="AC63" s="99">
        <v>800</v>
      </c>
      <c r="AD63" s="98"/>
      <c r="AE63" s="102">
        <f t="shared" si="8"/>
        <v>31400</v>
      </c>
      <c r="AF63" s="99">
        <v>800</v>
      </c>
      <c r="AG63" s="98"/>
      <c r="AH63" s="102">
        <f t="shared" si="30"/>
        <v>32200</v>
      </c>
      <c r="AI63" s="99">
        <v>800</v>
      </c>
      <c r="AJ63" s="98"/>
      <c r="AK63" s="102">
        <f t="shared" si="35"/>
        <v>33000</v>
      </c>
      <c r="AL63" s="99">
        <v>800</v>
      </c>
      <c r="AM63" s="98"/>
      <c r="AN63" s="102">
        <f t="shared" si="36"/>
        <v>33800</v>
      </c>
      <c r="AO63" s="99">
        <v>800</v>
      </c>
      <c r="AP63" s="114"/>
      <c r="AQ63" s="102">
        <f t="shared" si="37"/>
        <v>34600</v>
      </c>
      <c r="AR63" s="99">
        <v>800</v>
      </c>
      <c r="AS63" s="114"/>
      <c r="AT63" s="102">
        <f t="shared" si="38"/>
        <v>35400</v>
      </c>
    </row>
    <row r="64" spans="1:46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39"/>
        <v>47</v>
      </c>
      <c r="I64" s="1">
        <f t="shared" si="2"/>
        <v>47000</v>
      </c>
      <c r="J64" s="17">
        <v>47000</v>
      </c>
      <c r="K64" s="17"/>
      <c r="L64" s="18">
        <f t="shared" si="20"/>
        <v>0</v>
      </c>
      <c r="M64" s="22">
        <v>9600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5"/>
        <v>9600</v>
      </c>
      <c r="Z64" s="96">
        <v>12</v>
      </c>
      <c r="AA64" s="96">
        <f t="shared" si="6"/>
        <v>9600</v>
      </c>
      <c r="AB64" s="96">
        <f t="shared" si="7"/>
        <v>0</v>
      </c>
      <c r="AC64" s="99">
        <v>800</v>
      </c>
      <c r="AD64" s="98"/>
      <c r="AE64" s="102">
        <f t="shared" si="8"/>
        <v>800</v>
      </c>
      <c r="AF64" s="99">
        <v>800</v>
      </c>
      <c r="AG64" s="98">
        <v>9600</v>
      </c>
      <c r="AH64" s="102">
        <f t="shared" si="30"/>
        <v>-8000</v>
      </c>
      <c r="AI64" s="99">
        <v>800</v>
      </c>
      <c r="AJ64" s="98"/>
      <c r="AK64" s="102">
        <f t="shared" si="35"/>
        <v>-7200</v>
      </c>
      <c r="AL64" s="99">
        <v>800</v>
      </c>
      <c r="AM64" s="98"/>
      <c r="AN64" s="102">
        <f t="shared" si="36"/>
        <v>-6400</v>
      </c>
      <c r="AO64" s="99">
        <v>800</v>
      </c>
      <c r="AP64" s="114"/>
      <c r="AQ64" s="102">
        <f t="shared" si="37"/>
        <v>-5600</v>
      </c>
      <c r="AR64" s="99">
        <v>800</v>
      </c>
      <c r="AS64" s="114"/>
      <c r="AT64" s="102">
        <f t="shared" si="38"/>
        <v>-4800</v>
      </c>
    </row>
    <row r="65" spans="1:46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39"/>
        <v>19</v>
      </c>
      <c r="I65" s="1">
        <f t="shared" si="2"/>
        <v>19000</v>
      </c>
      <c r="J65" s="17">
        <v>19000</v>
      </c>
      <c r="K65" s="17"/>
      <c r="L65" s="18">
        <f t="shared" si="20"/>
        <v>0</v>
      </c>
      <c r="M65" s="22"/>
      <c r="N65" s="22">
        <v>8000</v>
      </c>
      <c r="O65" s="22"/>
      <c r="P65" s="22"/>
      <c r="Q65" s="22"/>
      <c r="R65" s="22">
        <v>4000</v>
      </c>
      <c r="S65" s="22">
        <v>3000</v>
      </c>
      <c r="T65" s="22"/>
      <c r="U65" s="22"/>
      <c r="V65" s="22"/>
      <c r="W65" s="22"/>
      <c r="X65" s="22">
        <v>6000</v>
      </c>
      <c r="Y65" s="18">
        <f t="shared" si="5"/>
        <v>21000</v>
      </c>
      <c r="Z65" s="96">
        <v>12</v>
      </c>
      <c r="AA65" s="96">
        <f t="shared" si="6"/>
        <v>9600</v>
      </c>
      <c r="AB65" s="96">
        <f t="shared" si="7"/>
        <v>-11400</v>
      </c>
      <c r="AC65" s="99">
        <v>800</v>
      </c>
      <c r="AD65" s="98"/>
      <c r="AE65" s="102">
        <f t="shared" si="8"/>
        <v>-10600</v>
      </c>
      <c r="AF65" s="99">
        <v>800</v>
      </c>
      <c r="AG65" s="98"/>
      <c r="AH65" s="102">
        <f t="shared" si="30"/>
        <v>-9800</v>
      </c>
      <c r="AI65" s="99">
        <v>800</v>
      </c>
      <c r="AJ65" s="98"/>
      <c r="AK65" s="102">
        <f t="shared" si="35"/>
        <v>-9000</v>
      </c>
      <c r="AL65" s="99">
        <v>800</v>
      </c>
      <c r="AM65" s="98"/>
      <c r="AN65" s="102">
        <f t="shared" si="36"/>
        <v>-8200</v>
      </c>
      <c r="AO65" s="99">
        <v>800</v>
      </c>
      <c r="AP65" s="114"/>
      <c r="AQ65" s="102">
        <f t="shared" si="37"/>
        <v>-7400</v>
      </c>
      <c r="AR65" s="99">
        <v>800</v>
      </c>
      <c r="AS65" s="114"/>
      <c r="AT65" s="102">
        <f t="shared" si="38"/>
        <v>-6600</v>
      </c>
    </row>
    <row r="66" spans="1:46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39"/>
        <v>53</v>
      </c>
      <c r="I66" s="1">
        <f t="shared" si="2"/>
        <v>53000</v>
      </c>
      <c r="J66" s="17">
        <f>1000+45000</f>
        <v>46000</v>
      </c>
      <c r="K66" s="17"/>
      <c r="L66" s="18">
        <f t="shared" si="20"/>
        <v>7000</v>
      </c>
      <c r="M66" s="22">
        <v>3000</v>
      </c>
      <c r="N66" s="22"/>
      <c r="O66" s="22">
        <v>1600</v>
      </c>
      <c r="P66" s="22"/>
      <c r="Q66" s="22"/>
      <c r="R66" s="22">
        <v>1600</v>
      </c>
      <c r="S66" s="22">
        <v>4000</v>
      </c>
      <c r="T66" s="22"/>
      <c r="U66" s="22">
        <v>800</v>
      </c>
      <c r="V66" s="22">
        <v>800</v>
      </c>
      <c r="W66" s="84">
        <v>800</v>
      </c>
      <c r="X66" s="22">
        <f>800+800</f>
        <v>1600</v>
      </c>
      <c r="Y66" s="18">
        <f t="shared" si="5"/>
        <v>14200</v>
      </c>
      <c r="Z66" s="96">
        <v>12</v>
      </c>
      <c r="AA66" s="96">
        <f t="shared" si="6"/>
        <v>9600</v>
      </c>
      <c r="AB66" s="96">
        <f t="shared" si="7"/>
        <v>2400</v>
      </c>
      <c r="AC66" s="99">
        <v>800</v>
      </c>
      <c r="AD66" s="97">
        <v>800</v>
      </c>
      <c r="AE66" s="102">
        <f t="shared" si="8"/>
        <v>2400</v>
      </c>
      <c r="AF66" s="99">
        <v>800</v>
      </c>
      <c r="AG66" s="97">
        <v>800</v>
      </c>
      <c r="AH66" s="102">
        <f t="shared" si="30"/>
        <v>2400</v>
      </c>
      <c r="AI66" s="99">
        <v>800</v>
      </c>
      <c r="AJ66" s="97"/>
      <c r="AK66" s="102">
        <f t="shared" si="35"/>
        <v>3200</v>
      </c>
      <c r="AL66" s="99">
        <v>800</v>
      </c>
      <c r="AM66" s="97"/>
      <c r="AN66" s="102">
        <f t="shared" si="36"/>
        <v>4000</v>
      </c>
      <c r="AO66" s="99">
        <f>800</f>
        <v>800</v>
      </c>
      <c r="AP66" s="97">
        <f>800+800</f>
        <v>1600</v>
      </c>
      <c r="AQ66" s="102">
        <f t="shared" si="37"/>
        <v>3200</v>
      </c>
      <c r="AR66" s="99">
        <f>800</f>
        <v>800</v>
      </c>
      <c r="AS66" s="97">
        <v>800</v>
      </c>
      <c r="AT66" s="102">
        <f t="shared" si="38"/>
        <v>3200</v>
      </c>
    </row>
    <row r="67" spans="1:46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39"/>
        <v>53</v>
      </c>
      <c r="I67" s="1">
        <f t="shared" si="2"/>
        <v>53000</v>
      </c>
      <c r="J67" s="17">
        <f>42000+5000</f>
        <v>47000</v>
      </c>
      <c r="K67" s="17"/>
      <c r="L67" s="18">
        <f t="shared" si="20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5"/>
        <v>0</v>
      </c>
      <c r="Z67" s="96">
        <v>12</v>
      </c>
      <c r="AA67" s="96">
        <f t="shared" si="6"/>
        <v>9600</v>
      </c>
      <c r="AB67" s="96">
        <f t="shared" si="7"/>
        <v>15600</v>
      </c>
      <c r="AC67" s="99">
        <v>800</v>
      </c>
      <c r="AD67" s="98"/>
      <c r="AE67" s="102">
        <f t="shared" si="8"/>
        <v>16400</v>
      </c>
      <c r="AF67" s="99">
        <v>800</v>
      </c>
      <c r="AG67" s="98"/>
      <c r="AH67" s="102">
        <f t="shared" si="30"/>
        <v>17200</v>
      </c>
      <c r="AI67" s="99">
        <v>800</v>
      </c>
      <c r="AJ67" s="98"/>
      <c r="AK67" s="102">
        <f t="shared" si="35"/>
        <v>18000</v>
      </c>
      <c r="AL67" s="99">
        <v>800</v>
      </c>
      <c r="AM67" s="98"/>
      <c r="AN67" s="102">
        <f t="shared" si="36"/>
        <v>18800</v>
      </c>
      <c r="AO67" s="99">
        <v>800</v>
      </c>
      <c r="AP67" s="114"/>
      <c r="AQ67" s="102">
        <f t="shared" si="37"/>
        <v>19600</v>
      </c>
      <c r="AR67" s="99">
        <v>800</v>
      </c>
      <c r="AS67" s="114"/>
      <c r="AT67" s="102">
        <f t="shared" si="38"/>
        <v>20400</v>
      </c>
    </row>
    <row r="68" spans="1:46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39"/>
        <v>55</v>
      </c>
      <c r="I68" s="1">
        <f>H68*1000</f>
        <v>55000</v>
      </c>
      <c r="J68" s="17">
        <f>1000+42000</f>
        <v>43000</v>
      </c>
      <c r="K68" s="17"/>
      <c r="L68" s="18">
        <f t="shared" si="20"/>
        <v>12000</v>
      </c>
      <c r="M68" s="22"/>
      <c r="N68" s="22"/>
      <c r="O68" s="22"/>
      <c r="P68" s="22"/>
      <c r="Q68" s="22"/>
      <c r="R68" s="22"/>
      <c r="S68" s="22"/>
      <c r="T68" s="22"/>
      <c r="U68" s="22">
        <v>9600</v>
      </c>
      <c r="V68" s="22"/>
      <c r="W68" s="22"/>
      <c r="X68" s="22"/>
      <c r="Y68" s="18">
        <f t="shared" si="5"/>
        <v>9600</v>
      </c>
      <c r="Z68" s="96">
        <v>12</v>
      </c>
      <c r="AA68" s="96">
        <f t="shared" si="6"/>
        <v>9600</v>
      </c>
      <c r="AB68" s="96">
        <f t="shared" si="7"/>
        <v>12000</v>
      </c>
      <c r="AC68" s="99">
        <v>800</v>
      </c>
      <c r="AD68" s="98"/>
      <c r="AE68" s="102">
        <f t="shared" si="8"/>
        <v>12800</v>
      </c>
      <c r="AF68" s="99">
        <v>800</v>
      </c>
      <c r="AG68" s="98"/>
      <c r="AH68" s="102">
        <f t="shared" si="30"/>
        <v>13600</v>
      </c>
      <c r="AI68" s="99">
        <v>800</v>
      </c>
      <c r="AJ68" s="98"/>
      <c r="AK68" s="102">
        <f t="shared" si="35"/>
        <v>14400</v>
      </c>
      <c r="AL68" s="99">
        <v>800</v>
      </c>
      <c r="AM68" s="98"/>
      <c r="AN68" s="102">
        <f t="shared" si="36"/>
        <v>15200</v>
      </c>
      <c r="AO68" s="99">
        <v>800</v>
      </c>
      <c r="AP68" s="114"/>
      <c r="AQ68" s="102">
        <f t="shared" si="37"/>
        <v>16000</v>
      </c>
      <c r="AR68" s="99">
        <v>800</v>
      </c>
      <c r="AS68" s="114"/>
      <c r="AT68" s="102">
        <f t="shared" si="38"/>
        <v>16800</v>
      </c>
    </row>
    <row r="69" spans="1:46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39"/>
        <v>49</v>
      </c>
      <c r="I69" s="1">
        <f>H69*1000</f>
        <v>49000</v>
      </c>
      <c r="J69" s="17">
        <f>1000+36000</f>
        <v>37000</v>
      </c>
      <c r="K69" s="17"/>
      <c r="L69" s="18">
        <f t="shared" si="20"/>
        <v>12000</v>
      </c>
      <c r="M69" s="22"/>
      <c r="N69" s="22"/>
      <c r="O69" s="22"/>
      <c r="P69" s="22"/>
      <c r="Q69" s="22"/>
      <c r="R69" s="22">
        <v>21600</v>
      </c>
      <c r="S69" s="22"/>
      <c r="T69" s="22"/>
      <c r="U69" s="22"/>
      <c r="V69" s="22"/>
      <c r="W69" s="22"/>
      <c r="X69" s="22"/>
      <c r="Y69" s="18">
        <f t="shared" si="5"/>
        <v>21600</v>
      </c>
      <c r="Z69" s="96">
        <v>12</v>
      </c>
      <c r="AA69" s="96">
        <f t="shared" si="6"/>
        <v>9600</v>
      </c>
      <c r="AB69" s="96">
        <f t="shared" si="7"/>
        <v>0</v>
      </c>
      <c r="AC69" s="99">
        <v>800</v>
      </c>
      <c r="AD69" s="98"/>
      <c r="AE69" s="102">
        <f t="shared" si="8"/>
        <v>800</v>
      </c>
      <c r="AF69" s="99">
        <v>800</v>
      </c>
      <c r="AG69" s="98"/>
      <c r="AH69" s="102">
        <f t="shared" si="30"/>
        <v>1600</v>
      </c>
      <c r="AI69" s="99">
        <v>800</v>
      </c>
      <c r="AJ69" s="98"/>
      <c r="AK69" s="102">
        <f t="shared" si="35"/>
        <v>2400</v>
      </c>
      <c r="AL69" s="99">
        <v>800</v>
      </c>
      <c r="AM69" s="98"/>
      <c r="AN69" s="102">
        <f t="shared" si="36"/>
        <v>3200</v>
      </c>
      <c r="AO69" s="99">
        <v>800</v>
      </c>
      <c r="AP69" s="114"/>
      <c r="AQ69" s="102">
        <f t="shared" si="37"/>
        <v>4000</v>
      </c>
      <c r="AR69" s="99">
        <v>800</v>
      </c>
      <c r="AS69" s="114"/>
      <c r="AT69" s="102">
        <f t="shared" si="38"/>
        <v>4800</v>
      </c>
    </row>
    <row r="70" spans="1:46">
      <c r="A70" s="41">
        <f>VLOOKUP(B70,справочник!$B$2:$E$322,4,FALSE)</f>
        <v>148</v>
      </c>
      <c r="B70" t="str">
        <f t="shared" ref="B70:B133" si="40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39"/>
        <v>45</v>
      </c>
      <c r="I70" s="1">
        <f>H70*1000</f>
        <v>45000</v>
      </c>
      <c r="J70" s="17">
        <f>12000</f>
        <v>12000</v>
      </c>
      <c r="K70" s="17"/>
      <c r="L70" s="18">
        <f t="shared" si="20"/>
        <v>33000</v>
      </c>
      <c r="M70" s="22"/>
      <c r="N70" s="22">
        <v>1800</v>
      </c>
      <c r="O70" s="22">
        <v>1800</v>
      </c>
      <c r="P70" s="22">
        <v>1800</v>
      </c>
      <c r="Q70" s="22"/>
      <c r="R70" s="22"/>
      <c r="S70" s="22"/>
      <c r="T70" s="22"/>
      <c r="U70" s="22"/>
      <c r="V70" s="22"/>
      <c r="W70" s="22"/>
      <c r="X70" s="22"/>
      <c r="Y70" s="18">
        <f t="shared" ref="Y70:Y133" si="41">SUM(M70:X70)</f>
        <v>5400</v>
      </c>
      <c r="Z70" s="96">
        <v>12</v>
      </c>
      <c r="AA70" s="96">
        <f t="shared" ref="AA70:AA133" si="42">Z70*800</f>
        <v>9600</v>
      </c>
      <c r="AB70" s="96">
        <f t="shared" ref="AB70:AB133" si="43">L70+AA70-Y70</f>
        <v>37200</v>
      </c>
      <c r="AC70" s="99">
        <v>800</v>
      </c>
      <c r="AD70" s="98"/>
      <c r="AE70" s="102">
        <f t="shared" ref="AE70:AE131" si="44">AB70+AC70-AD70</f>
        <v>38000</v>
      </c>
      <c r="AF70" s="99">
        <v>800</v>
      </c>
      <c r="AG70" s="98"/>
      <c r="AH70" s="102">
        <f t="shared" si="30"/>
        <v>38800</v>
      </c>
      <c r="AI70" s="99">
        <v>800</v>
      </c>
      <c r="AJ70" s="98"/>
      <c r="AK70" s="102">
        <f t="shared" si="35"/>
        <v>39600</v>
      </c>
      <c r="AL70" s="99">
        <v>800</v>
      </c>
      <c r="AM70" s="98"/>
      <c r="AN70" s="102">
        <f t="shared" si="36"/>
        <v>40400</v>
      </c>
      <c r="AO70" s="99">
        <v>800</v>
      </c>
      <c r="AP70" s="114"/>
      <c r="AQ70" s="102">
        <f t="shared" si="37"/>
        <v>41200</v>
      </c>
      <c r="AR70" s="99">
        <v>800</v>
      </c>
      <c r="AS70" s="114"/>
      <c r="AT70" s="102">
        <f t="shared" si="38"/>
        <v>42000</v>
      </c>
    </row>
    <row r="71" spans="1:46">
      <c r="A71" s="41">
        <f>VLOOKUP(B71,справочник!$B$2:$E$322,4,FALSE)</f>
        <v>308</v>
      </c>
      <c r="B71" t="str">
        <f t="shared" si="40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39"/>
        <v>11</v>
      </c>
      <c r="I71" s="1">
        <f>H71*1000</f>
        <v>11000</v>
      </c>
      <c r="J71" s="17">
        <v>3000</v>
      </c>
      <c r="K71" s="17"/>
      <c r="L71" s="18">
        <f t="shared" si="20"/>
        <v>8000</v>
      </c>
      <c r="M71" s="22"/>
      <c r="N71" s="22"/>
      <c r="O71" s="22"/>
      <c r="P71" s="22"/>
      <c r="Q71" s="22"/>
      <c r="R71" s="22"/>
      <c r="S71" s="22">
        <v>4800</v>
      </c>
      <c r="T71" s="22"/>
      <c r="U71" s="22"/>
      <c r="V71" s="22"/>
      <c r="W71" s="22"/>
      <c r="X71" s="22"/>
      <c r="Y71" s="18">
        <f t="shared" si="41"/>
        <v>4800</v>
      </c>
      <c r="Z71" s="96">
        <v>12</v>
      </c>
      <c r="AA71" s="96">
        <f t="shared" si="42"/>
        <v>9600</v>
      </c>
      <c r="AB71" s="96">
        <f t="shared" si="43"/>
        <v>12800</v>
      </c>
      <c r="AC71" s="99">
        <v>800</v>
      </c>
      <c r="AD71" s="98"/>
      <c r="AE71" s="102">
        <f t="shared" si="44"/>
        <v>13600</v>
      </c>
      <c r="AF71" s="99">
        <v>800</v>
      </c>
      <c r="AG71" s="98"/>
      <c r="AH71" s="102">
        <f t="shared" si="30"/>
        <v>14400</v>
      </c>
      <c r="AI71" s="99">
        <v>800</v>
      </c>
      <c r="AJ71" s="98">
        <v>15000</v>
      </c>
      <c r="AK71" s="102">
        <f t="shared" si="35"/>
        <v>200</v>
      </c>
      <c r="AL71" s="99">
        <v>800</v>
      </c>
      <c r="AM71" s="98"/>
      <c r="AN71" s="102">
        <f t="shared" si="36"/>
        <v>1000</v>
      </c>
      <c r="AO71" s="99">
        <v>800</v>
      </c>
      <c r="AP71" s="114"/>
      <c r="AQ71" s="102">
        <f t="shared" si="37"/>
        <v>1800</v>
      </c>
      <c r="AR71" s="99">
        <v>800</v>
      </c>
      <c r="AS71" s="114"/>
      <c r="AT71" s="102">
        <f t="shared" si="38"/>
        <v>2600</v>
      </c>
    </row>
    <row r="72" spans="1:46">
      <c r="A72" s="41">
        <f>VLOOKUP(B72,справочник!$B$2:$E$322,4,FALSE)</f>
        <v>318</v>
      </c>
      <c r="B72" t="str">
        <f t="shared" si="40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39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>I72-J72-K72</f>
        <v>0</v>
      </c>
      <c r="M72" s="22"/>
      <c r="N72" s="22">
        <v>4800</v>
      </c>
      <c r="O72" s="22"/>
      <c r="P72" s="22">
        <v>4800</v>
      </c>
      <c r="Q72" s="22"/>
      <c r="R72" s="22"/>
      <c r="S72" s="22">
        <v>4800</v>
      </c>
      <c r="T72" s="22"/>
      <c r="U72" s="22"/>
      <c r="V72" s="22">
        <v>4800</v>
      </c>
      <c r="W72" s="22"/>
      <c r="X72" s="22"/>
      <c r="Y72" s="18">
        <f>SUM(M72:X72)</f>
        <v>19200</v>
      </c>
      <c r="Z72" s="96">
        <v>12</v>
      </c>
      <c r="AA72" s="96">
        <f t="shared" si="42"/>
        <v>9600</v>
      </c>
      <c r="AB72" s="96">
        <f t="shared" si="43"/>
        <v>-9600</v>
      </c>
      <c r="AC72" s="99">
        <v>800</v>
      </c>
      <c r="AD72" s="98">
        <v>4800</v>
      </c>
      <c r="AE72" s="102">
        <f t="shared" si="44"/>
        <v>-13600</v>
      </c>
      <c r="AF72" s="99">
        <v>800</v>
      </c>
      <c r="AG72" s="98"/>
      <c r="AH72" s="102">
        <f t="shared" si="30"/>
        <v>-12800</v>
      </c>
      <c r="AI72" s="99">
        <v>800</v>
      </c>
      <c r="AJ72" s="98"/>
      <c r="AK72" s="102">
        <f t="shared" si="35"/>
        <v>-12000</v>
      </c>
      <c r="AL72" s="99">
        <v>800</v>
      </c>
      <c r="AM72" s="98">
        <v>4800</v>
      </c>
      <c r="AN72" s="102">
        <f t="shared" si="36"/>
        <v>-16000</v>
      </c>
      <c r="AO72" s="99">
        <v>800</v>
      </c>
      <c r="AP72" s="114"/>
      <c r="AQ72" s="102">
        <f t="shared" si="37"/>
        <v>-15200</v>
      </c>
      <c r="AR72" s="99">
        <v>800</v>
      </c>
      <c r="AS72" s="114"/>
      <c r="AT72" s="102">
        <f t="shared" si="38"/>
        <v>-14400</v>
      </c>
    </row>
    <row r="73" spans="1:46">
      <c r="A73" s="41">
        <f>VLOOKUP(B73,справочник!$B$2:$E$322,4,FALSE)</f>
        <v>236</v>
      </c>
      <c r="B73" t="str">
        <f t="shared" si="40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39"/>
        <v>47</v>
      </c>
      <c r="I73" s="1">
        <f>H73*1000</f>
        <v>47000</v>
      </c>
      <c r="J73" s="17">
        <f>18000+11000</f>
        <v>29000</v>
      </c>
      <c r="K73" s="17"/>
      <c r="L73" s="18">
        <f t="shared" si="20"/>
        <v>18000</v>
      </c>
      <c r="M73" s="22"/>
      <c r="N73" s="22"/>
      <c r="O73" s="22"/>
      <c r="P73" s="22"/>
      <c r="Q73" s="22">
        <v>25000</v>
      </c>
      <c r="R73" s="22"/>
      <c r="S73" s="22"/>
      <c r="T73" s="22"/>
      <c r="U73" s="22"/>
      <c r="V73" s="22">
        <v>2600</v>
      </c>
      <c r="W73" s="22"/>
      <c r="X73" s="22"/>
      <c r="Y73" s="18">
        <f t="shared" si="41"/>
        <v>27600</v>
      </c>
      <c r="Z73" s="96">
        <v>12</v>
      </c>
      <c r="AA73" s="96">
        <f t="shared" si="42"/>
        <v>9600</v>
      </c>
      <c r="AB73" s="96">
        <f t="shared" si="43"/>
        <v>0</v>
      </c>
      <c r="AC73" s="99">
        <v>800</v>
      </c>
      <c r="AD73" s="98"/>
      <c r="AE73" s="102">
        <f t="shared" si="44"/>
        <v>800</v>
      </c>
      <c r="AF73" s="99">
        <v>800</v>
      </c>
      <c r="AG73" s="98"/>
      <c r="AH73" s="102">
        <f t="shared" si="30"/>
        <v>1600</v>
      </c>
      <c r="AI73" s="99">
        <v>800</v>
      </c>
      <c r="AJ73" s="98"/>
      <c r="AK73" s="102">
        <f t="shared" si="35"/>
        <v>2400</v>
      </c>
      <c r="AL73" s="99">
        <v>800</v>
      </c>
      <c r="AM73" s="98">
        <v>4800</v>
      </c>
      <c r="AN73" s="102">
        <f t="shared" si="36"/>
        <v>-1600</v>
      </c>
      <c r="AO73" s="99">
        <v>800</v>
      </c>
      <c r="AP73" s="114"/>
      <c r="AQ73" s="102">
        <f t="shared" si="37"/>
        <v>-800</v>
      </c>
      <c r="AR73" s="99">
        <v>800</v>
      </c>
      <c r="AS73" s="114"/>
      <c r="AT73" s="102">
        <f t="shared" si="38"/>
        <v>0</v>
      </c>
    </row>
    <row r="74" spans="1:46">
      <c r="A74" s="41">
        <f>VLOOKUP(B74,справочник!$B$2:$E$322,4,FALSE)</f>
        <v>226</v>
      </c>
      <c r="B74" t="str">
        <f t="shared" si="40"/>
        <v xml:space="preserve">235Данильянц Юрий Константинович   </v>
      </c>
      <c r="C74" s="1">
        <v>235</v>
      </c>
      <c r="D74" s="2" t="s">
        <v>68</v>
      </c>
      <c r="E74" s="1" t="s">
        <v>385</v>
      </c>
      <c r="F74" s="16">
        <v>41739</v>
      </c>
      <c r="G74" s="16">
        <v>41760</v>
      </c>
      <c r="H74" s="17">
        <f t="shared" si="39"/>
        <v>20</v>
      </c>
      <c r="I74" s="1">
        <f>H74*1000</f>
        <v>20000</v>
      </c>
      <c r="J74" s="17"/>
      <c r="K74" s="17"/>
      <c r="L74" s="18">
        <f t="shared" si="20"/>
        <v>20000</v>
      </c>
      <c r="M74" s="22"/>
      <c r="N74" s="22"/>
      <c r="O74" s="22"/>
      <c r="P74" s="22"/>
      <c r="Q74" s="22"/>
      <c r="R74" s="22"/>
      <c r="S74" s="22"/>
      <c r="T74" s="22"/>
      <c r="U74" s="22">
        <v>4000</v>
      </c>
      <c r="V74" s="22"/>
      <c r="W74" s="22"/>
      <c r="X74" s="22"/>
      <c r="Y74" s="18">
        <f t="shared" si="41"/>
        <v>4000</v>
      </c>
      <c r="Z74" s="96">
        <v>12</v>
      </c>
      <c r="AA74" s="96">
        <f t="shared" si="42"/>
        <v>9600</v>
      </c>
      <c r="AB74" s="96">
        <f t="shared" si="43"/>
        <v>25600</v>
      </c>
      <c r="AC74" s="99">
        <v>800</v>
      </c>
      <c r="AD74" s="98"/>
      <c r="AE74" s="102">
        <f t="shared" si="44"/>
        <v>26400</v>
      </c>
      <c r="AF74" s="99">
        <v>800</v>
      </c>
      <c r="AG74" s="98">
        <v>2400</v>
      </c>
      <c r="AH74" s="102">
        <f t="shared" si="30"/>
        <v>24800</v>
      </c>
      <c r="AI74" s="99">
        <v>800</v>
      </c>
      <c r="AJ74" s="98">
        <v>2000</v>
      </c>
      <c r="AK74" s="102">
        <f t="shared" si="35"/>
        <v>23600</v>
      </c>
      <c r="AL74" s="99">
        <v>800</v>
      </c>
      <c r="AM74" s="98">
        <v>5000</v>
      </c>
      <c r="AN74" s="102">
        <f t="shared" si="36"/>
        <v>19400</v>
      </c>
      <c r="AO74" s="99">
        <v>800</v>
      </c>
      <c r="AP74" s="114"/>
      <c r="AQ74" s="102">
        <f t="shared" si="37"/>
        <v>20200</v>
      </c>
      <c r="AR74" s="99">
        <v>800</v>
      </c>
      <c r="AS74" s="114">
        <v>4000</v>
      </c>
      <c r="AT74" s="102">
        <f t="shared" si="38"/>
        <v>17000</v>
      </c>
    </row>
    <row r="75" spans="1:46">
      <c r="A75" s="41">
        <f>VLOOKUP(B75,справочник!$B$2:$E$322,4,FALSE)</f>
        <v>285</v>
      </c>
      <c r="B75" t="str">
        <f t="shared" si="40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20"/>
        <v>0</v>
      </c>
      <c r="M75" s="22"/>
      <c r="N75" s="22">
        <v>8000</v>
      </c>
      <c r="O75" s="22"/>
      <c r="P75" s="22"/>
      <c r="Q75" s="22"/>
      <c r="R75" s="22">
        <v>4000</v>
      </c>
      <c r="S75" s="22"/>
      <c r="T75" s="22"/>
      <c r="U75" s="22"/>
      <c r="V75" s="22"/>
      <c r="W75" s="22"/>
      <c r="X75" s="22">
        <v>6000</v>
      </c>
      <c r="Y75" s="18">
        <f t="shared" si="41"/>
        <v>18000</v>
      </c>
      <c r="Z75" s="96">
        <v>12</v>
      </c>
      <c r="AA75" s="96">
        <f t="shared" si="42"/>
        <v>9600</v>
      </c>
      <c r="AB75" s="96">
        <f t="shared" si="43"/>
        <v>-8400</v>
      </c>
      <c r="AC75" s="99">
        <v>800</v>
      </c>
      <c r="AD75" s="98"/>
      <c r="AE75" s="102">
        <f t="shared" si="44"/>
        <v>-7600</v>
      </c>
      <c r="AF75" s="99">
        <v>800</v>
      </c>
      <c r="AG75" s="98"/>
      <c r="AH75" s="102">
        <f t="shared" si="30"/>
        <v>-6800</v>
      </c>
      <c r="AI75" s="99">
        <v>800</v>
      </c>
      <c r="AJ75" s="98"/>
      <c r="AK75" s="102">
        <f t="shared" si="35"/>
        <v>-6000</v>
      </c>
      <c r="AL75" s="99">
        <v>800</v>
      </c>
      <c r="AM75" s="98"/>
      <c r="AN75" s="102">
        <f t="shared" si="36"/>
        <v>-5200</v>
      </c>
      <c r="AO75" s="99">
        <v>800</v>
      </c>
      <c r="AP75" s="114"/>
      <c r="AQ75" s="102">
        <f t="shared" si="37"/>
        <v>-4400</v>
      </c>
      <c r="AR75" s="99">
        <v>800</v>
      </c>
      <c r="AS75" s="114"/>
      <c r="AT75" s="102">
        <f t="shared" si="38"/>
        <v>-3600</v>
      </c>
    </row>
    <row r="76" spans="1:46">
      <c r="A76" s="41">
        <f>VLOOKUP(B76,справочник!$B$2:$E$322,4,FALSE)</f>
        <v>24</v>
      </c>
      <c r="B76" t="str">
        <f t="shared" si="40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45">INT(($H$325-G76)/30)</f>
        <v>40</v>
      </c>
      <c r="I76" s="1">
        <f t="shared" ref="I76:I139" si="46">H76*1000</f>
        <v>40000</v>
      </c>
      <c r="J76" s="17">
        <v>30000</v>
      </c>
      <c r="K76" s="17"/>
      <c r="L76" s="18">
        <f t="shared" si="20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41"/>
        <v>0</v>
      </c>
      <c r="Z76" s="96">
        <v>12</v>
      </c>
      <c r="AA76" s="96">
        <f t="shared" si="42"/>
        <v>9600</v>
      </c>
      <c r="AB76" s="96">
        <f t="shared" si="43"/>
        <v>19600</v>
      </c>
      <c r="AC76" s="99">
        <v>800</v>
      </c>
      <c r="AD76" s="98"/>
      <c r="AE76" s="102">
        <f t="shared" si="44"/>
        <v>20400</v>
      </c>
      <c r="AF76" s="99">
        <v>800</v>
      </c>
      <c r="AG76" s="98"/>
      <c r="AH76" s="102">
        <f t="shared" si="30"/>
        <v>21200</v>
      </c>
      <c r="AI76" s="99">
        <v>800</v>
      </c>
      <c r="AJ76" s="98"/>
      <c r="AK76" s="102">
        <f t="shared" si="35"/>
        <v>22000</v>
      </c>
      <c r="AL76" s="99">
        <v>800</v>
      </c>
      <c r="AM76" s="98"/>
      <c r="AN76" s="102">
        <f t="shared" si="36"/>
        <v>22800</v>
      </c>
      <c r="AO76" s="99">
        <v>800</v>
      </c>
      <c r="AP76" s="114"/>
      <c r="AQ76" s="102">
        <f t="shared" si="37"/>
        <v>23600</v>
      </c>
      <c r="AR76" s="99">
        <v>800</v>
      </c>
      <c r="AS76" s="114"/>
      <c r="AT76" s="102">
        <f t="shared" si="38"/>
        <v>24400</v>
      </c>
    </row>
    <row r="77" spans="1:46">
      <c r="A77" s="41">
        <f>VLOOKUP(B77,справочник!$B$2:$E$322,4,FALSE)</f>
        <v>50</v>
      </c>
      <c r="B77" t="str">
        <f t="shared" si="40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45"/>
        <v>52</v>
      </c>
      <c r="I77" s="1">
        <f t="shared" si="46"/>
        <v>52000</v>
      </c>
      <c r="J77" s="17">
        <f>1000+41000</f>
        <v>42000</v>
      </c>
      <c r="K77" s="17"/>
      <c r="L77" s="18">
        <f t="shared" si="20"/>
        <v>10000</v>
      </c>
      <c r="M77" s="22"/>
      <c r="N77" s="22"/>
      <c r="O77" s="22">
        <v>12000</v>
      </c>
      <c r="P77" s="22"/>
      <c r="Q77" s="22"/>
      <c r="R77" s="22"/>
      <c r="S77" s="22">
        <v>3200</v>
      </c>
      <c r="T77" s="22"/>
      <c r="U77" s="22"/>
      <c r="V77" s="22"/>
      <c r="W77" s="22"/>
      <c r="X77" s="22"/>
      <c r="Y77" s="18">
        <f t="shared" si="41"/>
        <v>15200</v>
      </c>
      <c r="Z77" s="96">
        <v>12</v>
      </c>
      <c r="AA77" s="96">
        <f t="shared" si="42"/>
        <v>9600</v>
      </c>
      <c r="AB77" s="96">
        <f t="shared" si="43"/>
        <v>4400</v>
      </c>
      <c r="AC77" s="99">
        <v>800</v>
      </c>
      <c r="AD77" s="98"/>
      <c r="AE77" s="102">
        <f t="shared" si="44"/>
        <v>5200</v>
      </c>
      <c r="AF77" s="99">
        <v>800</v>
      </c>
      <c r="AG77" s="98"/>
      <c r="AH77" s="102">
        <f t="shared" si="30"/>
        <v>6000</v>
      </c>
      <c r="AI77" s="99">
        <v>800</v>
      </c>
      <c r="AJ77" s="98"/>
      <c r="AK77" s="102">
        <f t="shared" si="35"/>
        <v>6800</v>
      </c>
      <c r="AL77" s="99">
        <v>800</v>
      </c>
      <c r="AM77" s="98"/>
      <c r="AN77" s="102">
        <f t="shared" si="36"/>
        <v>7600</v>
      </c>
      <c r="AO77" s="99">
        <v>800</v>
      </c>
      <c r="AP77" s="114"/>
      <c r="AQ77" s="102">
        <f t="shared" si="37"/>
        <v>8400</v>
      </c>
      <c r="AR77" s="99">
        <v>800</v>
      </c>
      <c r="AS77" s="114"/>
      <c r="AT77" s="102">
        <f t="shared" si="38"/>
        <v>9200</v>
      </c>
    </row>
    <row r="78" spans="1:46">
      <c r="A78" s="41">
        <f>VLOOKUP(B78,справочник!$B$2:$E$322,4,FALSE)</f>
        <v>122</v>
      </c>
      <c r="B78" t="str">
        <f t="shared" si="40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45"/>
        <v>47</v>
      </c>
      <c r="I78" s="1">
        <f t="shared" si="46"/>
        <v>47000</v>
      </c>
      <c r="J78" s="17">
        <v>37000</v>
      </c>
      <c r="K78" s="17">
        <v>5000</v>
      </c>
      <c r="L78" s="18">
        <f t="shared" si="20"/>
        <v>5000</v>
      </c>
      <c r="M78" s="22"/>
      <c r="N78" s="22">
        <v>2000</v>
      </c>
      <c r="O78" s="22"/>
      <c r="P78" s="22">
        <v>2000</v>
      </c>
      <c r="Q78" s="22"/>
      <c r="R78" s="22"/>
      <c r="S78" s="22"/>
      <c r="T78" s="22"/>
      <c r="U78" s="22">
        <v>3200</v>
      </c>
      <c r="V78" s="22"/>
      <c r="W78" s="22"/>
      <c r="X78" s="22">
        <v>2400</v>
      </c>
      <c r="Y78" s="18">
        <f t="shared" si="41"/>
        <v>9600</v>
      </c>
      <c r="Z78" s="96">
        <v>12</v>
      </c>
      <c r="AA78" s="96">
        <f t="shared" si="42"/>
        <v>9600</v>
      </c>
      <c r="AB78" s="96">
        <f t="shared" si="43"/>
        <v>5000</v>
      </c>
      <c r="AC78" s="99">
        <v>800</v>
      </c>
      <c r="AD78" s="98"/>
      <c r="AE78" s="102">
        <f t="shared" si="44"/>
        <v>5800</v>
      </c>
      <c r="AF78" s="99">
        <v>800</v>
      </c>
      <c r="AG78" s="98">
        <v>1600</v>
      </c>
      <c r="AH78" s="102">
        <f t="shared" si="30"/>
        <v>5000</v>
      </c>
      <c r="AI78" s="99">
        <v>800</v>
      </c>
      <c r="AJ78" s="98"/>
      <c r="AK78" s="102">
        <f t="shared" si="35"/>
        <v>5800</v>
      </c>
      <c r="AL78" s="99">
        <v>800</v>
      </c>
      <c r="AM78" s="98"/>
      <c r="AN78" s="102">
        <f t="shared" si="36"/>
        <v>6600</v>
      </c>
      <c r="AO78" s="99">
        <v>800</v>
      </c>
      <c r="AP78" s="114">
        <v>2400</v>
      </c>
      <c r="AQ78" s="102">
        <f t="shared" si="37"/>
        <v>5000</v>
      </c>
      <c r="AR78" s="99">
        <v>800</v>
      </c>
      <c r="AS78" s="114"/>
      <c r="AT78" s="102">
        <f t="shared" si="38"/>
        <v>5800</v>
      </c>
    </row>
    <row r="79" spans="1:46">
      <c r="A79" s="41">
        <f>VLOOKUP(B79,справочник!$B$2:$E$322,4,FALSE)</f>
        <v>301</v>
      </c>
      <c r="B79" t="str">
        <f t="shared" si="40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45"/>
        <v>13</v>
      </c>
      <c r="I79" s="1">
        <f t="shared" si="46"/>
        <v>13000</v>
      </c>
      <c r="J79" s="17">
        <v>1000</v>
      </c>
      <c r="K79" s="17"/>
      <c r="L79" s="18">
        <f t="shared" si="20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41"/>
        <v>0</v>
      </c>
      <c r="Z79" s="96">
        <v>12</v>
      </c>
      <c r="AA79" s="96">
        <f t="shared" si="42"/>
        <v>9600</v>
      </c>
      <c r="AB79" s="96">
        <f t="shared" si="43"/>
        <v>21600</v>
      </c>
      <c r="AC79" s="99">
        <v>800</v>
      </c>
      <c r="AD79" s="98"/>
      <c r="AE79" s="102">
        <f t="shared" si="44"/>
        <v>22400</v>
      </c>
      <c r="AF79" s="99">
        <v>800</v>
      </c>
      <c r="AG79" s="98"/>
      <c r="AH79" s="102">
        <f t="shared" si="30"/>
        <v>23200</v>
      </c>
      <c r="AI79" s="99">
        <v>800</v>
      </c>
      <c r="AJ79" s="98"/>
      <c r="AK79" s="102">
        <f t="shared" si="35"/>
        <v>24000</v>
      </c>
      <c r="AL79" s="99">
        <v>800</v>
      </c>
      <c r="AM79" s="98">
        <v>25000</v>
      </c>
      <c r="AN79" s="102">
        <f t="shared" si="36"/>
        <v>-200</v>
      </c>
      <c r="AO79" s="99">
        <v>800</v>
      </c>
      <c r="AP79" s="114"/>
      <c r="AQ79" s="102">
        <f t="shared" si="37"/>
        <v>600</v>
      </c>
      <c r="AR79" s="99">
        <v>800</v>
      </c>
      <c r="AS79" s="114"/>
      <c r="AT79" s="102">
        <f t="shared" si="38"/>
        <v>1400</v>
      </c>
    </row>
    <row r="80" spans="1:46">
      <c r="A80" s="41">
        <f>VLOOKUP(B80,справочник!$B$2:$E$322,4,FALSE)</f>
        <v>18</v>
      </c>
      <c r="B80" t="str">
        <f t="shared" si="40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45"/>
        <v>29</v>
      </c>
      <c r="I80" s="1">
        <f t="shared" si="46"/>
        <v>29000</v>
      </c>
      <c r="J80" s="17">
        <v>29000</v>
      </c>
      <c r="K80" s="17"/>
      <c r="L80" s="18">
        <f t="shared" si="20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41"/>
        <v>0</v>
      </c>
      <c r="Z80" s="96">
        <v>12</v>
      </c>
      <c r="AA80" s="96">
        <f t="shared" si="42"/>
        <v>9600</v>
      </c>
      <c r="AB80" s="96">
        <f t="shared" si="43"/>
        <v>9600</v>
      </c>
      <c r="AC80" s="99">
        <v>800</v>
      </c>
      <c r="AD80" s="98"/>
      <c r="AE80" s="102">
        <f t="shared" si="44"/>
        <v>10400</v>
      </c>
      <c r="AF80" s="99">
        <v>800</v>
      </c>
      <c r="AG80" s="98"/>
      <c r="AH80" s="102">
        <f t="shared" si="30"/>
        <v>11200</v>
      </c>
      <c r="AI80" s="99">
        <v>800</v>
      </c>
      <c r="AJ80" s="98"/>
      <c r="AK80" s="102">
        <f t="shared" si="35"/>
        <v>12000</v>
      </c>
      <c r="AL80" s="99">
        <v>800</v>
      </c>
      <c r="AM80" s="98">
        <v>14400</v>
      </c>
      <c r="AN80" s="102">
        <f t="shared" si="36"/>
        <v>-1600</v>
      </c>
      <c r="AO80" s="99">
        <v>800</v>
      </c>
      <c r="AP80" s="114"/>
      <c r="AQ80" s="102">
        <f t="shared" si="37"/>
        <v>-800</v>
      </c>
      <c r="AR80" s="99">
        <v>800</v>
      </c>
      <c r="AS80" s="114"/>
      <c r="AT80" s="102">
        <f t="shared" si="38"/>
        <v>0</v>
      </c>
    </row>
    <row r="81" spans="1:46">
      <c r="A81" s="41">
        <f>VLOOKUP(B81,справочник!$B$2:$E$322,4,FALSE)</f>
        <v>155</v>
      </c>
      <c r="B81" t="str">
        <f t="shared" si="40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45"/>
        <v>28</v>
      </c>
      <c r="I81" s="1">
        <f t="shared" si="46"/>
        <v>28000</v>
      </c>
      <c r="J81" s="17">
        <v>28000</v>
      </c>
      <c r="K81" s="17">
        <v>2000</v>
      </c>
      <c r="L81" s="18">
        <f t="shared" si="20"/>
        <v>-2000</v>
      </c>
      <c r="M81" s="22"/>
      <c r="N81" s="22">
        <v>600</v>
      </c>
      <c r="O81" s="22">
        <v>1600</v>
      </c>
      <c r="P81" s="22"/>
      <c r="Q81" s="22">
        <v>1600</v>
      </c>
      <c r="R81" s="22"/>
      <c r="S81" s="22">
        <v>1600</v>
      </c>
      <c r="T81" s="22"/>
      <c r="U81" s="22"/>
      <c r="V81" s="22">
        <v>1600</v>
      </c>
      <c r="W81" s="84">
        <v>1600</v>
      </c>
      <c r="X81" s="22"/>
      <c r="Y81" s="18">
        <f t="shared" si="41"/>
        <v>8600</v>
      </c>
      <c r="Z81" s="96">
        <v>12</v>
      </c>
      <c r="AA81" s="96">
        <f t="shared" si="42"/>
        <v>9600</v>
      </c>
      <c r="AB81" s="96">
        <f t="shared" si="43"/>
        <v>-1000</v>
      </c>
      <c r="AC81" s="99">
        <v>800</v>
      </c>
      <c r="AD81" s="98">
        <v>1600</v>
      </c>
      <c r="AE81" s="102">
        <f t="shared" si="44"/>
        <v>-1800</v>
      </c>
      <c r="AF81" s="99">
        <v>800</v>
      </c>
      <c r="AG81" s="98"/>
      <c r="AH81" s="102">
        <f t="shared" si="30"/>
        <v>-1000</v>
      </c>
      <c r="AI81" s="99">
        <v>800</v>
      </c>
      <c r="AJ81" s="98"/>
      <c r="AK81" s="102">
        <f t="shared" si="35"/>
        <v>-200</v>
      </c>
      <c r="AL81" s="99">
        <v>800</v>
      </c>
      <c r="AM81" s="98"/>
      <c r="AN81" s="102">
        <f t="shared" si="36"/>
        <v>600</v>
      </c>
      <c r="AO81" s="99">
        <v>800</v>
      </c>
      <c r="AP81" s="114"/>
      <c r="AQ81" s="102">
        <f t="shared" si="37"/>
        <v>1400</v>
      </c>
      <c r="AR81" s="99">
        <v>800</v>
      </c>
      <c r="AS81" s="114">
        <v>1500</v>
      </c>
      <c r="AT81" s="102">
        <f t="shared" si="38"/>
        <v>700</v>
      </c>
    </row>
    <row r="82" spans="1:46">
      <c r="A82" s="41">
        <f>VLOOKUP(B82,справочник!$B$2:$E$322,4,FALSE)</f>
        <v>44</v>
      </c>
      <c r="B82" t="str">
        <f t="shared" si="40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45"/>
        <v>42</v>
      </c>
      <c r="I82" s="1">
        <f t="shared" si="46"/>
        <v>42000</v>
      </c>
      <c r="J82" s="17">
        <f>21000+6000</f>
        <v>27000</v>
      </c>
      <c r="K82" s="17">
        <v>13000</v>
      </c>
      <c r="L82" s="18">
        <f t="shared" si="20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41"/>
        <v>0</v>
      </c>
      <c r="Z82" s="96">
        <v>12</v>
      </c>
      <c r="AA82" s="96">
        <f t="shared" si="42"/>
        <v>9600</v>
      </c>
      <c r="AB82" s="96">
        <f t="shared" si="43"/>
        <v>11600</v>
      </c>
      <c r="AC82" s="99">
        <v>800</v>
      </c>
      <c r="AD82" s="98"/>
      <c r="AE82" s="102">
        <f t="shared" si="44"/>
        <v>12400</v>
      </c>
      <c r="AF82" s="99">
        <v>800</v>
      </c>
      <c r="AG82" s="98"/>
      <c r="AH82" s="102">
        <f t="shared" si="30"/>
        <v>13200</v>
      </c>
      <c r="AI82" s="99">
        <v>800</v>
      </c>
      <c r="AJ82" s="98">
        <v>7200</v>
      </c>
      <c r="AK82" s="102">
        <f t="shared" si="35"/>
        <v>6800</v>
      </c>
      <c r="AL82" s="99">
        <v>800</v>
      </c>
      <c r="AM82" s="98"/>
      <c r="AN82" s="102">
        <f t="shared" si="36"/>
        <v>7600</v>
      </c>
      <c r="AO82" s="99">
        <v>800</v>
      </c>
      <c r="AP82" s="114"/>
      <c r="AQ82" s="102">
        <f t="shared" si="37"/>
        <v>8400</v>
      </c>
      <c r="AR82" s="99">
        <v>800</v>
      </c>
      <c r="AS82" s="114"/>
      <c r="AT82" s="102">
        <f t="shared" si="38"/>
        <v>9200</v>
      </c>
    </row>
    <row r="83" spans="1:46">
      <c r="A83" s="41">
        <f>VLOOKUP(B83,справочник!$B$2:$E$322,4,FALSE)</f>
        <v>132</v>
      </c>
      <c r="B83" t="str">
        <f t="shared" si="40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45"/>
        <v>55</v>
      </c>
      <c r="I83" s="1">
        <f t="shared" si="46"/>
        <v>55000</v>
      </c>
      <c r="J83" s="17">
        <f>41000+1000</f>
        <v>42000</v>
      </c>
      <c r="K83" s="17"/>
      <c r="L83" s="18">
        <f t="shared" si="20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41"/>
        <v>0</v>
      </c>
      <c r="Z83" s="96">
        <v>12</v>
      </c>
      <c r="AA83" s="96">
        <f t="shared" si="42"/>
        <v>9600</v>
      </c>
      <c r="AB83" s="96">
        <f t="shared" si="43"/>
        <v>22600</v>
      </c>
      <c r="AC83" s="99">
        <v>800</v>
      </c>
      <c r="AD83" s="98"/>
      <c r="AE83" s="102">
        <f t="shared" si="44"/>
        <v>23400</v>
      </c>
      <c r="AF83" s="99">
        <v>800</v>
      </c>
      <c r="AG83" s="98"/>
      <c r="AH83" s="102">
        <f t="shared" si="30"/>
        <v>24200</v>
      </c>
      <c r="AI83" s="99">
        <v>800</v>
      </c>
      <c r="AJ83" s="98"/>
      <c r="AK83" s="102">
        <f t="shared" si="35"/>
        <v>25000</v>
      </c>
      <c r="AL83" s="99">
        <v>800</v>
      </c>
      <c r="AM83" s="98"/>
      <c r="AN83" s="102">
        <f t="shared" si="36"/>
        <v>25800</v>
      </c>
      <c r="AO83" s="99">
        <v>800</v>
      </c>
      <c r="AP83" s="114"/>
      <c r="AQ83" s="102">
        <f t="shared" si="37"/>
        <v>26600</v>
      </c>
      <c r="AR83" s="99">
        <v>800</v>
      </c>
      <c r="AS83" s="114"/>
      <c r="AT83" s="102">
        <f t="shared" si="38"/>
        <v>27400</v>
      </c>
    </row>
    <row r="84" spans="1:46">
      <c r="A84" s="41">
        <f>VLOOKUP(B84,справочник!$B$2:$E$322,4,FALSE)</f>
        <v>159</v>
      </c>
      <c r="B84" t="str">
        <f t="shared" si="40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45"/>
        <v>44</v>
      </c>
      <c r="I84" s="1">
        <f t="shared" si="46"/>
        <v>44000</v>
      </c>
      <c r="J84" s="17">
        <f>32000</f>
        <v>32000</v>
      </c>
      <c r="K84" s="17"/>
      <c r="L84" s="18">
        <f t="shared" si="20"/>
        <v>12000</v>
      </c>
      <c r="M84" s="22"/>
      <c r="N84" s="22">
        <v>12000</v>
      </c>
      <c r="O84" s="22"/>
      <c r="P84" s="22"/>
      <c r="Q84" s="22"/>
      <c r="R84" s="22"/>
      <c r="S84" s="22">
        <v>5600</v>
      </c>
      <c r="T84" s="22"/>
      <c r="U84" s="22"/>
      <c r="V84" s="22"/>
      <c r="W84" s="22"/>
      <c r="X84" s="22">
        <v>4000</v>
      </c>
      <c r="Y84" s="18">
        <f t="shared" si="41"/>
        <v>21600</v>
      </c>
      <c r="Z84" s="96">
        <v>12</v>
      </c>
      <c r="AA84" s="96">
        <f t="shared" si="42"/>
        <v>9600</v>
      </c>
      <c r="AB84" s="96">
        <f t="shared" si="43"/>
        <v>0</v>
      </c>
      <c r="AC84" s="99">
        <v>800</v>
      </c>
      <c r="AD84" s="98"/>
      <c r="AE84" s="102">
        <f t="shared" si="44"/>
        <v>800</v>
      </c>
      <c r="AF84" s="99">
        <v>800</v>
      </c>
      <c r="AG84" s="98"/>
      <c r="AH84" s="102">
        <f t="shared" si="30"/>
        <v>1600</v>
      </c>
      <c r="AI84" s="99">
        <v>800</v>
      </c>
      <c r="AJ84" s="98"/>
      <c r="AK84" s="102">
        <f t="shared" si="35"/>
        <v>2400</v>
      </c>
      <c r="AL84" s="99">
        <v>800</v>
      </c>
      <c r="AM84" s="98"/>
      <c r="AN84" s="102">
        <f t="shared" si="36"/>
        <v>3200</v>
      </c>
      <c r="AO84" s="99">
        <v>800</v>
      </c>
      <c r="AP84" s="114"/>
      <c r="AQ84" s="102">
        <f t="shared" si="37"/>
        <v>4000</v>
      </c>
      <c r="AR84" s="99">
        <v>800</v>
      </c>
      <c r="AS84" s="114"/>
      <c r="AT84" s="102">
        <f t="shared" si="38"/>
        <v>4800</v>
      </c>
    </row>
    <row r="85" spans="1:46">
      <c r="A85" s="41">
        <f>VLOOKUP(B85,справочник!$B$2:$E$322,4,FALSE)</f>
        <v>181</v>
      </c>
      <c r="B85" t="str">
        <f t="shared" si="40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45"/>
        <v>20</v>
      </c>
      <c r="I85" s="1">
        <f t="shared" si="46"/>
        <v>20000</v>
      </c>
      <c r="J85" s="17">
        <v>17000</v>
      </c>
      <c r="K85" s="17"/>
      <c r="L85" s="18">
        <f t="shared" si="20"/>
        <v>3000</v>
      </c>
      <c r="M85" s="22"/>
      <c r="N85" s="22"/>
      <c r="O85" s="22"/>
      <c r="P85" s="22"/>
      <c r="Q85" s="22">
        <v>7000</v>
      </c>
      <c r="R85" s="22"/>
      <c r="S85" s="22"/>
      <c r="T85" s="22"/>
      <c r="U85" s="22"/>
      <c r="V85" s="22"/>
      <c r="W85" s="22"/>
      <c r="X85" s="22"/>
      <c r="Y85" s="18">
        <f t="shared" si="41"/>
        <v>7000</v>
      </c>
      <c r="Z85" s="96">
        <v>12</v>
      </c>
      <c r="AA85" s="96">
        <f t="shared" si="42"/>
        <v>9600</v>
      </c>
      <c r="AB85" s="96">
        <f t="shared" si="43"/>
        <v>5600</v>
      </c>
      <c r="AC85" s="99">
        <v>800</v>
      </c>
      <c r="AD85" s="98"/>
      <c r="AE85" s="102">
        <f t="shared" si="44"/>
        <v>6400</v>
      </c>
      <c r="AF85" s="99">
        <v>800</v>
      </c>
      <c r="AG85" s="98"/>
      <c r="AH85" s="102">
        <f t="shared" si="30"/>
        <v>7200</v>
      </c>
      <c r="AI85" s="99">
        <v>800</v>
      </c>
      <c r="AJ85" s="98"/>
      <c r="AK85" s="102">
        <f t="shared" si="35"/>
        <v>8000</v>
      </c>
      <c r="AL85" s="99">
        <v>800</v>
      </c>
      <c r="AM85" s="98"/>
      <c r="AN85" s="102">
        <f t="shared" si="36"/>
        <v>8800</v>
      </c>
      <c r="AO85" s="99">
        <v>800</v>
      </c>
      <c r="AP85" s="114"/>
      <c r="AQ85" s="102">
        <f t="shared" si="37"/>
        <v>9600</v>
      </c>
      <c r="AR85" s="99">
        <v>800</v>
      </c>
      <c r="AS85" s="114"/>
      <c r="AT85" s="102">
        <f t="shared" si="38"/>
        <v>10400</v>
      </c>
    </row>
    <row r="86" spans="1:46">
      <c r="A86" s="41">
        <f>VLOOKUP(B86,справочник!$B$2:$E$322,4,FALSE)</f>
        <v>284</v>
      </c>
      <c r="B86" t="str">
        <f t="shared" si="40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45"/>
        <v>26</v>
      </c>
      <c r="I86" s="1">
        <f t="shared" si="46"/>
        <v>26000</v>
      </c>
      <c r="J86" s="17">
        <f>12000</f>
        <v>12000</v>
      </c>
      <c r="K86" s="17">
        <v>5000</v>
      </c>
      <c r="L86" s="18">
        <f t="shared" si="20"/>
        <v>9000</v>
      </c>
      <c r="M86" s="22"/>
      <c r="N86" s="22"/>
      <c r="O86" s="22">
        <v>6000</v>
      </c>
      <c r="P86" s="22"/>
      <c r="Q86" s="22"/>
      <c r="R86" s="22"/>
      <c r="S86" s="22">
        <v>2400</v>
      </c>
      <c r="T86" s="22"/>
      <c r="U86" s="22"/>
      <c r="V86" s="22">
        <v>3200</v>
      </c>
      <c r="W86" s="22"/>
      <c r="X86" s="22"/>
      <c r="Y86" s="18">
        <f t="shared" si="41"/>
        <v>11600</v>
      </c>
      <c r="Z86" s="96">
        <v>12</v>
      </c>
      <c r="AA86" s="96">
        <f t="shared" si="42"/>
        <v>9600</v>
      </c>
      <c r="AB86" s="96">
        <f t="shared" si="43"/>
        <v>7000</v>
      </c>
      <c r="AC86" s="99">
        <v>800</v>
      </c>
      <c r="AD86" s="98"/>
      <c r="AE86" s="102">
        <f t="shared" si="44"/>
        <v>7800</v>
      </c>
      <c r="AF86" s="99">
        <v>800</v>
      </c>
      <c r="AG86" s="98"/>
      <c r="AH86" s="102">
        <f t="shared" si="30"/>
        <v>8600</v>
      </c>
      <c r="AI86" s="99">
        <v>800</v>
      </c>
      <c r="AJ86" s="98"/>
      <c r="AK86" s="102">
        <f t="shared" si="35"/>
        <v>9400</v>
      </c>
      <c r="AL86" s="99">
        <v>800</v>
      </c>
      <c r="AM86" s="98">
        <v>5000</v>
      </c>
      <c r="AN86" s="102">
        <f t="shared" si="36"/>
        <v>5200</v>
      </c>
      <c r="AO86" s="99">
        <v>800</v>
      </c>
      <c r="AP86" s="114"/>
      <c r="AQ86" s="102">
        <f t="shared" si="37"/>
        <v>6000</v>
      </c>
      <c r="AR86" s="99">
        <v>800</v>
      </c>
      <c r="AS86" s="114"/>
      <c r="AT86" s="102">
        <f t="shared" si="38"/>
        <v>6800</v>
      </c>
    </row>
    <row r="87" spans="1:46" ht="25.5">
      <c r="A87" s="41">
        <f>VLOOKUP(B87,справочник!$B$2:$E$322,4,FALSE)</f>
        <v>264</v>
      </c>
      <c r="B87" t="str">
        <f t="shared" si="40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45"/>
        <v>42</v>
      </c>
      <c r="I87" s="1">
        <f t="shared" si="46"/>
        <v>42000</v>
      </c>
      <c r="J87" s="17">
        <f>38000</f>
        <v>38000</v>
      </c>
      <c r="K87" s="17"/>
      <c r="L87" s="18">
        <f t="shared" si="20"/>
        <v>4000</v>
      </c>
      <c r="M87" s="22">
        <v>4000</v>
      </c>
      <c r="N87" s="22"/>
      <c r="O87" s="22">
        <v>2000</v>
      </c>
      <c r="P87" s="22"/>
      <c r="Q87" s="22"/>
      <c r="R87" s="22"/>
      <c r="S87" s="22">
        <v>6000</v>
      </c>
      <c r="T87" s="22"/>
      <c r="U87" s="22"/>
      <c r="V87" s="22"/>
      <c r="W87" s="22"/>
      <c r="X87" s="22"/>
      <c r="Y87" s="18">
        <f t="shared" si="41"/>
        <v>12000</v>
      </c>
      <c r="Z87" s="96">
        <v>12</v>
      </c>
      <c r="AA87" s="96">
        <f t="shared" si="42"/>
        <v>9600</v>
      </c>
      <c r="AB87" s="96">
        <f t="shared" si="43"/>
        <v>1600</v>
      </c>
      <c r="AC87" s="99">
        <v>800</v>
      </c>
      <c r="AD87" s="98"/>
      <c r="AE87" s="102">
        <f t="shared" si="44"/>
        <v>2400</v>
      </c>
      <c r="AF87" s="99">
        <v>800</v>
      </c>
      <c r="AG87" s="98">
        <v>2400</v>
      </c>
      <c r="AH87" s="102">
        <f t="shared" si="30"/>
        <v>800</v>
      </c>
      <c r="AI87" s="99">
        <v>800</v>
      </c>
      <c r="AJ87" s="98">
        <v>2400</v>
      </c>
      <c r="AK87" s="102">
        <f t="shared" si="35"/>
        <v>-800</v>
      </c>
      <c r="AL87" s="99">
        <v>800</v>
      </c>
      <c r="AM87" s="98"/>
      <c r="AN87" s="102">
        <f t="shared" si="36"/>
        <v>0</v>
      </c>
      <c r="AO87" s="99">
        <v>800</v>
      </c>
      <c r="AP87" s="114"/>
      <c r="AQ87" s="102">
        <f t="shared" si="37"/>
        <v>800</v>
      </c>
      <c r="AR87" s="99">
        <v>800</v>
      </c>
      <c r="AS87" s="114">
        <v>2400</v>
      </c>
      <c r="AT87" s="102">
        <f t="shared" si="38"/>
        <v>-800</v>
      </c>
    </row>
    <row r="88" spans="1:46">
      <c r="A88" s="41">
        <f>VLOOKUP(B88,справочник!$B$2:$E$322,4,FALSE)</f>
        <v>32</v>
      </c>
      <c r="B88" t="str">
        <f t="shared" si="40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45"/>
        <v>55</v>
      </c>
      <c r="I88" s="1">
        <f t="shared" si="46"/>
        <v>55000</v>
      </c>
      <c r="J88" s="17">
        <f>7000+48000</f>
        <v>55000</v>
      </c>
      <c r="K88" s="17"/>
      <c r="L88" s="18">
        <f t="shared" si="20"/>
        <v>0</v>
      </c>
      <c r="M88" s="22">
        <v>2400</v>
      </c>
      <c r="N88" s="22"/>
      <c r="O88" s="22"/>
      <c r="P88" s="22"/>
      <c r="Q88" s="22"/>
      <c r="R88" s="22">
        <v>2400</v>
      </c>
      <c r="S88" s="22">
        <v>4800</v>
      </c>
      <c r="T88" s="22"/>
      <c r="U88" s="22"/>
      <c r="V88" s="22"/>
      <c r="W88" s="22"/>
      <c r="X88" s="22"/>
      <c r="Y88" s="18">
        <f t="shared" si="41"/>
        <v>9600</v>
      </c>
      <c r="Z88" s="96">
        <v>12</v>
      </c>
      <c r="AA88" s="96">
        <f t="shared" si="42"/>
        <v>9600</v>
      </c>
      <c r="AB88" s="96">
        <f t="shared" si="43"/>
        <v>0</v>
      </c>
      <c r="AC88" s="99">
        <v>800</v>
      </c>
      <c r="AD88" s="98"/>
      <c r="AE88" s="102">
        <f t="shared" si="44"/>
        <v>800</v>
      </c>
      <c r="AF88" s="99">
        <v>800</v>
      </c>
      <c r="AG88" s="98"/>
      <c r="AH88" s="102">
        <f t="shared" si="30"/>
        <v>1600</v>
      </c>
      <c r="AI88" s="99">
        <v>800</v>
      </c>
      <c r="AJ88" s="98">
        <v>2400</v>
      </c>
      <c r="AK88" s="102">
        <f t="shared" si="35"/>
        <v>0</v>
      </c>
      <c r="AL88" s="99">
        <v>800</v>
      </c>
      <c r="AM88" s="98"/>
      <c r="AN88" s="102">
        <f t="shared" si="36"/>
        <v>800</v>
      </c>
      <c r="AO88" s="99">
        <v>800</v>
      </c>
      <c r="AP88" s="114"/>
      <c r="AQ88" s="102">
        <f t="shared" si="37"/>
        <v>1600</v>
      </c>
      <c r="AR88" s="99">
        <v>800</v>
      </c>
      <c r="AS88" s="114"/>
      <c r="AT88" s="102">
        <f t="shared" si="38"/>
        <v>2400</v>
      </c>
    </row>
    <row r="89" spans="1:46">
      <c r="A89" s="41">
        <f>VLOOKUP(B89,справочник!$B$2:$E$322,4,FALSE)</f>
        <v>49</v>
      </c>
      <c r="B89" t="str">
        <f t="shared" si="40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45"/>
        <v>53</v>
      </c>
      <c r="I89" s="1">
        <f t="shared" si="46"/>
        <v>53000</v>
      </c>
      <c r="J89" s="17">
        <f>42000</f>
        <v>42000</v>
      </c>
      <c r="K89" s="17"/>
      <c r="L89" s="18">
        <f t="shared" si="20"/>
        <v>11000</v>
      </c>
      <c r="M89" s="22"/>
      <c r="N89" s="22"/>
      <c r="O89" s="22"/>
      <c r="P89" s="22"/>
      <c r="Q89" s="22">
        <v>4800</v>
      </c>
      <c r="R89" s="22">
        <v>10200</v>
      </c>
      <c r="S89" s="22"/>
      <c r="T89" s="22"/>
      <c r="U89" s="22"/>
      <c r="V89" s="22"/>
      <c r="W89" s="22"/>
      <c r="X89" s="22">
        <v>4800</v>
      </c>
      <c r="Y89" s="18">
        <f t="shared" si="41"/>
        <v>19800</v>
      </c>
      <c r="Z89" s="96">
        <v>12</v>
      </c>
      <c r="AA89" s="96">
        <f t="shared" si="42"/>
        <v>9600</v>
      </c>
      <c r="AB89" s="96">
        <f t="shared" si="43"/>
        <v>800</v>
      </c>
      <c r="AC89" s="99">
        <v>800</v>
      </c>
      <c r="AD89" s="98"/>
      <c r="AE89" s="102">
        <f t="shared" si="44"/>
        <v>1600</v>
      </c>
      <c r="AF89" s="99">
        <v>800</v>
      </c>
      <c r="AG89" s="98">
        <v>2400</v>
      </c>
      <c r="AH89" s="102">
        <f t="shared" si="30"/>
        <v>0</v>
      </c>
      <c r="AI89" s="99">
        <v>800</v>
      </c>
      <c r="AJ89" s="98"/>
      <c r="AK89" s="102">
        <f t="shared" si="35"/>
        <v>800</v>
      </c>
      <c r="AL89" s="99">
        <v>800</v>
      </c>
      <c r="AM89" s="98">
        <f>2000+400</f>
        <v>2400</v>
      </c>
      <c r="AN89" s="102">
        <f t="shared" si="36"/>
        <v>-800</v>
      </c>
      <c r="AO89" s="99">
        <v>800</v>
      </c>
      <c r="AP89" s="114"/>
      <c r="AQ89" s="102">
        <f t="shared" si="37"/>
        <v>0</v>
      </c>
      <c r="AR89" s="99">
        <v>800</v>
      </c>
      <c r="AS89" s="114"/>
      <c r="AT89" s="102">
        <f t="shared" si="38"/>
        <v>800</v>
      </c>
    </row>
    <row r="90" spans="1:46" s="80" customFormat="1">
      <c r="A90" s="103">
        <f>VLOOKUP(B90,справочник!$B$2:$E$322,4,FALSE)</f>
        <v>234</v>
      </c>
      <c r="B90" s="80" t="str">
        <f t="shared" si="40"/>
        <v>243Ермошина Татьяна Евгеньевна (Владимир)</v>
      </c>
      <c r="C90" s="5">
        <v>243</v>
      </c>
      <c r="D90" s="7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46"/>
        <v>3000</v>
      </c>
      <c r="J90" s="20"/>
      <c r="K90" s="20">
        <v>3000</v>
      </c>
      <c r="L90" s="21">
        <f t="shared" si="20"/>
        <v>0</v>
      </c>
      <c r="M90" s="21"/>
      <c r="N90" s="21">
        <v>4800</v>
      </c>
      <c r="O90" s="21"/>
      <c r="P90" s="21"/>
      <c r="Q90" s="21"/>
      <c r="R90" s="21"/>
      <c r="S90" s="21"/>
      <c r="T90" s="21">
        <v>2500</v>
      </c>
      <c r="U90" s="21">
        <v>2300</v>
      </c>
      <c r="V90" s="21"/>
      <c r="W90" s="21"/>
      <c r="X90" s="21"/>
      <c r="Y90" s="21">
        <f t="shared" si="41"/>
        <v>9600</v>
      </c>
      <c r="Z90" s="104">
        <v>12</v>
      </c>
      <c r="AA90" s="104">
        <f t="shared" si="42"/>
        <v>9600</v>
      </c>
      <c r="AB90" s="104">
        <f t="shared" si="43"/>
        <v>0</v>
      </c>
      <c r="AC90" s="104">
        <v>800</v>
      </c>
      <c r="AD90" s="105"/>
      <c r="AE90" s="106">
        <f t="shared" si="44"/>
        <v>800</v>
      </c>
      <c r="AF90" s="104">
        <v>800</v>
      </c>
      <c r="AG90" s="105"/>
      <c r="AH90" s="106">
        <f t="shared" si="30"/>
        <v>1600</v>
      </c>
      <c r="AI90" s="104">
        <v>800</v>
      </c>
      <c r="AJ90" s="105">
        <v>3200</v>
      </c>
      <c r="AK90" s="106">
        <f t="shared" si="35"/>
        <v>-800</v>
      </c>
      <c r="AL90" s="104">
        <v>800</v>
      </c>
      <c r="AM90" s="105"/>
      <c r="AN90" s="106">
        <f t="shared" si="36"/>
        <v>0</v>
      </c>
      <c r="AO90" s="104">
        <v>800</v>
      </c>
      <c r="AP90" s="105"/>
      <c r="AQ90" s="106">
        <f t="shared" si="37"/>
        <v>800</v>
      </c>
      <c r="AR90" s="104">
        <v>800</v>
      </c>
      <c r="AS90" s="105"/>
      <c r="AT90" s="106">
        <f t="shared" si="38"/>
        <v>1600</v>
      </c>
    </row>
    <row r="91" spans="1:46" s="80" customFormat="1">
      <c r="A91" s="103">
        <f>VLOOKUP(B91,справочник!$B$2:$E$322,4,FALSE)</f>
        <v>234</v>
      </c>
      <c r="B91" s="80" t="str">
        <f t="shared" si="40"/>
        <v>244Ермошина Татьяна Евгеньевна (Владимир)</v>
      </c>
      <c r="C91" s="5">
        <v>244</v>
      </c>
      <c r="D91" s="7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46"/>
        <v>3000</v>
      </c>
      <c r="J91" s="20"/>
      <c r="K91" s="20">
        <v>3000</v>
      </c>
      <c r="L91" s="21">
        <f t="shared" si="20"/>
        <v>0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>
        <f t="shared" si="41"/>
        <v>0</v>
      </c>
      <c r="Z91" s="104">
        <v>0</v>
      </c>
      <c r="AA91" s="104">
        <f t="shared" si="42"/>
        <v>0</v>
      </c>
      <c r="AB91" s="104">
        <f t="shared" si="43"/>
        <v>0</v>
      </c>
      <c r="AC91" s="104">
        <v>0</v>
      </c>
      <c r="AD91" s="105"/>
      <c r="AE91" s="106">
        <f t="shared" si="44"/>
        <v>0</v>
      </c>
      <c r="AF91" s="104">
        <v>0</v>
      </c>
      <c r="AG91" s="105"/>
      <c r="AH91" s="106">
        <f t="shared" si="30"/>
        <v>0</v>
      </c>
      <c r="AI91" s="104">
        <v>0</v>
      </c>
      <c r="AJ91" s="105"/>
      <c r="AK91" s="106">
        <f t="shared" si="35"/>
        <v>0</v>
      </c>
      <c r="AL91" s="104">
        <v>0</v>
      </c>
      <c r="AM91" s="105"/>
      <c r="AN91" s="106">
        <f t="shared" si="36"/>
        <v>0</v>
      </c>
      <c r="AO91" s="104">
        <v>0</v>
      </c>
      <c r="AP91" s="105"/>
      <c r="AQ91" s="106">
        <f t="shared" si="37"/>
        <v>0</v>
      </c>
      <c r="AR91" s="104">
        <v>0</v>
      </c>
      <c r="AS91" s="105">
        <v>2000</v>
      </c>
      <c r="AT91" s="106">
        <f t="shared" si="38"/>
        <v>-2000</v>
      </c>
    </row>
    <row r="92" spans="1:46" s="80" customFormat="1">
      <c r="A92" s="103">
        <f>VLOOKUP(B92,справочник!$B$2:$E$322,4,FALSE)</f>
        <v>234</v>
      </c>
      <c r="B92" s="80" t="str">
        <f t="shared" si="40"/>
        <v>243-244Ермошина Татьяна Евгеньевна (Владимир)</v>
      </c>
      <c r="C92" s="5" t="s">
        <v>85</v>
      </c>
      <c r="D92" s="7" t="s">
        <v>84</v>
      </c>
      <c r="E92" s="5"/>
      <c r="F92" s="19">
        <v>41456</v>
      </c>
      <c r="G92" s="19">
        <v>41456</v>
      </c>
      <c r="H92" s="20">
        <f t="shared" ref="H92:H103" si="47">INT(($H$325-G92)/30)</f>
        <v>30</v>
      </c>
      <c r="I92" s="5">
        <f t="shared" si="46"/>
        <v>30000</v>
      </c>
      <c r="J92" s="20"/>
      <c r="K92" s="20">
        <v>30000</v>
      </c>
      <c r="L92" s="21">
        <f t="shared" si="20"/>
        <v>0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>
        <f t="shared" si="41"/>
        <v>0</v>
      </c>
      <c r="Z92" s="104">
        <v>0</v>
      </c>
      <c r="AA92" s="104">
        <f t="shared" si="42"/>
        <v>0</v>
      </c>
      <c r="AB92" s="104">
        <f t="shared" si="43"/>
        <v>0</v>
      </c>
      <c r="AC92" s="104">
        <v>0</v>
      </c>
      <c r="AD92" s="105"/>
      <c r="AE92" s="106">
        <f t="shared" si="44"/>
        <v>0</v>
      </c>
      <c r="AF92" s="104">
        <v>0</v>
      </c>
      <c r="AG92" s="105"/>
      <c r="AH92" s="106">
        <f t="shared" si="30"/>
        <v>0</v>
      </c>
      <c r="AI92" s="104">
        <v>0</v>
      </c>
      <c r="AJ92" s="105"/>
      <c r="AK92" s="106">
        <f t="shared" si="35"/>
        <v>0</v>
      </c>
      <c r="AL92" s="104">
        <v>0</v>
      </c>
      <c r="AM92" s="105"/>
      <c r="AN92" s="106">
        <f t="shared" si="36"/>
        <v>0</v>
      </c>
      <c r="AO92" s="104">
        <v>0</v>
      </c>
      <c r="AP92" s="105"/>
      <c r="AQ92" s="106">
        <f t="shared" si="37"/>
        <v>0</v>
      </c>
      <c r="AR92" s="104">
        <v>0</v>
      </c>
      <c r="AS92" s="105"/>
      <c r="AT92" s="106">
        <f t="shared" si="38"/>
        <v>0</v>
      </c>
    </row>
    <row r="93" spans="1:46">
      <c r="A93" s="41">
        <f>VLOOKUP(B93,справочник!$B$2:$E$322,4,FALSE)</f>
        <v>254</v>
      </c>
      <c r="B93" t="str">
        <f t="shared" si="40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 t="shared" si="47"/>
        <v>47</v>
      </c>
      <c r="I93" s="1">
        <f t="shared" si="46"/>
        <v>47000</v>
      </c>
      <c r="J93" s="17">
        <f>39000+5000</f>
        <v>44000</v>
      </c>
      <c r="K93" s="17"/>
      <c r="L93" s="18">
        <f t="shared" si="20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41"/>
        <v>0</v>
      </c>
      <c r="Z93" s="96">
        <v>12</v>
      </c>
      <c r="AA93" s="96">
        <f t="shared" si="42"/>
        <v>9600</v>
      </c>
      <c r="AB93" s="96">
        <f t="shared" si="43"/>
        <v>12600</v>
      </c>
      <c r="AC93" s="99">
        <v>800</v>
      </c>
      <c r="AD93" s="98"/>
      <c r="AE93" s="102">
        <f t="shared" si="44"/>
        <v>13400</v>
      </c>
      <c r="AF93" s="99">
        <v>800</v>
      </c>
      <c r="AG93" s="98"/>
      <c r="AH93" s="102">
        <f t="shared" si="30"/>
        <v>14200</v>
      </c>
      <c r="AI93" s="99">
        <v>800</v>
      </c>
      <c r="AJ93" s="98"/>
      <c r="AK93" s="102">
        <f t="shared" si="35"/>
        <v>15000</v>
      </c>
      <c r="AL93" s="99">
        <v>800</v>
      </c>
      <c r="AM93" s="98"/>
      <c r="AN93" s="102">
        <f t="shared" si="36"/>
        <v>15800</v>
      </c>
      <c r="AO93" s="99">
        <v>800</v>
      </c>
      <c r="AP93" s="114"/>
      <c r="AQ93" s="102">
        <f t="shared" si="37"/>
        <v>16600</v>
      </c>
      <c r="AR93" s="99">
        <v>800</v>
      </c>
      <c r="AS93" s="114"/>
      <c r="AT93" s="102">
        <f t="shared" si="38"/>
        <v>17400</v>
      </c>
    </row>
    <row r="94" spans="1:46" s="80" customFormat="1">
      <c r="A94" s="103">
        <f>VLOOKUP(B94,справочник!$B$2:$E$322,4,FALSE)</f>
        <v>230</v>
      </c>
      <c r="B94" s="80" t="str">
        <f t="shared" si="40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 t="shared" si="47"/>
        <v>26</v>
      </c>
      <c r="I94" s="5">
        <f t="shared" si="46"/>
        <v>26000</v>
      </c>
      <c r="J94" s="20">
        <v>26000</v>
      </c>
      <c r="K94" s="20"/>
      <c r="L94" s="21">
        <f t="shared" si="20"/>
        <v>0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>
        <f t="shared" si="41"/>
        <v>0</v>
      </c>
      <c r="Z94" s="104">
        <v>0</v>
      </c>
      <c r="AA94" s="104">
        <f t="shared" si="42"/>
        <v>0</v>
      </c>
      <c r="AB94" s="104">
        <f t="shared" si="43"/>
        <v>0</v>
      </c>
      <c r="AC94" s="104">
        <v>0</v>
      </c>
      <c r="AD94" s="105"/>
      <c r="AE94" s="106">
        <f t="shared" si="44"/>
        <v>0</v>
      </c>
      <c r="AF94" s="104">
        <v>0</v>
      </c>
      <c r="AG94" s="105"/>
      <c r="AH94" s="106">
        <f t="shared" si="30"/>
        <v>0</v>
      </c>
      <c r="AI94" s="104">
        <v>0</v>
      </c>
      <c r="AJ94" s="105"/>
      <c r="AK94" s="106">
        <f t="shared" si="35"/>
        <v>0</v>
      </c>
      <c r="AL94" s="104">
        <v>0</v>
      </c>
      <c r="AM94" s="105"/>
      <c r="AN94" s="106">
        <f t="shared" si="36"/>
        <v>0</v>
      </c>
      <c r="AO94" s="104">
        <v>0</v>
      </c>
      <c r="AP94" s="105"/>
      <c r="AQ94" s="106">
        <f t="shared" si="37"/>
        <v>0</v>
      </c>
      <c r="AR94" s="104">
        <v>0</v>
      </c>
      <c r="AS94" s="105"/>
      <c r="AT94" s="106">
        <f t="shared" si="38"/>
        <v>0</v>
      </c>
    </row>
    <row r="95" spans="1:46" s="80" customFormat="1">
      <c r="A95" s="103">
        <f>VLOOKUP(B95,справочник!$B$2:$E$322,4,FALSE)</f>
        <v>230</v>
      </c>
      <c r="B95" s="80" t="str">
        <f t="shared" si="40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f t="shared" si="47"/>
        <v>14</v>
      </c>
      <c r="I95" s="5">
        <f t="shared" si="46"/>
        <v>14000</v>
      </c>
      <c r="J95" s="20">
        <v>0</v>
      </c>
      <c r="K95" s="20">
        <v>4000</v>
      </c>
      <c r="L95" s="21">
        <f t="shared" si="20"/>
        <v>10000</v>
      </c>
      <c r="M95" s="21"/>
      <c r="N95" s="21">
        <f>11900+200</f>
        <v>12100</v>
      </c>
      <c r="O95" s="21"/>
      <c r="P95" s="21"/>
      <c r="Q95" s="21">
        <v>3500</v>
      </c>
      <c r="R95" s="21"/>
      <c r="S95" s="21"/>
      <c r="T95" s="80">
        <v>2700</v>
      </c>
      <c r="U95" s="21"/>
      <c r="V95" s="21"/>
      <c r="W95" s="21"/>
      <c r="X95" s="21"/>
      <c r="Y95" s="21">
        <f t="shared" si="41"/>
        <v>18300</v>
      </c>
      <c r="Z95" s="104">
        <v>12</v>
      </c>
      <c r="AA95" s="104">
        <f t="shared" si="42"/>
        <v>9600</v>
      </c>
      <c r="AB95" s="104">
        <f t="shared" si="43"/>
        <v>1300</v>
      </c>
      <c r="AC95" s="104">
        <v>800</v>
      </c>
      <c r="AD95" s="105"/>
      <c r="AE95" s="106">
        <f t="shared" si="44"/>
        <v>2100</v>
      </c>
      <c r="AF95" s="104">
        <v>800</v>
      </c>
      <c r="AG95" s="105"/>
      <c r="AH95" s="106">
        <f t="shared" si="30"/>
        <v>2900</v>
      </c>
      <c r="AI95" s="104">
        <v>800</v>
      </c>
      <c r="AJ95" s="105">
        <v>2100</v>
      </c>
      <c r="AK95" s="106">
        <f t="shared" si="35"/>
        <v>1600</v>
      </c>
      <c r="AL95" s="104">
        <v>800</v>
      </c>
      <c r="AM95" s="105"/>
      <c r="AN95" s="106">
        <f t="shared" si="36"/>
        <v>2400</v>
      </c>
      <c r="AO95" s="104">
        <v>800</v>
      </c>
      <c r="AP95" s="105"/>
      <c r="AQ95" s="106">
        <f t="shared" si="37"/>
        <v>3200</v>
      </c>
      <c r="AR95" s="104">
        <v>800</v>
      </c>
      <c r="AS95" s="105"/>
      <c r="AT95" s="106">
        <f t="shared" si="38"/>
        <v>4000</v>
      </c>
    </row>
    <row r="96" spans="1:46">
      <c r="A96" s="41">
        <f>VLOOKUP(B96,справочник!$B$2:$E$322,4,FALSE)</f>
        <v>4</v>
      </c>
      <c r="B96" t="str">
        <f t="shared" si="40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47"/>
        <v>30</v>
      </c>
      <c r="I96" s="1">
        <f t="shared" si="46"/>
        <v>30000</v>
      </c>
      <c r="J96" s="17">
        <v>27000</v>
      </c>
      <c r="K96" s="17"/>
      <c r="L96" s="18">
        <f t="shared" ref="L96:L132" si="48">I96-J96-K96</f>
        <v>3000</v>
      </c>
      <c r="M96" s="22"/>
      <c r="N96" s="22"/>
      <c r="O96" s="22"/>
      <c r="P96" s="22"/>
      <c r="Q96" s="22">
        <v>5000</v>
      </c>
      <c r="R96" s="22"/>
      <c r="S96" s="22"/>
      <c r="T96" s="22"/>
      <c r="U96" s="22"/>
      <c r="V96" s="22"/>
      <c r="W96" s="22"/>
      <c r="X96" s="22"/>
      <c r="Y96" s="18">
        <f t="shared" si="41"/>
        <v>5000</v>
      </c>
      <c r="Z96" s="96">
        <v>12</v>
      </c>
      <c r="AA96" s="96">
        <f t="shared" si="42"/>
        <v>9600</v>
      </c>
      <c r="AB96" s="96">
        <f t="shared" si="43"/>
        <v>7600</v>
      </c>
      <c r="AC96" s="99">
        <v>800</v>
      </c>
      <c r="AD96" s="98"/>
      <c r="AE96" s="102">
        <f t="shared" si="44"/>
        <v>8400</v>
      </c>
      <c r="AF96" s="99">
        <v>800</v>
      </c>
      <c r="AG96" s="98"/>
      <c r="AH96" s="102">
        <f t="shared" si="30"/>
        <v>9200</v>
      </c>
      <c r="AI96" s="99">
        <v>800</v>
      </c>
      <c r="AJ96" s="98"/>
      <c r="AK96" s="102">
        <f t="shared" si="35"/>
        <v>10000</v>
      </c>
      <c r="AL96" s="99">
        <v>800</v>
      </c>
      <c r="AM96" s="98"/>
      <c r="AN96" s="102">
        <f t="shared" si="36"/>
        <v>10800</v>
      </c>
      <c r="AO96" s="99">
        <v>800</v>
      </c>
      <c r="AP96" s="114">
        <v>10800</v>
      </c>
      <c r="AQ96" s="102">
        <f t="shared" si="37"/>
        <v>800</v>
      </c>
      <c r="AR96" s="99">
        <v>800</v>
      </c>
      <c r="AS96" s="114"/>
      <c r="AT96" s="102">
        <f t="shared" si="38"/>
        <v>1600</v>
      </c>
    </row>
    <row r="97" spans="1:46">
      <c r="A97" s="41">
        <f>VLOOKUP(B97,справочник!$B$2:$E$322,4,FALSE)</f>
        <v>213</v>
      </c>
      <c r="B97" t="str">
        <f t="shared" si="40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47"/>
        <v>19</v>
      </c>
      <c r="I97" s="1">
        <f t="shared" si="46"/>
        <v>19000</v>
      </c>
      <c r="J97" s="17">
        <v>500</v>
      </c>
      <c r="K97" s="17"/>
      <c r="L97" s="18">
        <f t="shared" si="48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41"/>
        <v>0</v>
      </c>
      <c r="Z97" s="96">
        <v>12</v>
      </c>
      <c r="AA97" s="96">
        <f t="shared" si="42"/>
        <v>9600</v>
      </c>
      <c r="AB97" s="96">
        <f t="shared" si="43"/>
        <v>28100</v>
      </c>
      <c r="AC97" s="99">
        <v>800</v>
      </c>
      <c r="AD97" s="98"/>
      <c r="AE97" s="102">
        <f t="shared" si="44"/>
        <v>28900</v>
      </c>
      <c r="AF97" s="99">
        <v>800</v>
      </c>
      <c r="AG97" s="98"/>
      <c r="AH97" s="102">
        <f t="shared" si="30"/>
        <v>29700</v>
      </c>
      <c r="AI97" s="99">
        <v>800</v>
      </c>
      <c r="AJ97" s="98"/>
      <c r="AK97" s="102">
        <f t="shared" si="35"/>
        <v>30500</v>
      </c>
      <c r="AL97" s="99">
        <v>800</v>
      </c>
      <c r="AM97" s="98"/>
      <c r="AN97" s="102">
        <f t="shared" si="36"/>
        <v>31300</v>
      </c>
      <c r="AO97" s="99">
        <v>800</v>
      </c>
      <c r="AP97" s="114"/>
      <c r="AQ97" s="102">
        <f t="shared" si="37"/>
        <v>32100</v>
      </c>
      <c r="AR97" s="99">
        <v>800</v>
      </c>
      <c r="AS97" s="114"/>
      <c r="AT97" s="102">
        <f t="shared" si="38"/>
        <v>32900</v>
      </c>
    </row>
    <row r="98" spans="1:46">
      <c r="A98" s="41">
        <f>VLOOKUP(B98,справочник!$B$2:$E$322,4,FALSE)</f>
        <v>127</v>
      </c>
      <c r="B98" t="str">
        <f t="shared" si="40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47"/>
        <v>55</v>
      </c>
      <c r="I98" s="1">
        <f t="shared" si="46"/>
        <v>55000</v>
      </c>
      <c r="J98" s="17">
        <f>36000+7000</f>
        <v>43000</v>
      </c>
      <c r="K98" s="17"/>
      <c r="L98" s="18">
        <v>0</v>
      </c>
      <c r="M98" s="22"/>
      <c r="N98" s="22">
        <v>1600</v>
      </c>
      <c r="O98" s="22"/>
      <c r="P98" s="22"/>
      <c r="Q98" s="22"/>
      <c r="R98" s="22"/>
      <c r="S98" s="22"/>
      <c r="T98">
        <v>2400</v>
      </c>
      <c r="U98" s="22"/>
      <c r="V98" s="22"/>
      <c r="W98" s="22"/>
      <c r="X98" s="22"/>
      <c r="Y98" s="18">
        <f t="shared" si="41"/>
        <v>4000</v>
      </c>
      <c r="Z98" s="96">
        <v>12</v>
      </c>
      <c r="AA98" s="96">
        <f t="shared" si="42"/>
        <v>9600</v>
      </c>
      <c r="AB98" s="96">
        <f t="shared" si="43"/>
        <v>5600</v>
      </c>
      <c r="AC98" s="99">
        <v>800</v>
      </c>
      <c r="AD98" s="98"/>
      <c r="AE98" s="102">
        <f t="shared" si="44"/>
        <v>6400</v>
      </c>
      <c r="AF98" s="99">
        <v>800</v>
      </c>
      <c r="AG98" s="98"/>
      <c r="AH98" s="102">
        <f t="shared" si="30"/>
        <v>7200</v>
      </c>
      <c r="AI98" s="99">
        <v>800</v>
      </c>
      <c r="AJ98" s="98"/>
      <c r="AK98" s="102">
        <f t="shared" si="35"/>
        <v>8000</v>
      </c>
      <c r="AL98" s="99">
        <v>800</v>
      </c>
      <c r="AM98" s="98"/>
      <c r="AN98" s="102">
        <f t="shared" si="36"/>
        <v>8800</v>
      </c>
      <c r="AO98" s="99">
        <v>800</v>
      </c>
      <c r="AP98" s="114"/>
      <c r="AQ98" s="102">
        <f t="shared" si="37"/>
        <v>9600</v>
      </c>
      <c r="AR98" s="99">
        <v>800</v>
      </c>
      <c r="AS98" s="114"/>
      <c r="AT98" s="102">
        <f t="shared" si="38"/>
        <v>10400</v>
      </c>
    </row>
    <row r="99" spans="1:46">
      <c r="A99" s="41">
        <f>VLOOKUP(B99,справочник!$B$2:$E$322,4,FALSE)</f>
        <v>66</v>
      </c>
      <c r="B99" t="str">
        <f t="shared" si="40"/>
        <v>68Заборская Светлана Анатольевна (Андрей)</v>
      </c>
      <c r="C99" s="1">
        <v>68</v>
      </c>
      <c r="D99" s="2" t="s">
        <v>91</v>
      </c>
      <c r="E99" s="1" t="s">
        <v>407</v>
      </c>
      <c r="F99" s="16">
        <v>41100</v>
      </c>
      <c r="G99" s="16">
        <v>41091</v>
      </c>
      <c r="H99" s="17">
        <f t="shared" si="47"/>
        <v>42</v>
      </c>
      <c r="I99" s="1">
        <f t="shared" si="46"/>
        <v>42000</v>
      </c>
      <c r="J99" s="17">
        <v>39780</v>
      </c>
      <c r="K99" s="17"/>
      <c r="L99" s="18">
        <f t="shared" si="48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84">
        <v>8000</v>
      </c>
      <c r="X99" s="22"/>
      <c r="Y99" s="18">
        <f t="shared" si="41"/>
        <v>8000</v>
      </c>
      <c r="Z99" s="96">
        <v>12</v>
      </c>
      <c r="AA99" s="96">
        <f t="shared" si="42"/>
        <v>9600</v>
      </c>
      <c r="AB99" s="96">
        <f t="shared" si="43"/>
        <v>3820</v>
      </c>
      <c r="AC99" s="99">
        <v>800</v>
      </c>
      <c r="AD99" s="98"/>
      <c r="AE99" s="102">
        <f t="shared" si="44"/>
        <v>4620</v>
      </c>
      <c r="AF99" s="99">
        <v>800</v>
      </c>
      <c r="AG99" s="98"/>
      <c r="AH99" s="102">
        <f t="shared" si="30"/>
        <v>5420</v>
      </c>
      <c r="AI99" s="99">
        <v>800</v>
      </c>
      <c r="AJ99" s="98">
        <v>1600</v>
      </c>
      <c r="AK99" s="102">
        <f t="shared" si="35"/>
        <v>4620</v>
      </c>
      <c r="AL99" s="99">
        <v>800</v>
      </c>
      <c r="AM99" s="98"/>
      <c r="AN99" s="102">
        <f t="shared" si="36"/>
        <v>5420</v>
      </c>
      <c r="AO99" s="99">
        <v>800</v>
      </c>
      <c r="AP99" s="114"/>
      <c r="AQ99" s="102">
        <f t="shared" si="37"/>
        <v>6220</v>
      </c>
      <c r="AR99" s="99">
        <v>800</v>
      </c>
      <c r="AS99" s="114"/>
      <c r="AT99" s="102">
        <f t="shared" si="38"/>
        <v>7020</v>
      </c>
    </row>
    <row r="100" spans="1:46">
      <c r="A100" s="41">
        <f>VLOOKUP(B100,справочник!$B$2:$E$322,4,FALSE)</f>
        <v>36</v>
      </c>
      <c r="B100" t="str">
        <f t="shared" si="40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47"/>
        <v>53</v>
      </c>
      <c r="I100" s="1">
        <f t="shared" si="46"/>
        <v>53000</v>
      </c>
      <c r="J100" s="17">
        <f>42000+1000</f>
        <v>43000</v>
      </c>
      <c r="K100" s="17"/>
      <c r="L100" s="18">
        <f t="shared" si="48"/>
        <v>10000</v>
      </c>
      <c r="M100" s="22"/>
      <c r="N100" s="22"/>
      <c r="O100" s="22"/>
      <c r="P100" s="22"/>
      <c r="Q100" s="22"/>
      <c r="R100" s="22"/>
      <c r="S100" s="22"/>
      <c r="T100">
        <v>4000</v>
      </c>
      <c r="U100" s="22"/>
      <c r="V100" s="22"/>
      <c r="W100" s="22"/>
      <c r="X100" s="22">
        <v>2800</v>
      </c>
      <c r="Y100" s="18">
        <f t="shared" si="41"/>
        <v>6800</v>
      </c>
      <c r="Z100" s="96">
        <v>12</v>
      </c>
      <c r="AA100" s="96">
        <f t="shared" si="42"/>
        <v>9600</v>
      </c>
      <c r="AB100" s="96">
        <f t="shared" si="43"/>
        <v>12800</v>
      </c>
      <c r="AC100" s="99">
        <v>800</v>
      </c>
      <c r="AD100" s="98"/>
      <c r="AE100" s="102">
        <f t="shared" si="44"/>
        <v>13600</v>
      </c>
      <c r="AF100" s="99">
        <v>800</v>
      </c>
      <c r="AG100" s="98"/>
      <c r="AH100" s="102">
        <f t="shared" si="30"/>
        <v>14400</v>
      </c>
      <c r="AI100" s="99">
        <v>800</v>
      </c>
      <c r="AJ100" s="98"/>
      <c r="AK100" s="102">
        <f t="shared" si="35"/>
        <v>15200</v>
      </c>
      <c r="AL100" s="99">
        <v>800</v>
      </c>
      <c r="AM100" s="98"/>
      <c r="AN100" s="102">
        <f t="shared" si="36"/>
        <v>16000</v>
      </c>
      <c r="AO100" s="99">
        <v>800</v>
      </c>
      <c r="AP100" s="114"/>
      <c r="AQ100" s="102">
        <f t="shared" si="37"/>
        <v>16800</v>
      </c>
      <c r="AR100" s="99">
        <v>800</v>
      </c>
      <c r="AS100" s="114"/>
      <c r="AT100" s="102">
        <f t="shared" si="38"/>
        <v>17600</v>
      </c>
    </row>
    <row r="101" spans="1:46" s="80" customFormat="1">
      <c r="A101" s="103">
        <f>VLOOKUP(B101,справочник!$B$2:$E$322,4,FALSE)</f>
        <v>38</v>
      </c>
      <c r="B101" s="80" t="str">
        <f t="shared" si="40"/>
        <v>255Заручинский Вячеслав Владимирович</v>
      </c>
      <c r="C101" s="5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47"/>
        <v>52</v>
      </c>
      <c r="I101" s="5">
        <f t="shared" si="46"/>
        <v>52000</v>
      </c>
      <c r="J101" s="20">
        <f>5000+18000+29000</f>
        <v>52000</v>
      </c>
      <c r="K101" s="20"/>
      <c r="L101" s="21">
        <f t="shared" si="48"/>
        <v>0</v>
      </c>
      <c r="M101" s="21"/>
      <c r="N101" s="21"/>
      <c r="O101" s="21"/>
      <c r="P101" s="21"/>
      <c r="Q101" s="21"/>
      <c r="R101" s="21">
        <v>1600</v>
      </c>
      <c r="S101" s="21">
        <v>800</v>
      </c>
      <c r="T101" s="21">
        <v>1600</v>
      </c>
      <c r="U101" s="21">
        <v>2161.7799999999997</v>
      </c>
      <c r="V101" s="21"/>
      <c r="W101" s="80">
        <v>800</v>
      </c>
      <c r="X101" s="21">
        <v>800</v>
      </c>
      <c r="Y101" s="21">
        <f t="shared" si="41"/>
        <v>7761.78</v>
      </c>
      <c r="Z101" s="104">
        <v>12</v>
      </c>
      <c r="AA101" s="104">
        <f t="shared" si="42"/>
        <v>9600</v>
      </c>
      <c r="AB101" s="104">
        <f t="shared" si="43"/>
        <v>1838.2200000000003</v>
      </c>
      <c r="AC101" s="104">
        <v>800</v>
      </c>
      <c r="AD101" s="107">
        <v>800</v>
      </c>
      <c r="AE101" s="127">
        <f>SUM(AB101:AB102)+SUM(AC101:AC102)-SUM(AD101:AD102)</f>
        <v>7000</v>
      </c>
      <c r="AF101" s="104">
        <v>800</v>
      </c>
      <c r="AG101" s="107">
        <f>500+800</f>
        <v>1300</v>
      </c>
      <c r="AH101" s="127">
        <f>SUM(AE101:AE102)+SUM(AF101:AF102)-SUM(AG101:AG102)</f>
        <v>6500</v>
      </c>
      <c r="AI101" s="104">
        <v>800</v>
      </c>
      <c r="AJ101" s="107"/>
      <c r="AK101" s="127">
        <f>SUM(AH101:AH102)+SUM(AI101:AI102)-SUM(AJ101:AJ102)</f>
        <v>7300</v>
      </c>
      <c r="AL101" s="104">
        <v>800</v>
      </c>
      <c r="AM101" s="107"/>
      <c r="AN101" s="127">
        <f>SUM(AK101:AK102)+SUM(AL101:AL102)-SUM(AM101:AM102)</f>
        <v>7100</v>
      </c>
      <c r="AO101" s="104">
        <v>800</v>
      </c>
      <c r="AP101" s="107"/>
      <c r="AQ101" s="127">
        <f>SUM(AN101:AN102)+SUM(AO101:AO102)-SUM(AP101:AP102)</f>
        <v>7900</v>
      </c>
      <c r="AR101" s="104">
        <v>800</v>
      </c>
      <c r="AS101" s="107"/>
      <c r="AT101" s="127">
        <f>SUM(AQ101:AQ102)+SUM(AR101:AR102)-SUM(AS101:AS102)</f>
        <v>7900</v>
      </c>
    </row>
    <row r="102" spans="1:46" s="80" customFormat="1">
      <c r="A102" s="103">
        <f>VLOOKUP(B102,справочник!$B$2:$E$322,4,FALSE)</f>
        <v>38</v>
      </c>
      <c r="B102" s="80" t="str">
        <f t="shared" si="40"/>
        <v>38Заручинский Вячеслав Владимирович</v>
      </c>
      <c r="C102" s="5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f t="shared" si="47"/>
        <v>42</v>
      </c>
      <c r="I102" s="5">
        <f t="shared" si="46"/>
        <v>42000</v>
      </c>
      <c r="J102" s="20">
        <v>35000</v>
      </c>
      <c r="K102" s="20"/>
      <c r="L102" s="21">
        <f t="shared" si="48"/>
        <v>7000</v>
      </c>
      <c r="M102" s="21"/>
      <c r="N102" s="21"/>
      <c r="O102" s="21"/>
      <c r="P102" s="21"/>
      <c r="Q102" s="21"/>
      <c r="R102" s="21"/>
      <c r="S102" s="21"/>
      <c r="U102" s="21"/>
      <c r="V102" s="21">
        <v>1138.22</v>
      </c>
      <c r="W102" s="21"/>
      <c r="X102" s="21">
        <v>700</v>
      </c>
      <c r="Y102" s="21">
        <f t="shared" si="41"/>
        <v>1838.22</v>
      </c>
      <c r="Z102" s="104">
        <v>0</v>
      </c>
      <c r="AA102" s="104">
        <f t="shared" si="42"/>
        <v>0</v>
      </c>
      <c r="AB102" s="104">
        <f t="shared" si="43"/>
        <v>5161.78</v>
      </c>
      <c r="AC102" s="104">
        <v>0</v>
      </c>
      <c r="AD102" s="105"/>
      <c r="AE102" s="129"/>
      <c r="AF102" s="104">
        <v>0</v>
      </c>
      <c r="AG102" s="105"/>
      <c r="AH102" s="129"/>
      <c r="AI102" s="104">
        <v>0</v>
      </c>
      <c r="AJ102" s="105"/>
      <c r="AK102" s="129"/>
      <c r="AL102" s="104">
        <v>0</v>
      </c>
      <c r="AM102" s="105">
        <v>1000</v>
      </c>
      <c r="AN102" s="129"/>
      <c r="AO102" s="104">
        <v>0</v>
      </c>
      <c r="AP102" s="105"/>
      <c r="AQ102" s="129"/>
      <c r="AR102" s="104">
        <v>0</v>
      </c>
      <c r="AS102" s="105">
        <v>800</v>
      </c>
      <c r="AT102" s="129"/>
    </row>
    <row r="103" spans="1:46">
      <c r="A103" s="41">
        <f>VLOOKUP(B103,справочник!$B$2:$E$322,4,FALSE)</f>
        <v>12</v>
      </c>
      <c r="B103" t="str">
        <f t="shared" si="40"/>
        <v>12Захаренкова Светлана Евгеньевна</v>
      </c>
      <c r="C103" s="1">
        <v>12</v>
      </c>
      <c r="D103" s="2" t="s">
        <v>94</v>
      </c>
      <c r="E103" s="1" t="s">
        <v>411</v>
      </c>
      <c r="F103" s="16">
        <v>41414</v>
      </c>
      <c r="G103" s="16">
        <v>41426</v>
      </c>
      <c r="H103" s="17">
        <f t="shared" si="47"/>
        <v>31</v>
      </c>
      <c r="I103" s="1">
        <f t="shared" si="46"/>
        <v>31000</v>
      </c>
      <c r="J103" s="17">
        <v>5000</v>
      </c>
      <c r="K103" s="17"/>
      <c r="L103" s="18">
        <f t="shared" si="48"/>
        <v>26000</v>
      </c>
      <c r="M103" s="22"/>
      <c r="N103" s="22"/>
      <c r="O103" s="22"/>
      <c r="P103" s="22"/>
      <c r="Q103" s="22"/>
      <c r="R103" s="22"/>
      <c r="S103" s="22"/>
      <c r="T103">
        <v>4000</v>
      </c>
      <c r="U103" s="22"/>
      <c r="V103" s="22"/>
      <c r="W103" s="22"/>
      <c r="X103" s="22"/>
      <c r="Y103" s="18">
        <f t="shared" si="41"/>
        <v>4000</v>
      </c>
      <c r="Z103" s="96">
        <v>12</v>
      </c>
      <c r="AA103" s="96">
        <f t="shared" si="42"/>
        <v>9600</v>
      </c>
      <c r="AB103" s="96">
        <f t="shared" si="43"/>
        <v>31600</v>
      </c>
      <c r="AC103" s="99">
        <v>800</v>
      </c>
      <c r="AD103" s="98"/>
      <c r="AE103" s="102">
        <f t="shared" si="44"/>
        <v>32400</v>
      </c>
      <c r="AF103" s="99">
        <v>800</v>
      </c>
      <c r="AG103" s="98"/>
      <c r="AH103" s="102">
        <f t="shared" ref="AH103:AH131" si="49">AE103+AF103-AG103</f>
        <v>33200</v>
      </c>
      <c r="AI103" s="99">
        <v>800</v>
      </c>
      <c r="AJ103" s="98"/>
      <c r="AK103" s="102">
        <f t="shared" ref="AK103:AK131" si="50">AH103+AI103-AJ103</f>
        <v>34000</v>
      </c>
      <c r="AL103" s="99">
        <v>800</v>
      </c>
      <c r="AM103" s="98"/>
      <c r="AN103" s="102">
        <f t="shared" ref="AN103:AN131" si="51">AK103+AL103-AM103</f>
        <v>34800</v>
      </c>
      <c r="AO103" s="99">
        <v>800</v>
      </c>
      <c r="AP103" s="114"/>
      <c r="AQ103" s="102">
        <f t="shared" ref="AQ103:AQ131" si="52">AN103+AO103-AP103</f>
        <v>35600</v>
      </c>
      <c r="AR103" s="99">
        <v>800</v>
      </c>
      <c r="AS103" s="114"/>
      <c r="AT103" s="102">
        <f t="shared" ref="AT103:AT131" si="53">AQ103+AR103-AS103</f>
        <v>36400</v>
      </c>
    </row>
    <row r="104" spans="1:46">
      <c r="A104" s="41">
        <f>VLOOKUP(B104,справочник!$B$2:$E$322,4,FALSE)</f>
        <v>63</v>
      </c>
      <c r="B104" t="str">
        <f t="shared" si="40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v>0</v>
      </c>
      <c r="I104" s="1">
        <f t="shared" si="46"/>
        <v>0</v>
      </c>
      <c r="J104" s="17">
        <v>0</v>
      </c>
      <c r="K104" s="17"/>
      <c r="L104" s="18">
        <f t="shared" si="48"/>
        <v>0</v>
      </c>
      <c r="M104" s="22"/>
      <c r="N104" s="22"/>
      <c r="O104" s="22"/>
      <c r="P104" s="22"/>
      <c r="Q104" s="22"/>
      <c r="R104" s="22">
        <v>800</v>
      </c>
      <c r="S104" s="22"/>
      <c r="T104" s="22"/>
      <c r="U104" s="22"/>
      <c r="V104" s="22"/>
      <c r="W104" s="22"/>
      <c r="X104" s="22">
        <v>800</v>
      </c>
      <c r="Y104" s="18">
        <f t="shared" si="41"/>
        <v>1600</v>
      </c>
      <c r="Z104" s="96">
        <v>1</v>
      </c>
      <c r="AA104" s="96">
        <f t="shared" si="42"/>
        <v>800</v>
      </c>
      <c r="AB104" s="96">
        <f t="shared" si="43"/>
        <v>-800</v>
      </c>
      <c r="AC104" s="99">
        <v>800</v>
      </c>
      <c r="AD104" s="98"/>
      <c r="AE104" s="102">
        <f t="shared" si="44"/>
        <v>0</v>
      </c>
      <c r="AF104" s="99">
        <v>800</v>
      </c>
      <c r="AG104" s="98"/>
      <c r="AH104" s="102">
        <f t="shared" si="49"/>
        <v>800</v>
      </c>
      <c r="AI104" s="99">
        <v>800</v>
      </c>
      <c r="AJ104" s="98">
        <v>4800</v>
      </c>
      <c r="AK104" s="102">
        <f t="shared" si="50"/>
        <v>-3200</v>
      </c>
      <c r="AL104" s="99">
        <v>800</v>
      </c>
      <c r="AM104" s="98"/>
      <c r="AN104" s="102">
        <f t="shared" si="51"/>
        <v>-2400</v>
      </c>
      <c r="AO104" s="99">
        <v>800</v>
      </c>
      <c r="AP104" s="114"/>
      <c r="AQ104" s="102">
        <f t="shared" si="52"/>
        <v>-1600</v>
      </c>
      <c r="AR104" s="99">
        <v>800</v>
      </c>
      <c r="AS104" s="114">
        <v>2400</v>
      </c>
      <c r="AT104" s="102">
        <f t="shared" si="53"/>
        <v>-3200</v>
      </c>
    </row>
    <row r="105" spans="1:46">
      <c r="A105" s="41">
        <f>VLOOKUP(B105,справочник!$B$2:$E$322,4,FALSE)</f>
        <v>16</v>
      </c>
      <c r="B105" t="str">
        <f t="shared" si="40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ref="H105:H119" si="54">INT(($H$325-G105)/30)</f>
        <v>36</v>
      </c>
      <c r="I105" s="1">
        <f t="shared" si="46"/>
        <v>36000</v>
      </c>
      <c r="J105" s="17">
        <v>36000</v>
      </c>
      <c r="K105" s="17"/>
      <c r="L105" s="18">
        <f t="shared" si="48"/>
        <v>0</v>
      </c>
      <c r="M105" s="22"/>
      <c r="N105" s="22"/>
      <c r="O105" s="22"/>
      <c r="P105" s="22"/>
      <c r="Q105" s="22"/>
      <c r="R105" s="22">
        <v>12000</v>
      </c>
      <c r="S105" s="22"/>
      <c r="T105" s="22"/>
      <c r="U105" s="22"/>
      <c r="V105" s="22"/>
      <c r="W105" s="22"/>
      <c r="X105" s="22"/>
      <c r="Y105" s="18">
        <f t="shared" si="41"/>
        <v>12000</v>
      </c>
      <c r="Z105" s="96">
        <v>12</v>
      </c>
      <c r="AA105" s="96">
        <f t="shared" si="42"/>
        <v>9600</v>
      </c>
      <c r="AB105" s="96">
        <f t="shared" si="43"/>
        <v>-2400</v>
      </c>
      <c r="AC105" s="99">
        <v>800</v>
      </c>
      <c r="AD105" s="98"/>
      <c r="AE105" s="102">
        <f t="shared" si="44"/>
        <v>-1600</v>
      </c>
      <c r="AF105" s="99">
        <v>800</v>
      </c>
      <c r="AG105" s="98"/>
      <c r="AH105" s="102">
        <f t="shared" si="49"/>
        <v>-800</v>
      </c>
      <c r="AI105" s="99">
        <v>800</v>
      </c>
      <c r="AJ105" s="98"/>
      <c r="AK105" s="102">
        <f t="shared" si="50"/>
        <v>0</v>
      </c>
      <c r="AL105" s="99">
        <v>800</v>
      </c>
      <c r="AM105" s="98"/>
      <c r="AN105" s="102">
        <f t="shared" si="51"/>
        <v>800</v>
      </c>
      <c r="AO105" s="99">
        <v>800</v>
      </c>
      <c r="AP105" s="114"/>
      <c r="AQ105" s="102">
        <f t="shared" si="52"/>
        <v>1600</v>
      </c>
      <c r="AR105" s="99">
        <v>800</v>
      </c>
      <c r="AS105" s="114"/>
      <c r="AT105" s="102">
        <f t="shared" si="53"/>
        <v>2400</v>
      </c>
    </row>
    <row r="106" spans="1:46">
      <c r="A106" s="41">
        <f>VLOOKUP(B106,справочник!$B$2:$E$322,4,FALSE)</f>
        <v>121</v>
      </c>
      <c r="B106" t="str">
        <f t="shared" si="40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54"/>
        <v>38</v>
      </c>
      <c r="I106" s="1">
        <f t="shared" si="46"/>
        <v>38000</v>
      </c>
      <c r="J106" s="17">
        <v>32000</v>
      </c>
      <c r="K106" s="17"/>
      <c r="L106" s="18">
        <f t="shared" si="48"/>
        <v>6000</v>
      </c>
      <c r="M106" s="22">
        <v>3000</v>
      </c>
      <c r="N106" s="22"/>
      <c r="O106" s="22"/>
      <c r="P106" s="22">
        <v>3200</v>
      </c>
      <c r="Q106" s="22"/>
      <c r="R106" s="22"/>
      <c r="S106" s="22"/>
      <c r="T106">
        <v>3200</v>
      </c>
      <c r="U106" s="22"/>
      <c r="V106" s="22">
        <v>4000</v>
      </c>
      <c r="W106" s="22"/>
      <c r="X106" s="22"/>
      <c r="Y106" s="18">
        <f t="shared" si="41"/>
        <v>13400</v>
      </c>
      <c r="Z106" s="96">
        <v>12</v>
      </c>
      <c r="AA106" s="96">
        <f t="shared" si="42"/>
        <v>9600</v>
      </c>
      <c r="AB106" s="96">
        <f t="shared" si="43"/>
        <v>2200</v>
      </c>
      <c r="AC106" s="99">
        <v>800</v>
      </c>
      <c r="AD106" s="98"/>
      <c r="AE106" s="102">
        <f t="shared" si="44"/>
        <v>3000</v>
      </c>
      <c r="AF106" s="99">
        <v>800</v>
      </c>
      <c r="AG106" s="98"/>
      <c r="AH106" s="102">
        <f t="shared" si="49"/>
        <v>3800</v>
      </c>
      <c r="AI106" s="99">
        <v>800</v>
      </c>
      <c r="AJ106" s="98"/>
      <c r="AK106" s="102">
        <f t="shared" si="50"/>
        <v>4600</v>
      </c>
      <c r="AL106" s="99">
        <v>800</v>
      </c>
      <c r="AM106" s="98"/>
      <c r="AN106" s="102">
        <f t="shared" si="51"/>
        <v>5400</v>
      </c>
      <c r="AO106" s="99">
        <v>800</v>
      </c>
      <c r="AP106" s="114">
        <v>3200</v>
      </c>
      <c r="AQ106" s="102">
        <f t="shared" si="52"/>
        <v>3000</v>
      </c>
      <c r="AR106" s="99">
        <v>800</v>
      </c>
      <c r="AS106" s="114"/>
      <c r="AT106" s="102">
        <f t="shared" si="53"/>
        <v>3800</v>
      </c>
    </row>
    <row r="107" spans="1:46">
      <c r="A107" s="41">
        <f>VLOOKUP(B107,справочник!$B$2:$E$322,4,FALSE)</f>
        <v>156</v>
      </c>
      <c r="B107" t="str">
        <f t="shared" si="40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54"/>
        <v>31</v>
      </c>
      <c r="I107" s="1">
        <f t="shared" si="46"/>
        <v>31000</v>
      </c>
      <c r="J107" s="17">
        <v>28000</v>
      </c>
      <c r="K107" s="17"/>
      <c r="L107" s="18">
        <f t="shared" si="48"/>
        <v>3000</v>
      </c>
      <c r="M107" s="22"/>
      <c r="N107" s="22">
        <v>5000</v>
      </c>
      <c r="O107" s="22">
        <v>1000</v>
      </c>
      <c r="P107" s="22">
        <v>1000</v>
      </c>
      <c r="Q107" s="22">
        <v>1000</v>
      </c>
      <c r="R107" s="22">
        <v>1000</v>
      </c>
      <c r="S107" s="22">
        <v>1000</v>
      </c>
      <c r="T107">
        <v>1000</v>
      </c>
      <c r="U107" s="22">
        <v>1000</v>
      </c>
      <c r="V107" s="22">
        <v>1000</v>
      </c>
      <c r="W107" s="84">
        <v>1000</v>
      </c>
      <c r="X107" s="22">
        <v>1000</v>
      </c>
      <c r="Y107" s="18">
        <f t="shared" si="41"/>
        <v>15000</v>
      </c>
      <c r="Z107" s="96">
        <v>12</v>
      </c>
      <c r="AA107" s="96">
        <f t="shared" si="42"/>
        <v>9600</v>
      </c>
      <c r="AB107" s="96">
        <f t="shared" si="43"/>
        <v>-2400</v>
      </c>
      <c r="AC107" s="99">
        <v>800</v>
      </c>
      <c r="AD107" s="97">
        <v>1000</v>
      </c>
      <c r="AE107" s="102">
        <f t="shared" si="44"/>
        <v>-2600</v>
      </c>
      <c r="AF107" s="99">
        <v>800</v>
      </c>
      <c r="AG107" s="97">
        <v>1000</v>
      </c>
      <c r="AH107" s="102">
        <f t="shared" si="49"/>
        <v>-2800</v>
      </c>
      <c r="AI107" s="99">
        <v>800</v>
      </c>
      <c r="AJ107" s="97">
        <v>1000</v>
      </c>
      <c r="AK107" s="102">
        <f t="shared" si="50"/>
        <v>-3000</v>
      </c>
      <c r="AL107" s="99">
        <v>800</v>
      </c>
      <c r="AM107" s="97">
        <v>1000</v>
      </c>
      <c r="AN107" s="102">
        <f t="shared" si="51"/>
        <v>-3200</v>
      </c>
      <c r="AO107" s="99">
        <v>800</v>
      </c>
      <c r="AP107" s="97">
        <v>1000</v>
      </c>
      <c r="AQ107" s="102">
        <f t="shared" si="52"/>
        <v>-3400</v>
      </c>
      <c r="AR107" s="99">
        <v>800</v>
      </c>
      <c r="AS107" s="97">
        <v>1000</v>
      </c>
      <c r="AT107" s="102">
        <f t="shared" si="53"/>
        <v>-3600</v>
      </c>
    </row>
    <row r="108" spans="1:46">
      <c r="A108" s="41">
        <f>VLOOKUP(B108,справочник!$B$2:$E$322,4,FALSE)</f>
        <v>5</v>
      </c>
      <c r="B108" t="str">
        <f t="shared" si="40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54"/>
        <v>43</v>
      </c>
      <c r="I108" s="1">
        <f t="shared" si="46"/>
        <v>43000</v>
      </c>
      <c r="J108" s="17">
        <f>32000</f>
        <v>32000</v>
      </c>
      <c r="K108" s="17"/>
      <c r="L108" s="18">
        <f t="shared" si="48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41"/>
        <v>0</v>
      </c>
      <c r="Z108" s="96">
        <v>12</v>
      </c>
      <c r="AA108" s="96">
        <f t="shared" si="42"/>
        <v>9600</v>
      </c>
      <c r="AB108" s="96">
        <f t="shared" si="43"/>
        <v>20600</v>
      </c>
      <c r="AC108" s="99">
        <v>800</v>
      </c>
      <c r="AD108" s="98"/>
      <c r="AE108" s="102">
        <f t="shared" si="44"/>
        <v>21400</v>
      </c>
      <c r="AF108" s="99">
        <v>800</v>
      </c>
      <c r="AG108" s="98"/>
      <c r="AH108" s="102">
        <f t="shared" si="49"/>
        <v>22200</v>
      </c>
      <c r="AI108" s="99">
        <v>800</v>
      </c>
      <c r="AJ108" s="98"/>
      <c r="AK108" s="102">
        <f t="shared" si="50"/>
        <v>23000</v>
      </c>
      <c r="AL108" s="99">
        <v>800</v>
      </c>
      <c r="AM108" s="98">
        <v>4000</v>
      </c>
      <c r="AN108" s="102">
        <f t="shared" si="51"/>
        <v>19800</v>
      </c>
      <c r="AO108" s="99">
        <v>800</v>
      </c>
      <c r="AP108" s="114"/>
      <c r="AQ108" s="102">
        <f t="shared" si="52"/>
        <v>20600</v>
      </c>
      <c r="AR108" s="99">
        <v>800</v>
      </c>
      <c r="AS108" s="114"/>
      <c r="AT108" s="102">
        <f t="shared" si="53"/>
        <v>21400</v>
      </c>
    </row>
    <row r="109" spans="1:46">
      <c r="A109" s="41">
        <f>VLOOKUP(B109,справочник!$B$2:$E$322,4,FALSE)</f>
        <v>214</v>
      </c>
      <c r="B109" t="str">
        <f t="shared" si="40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54"/>
        <v>19</v>
      </c>
      <c r="I109" s="1">
        <f t="shared" si="46"/>
        <v>19000</v>
      </c>
      <c r="J109" s="17">
        <v>19000</v>
      </c>
      <c r="K109" s="17"/>
      <c r="L109" s="18">
        <f t="shared" si="48"/>
        <v>0</v>
      </c>
      <c r="M109" s="22"/>
      <c r="N109" s="22">
        <v>3000</v>
      </c>
      <c r="O109" s="22"/>
      <c r="P109" s="22"/>
      <c r="Q109" s="22"/>
      <c r="R109" s="22">
        <v>2000</v>
      </c>
      <c r="S109" s="22"/>
      <c r="T109" s="22"/>
      <c r="U109" s="22">
        <v>2200</v>
      </c>
      <c r="V109" s="22"/>
      <c r="W109" s="84">
        <v>800</v>
      </c>
      <c r="X109" s="22">
        <v>1600</v>
      </c>
      <c r="Y109" s="18">
        <f t="shared" si="41"/>
        <v>9600</v>
      </c>
      <c r="Z109" s="96">
        <v>12</v>
      </c>
      <c r="AA109" s="96">
        <f t="shared" si="42"/>
        <v>9600</v>
      </c>
      <c r="AB109" s="96">
        <f t="shared" si="43"/>
        <v>0</v>
      </c>
      <c r="AC109" s="99">
        <v>800</v>
      </c>
      <c r="AD109" s="97">
        <v>1600</v>
      </c>
      <c r="AE109" s="102">
        <f t="shared" si="44"/>
        <v>-800</v>
      </c>
      <c r="AF109" s="99">
        <v>800</v>
      </c>
      <c r="AG109" s="97"/>
      <c r="AH109" s="102">
        <f t="shared" si="49"/>
        <v>0</v>
      </c>
      <c r="AI109" s="99">
        <v>800</v>
      </c>
      <c r="AJ109" s="97"/>
      <c r="AK109" s="102">
        <f t="shared" si="50"/>
        <v>800</v>
      </c>
      <c r="AL109" s="99">
        <v>800</v>
      </c>
      <c r="AM109" s="97">
        <v>1600</v>
      </c>
      <c r="AN109" s="102">
        <f t="shared" si="51"/>
        <v>0</v>
      </c>
      <c r="AO109" s="99">
        <v>800</v>
      </c>
      <c r="AP109" s="97">
        <v>800</v>
      </c>
      <c r="AQ109" s="102">
        <f t="shared" si="52"/>
        <v>0</v>
      </c>
      <c r="AR109" s="99">
        <v>800</v>
      </c>
      <c r="AS109" s="97"/>
      <c r="AT109" s="102">
        <f t="shared" si="53"/>
        <v>800</v>
      </c>
    </row>
    <row r="110" spans="1:46">
      <c r="A110" s="41">
        <f>VLOOKUP(B110,справочник!$B$2:$E$322,4,FALSE)</f>
        <v>279</v>
      </c>
      <c r="B110" t="str">
        <f t="shared" si="40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54"/>
        <v>49</v>
      </c>
      <c r="I110" s="1">
        <f t="shared" si="46"/>
        <v>49000</v>
      </c>
      <c r="J110" s="17">
        <f>42000+1000</f>
        <v>43000</v>
      </c>
      <c r="K110" s="17"/>
      <c r="L110" s="18">
        <f t="shared" si="48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41"/>
        <v>0</v>
      </c>
      <c r="Z110" s="96">
        <v>12</v>
      </c>
      <c r="AA110" s="96">
        <f t="shared" si="42"/>
        <v>9600</v>
      </c>
      <c r="AB110" s="96">
        <f t="shared" si="43"/>
        <v>15600</v>
      </c>
      <c r="AC110" s="99">
        <v>800</v>
      </c>
      <c r="AD110" s="98"/>
      <c r="AE110" s="102">
        <f t="shared" si="44"/>
        <v>16400</v>
      </c>
      <c r="AF110" s="99">
        <v>800</v>
      </c>
      <c r="AG110" s="98"/>
      <c r="AH110" s="102">
        <f t="shared" si="49"/>
        <v>17200</v>
      </c>
      <c r="AI110" s="99">
        <v>800</v>
      </c>
      <c r="AJ110" s="98"/>
      <c r="AK110" s="102">
        <f t="shared" si="50"/>
        <v>18000</v>
      </c>
      <c r="AL110" s="99">
        <v>800</v>
      </c>
      <c r="AM110" s="98"/>
      <c r="AN110" s="102">
        <f t="shared" si="51"/>
        <v>18800</v>
      </c>
      <c r="AO110" s="99">
        <v>800</v>
      </c>
      <c r="AP110" s="114"/>
      <c r="AQ110" s="102">
        <f t="shared" si="52"/>
        <v>19600</v>
      </c>
      <c r="AR110" s="99">
        <v>800</v>
      </c>
      <c r="AS110" s="114"/>
      <c r="AT110" s="102">
        <f t="shared" si="53"/>
        <v>20400</v>
      </c>
    </row>
    <row r="111" spans="1:46">
      <c r="A111" s="41">
        <f>VLOOKUP(B111,справочник!$B$2:$E$322,4,FALSE)</f>
        <v>197</v>
      </c>
      <c r="B111" t="str">
        <f t="shared" si="40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54"/>
        <v>50</v>
      </c>
      <c r="I111" s="1">
        <f t="shared" si="46"/>
        <v>50000</v>
      </c>
      <c r="J111" s="17">
        <v>16000</v>
      </c>
      <c r="K111" s="17"/>
      <c r="L111" s="18">
        <f t="shared" si="48"/>
        <v>34000</v>
      </c>
      <c r="M111" s="22"/>
      <c r="N111" s="22"/>
      <c r="O111" s="22"/>
      <c r="P111" s="22"/>
      <c r="Q111" s="22"/>
      <c r="R111" s="22"/>
      <c r="S111" s="22">
        <v>6600</v>
      </c>
      <c r="T111" s="22"/>
      <c r="U111" s="22"/>
      <c r="V111" s="22"/>
      <c r="W111" s="22"/>
      <c r="X111" s="22"/>
      <c r="Y111" s="18">
        <f t="shared" si="41"/>
        <v>6600</v>
      </c>
      <c r="Z111" s="96">
        <v>12</v>
      </c>
      <c r="AA111" s="96">
        <f t="shared" si="42"/>
        <v>9600</v>
      </c>
      <c r="AB111" s="96">
        <f t="shared" si="43"/>
        <v>37000</v>
      </c>
      <c r="AC111" s="99">
        <v>800</v>
      </c>
      <c r="AD111" s="98"/>
      <c r="AE111" s="102">
        <f t="shared" si="44"/>
        <v>37800</v>
      </c>
      <c r="AF111" s="99">
        <v>800</v>
      </c>
      <c r="AG111" s="98"/>
      <c r="AH111" s="102">
        <f t="shared" si="49"/>
        <v>38600</v>
      </c>
      <c r="AI111" s="99">
        <v>800</v>
      </c>
      <c r="AJ111" s="98"/>
      <c r="AK111" s="102">
        <f t="shared" si="50"/>
        <v>39400</v>
      </c>
      <c r="AL111" s="99">
        <v>800</v>
      </c>
      <c r="AM111" s="98">
        <v>8000</v>
      </c>
      <c r="AN111" s="102">
        <f t="shared" si="51"/>
        <v>32200</v>
      </c>
      <c r="AO111" s="99">
        <v>800</v>
      </c>
      <c r="AP111" s="114"/>
      <c r="AQ111" s="102">
        <f t="shared" si="52"/>
        <v>33000</v>
      </c>
      <c r="AR111" s="99">
        <v>800</v>
      </c>
      <c r="AS111" s="114"/>
      <c r="AT111" s="102">
        <f t="shared" si="53"/>
        <v>33800</v>
      </c>
    </row>
    <row r="112" spans="1:46">
      <c r="A112" s="41">
        <f>VLOOKUP(B112,справочник!$B$2:$E$322,4,FALSE)</f>
        <v>295</v>
      </c>
      <c r="B112" t="str">
        <f t="shared" si="40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54"/>
        <v>12</v>
      </c>
      <c r="I112" s="1">
        <f t="shared" si="46"/>
        <v>12000</v>
      </c>
      <c r="J112" s="17"/>
      <c r="K112" s="17"/>
      <c r="L112" s="18">
        <f t="shared" si="48"/>
        <v>12000</v>
      </c>
      <c r="M112" s="22"/>
      <c r="N112" s="22"/>
      <c r="O112" s="22"/>
      <c r="P112" s="22"/>
      <c r="Q112" s="22"/>
      <c r="R112" s="22"/>
      <c r="S112" s="22"/>
      <c r="T112" s="22">
        <v>18150</v>
      </c>
      <c r="U112" s="22"/>
      <c r="V112" s="22"/>
      <c r="W112" s="22"/>
      <c r="X112" s="22"/>
      <c r="Y112" s="18">
        <f t="shared" si="41"/>
        <v>18150</v>
      </c>
      <c r="Z112" s="96">
        <v>12</v>
      </c>
      <c r="AA112" s="96">
        <f t="shared" si="42"/>
        <v>9600</v>
      </c>
      <c r="AB112" s="96">
        <f t="shared" si="43"/>
        <v>3450</v>
      </c>
      <c r="AC112" s="99">
        <v>800</v>
      </c>
      <c r="AD112" s="98"/>
      <c r="AE112" s="102">
        <f t="shared" si="44"/>
        <v>4250</v>
      </c>
      <c r="AF112" s="99">
        <v>800</v>
      </c>
      <c r="AG112" s="98"/>
      <c r="AH112" s="102">
        <f t="shared" si="49"/>
        <v>5050</v>
      </c>
      <c r="AI112" s="99">
        <v>800</v>
      </c>
      <c r="AJ112" s="98">
        <v>5000</v>
      </c>
      <c r="AK112" s="102">
        <f t="shared" si="50"/>
        <v>850</v>
      </c>
      <c r="AL112" s="99">
        <v>800</v>
      </c>
      <c r="AM112" s="98"/>
      <c r="AN112" s="102">
        <f t="shared" si="51"/>
        <v>1650</v>
      </c>
      <c r="AO112" s="99">
        <v>800</v>
      </c>
      <c r="AP112" s="114"/>
      <c r="AQ112" s="102">
        <f t="shared" si="52"/>
        <v>2450</v>
      </c>
      <c r="AR112" s="99">
        <v>800</v>
      </c>
      <c r="AS112" s="114"/>
      <c r="AT112" s="102">
        <f t="shared" si="53"/>
        <v>3250</v>
      </c>
    </row>
    <row r="113" spans="1:46">
      <c r="A113" s="41">
        <f>VLOOKUP(B113,справочник!$B$2:$E$322,4,FALSE)</f>
        <v>196</v>
      </c>
      <c r="B113" t="str">
        <f t="shared" si="40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54"/>
        <v>46</v>
      </c>
      <c r="I113" s="1">
        <f t="shared" si="46"/>
        <v>46000</v>
      </c>
      <c r="J113" s="17">
        <f>46000</f>
        <v>46000</v>
      </c>
      <c r="K113" s="17"/>
      <c r="L113" s="18">
        <f t="shared" si="48"/>
        <v>0</v>
      </c>
      <c r="M113" s="22"/>
      <c r="N113" s="22"/>
      <c r="O113" s="22">
        <v>4800</v>
      </c>
      <c r="P113" s="22"/>
      <c r="Q113" s="22"/>
      <c r="R113" s="22"/>
      <c r="S113" s="22"/>
      <c r="T113">
        <v>2400</v>
      </c>
      <c r="U113" s="22"/>
      <c r="V113" s="22"/>
      <c r="W113" s="84">
        <v>2400</v>
      </c>
      <c r="X113" s="22"/>
      <c r="Y113" s="18">
        <f t="shared" si="41"/>
        <v>9600</v>
      </c>
      <c r="Z113" s="96">
        <v>12</v>
      </c>
      <c r="AA113" s="96">
        <f t="shared" si="42"/>
        <v>9600</v>
      </c>
      <c r="AB113" s="96">
        <f t="shared" si="43"/>
        <v>0</v>
      </c>
      <c r="AC113" s="99">
        <v>800</v>
      </c>
      <c r="AD113" s="98"/>
      <c r="AE113" s="102">
        <f t="shared" si="44"/>
        <v>800</v>
      </c>
      <c r="AF113" s="99">
        <v>800</v>
      </c>
      <c r="AG113" s="98">
        <v>3200</v>
      </c>
      <c r="AH113" s="102">
        <f t="shared" si="49"/>
        <v>-1600</v>
      </c>
      <c r="AI113" s="99">
        <v>800</v>
      </c>
      <c r="AJ113" s="98"/>
      <c r="AK113" s="102">
        <f t="shared" si="50"/>
        <v>-800</v>
      </c>
      <c r="AL113" s="99">
        <v>800</v>
      </c>
      <c r="AM113" s="98"/>
      <c r="AN113" s="102">
        <f t="shared" si="51"/>
        <v>0</v>
      </c>
      <c r="AO113" s="99">
        <v>800</v>
      </c>
      <c r="AP113" s="114"/>
      <c r="AQ113" s="102">
        <f t="shared" si="52"/>
        <v>800</v>
      </c>
      <c r="AR113" s="99">
        <v>800</v>
      </c>
      <c r="AS113" s="114"/>
      <c r="AT113" s="102">
        <f t="shared" si="53"/>
        <v>1600</v>
      </c>
    </row>
    <row r="114" spans="1:46" ht="25.5">
      <c r="A114" s="41">
        <f>VLOOKUP(B114,справочник!$B$2:$E$322,4,FALSE)</f>
        <v>124</v>
      </c>
      <c r="B114" t="str">
        <f t="shared" si="40"/>
        <v>129Казымов Горхмаз Гамид/Лавренчук Александр Владиславович</v>
      </c>
      <c r="C114" s="1">
        <v>129</v>
      </c>
      <c r="D114" s="2" t="s">
        <v>105</v>
      </c>
      <c r="E114" s="1" t="s">
        <v>422</v>
      </c>
      <c r="F114" s="16">
        <v>41580</v>
      </c>
      <c r="G114" s="16">
        <v>41609</v>
      </c>
      <c r="H114" s="17">
        <f t="shared" si="54"/>
        <v>25</v>
      </c>
      <c r="I114" s="1">
        <f t="shared" si="46"/>
        <v>25000</v>
      </c>
      <c r="J114" s="17">
        <f>5000+1500+5000</f>
        <v>11500</v>
      </c>
      <c r="K114" s="17"/>
      <c r="L114" s="18">
        <f t="shared" si="48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41"/>
        <v>0</v>
      </c>
      <c r="Z114" s="96">
        <v>12</v>
      </c>
      <c r="AA114" s="96">
        <f t="shared" si="42"/>
        <v>9600</v>
      </c>
      <c r="AB114" s="96">
        <f t="shared" si="43"/>
        <v>23100</v>
      </c>
      <c r="AC114" s="99">
        <v>800</v>
      </c>
      <c r="AD114" s="98"/>
      <c r="AE114" s="102">
        <f t="shared" si="44"/>
        <v>23900</v>
      </c>
      <c r="AF114" s="99">
        <v>800</v>
      </c>
      <c r="AG114" s="98"/>
      <c r="AH114" s="102">
        <f t="shared" si="49"/>
        <v>24700</v>
      </c>
      <c r="AI114" s="99">
        <v>800</v>
      </c>
      <c r="AJ114" s="98"/>
      <c r="AK114" s="102">
        <f t="shared" si="50"/>
        <v>25500</v>
      </c>
      <c r="AL114" s="99">
        <v>800</v>
      </c>
      <c r="AM114" s="98"/>
      <c r="AN114" s="102">
        <f t="shared" si="51"/>
        <v>26300</v>
      </c>
      <c r="AO114" s="99">
        <v>800</v>
      </c>
      <c r="AP114" s="114"/>
      <c r="AQ114" s="102">
        <f t="shared" si="52"/>
        <v>27100</v>
      </c>
      <c r="AR114" s="99">
        <v>800</v>
      </c>
      <c r="AS114" s="114"/>
      <c r="AT114" s="102">
        <f t="shared" si="53"/>
        <v>27900</v>
      </c>
    </row>
    <row r="115" spans="1:46">
      <c r="A115" s="41">
        <f>VLOOKUP(B115,справочник!$B$2:$E$322,4,FALSE)</f>
        <v>250</v>
      </c>
      <c r="B115" t="str">
        <f t="shared" si="40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54"/>
        <v>28</v>
      </c>
      <c r="I115" s="1">
        <f t="shared" si="46"/>
        <v>28000</v>
      </c>
      <c r="J115" s="17">
        <v>13000</v>
      </c>
      <c r="K115" s="17">
        <v>1000</v>
      </c>
      <c r="L115" s="18">
        <f t="shared" si="48"/>
        <v>14000</v>
      </c>
      <c r="M115" s="22"/>
      <c r="N115" s="22"/>
      <c r="O115" s="22">
        <v>1000</v>
      </c>
      <c r="P115" s="22">
        <v>1000</v>
      </c>
      <c r="Q115" s="22">
        <v>1000</v>
      </c>
      <c r="R115" s="22"/>
      <c r="S115" s="22">
        <v>1000</v>
      </c>
      <c r="T115" s="22"/>
      <c r="U115" s="22">
        <v>2500</v>
      </c>
      <c r="V115" s="22">
        <v>1000</v>
      </c>
      <c r="W115" s="84">
        <v>2000</v>
      </c>
      <c r="X115" s="22"/>
      <c r="Y115" s="18">
        <f t="shared" si="41"/>
        <v>9500</v>
      </c>
      <c r="Z115" s="96">
        <v>12</v>
      </c>
      <c r="AA115" s="96">
        <f t="shared" si="42"/>
        <v>9600</v>
      </c>
      <c r="AB115" s="96">
        <f t="shared" si="43"/>
        <v>14100</v>
      </c>
      <c r="AC115" s="99">
        <v>800</v>
      </c>
      <c r="AD115" s="97">
        <v>2000</v>
      </c>
      <c r="AE115" s="102">
        <f t="shared" si="44"/>
        <v>12900</v>
      </c>
      <c r="AF115" s="99">
        <v>800</v>
      </c>
      <c r="AG115" s="97"/>
      <c r="AH115" s="102">
        <f t="shared" si="49"/>
        <v>13700</v>
      </c>
      <c r="AI115" s="99">
        <v>800</v>
      </c>
      <c r="AJ115" s="97"/>
      <c r="AK115" s="102">
        <f t="shared" si="50"/>
        <v>14500</v>
      </c>
      <c r="AL115" s="99">
        <v>800</v>
      </c>
      <c r="AM115" s="97">
        <v>2000</v>
      </c>
      <c r="AN115" s="102">
        <f t="shared" si="51"/>
        <v>13300</v>
      </c>
      <c r="AO115" s="99">
        <v>800</v>
      </c>
      <c r="AP115" s="97">
        <v>2000</v>
      </c>
      <c r="AQ115" s="102">
        <f t="shared" si="52"/>
        <v>12100</v>
      </c>
      <c r="AR115" s="99">
        <v>800</v>
      </c>
      <c r="AS115" s="97">
        <v>2000</v>
      </c>
      <c r="AT115" s="102">
        <f t="shared" si="53"/>
        <v>10900</v>
      </c>
    </row>
    <row r="116" spans="1:46">
      <c r="A116" s="41">
        <f>VLOOKUP(B116,справочник!$B$2:$E$322,4,FALSE)</f>
        <v>153</v>
      </c>
      <c r="B116" t="str">
        <f t="shared" si="40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54"/>
        <v>45</v>
      </c>
      <c r="I116" s="1">
        <f t="shared" si="46"/>
        <v>45000</v>
      </c>
      <c r="J116" s="17">
        <v>41000</v>
      </c>
      <c r="K116" s="17"/>
      <c r="L116" s="18">
        <f t="shared" si="48"/>
        <v>4000</v>
      </c>
      <c r="M116" s="22"/>
      <c r="N116" s="22"/>
      <c r="O116" s="22"/>
      <c r="P116" s="22">
        <v>7200</v>
      </c>
      <c r="Q116" s="22"/>
      <c r="R116" s="22"/>
      <c r="S116" s="22">
        <v>1600</v>
      </c>
      <c r="T116" s="22"/>
      <c r="U116" s="22"/>
      <c r="V116" s="22"/>
      <c r="W116" s="84">
        <v>4000</v>
      </c>
      <c r="X116" s="22"/>
      <c r="Y116" s="18">
        <f t="shared" si="41"/>
        <v>12800</v>
      </c>
      <c r="Z116" s="96">
        <v>12</v>
      </c>
      <c r="AA116" s="96">
        <f t="shared" si="42"/>
        <v>9600</v>
      </c>
      <c r="AB116" s="96">
        <f t="shared" si="43"/>
        <v>800</v>
      </c>
      <c r="AC116" s="99">
        <v>800</v>
      </c>
      <c r="AD116" s="98"/>
      <c r="AE116" s="102">
        <f t="shared" si="44"/>
        <v>1600</v>
      </c>
      <c r="AF116" s="99">
        <v>800</v>
      </c>
      <c r="AG116" s="98"/>
      <c r="AH116" s="102">
        <f t="shared" si="49"/>
        <v>2400</v>
      </c>
      <c r="AI116" s="99">
        <v>800</v>
      </c>
      <c r="AJ116" s="98"/>
      <c r="AK116" s="102">
        <f t="shared" si="50"/>
        <v>3200</v>
      </c>
      <c r="AL116" s="99">
        <v>800</v>
      </c>
      <c r="AM116" s="98">
        <v>2400</v>
      </c>
      <c r="AN116" s="102">
        <f t="shared" si="51"/>
        <v>1600</v>
      </c>
      <c r="AO116" s="99">
        <v>800</v>
      </c>
      <c r="AP116" s="114">
        <v>1600</v>
      </c>
      <c r="AQ116" s="102">
        <f t="shared" si="52"/>
        <v>800</v>
      </c>
      <c r="AR116" s="99">
        <v>800</v>
      </c>
      <c r="AS116" s="114">
        <v>1600</v>
      </c>
      <c r="AT116" s="102">
        <f t="shared" si="53"/>
        <v>0</v>
      </c>
    </row>
    <row r="117" spans="1:46">
      <c r="A117" s="41">
        <f>VLOOKUP(B117,справочник!$B$2:$E$322,4,FALSE)</f>
        <v>106</v>
      </c>
      <c r="B117" t="str">
        <f t="shared" si="40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54"/>
        <v>36</v>
      </c>
      <c r="I117" s="1">
        <f t="shared" si="46"/>
        <v>36000</v>
      </c>
      <c r="J117" s="17">
        <v>1000</v>
      </c>
      <c r="K117" s="17"/>
      <c r="L117" s="18">
        <f t="shared" si="48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41"/>
        <v>0</v>
      </c>
      <c r="Z117" s="96">
        <v>12</v>
      </c>
      <c r="AA117" s="96">
        <f t="shared" si="42"/>
        <v>9600</v>
      </c>
      <c r="AB117" s="96">
        <f t="shared" si="43"/>
        <v>44600</v>
      </c>
      <c r="AC117" s="99">
        <v>800</v>
      </c>
      <c r="AD117" s="98"/>
      <c r="AE117" s="102">
        <f t="shared" si="44"/>
        <v>45400</v>
      </c>
      <c r="AF117" s="99">
        <v>800</v>
      </c>
      <c r="AG117" s="98"/>
      <c r="AH117" s="102">
        <f t="shared" si="49"/>
        <v>46200</v>
      </c>
      <c r="AI117" s="99">
        <v>800</v>
      </c>
      <c r="AJ117" s="98">
        <v>5000</v>
      </c>
      <c r="AK117" s="102">
        <f t="shared" si="50"/>
        <v>42000</v>
      </c>
      <c r="AL117" s="99">
        <v>800</v>
      </c>
      <c r="AM117" s="98"/>
      <c r="AN117" s="102">
        <f t="shared" si="51"/>
        <v>42800</v>
      </c>
      <c r="AO117" s="99">
        <v>800</v>
      </c>
      <c r="AP117" s="114"/>
      <c r="AQ117" s="102">
        <f t="shared" si="52"/>
        <v>43600</v>
      </c>
      <c r="AR117" s="99">
        <v>800</v>
      </c>
      <c r="AS117" s="114"/>
      <c r="AT117" s="102">
        <f t="shared" si="53"/>
        <v>44400</v>
      </c>
    </row>
    <row r="118" spans="1:46">
      <c r="A118" s="41">
        <f>VLOOKUP(B118,справочник!$B$2:$E$322,4,FALSE)</f>
        <v>222</v>
      </c>
      <c r="B118" t="str">
        <f t="shared" si="40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54"/>
        <v>30</v>
      </c>
      <c r="I118" s="1">
        <f t="shared" si="46"/>
        <v>30000</v>
      </c>
      <c r="J118" s="17">
        <v>25000</v>
      </c>
      <c r="K118" s="17">
        <v>5000</v>
      </c>
      <c r="L118" s="18">
        <f t="shared" si="48"/>
        <v>0</v>
      </c>
      <c r="M118" s="22"/>
      <c r="N118" s="22">
        <v>3200</v>
      </c>
      <c r="O118" s="22"/>
      <c r="P118" s="22"/>
      <c r="Q118" s="22">
        <v>4000</v>
      </c>
      <c r="R118" s="22"/>
      <c r="S118" s="22"/>
      <c r="T118" s="22"/>
      <c r="U118" s="22"/>
      <c r="V118" s="22">
        <v>2400</v>
      </c>
      <c r="W118" s="22"/>
      <c r="X118" s="22"/>
      <c r="Y118" s="18">
        <f t="shared" si="41"/>
        <v>9600</v>
      </c>
      <c r="Z118" s="96">
        <v>12</v>
      </c>
      <c r="AA118" s="96">
        <f t="shared" si="42"/>
        <v>9600</v>
      </c>
      <c r="AB118" s="96">
        <f t="shared" si="43"/>
        <v>0</v>
      </c>
      <c r="AC118" s="99">
        <v>800</v>
      </c>
      <c r="AD118" s="98"/>
      <c r="AE118" s="102">
        <f t="shared" si="44"/>
        <v>800</v>
      </c>
      <c r="AF118" s="99">
        <v>800</v>
      </c>
      <c r="AG118" s="98"/>
      <c r="AH118" s="102">
        <f t="shared" si="49"/>
        <v>1600</v>
      </c>
      <c r="AI118" s="99">
        <v>800</v>
      </c>
      <c r="AJ118" s="98"/>
      <c r="AK118" s="102">
        <f t="shared" si="50"/>
        <v>2400</v>
      </c>
      <c r="AL118" s="99">
        <v>800</v>
      </c>
      <c r="AM118" s="98"/>
      <c r="AN118" s="102">
        <f t="shared" si="51"/>
        <v>3200</v>
      </c>
      <c r="AO118" s="99">
        <v>800</v>
      </c>
      <c r="AP118" s="114"/>
      <c r="AQ118" s="102">
        <f t="shared" si="52"/>
        <v>4000</v>
      </c>
      <c r="AR118" s="99">
        <v>800</v>
      </c>
      <c r="AS118" s="114"/>
      <c r="AT118" s="102">
        <f t="shared" si="53"/>
        <v>4800</v>
      </c>
    </row>
    <row r="119" spans="1:46">
      <c r="A119" s="41">
        <f>VLOOKUP(B119,справочник!$B$2:$E$322,4,FALSE)</f>
        <v>208</v>
      </c>
      <c r="B119" t="str">
        <f t="shared" si="40"/>
        <v>218Катушкин Роман Юрьевич</v>
      </c>
      <c r="C119" s="1">
        <v>218</v>
      </c>
      <c r="D119" s="2" t="s">
        <v>110</v>
      </c>
      <c r="E119" s="1" t="s">
        <v>427</v>
      </c>
      <c r="F119" s="16">
        <v>41052</v>
      </c>
      <c r="G119" s="16">
        <v>41061</v>
      </c>
      <c r="H119" s="17">
        <f t="shared" si="54"/>
        <v>43</v>
      </c>
      <c r="I119" s="1">
        <f t="shared" si="46"/>
        <v>43000</v>
      </c>
      <c r="J119" s="17">
        <f>40500</f>
        <v>40500</v>
      </c>
      <c r="K119" s="17"/>
      <c r="L119" s="18">
        <f t="shared" si="48"/>
        <v>2500</v>
      </c>
      <c r="M119" s="22"/>
      <c r="N119" s="22"/>
      <c r="O119" s="22"/>
      <c r="P119" s="22"/>
      <c r="Q119" s="22"/>
      <c r="R119" s="22"/>
      <c r="S119" s="22"/>
      <c r="T119">
        <v>3600</v>
      </c>
      <c r="U119" s="22"/>
      <c r="V119" s="22"/>
      <c r="W119" s="22"/>
      <c r="X119" s="22"/>
      <c r="Y119" s="18">
        <f t="shared" si="41"/>
        <v>3600</v>
      </c>
      <c r="Z119" s="96">
        <v>12</v>
      </c>
      <c r="AA119" s="96">
        <f t="shared" si="42"/>
        <v>9600</v>
      </c>
      <c r="AB119" s="96">
        <f t="shared" si="43"/>
        <v>8500</v>
      </c>
      <c r="AC119" s="99">
        <v>800</v>
      </c>
      <c r="AD119" s="98">
        <v>3000</v>
      </c>
      <c r="AE119" s="102">
        <f t="shared" si="44"/>
        <v>6300</v>
      </c>
      <c r="AF119" s="99">
        <v>800</v>
      </c>
      <c r="AG119" s="98"/>
      <c r="AH119" s="102">
        <f t="shared" si="49"/>
        <v>7100</v>
      </c>
      <c r="AI119" s="99">
        <v>800</v>
      </c>
      <c r="AJ119" s="98"/>
      <c r="AK119" s="102">
        <f t="shared" si="50"/>
        <v>7900</v>
      </c>
      <c r="AL119" s="99">
        <v>800</v>
      </c>
      <c r="AM119" s="98"/>
      <c r="AN119" s="102">
        <f t="shared" si="51"/>
        <v>8700</v>
      </c>
      <c r="AO119" s="99">
        <v>800</v>
      </c>
      <c r="AP119" s="114"/>
      <c r="AQ119" s="102">
        <f t="shared" si="52"/>
        <v>9500</v>
      </c>
      <c r="AR119" s="99">
        <v>800</v>
      </c>
      <c r="AS119" s="114"/>
      <c r="AT119" s="102">
        <f t="shared" si="53"/>
        <v>10300</v>
      </c>
    </row>
    <row r="120" spans="1:46" ht="25.5">
      <c r="A120" s="41">
        <f>VLOOKUP(B120,справочник!$B$2:$E$322,4,FALSE)</f>
        <v>207</v>
      </c>
      <c r="B120" t="str">
        <f t="shared" si="40"/>
        <v>217Катушкин Роман Юрьевич//Валеев Артур Рашидович</v>
      </c>
      <c r="C120" s="1">
        <v>217</v>
      </c>
      <c r="D120" s="2" t="s">
        <v>111</v>
      </c>
      <c r="E120" s="1"/>
      <c r="F120" s="1"/>
      <c r="G120" s="1"/>
      <c r="H120" s="17"/>
      <c r="I120" s="1">
        <f t="shared" si="46"/>
        <v>0</v>
      </c>
      <c r="J120" s="17"/>
      <c r="K120" s="17"/>
      <c r="L120" s="18">
        <f t="shared" si="48"/>
        <v>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18">
        <f t="shared" si="41"/>
        <v>0</v>
      </c>
      <c r="Z120" s="96">
        <v>12</v>
      </c>
      <c r="AA120" s="96">
        <f t="shared" si="42"/>
        <v>9600</v>
      </c>
      <c r="AB120" s="96">
        <f t="shared" si="43"/>
        <v>9600</v>
      </c>
      <c r="AC120" s="99">
        <v>800</v>
      </c>
      <c r="AD120" s="98"/>
      <c r="AE120" s="102">
        <f t="shared" si="44"/>
        <v>10400</v>
      </c>
      <c r="AF120" s="99">
        <v>800</v>
      </c>
      <c r="AG120" s="98"/>
      <c r="AH120" s="102">
        <f t="shared" si="49"/>
        <v>11200</v>
      </c>
      <c r="AI120" s="99">
        <v>800</v>
      </c>
      <c r="AJ120" s="98"/>
      <c r="AK120" s="102">
        <f t="shared" si="50"/>
        <v>12000</v>
      </c>
      <c r="AL120" s="99">
        <v>800</v>
      </c>
      <c r="AM120" s="98"/>
      <c r="AN120" s="102">
        <f t="shared" si="51"/>
        <v>12800</v>
      </c>
      <c r="AO120" s="99">
        <v>800</v>
      </c>
      <c r="AP120" s="114"/>
      <c r="AQ120" s="102">
        <f t="shared" si="52"/>
        <v>13600</v>
      </c>
      <c r="AR120" s="99">
        <v>800</v>
      </c>
      <c r="AS120" s="114"/>
      <c r="AT120" s="102">
        <f t="shared" si="53"/>
        <v>14400</v>
      </c>
    </row>
    <row r="121" spans="1:46">
      <c r="A121" s="41">
        <f>VLOOKUP(B121,справочник!$B$2:$E$322,4,FALSE)</f>
        <v>231</v>
      </c>
      <c r="B121" t="str">
        <f t="shared" si="40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55">INT(($H$325-G121)/30)</f>
        <v>33</v>
      </c>
      <c r="I121" s="1">
        <f t="shared" si="46"/>
        <v>33000</v>
      </c>
      <c r="J121" s="17">
        <v>28000</v>
      </c>
      <c r="K121" s="17"/>
      <c r="L121" s="18">
        <f t="shared" si="48"/>
        <v>5000</v>
      </c>
      <c r="M121" s="22"/>
      <c r="N121" s="22">
        <v>5000</v>
      </c>
      <c r="O121" s="22"/>
      <c r="P121" s="22">
        <v>1000</v>
      </c>
      <c r="Q121" s="22"/>
      <c r="R121" s="22"/>
      <c r="S121" s="22"/>
      <c r="T121" s="22"/>
      <c r="U121" s="22"/>
      <c r="V121" s="22"/>
      <c r="W121" s="22"/>
      <c r="X121" s="22"/>
      <c r="Y121" s="18">
        <f t="shared" si="41"/>
        <v>6000</v>
      </c>
      <c r="Z121" s="96">
        <v>12</v>
      </c>
      <c r="AA121" s="96">
        <f t="shared" si="42"/>
        <v>9600</v>
      </c>
      <c r="AB121" s="96">
        <f t="shared" si="43"/>
        <v>8600</v>
      </c>
      <c r="AC121" s="99">
        <v>800</v>
      </c>
      <c r="AD121" s="98"/>
      <c r="AE121" s="102">
        <f t="shared" si="44"/>
        <v>9400</v>
      </c>
      <c r="AF121" s="99">
        <v>800</v>
      </c>
      <c r="AG121" s="98"/>
      <c r="AH121" s="102">
        <f t="shared" si="49"/>
        <v>10200</v>
      </c>
      <c r="AI121" s="99">
        <v>800</v>
      </c>
      <c r="AJ121" s="98"/>
      <c r="AK121" s="102">
        <f t="shared" si="50"/>
        <v>11000</v>
      </c>
      <c r="AL121" s="99">
        <v>800</v>
      </c>
      <c r="AM121" s="98"/>
      <c r="AN121" s="102">
        <f t="shared" si="51"/>
        <v>11800</v>
      </c>
      <c r="AO121" s="99">
        <v>800</v>
      </c>
      <c r="AP121" s="114"/>
      <c r="AQ121" s="102">
        <f t="shared" si="52"/>
        <v>12600</v>
      </c>
      <c r="AR121" s="99">
        <v>800</v>
      </c>
      <c r="AS121" s="114"/>
      <c r="AT121" s="102">
        <f t="shared" si="53"/>
        <v>13400</v>
      </c>
    </row>
    <row r="122" spans="1:46">
      <c r="A122" s="41">
        <f>VLOOKUP(B122,справочник!$B$2:$E$322,4,FALSE)</f>
        <v>76</v>
      </c>
      <c r="B122" t="str">
        <f t="shared" si="40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55"/>
        <v>55</v>
      </c>
      <c r="I122" s="1">
        <f t="shared" si="46"/>
        <v>55000</v>
      </c>
      <c r="J122" s="17">
        <v>54000</v>
      </c>
      <c r="K122" s="17">
        <v>3000</v>
      </c>
      <c r="L122" s="18">
        <f t="shared" si="48"/>
        <v>-2000</v>
      </c>
      <c r="M122" s="22"/>
      <c r="N122" s="22">
        <v>2400</v>
      </c>
      <c r="O122" s="22"/>
      <c r="P122" s="22">
        <v>2400</v>
      </c>
      <c r="Q122" s="22"/>
      <c r="R122" s="22"/>
      <c r="S122" s="22"/>
      <c r="T122">
        <v>2400</v>
      </c>
      <c r="U122" s="22"/>
      <c r="V122" s="22"/>
      <c r="W122" s="22">
        <v>2400</v>
      </c>
      <c r="X122" s="22"/>
      <c r="Y122" s="18">
        <f t="shared" si="41"/>
        <v>9600</v>
      </c>
      <c r="Z122" s="96">
        <v>12</v>
      </c>
      <c r="AA122" s="96">
        <f t="shared" si="42"/>
        <v>9600</v>
      </c>
      <c r="AB122" s="96">
        <f t="shared" si="43"/>
        <v>-2000</v>
      </c>
      <c r="AC122" s="99">
        <v>800</v>
      </c>
      <c r="AD122" s="98"/>
      <c r="AE122" s="102">
        <f t="shared" si="44"/>
        <v>-1200</v>
      </c>
      <c r="AF122" s="99">
        <v>800</v>
      </c>
      <c r="AG122" s="98"/>
      <c r="AH122" s="102">
        <f t="shared" si="49"/>
        <v>-400</v>
      </c>
      <c r="AI122" s="99">
        <v>800</v>
      </c>
      <c r="AJ122" s="98">
        <v>400</v>
      </c>
      <c r="AK122" s="102">
        <f t="shared" si="50"/>
        <v>0</v>
      </c>
      <c r="AL122" s="99">
        <v>800</v>
      </c>
      <c r="AM122" s="98"/>
      <c r="AN122" s="102">
        <f t="shared" si="51"/>
        <v>800</v>
      </c>
      <c r="AO122" s="99">
        <v>800</v>
      </c>
      <c r="AP122" s="114"/>
      <c r="AQ122" s="102">
        <f t="shared" si="52"/>
        <v>1600</v>
      </c>
      <c r="AR122" s="99">
        <v>800</v>
      </c>
      <c r="AS122" s="114">
        <v>2400</v>
      </c>
      <c r="AT122" s="102">
        <f t="shared" si="53"/>
        <v>0</v>
      </c>
    </row>
    <row r="123" spans="1:46">
      <c r="A123" s="41">
        <f>VLOOKUP(B123,справочник!$B$2:$E$322,4,FALSE)</f>
        <v>82</v>
      </c>
      <c r="B123" t="str">
        <f t="shared" si="40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55"/>
        <v>40</v>
      </c>
      <c r="I123" s="1">
        <f t="shared" si="46"/>
        <v>40000</v>
      </c>
      <c r="J123" s="17">
        <v>35000</v>
      </c>
      <c r="K123" s="17"/>
      <c r="L123" s="18">
        <f t="shared" si="48"/>
        <v>5000</v>
      </c>
      <c r="M123" s="22">
        <v>3000</v>
      </c>
      <c r="N123" s="22"/>
      <c r="O123" s="22">
        <v>3000</v>
      </c>
      <c r="P123" s="22"/>
      <c r="Q123" s="22"/>
      <c r="R123" s="22"/>
      <c r="S123" s="22"/>
      <c r="T123" s="22"/>
      <c r="U123" s="22"/>
      <c r="V123" s="22">
        <v>2000</v>
      </c>
      <c r="W123" s="22"/>
      <c r="X123" s="22"/>
      <c r="Y123" s="18">
        <f t="shared" si="41"/>
        <v>8000</v>
      </c>
      <c r="Z123" s="96">
        <v>12</v>
      </c>
      <c r="AA123" s="96">
        <f t="shared" si="42"/>
        <v>9600</v>
      </c>
      <c r="AB123" s="96">
        <f t="shared" si="43"/>
        <v>6600</v>
      </c>
      <c r="AC123" s="99">
        <v>800</v>
      </c>
      <c r="AD123" s="98"/>
      <c r="AE123" s="102">
        <f t="shared" si="44"/>
        <v>7400</v>
      </c>
      <c r="AF123" s="99">
        <v>800</v>
      </c>
      <c r="AG123" s="98"/>
      <c r="AH123" s="102">
        <f t="shared" si="49"/>
        <v>8200</v>
      </c>
      <c r="AI123" s="99">
        <v>800</v>
      </c>
      <c r="AJ123" s="98">
        <v>3200</v>
      </c>
      <c r="AK123" s="102">
        <f t="shared" si="50"/>
        <v>5800</v>
      </c>
      <c r="AL123" s="99">
        <v>800</v>
      </c>
      <c r="AM123" s="98">
        <v>2000</v>
      </c>
      <c r="AN123" s="102">
        <f t="shared" si="51"/>
        <v>4600</v>
      </c>
      <c r="AO123" s="99">
        <v>800</v>
      </c>
      <c r="AP123" s="114"/>
      <c r="AQ123" s="102">
        <f t="shared" si="52"/>
        <v>5400</v>
      </c>
      <c r="AR123" s="99">
        <v>800</v>
      </c>
      <c r="AS123" s="114"/>
      <c r="AT123" s="102">
        <f t="shared" si="53"/>
        <v>6200</v>
      </c>
    </row>
    <row r="124" spans="1:46">
      <c r="A124" s="41">
        <f>VLOOKUP(B124,справочник!$B$2:$E$322,4,FALSE)</f>
        <v>8</v>
      </c>
      <c r="B124" t="str">
        <f t="shared" si="40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55"/>
        <v>20</v>
      </c>
      <c r="I124" s="1">
        <f t="shared" si="46"/>
        <v>20000</v>
      </c>
      <c r="J124" s="17">
        <v>18000</v>
      </c>
      <c r="K124" s="17"/>
      <c r="L124" s="18">
        <f t="shared" si="48"/>
        <v>2000</v>
      </c>
      <c r="M124" s="22"/>
      <c r="N124" s="22"/>
      <c r="O124" s="22"/>
      <c r="P124" s="22"/>
      <c r="Q124" s="22"/>
      <c r="R124" s="22">
        <v>4000</v>
      </c>
      <c r="S124" s="22"/>
      <c r="T124" s="22"/>
      <c r="U124" s="22"/>
      <c r="V124" s="22">
        <v>7600</v>
      </c>
      <c r="W124" s="22"/>
      <c r="X124" s="22"/>
      <c r="Y124" s="18">
        <f t="shared" si="41"/>
        <v>11600</v>
      </c>
      <c r="Z124" s="96">
        <v>12</v>
      </c>
      <c r="AA124" s="96">
        <f t="shared" si="42"/>
        <v>9600</v>
      </c>
      <c r="AB124" s="96">
        <f t="shared" si="43"/>
        <v>0</v>
      </c>
      <c r="AC124" s="99">
        <v>800</v>
      </c>
      <c r="AD124" s="98"/>
      <c r="AE124" s="102">
        <f t="shared" si="44"/>
        <v>800</v>
      </c>
      <c r="AF124" s="99">
        <v>800</v>
      </c>
      <c r="AG124" s="98"/>
      <c r="AH124" s="102">
        <f t="shared" si="49"/>
        <v>1600</v>
      </c>
      <c r="AI124" s="99">
        <v>800</v>
      </c>
      <c r="AJ124" s="98">
        <v>4000</v>
      </c>
      <c r="AK124" s="102">
        <f t="shared" si="50"/>
        <v>-1600</v>
      </c>
      <c r="AL124" s="99">
        <v>800</v>
      </c>
      <c r="AM124" s="98"/>
      <c r="AN124" s="102">
        <f t="shared" si="51"/>
        <v>-800</v>
      </c>
      <c r="AO124" s="99">
        <v>800</v>
      </c>
      <c r="AP124" s="114"/>
      <c r="AQ124" s="102">
        <f t="shared" si="52"/>
        <v>0</v>
      </c>
      <c r="AR124" s="99">
        <v>800</v>
      </c>
      <c r="AS124" s="114"/>
      <c r="AT124" s="102">
        <f t="shared" si="53"/>
        <v>800</v>
      </c>
    </row>
    <row r="125" spans="1:46">
      <c r="A125" s="41">
        <f>VLOOKUP(B125,справочник!$B$2:$E$322,4,FALSE)</f>
        <v>149</v>
      </c>
      <c r="B125" t="str">
        <f t="shared" si="40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55"/>
        <v>51</v>
      </c>
      <c r="I125" s="1">
        <f t="shared" si="46"/>
        <v>51000</v>
      </c>
      <c r="J125" s="17">
        <f>1000</f>
        <v>1000</v>
      </c>
      <c r="K125" s="17">
        <v>1000</v>
      </c>
      <c r="L125" s="18">
        <f t="shared" si="48"/>
        <v>49000</v>
      </c>
      <c r="M125" s="22"/>
      <c r="N125" s="22"/>
      <c r="O125" s="22">
        <v>1000</v>
      </c>
      <c r="P125" s="22"/>
      <c r="Q125" s="22">
        <v>1000</v>
      </c>
      <c r="R125" s="22"/>
      <c r="S125" s="22"/>
      <c r="T125" s="22"/>
      <c r="U125" s="22"/>
      <c r="V125" s="22"/>
      <c r="W125" s="22"/>
      <c r="X125" s="22"/>
      <c r="Y125" s="18">
        <f t="shared" si="41"/>
        <v>2000</v>
      </c>
      <c r="Z125" s="96">
        <v>12</v>
      </c>
      <c r="AA125" s="96">
        <f t="shared" si="42"/>
        <v>9600</v>
      </c>
      <c r="AB125" s="96">
        <f t="shared" si="43"/>
        <v>56600</v>
      </c>
      <c r="AC125" s="99">
        <v>800</v>
      </c>
      <c r="AD125" s="98">
        <v>3000</v>
      </c>
      <c r="AE125" s="102">
        <f t="shared" si="44"/>
        <v>54400</v>
      </c>
      <c r="AF125" s="99">
        <v>800</v>
      </c>
      <c r="AG125" s="98">
        <v>3000</v>
      </c>
      <c r="AH125" s="102">
        <f t="shared" si="49"/>
        <v>52200</v>
      </c>
      <c r="AI125" s="99">
        <v>800</v>
      </c>
      <c r="AJ125" s="98"/>
      <c r="AK125" s="102">
        <f t="shared" si="50"/>
        <v>53000</v>
      </c>
      <c r="AL125" s="99">
        <v>800</v>
      </c>
      <c r="AM125" s="98">
        <v>3000</v>
      </c>
      <c r="AN125" s="102">
        <f t="shared" si="51"/>
        <v>50800</v>
      </c>
      <c r="AO125" s="99">
        <v>800</v>
      </c>
      <c r="AP125" s="114"/>
      <c r="AQ125" s="102">
        <f t="shared" si="52"/>
        <v>51600</v>
      </c>
      <c r="AR125" s="99">
        <v>800</v>
      </c>
      <c r="AS125" s="114"/>
      <c r="AT125" s="102">
        <f t="shared" si="53"/>
        <v>52400</v>
      </c>
    </row>
    <row r="126" spans="1:46">
      <c r="A126" s="41">
        <f>VLOOKUP(B126,справочник!$B$2:$E$322,4,FALSE)</f>
        <v>30</v>
      </c>
      <c r="B126" t="str">
        <f t="shared" si="40"/>
        <v>30Кириллов Дмитрий Александрович</v>
      </c>
      <c r="C126" s="1">
        <v>30</v>
      </c>
      <c r="D126" s="2" t="s">
        <v>117</v>
      </c>
      <c r="E126" s="1" t="s">
        <v>433</v>
      </c>
      <c r="F126" s="16">
        <v>40906</v>
      </c>
      <c r="G126" s="16">
        <v>40909</v>
      </c>
      <c r="H126" s="17">
        <f t="shared" si="55"/>
        <v>48</v>
      </c>
      <c r="I126" s="1">
        <f t="shared" si="46"/>
        <v>48000</v>
      </c>
      <c r="J126" s="17">
        <f>1000</f>
        <v>1000</v>
      </c>
      <c r="K126" s="17"/>
      <c r="L126" s="18">
        <f t="shared" si="48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41"/>
        <v>0</v>
      </c>
      <c r="Z126" s="96">
        <v>12</v>
      </c>
      <c r="AA126" s="96">
        <f t="shared" si="42"/>
        <v>9600</v>
      </c>
      <c r="AB126" s="96">
        <f t="shared" si="43"/>
        <v>56600</v>
      </c>
      <c r="AC126" s="99">
        <v>800</v>
      </c>
      <c r="AD126" s="98">
        <v>1000</v>
      </c>
      <c r="AE126" s="102">
        <f t="shared" si="44"/>
        <v>56400</v>
      </c>
      <c r="AF126" s="99">
        <v>800</v>
      </c>
      <c r="AG126" s="98">
        <v>3000</v>
      </c>
      <c r="AH126" s="102">
        <f t="shared" si="49"/>
        <v>54200</v>
      </c>
      <c r="AI126" s="99">
        <v>800</v>
      </c>
      <c r="AJ126" s="98">
        <v>2000</v>
      </c>
      <c r="AK126" s="102">
        <f t="shared" si="50"/>
        <v>53000</v>
      </c>
      <c r="AL126" s="99">
        <v>800</v>
      </c>
      <c r="AM126" s="98"/>
      <c r="AN126" s="102">
        <f t="shared" si="51"/>
        <v>53800</v>
      </c>
      <c r="AO126" s="99">
        <v>800</v>
      </c>
      <c r="AP126" s="114">
        <v>5000</v>
      </c>
      <c r="AQ126" s="102">
        <f t="shared" si="52"/>
        <v>49600</v>
      </c>
      <c r="AR126" s="99">
        <v>800</v>
      </c>
      <c r="AS126" s="114"/>
      <c r="AT126" s="102">
        <f t="shared" si="53"/>
        <v>50400</v>
      </c>
    </row>
    <row r="127" spans="1:46">
      <c r="A127" s="41">
        <f>VLOOKUP(B127,справочник!$B$2:$E$322,4,FALSE)</f>
        <v>269</v>
      </c>
      <c r="B127" t="str">
        <f t="shared" si="40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55"/>
        <v>36</v>
      </c>
      <c r="I127" s="1">
        <f t="shared" si="46"/>
        <v>36000</v>
      </c>
      <c r="J127" s="17">
        <v>18000</v>
      </c>
      <c r="K127" s="17"/>
      <c r="L127" s="18">
        <f t="shared" si="48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84">
        <v>12000</v>
      </c>
      <c r="X127" s="22"/>
      <c r="Y127" s="18">
        <f t="shared" si="41"/>
        <v>12000</v>
      </c>
      <c r="Z127" s="96">
        <v>12</v>
      </c>
      <c r="AA127" s="96">
        <f t="shared" si="42"/>
        <v>9600</v>
      </c>
      <c r="AB127" s="96">
        <f t="shared" si="43"/>
        <v>15600</v>
      </c>
      <c r="AC127" s="99">
        <v>800</v>
      </c>
      <c r="AD127" s="98"/>
      <c r="AE127" s="102">
        <f t="shared" si="44"/>
        <v>16400</v>
      </c>
      <c r="AF127" s="99">
        <v>800</v>
      </c>
      <c r="AG127" s="98"/>
      <c r="AH127" s="102">
        <f t="shared" si="49"/>
        <v>17200</v>
      </c>
      <c r="AI127" s="99">
        <v>800</v>
      </c>
      <c r="AJ127" s="98"/>
      <c r="AK127" s="102">
        <f t="shared" si="50"/>
        <v>18000</v>
      </c>
      <c r="AL127" s="99">
        <v>800</v>
      </c>
      <c r="AM127" s="98"/>
      <c r="AN127" s="102">
        <f t="shared" si="51"/>
        <v>18800</v>
      </c>
      <c r="AO127" s="99">
        <v>800</v>
      </c>
      <c r="AP127" s="114"/>
      <c r="AQ127" s="102">
        <f t="shared" si="52"/>
        <v>19600</v>
      </c>
      <c r="AR127" s="99">
        <v>800</v>
      </c>
      <c r="AS127" s="114"/>
      <c r="AT127" s="102">
        <f t="shared" si="53"/>
        <v>20400</v>
      </c>
    </row>
    <row r="128" spans="1:46">
      <c r="A128" s="41">
        <f>VLOOKUP(B128,справочник!$B$2:$E$322,4,FALSE)</f>
        <v>271</v>
      </c>
      <c r="B128" t="str">
        <f t="shared" si="40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55"/>
        <v>9</v>
      </c>
      <c r="I128" s="1">
        <f t="shared" si="46"/>
        <v>9000</v>
      </c>
      <c r="J128" s="17">
        <v>4000</v>
      </c>
      <c r="K128" s="17">
        <v>5000</v>
      </c>
      <c r="L128" s="18">
        <f t="shared" si="48"/>
        <v>0</v>
      </c>
      <c r="M128" s="22"/>
      <c r="N128" s="22"/>
      <c r="O128" s="22"/>
      <c r="P128" s="22"/>
      <c r="Q128" s="22"/>
      <c r="R128" s="22">
        <v>5000</v>
      </c>
      <c r="S128" s="22"/>
      <c r="T128" s="22"/>
      <c r="U128" s="22"/>
      <c r="V128" s="22"/>
      <c r="W128" s="22"/>
      <c r="X128" s="22">
        <v>3000</v>
      </c>
      <c r="Y128" s="18">
        <f t="shared" si="41"/>
        <v>8000</v>
      </c>
      <c r="Z128" s="96">
        <v>12</v>
      </c>
      <c r="AA128" s="96">
        <f t="shared" si="42"/>
        <v>9600</v>
      </c>
      <c r="AB128" s="96">
        <f t="shared" si="43"/>
        <v>1600</v>
      </c>
      <c r="AC128" s="99">
        <v>800</v>
      </c>
      <c r="AD128" s="98"/>
      <c r="AE128" s="102">
        <f t="shared" si="44"/>
        <v>2400</v>
      </c>
      <c r="AF128" s="99">
        <v>800</v>
      </c>
      <c r="AG128" s="98"/>
      <c r="AH128" s="102">
        <f t="shared" si="49"/>
        <v>3200</v>
      </c>
      <c r="AI128" s="99">
        <v>800</v>
      </c>
      <c r="AJ128" s="98"/>
      <c r="AK128" s="102">
        <f t="shared" si="50"/>
        <v>4000</v>
      </c>
      <c r="AL128" s="99">
        <v>800</v>
      </c>
      <c r="AM128" s="98"/>
      <c r="AN128" s="102">
        <f t="shared" si="51"/>
        <v>4800</v>
      </c>
      <c r="AO128" s="99">
        <v>800</v>
      </c>
      <c r="AP128" s="114"/>
      <c r="AQ128" s="102">
        <f t="shared" si="52"/>
        <v>5600</v>
      </c>
      <c r="AR128" s="99">
        <v>800</v>
      </c>
      <c r="AS128" s="114"/>
      <c r="AT128" s="102">
        <f t="shared" si="53"/>
        <v>6400</v>
      </c>
    </row>
    <row r="129" spans="1:46">
      <c r="A129" s="41">
        <f>VLOOKUP(B129,справочник!$B$2:$E$322,4,FALSE)</f>
        <v>265</v>
      </c>
      <c r="B129" t="str">
        <f t="shared" si="40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55"/>
        <v>52</v>
      </c>
      <c r="I129" s="1">
        <f t="shared" si="46"/>
        <v>52000</v>
      </c>
      <c r="J129" s="17">
        <f>2000+27000</f>
        <v>29000</v>
      </c>
      <c r="K129" s="17"/>
      <c r="L129" s="18">
        <f t="shared" si="48"/>
        <v>23000</v>
      </c>
      <c r="M129" s="22"/>
      <c r="N129" s="22"/>
      <c r="O129" s="22">
        <v>3000</v>
      </c>
      <c r="P129" s="22"/>
      <c r="Q129" s="22"/>
      <c r="R129" s="22"/>
      <c r="S129" s="22">
        <v>3000</v>
      </c>
      <c r="T129" s="22"/>
      <c r="U129" s="22">
        <v>3000</v>
      </c>
      <c r="V129" s="22"/>
      <c r="W129" s="84">
        <v>3000</v>
      </c>
      <c r="X129" s="22"/>
      <c r="Y129" s="18">
        <f t="shared" si="41"/>
        <v>12000</v>
      </c>
      <c r="Z129" s="96">
        <v>12</v>
      </c>
      <c r="AA129" s="96">
        <f t="shared" si="42"/>
        <v>9600</v>
      </c>
      <c r="AB129" s="96">
        <f t="shared" si="43"/>
        <v>20600</v>
      </c>
      <c r="AC129" s="99">
        <v>800</v>
      </c>
      <c r="AD129" s="98"/>
      <c r="AE129" s="102">
        <f t="shared" si="44"/>
        <v>21400</v>
      </c>
      <c r="AF129" s="99">
        <v>800</v>
      </c>
      <c r="AG129" s="98"/>
      <c r="AH129" s="102">
        <f t="shared" si="49"/>
        <v>22200</v>
      </c>
      <c r="AI129" s="99">
        <v>800</v>
      </c>
      <c r="AJ129" s="98"/>
      <c r="AK129" s="102">
        <f t="shared" si="50"/>
        <v>23000</v>
      </c>
      <c r="AL129" s="99">
        <v>800</v>
      </c>
      <c r="AM129" s="98"/>
      <c r="AN129" s="102">
        <f t="shared" si="51"/>
        <v>23800</v>
      </c>
      <c r="AO129" s="99">
        <v>800</v>
      </c>
      <c r="AP129" s="114"/>
      <c r="AQ129" s="102">
        <f t="shared" si="52"/>
        <v>24600</v>
      </c>
      <c r="AR129" s="99">
        <v>800</v>
      </c>
      <c r="AS129" s="114">
        <v>15000</v>
      </c>
      <c r="AT129" s="102">
        <f t="shared" si="53"/>
        <v>10400</v>
      </c>
    </row>
    <row r="130" spans="1:46" ht="25.5">
      <c r="A130" s="41">
        <f>VLOOKUP(B130,справочник!$B$2:$E$322,4,FALSE)</f>
        <v>173</v>
      </c>
      <c r="B130" t="str">
        <f t="shared" si="40"/>
        <v>181Колесников Никита Олегович(у Кряжковой Виктория Сергеевна</v>
      </c>
      <c r="C130" s="1">
        <v>181</v>
      </c>
      <c r="D130" s="2" t="s">
        <v>121</v>
      </c>
      <c r="E130" s="1" t="s">
        <v>437</v>
      </c>
      <c r="F130" s="16">
        <v>40793</v>
      </c>
      <c r="G130" s="16">
        <v>40787</v>
      </c>
      <c r="H130" s="17">
        <f t="shared" si="55"/>
        <v>52</v>
      </c>
      <c r="I130" s="1">
        <f t="shared" si="46"/>
        <v>52000</v>
      </c>
      <c r="J130" s="17">
        <v>1000</v>
      </c>
      <c r="K130" s="17"/>
      <c r="L130" s="18">
        <f t="shared" si="48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41"/>
        <v>0</v>
      </c>
      <c r="Z130" s="96">
        <v>12</v>
      </c>
      <c r="AA130" s="96">
        <f t="shared" si="42"/>
        <v>9600</v>
      </c>
      <c r="AB130" s="96">
        <f t="shared" si="43"/>
        <v>60600</v>
      </c>
      <c r="AC130" s="99">
        <v>800</v>
      </c>
      <c r="AD130" s="98"/>
      <c r="AE130" s="102">
        <f t="shared" si="44"/>
        <v>61400</v>
      </c>
      <c r="AF130" s="99">
        <v>800</v>
      </c>
      <c r="AG130" s="98"/>
      <c r="AH130" s="102">
        <f t="shared" si="49"/>
        <v>62200</v>
      </c>
      <c r="AI130" s="99">
        <v>800</v>
      </c>
      <c r="AJ130" s="98"/>
      <c r="AK130" s="102">
        <f t="shared" si="50"/>
        <v>63000</v>
      </c>
      <c r="AL130" s="99">
        <v>800</v>
      </c>
      <c r="AM130" s="98"/>
      <c r="AN130" s="102">
        <f t="shared" si="51"/>
        <v>63800</v>
      </c>
      <c r="AO130" s="99">
        <v>800</v>
      </c>
      <c r="AP130" s="114"/>
      <c r="AQ130" s="102">
        <f t="shared" si="52"/>
        <v>64600</v>
      </c>
      <c r="AR130" s="99">
        <v>800</v>
      </c>
      <c r="AS130" s="114"/>
      <c r="AT130" s="102">
        <f t="shared" si="53"/>
        <v>65400</v>
      </c>
    </row>
    <row r="131" spans="1:46">
      <c r="A131" s="41">
        <f>VLOOKUP(B131,справочник!$B$2:$E$322,4,FALSE)</f>
        <v>305</v>
      </c>
      <c r="B131" t="str">
        <f t="shared" si="40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55"/>
        <v>14</v>
      </c>
      <c r="I131" s="1">
        <f t="shared" si="46"/>
        <v>14000</v>
      </c>
      <c r="J131" s="17">
        <v>1000</v>
      </c>
      <c r="K131" s="17"/>
      <c r="L131" s="18">
        <f t="shared" si="48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41"/>
        <v>0</v>
      </c>
      <c r="Z131" s="96">
        <v>12</v>
      </c>
      <c r="AA131" s="96">
        <f t="shared" si="42"/>
        <v>9600</v>
      </c>
      <c r="AB131" s="96">
        <f t="shared" si="43"/>
        <v>22600</v>
      </c>
      <c r="AC131" s="99">
        <v>800</v>
      </c>
      <c r="AD131" s="98"/>
      <c r="AE131" s="102">
        <f t="shared" si="44"/>
        <v>23400</v>
      </c>
      <c r="AF131" s="99">
        <v>800</v>
      </c>
      <c r="AG131" s="98"/>
      <c r="AH131" s="102">
        <f t="shared" si="49"/>
        <v>24200</v>
      </c>
      <c r="AI131" s="99">
        <v>800</v>
      </c>
      <c r="AJ131" s="98"/>
      <c r="AK131" s="102">
        <f t="shared" si="50"/>
        <v>25000</v>
      </c>
      <c r="AL131" s="99">
        <v>800</v>
      </c>
      <c r="AM131" s="98"/>
      <c r="AN131" s="102">
        <f t="shared" si="51"/>
        <v>25800</v>
      </c>
      <c r="AO131" s="99">
        <v>800</v>
      </c>
      <c r="AP131" s="114"/>
      <c r="AQ131" s="102">
        <f t="shared" si="52"/>
        <v>26600</v>
      </c>
      <c r="AR131" s="99">
        <v>800</v>
      </c>
      <c r="AS131" s="114"/>
      <c r="AT131" s="102">
        <f t="shared" si="53"/>
        <v>27400</v>
      </c>
    </row>
    <row r="132" spans="1:46" s="80" customFormat="1">
      <c r="A132" s="103">
        <f>VLOOKUP(B132,справочник!$B$2:$E$322,4,FALSE)</f>
        <v>69</v>
      </c>
      <c r="B132" s="80" t="str">
        <f t="shared" si="40"/>
        <v>75Колташ Анна Владимировна</v>
      </c>
      <c r="C132" s="5">
        <v>75</v>
      </c>
      <c r="D132" s="7" t="s">
        <v>123</v>
      </c>
      <c r="E132" s="5" t="s">
        <v>439</v>
      </c>
      <c r="F132" s="19" t="s">
        <v>440</v>
      </c>
      <c r="G132" s="19">
        <v>40787</v>
      </c>
      <c r="H132" s="20">
        <f t="shared" si="55"/>
        <v>52</v>
      </c>
      <c r="I132" s="5">
        <f t="shared" si="46"/>
        <v>52000</v>
      </c>
      <c r="J132" s="20">
        <f>3000+10000</f>
        <v>13000</v>
      </c>
      <c r="K132" s="20"/>
      <c r="L132" s="21">
        <f t="shared" si="48"/>
        <v>39000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>
        <f t="shared" si="41"/>
        <v>0</v>
      </c>
      <c r="Z132" s="104">
        <v>12</v>
      </c>
      <c r="AA132" s="104">
        <f t="shared" si="42"/>
        <v>9600</v>
      </c>
      <c r="AB132" s="104">
        <f t="shared" si="43"/>
        <v>48600</v>
      </c>
      <c r="AC132" s="104">
        <v>800</v>
      </c>
      <c r="AD132" s="105"/>
      <c r="AE132" s="127">
        <f>SUM(AB132:AB133)+SUM(AC132:AC133)-SUM(AD132:AD133)</f>
        <v>49400</v>
      </c>
      <c r="AF132" s="104">
        <v>800</v>
      </c>
      <c r="AG132" s="105"/>
      <c r="AH132" s="127">
        <f>SUM(AE132:AE133)+SUM(AF132:AF133)-SUM(AG132:AG133)</f>
        <v>50200</v>
      </c>
      <c r="AI132" s="104">
        <v>800</v>
      </c>
      <c r="AJ132" s="105"/>
      <c r="AK132" s="127">
        <f>SUM(AH132:AH133)+SUM(AI132:AI133)-SUM(AJ132:AJ133)</f>
        <v>51000</v>
      </c>
      <c r="AL132" s="104">
        <v>800</v>
      </c>
      <c r="AM132" s="105"/>
      <c r="AN132" s="127">
        <f>SUM(AK132:AK133)+SUM(AL132:AL133)-SUM(AM132:AM133)</f>
        <v>51800</v>
      </c>
      <c r="AO132" s="104">
        <v>800</v>
      </c>
      <c r="AP132" s="105"/>
      <c r="AQ132" s="127">
        <f>SUM(AN132:AN133)+SUM(AO132:AO133)-SUM(AP132:AP133)</f>
        <v>52600</v>
      </c>
      <c r="AR132" s="104">
        <v>800</v>
      </c>
      <c r="AS132" s="105"/>
      <c r="AT132" s="127">
        <f>SUM(AQ132:AQ133)+SUM(AR132:AR133)-SUM(AS132:AS133)</f>
        <v>53400</v>
      </c>
    </row>
    <row r="133" spans="1:46" s="80" customFormat="1">
      <c r="A133" s="103">
        <f>VLOOKUP(B133,справочник!$B$2:$E$322,4,FALSE)</f>
        <v>69</v>
      </c>
      <c r="B133" s="80" t="str">
        <f t="shared" si="40"/>
        <v>76Колташ Анна Владимировна</v>
      </c>
      <c r="C133" s="5">
        <v>76</v>
      </c>
      <c r="D133" s="7" t="s">
        <v>123</v>
      </c>
      <c r="E133" s="5" t="s">
        <v>441</v>
      </c>
      <c r="F133" s="5"/>
      <c r="G133" s="5"/>
      <c r="H133" s="20"/>
      <c r="I133" s="5">
        <f t="shared" si="46"/>
        <v>0</v>
      </c>
      <c r="J133" s="20"/>
      <c r="K133" s="20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>
        <f t="shared" si="41"/>
        <v>0</v>
      </c>
      <c r="Z133" s="104"/>
      <c r="AA133" s="104">
        <f t="shared" si="42"/>
        <v>0</v>
      </c>
      <c r="AB133" s="104">
        <f t="shared" si="43"/>
        <v>0</v>
      </c>
      <c r="AC133" s="104">
        <v>0</v>
      </c>
      <c r="AD133" s="105"/>
      <c r="AE133" s="129"/>
      <c r="AF133" s="104">
        <v>0</v>
      </c>
      <c r="AG133" s="105"/>
      <c r="AH133" s="129"/>
      <c r="AI133" s="104">
        <v>0</v>
      </c>
      <c r="AJ133" s="105"/>
      <c r="AK133" s="129"/>
      <c r="AL133" s="104">
        <v>0</v>
      </c>
      <c r="AM133" s="105"/>
      <c r="AN133" s="129"/>
      <c r="AO133" s="104">
        <v>0</v>
      </c>
      <c r="AP133" s="105"/>
      <c r="AQ133" s="129"/>
      <c r="AR133" s="104">
        <v>0</v>
      </c>
      <c r="AS133" s="105"/>
      <c r="AT133" s="129"/>
    </row>
    <row r="134" spans="1:46">
      <c r="A134" s="41">
        <f>VLOOKUP(B134,справочник!$B$2:$E$322,4,FALSE)</f>
        <v>1</v>
      </c>
      <c r="B134" t="str">
        <f t="shared" ref="B134:B197" si="56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0" si="57">INT(($H$325-G134)/30)</f>
        <v>27</v>
      </c>
      <c r="I134" s="1">
        <f t="shared" si="46"/>
        <v>27000</v>
      </c>
      <c r="J134" s="17">
        <v>24000</v>
      </c>
      <c r="K134" s="17">
        <v>5600</v>
      </c>
      <c r="L134" s="18">
        <f t="shared" ref="L134:L186" si="58">I134-J134-K134</f>
        <v>-2600</v>
      </c>
      <c r="M134" s="22"/>
      <c r="N134" s="22">
        <v>4200</v>
      </c>
      <c r="O134" s="22"/>
      <c r="P134" s="22"/>
      <c r="Q134" s="22"/>
      <c r="R134" s="22"/>
      <c r="S134" s="22"/>
      <c r="T134" s="22"/>
      <c r="U134" s="22"/>
      <c r="V134" s="22"/>
      <c r="W134" s="22"/>
      <c r="X134" s="22">
        <v>5600</v>
      </c>
      <c r="Y134" s="18">
        <f t="shared" ref="Y134:Y197" si="59">SUM(M134:X134)</f>
        <v>9800</v>
      </c>
      <c r="Z134" s="96">
        <v>12</v>
      </c>
      <c r="AA134" s="96">
        <f t="shared" ref="AA134:AA197" si="60">Z134*800</f>
        <v>9600</v>
      </c>
      <c r="AB134" s="96">
        <f t="shared" ref="AB134:AB197" si="61">L134+AA134-Y134</f>
        <v>-2800</v>
      </c>
      <c r="AC134" s="99">
        <v>800</v>
      </c>
      <c r="AD134" s="98"/>
      <c r="AE134" s="102">
        <f t="shared" ref="AE134:AE197" si="62">AB134+AC134-AD134</f>
        <v>-2000</v>
      </c>
      <c r="AF134" s="99">
        <v>800</v>
      </c>
      <c r="AG134" s="98"/>
      <c r="AH134" s="102">
        <f t="shared" ref="AH134:AH152" si="63">AE134+AF134-AG134</f>
        <v>-1200</v>
      </c>
      <c r="AI134" s="99">
        <v>800</v>
      </c>
      <c r="AJ134" s="98"/>
      <c r="AK134" s="102">
        <f t="shared" ref="AK134:AK138" si="64">AH134+AI134-AJ134</f>
        <v>-400</v>
      </c>
      <c r="AL134" s="99">
        <v>800</v>
      </c>
      <c r="AM134" s="98"/>
      <c r="AN134" s="102">
        <f t="shared" ref="AN134:AN138" si="65">AK134+AL134-AM134</f>
        <v>400</v>
      </c>
      <c r="AO134" s="99">
        <v>800</v>
      </c>
      <c r="AP134" s="114"/>
      <c r="AQ134" s="102">
        <f t="shared" ref="AQ134:AQ138" si="66">AN134+AO134-AP134</f>
        <v>1200</v>
      </c>
      <c r="AR134" s="99">
        <v>800</v>
      </c>
      <c r="AS134" s="114"/>
      <c r="AT134" s="102">
        <f t="shared" ref="AT134:AT138" si="67">AQ134+AR134-AS134</f>
        <v>2000</v>
      </c>
    </row>
    <row r="135" spans="1:46">
      <c r="A135" s="41">
        <f>VLOOKUP(B135,справочник!$B$2:$E$322,4,FALSE)</f>
        <v>302</v>
      </c>
      <c r="B135" t="str">
        <f t="shared" si="56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57"/>
        <v>45</v>
      </c>
      <c r="I135" s="1">
        <f t="shared" si="46"/>
        <v>45000</v>
      </c>
      <c r="J135" s="17">
        <v>32000</v>
      </c>
      <c r="K135" s="17"/>
      <c r="L135" s="18">
        <f t="shared" si="58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59"/>
        <v>0</v>
      </c>
      <c r="Z135" s="96">
        <v>12</v>
      </c>
      <c r="AA135" s="96">
        <f t="shared" si="60"/>
        <v>9600</v>
      </c>
      <c r="AB135" s="96">
        <f t="shared" si="61"/>
        <v>22600</v>
      </c>
      <c r="AC135" s="99">
        <v>800</v>
      </c>
      <c r="AD135" s="98"/>
      <c r="AE135" s="102">
        <f t="shared" si="62"/>
        <v>23400</v>
      </c>
      <c r="AF135" s="99">
        <v>800</v>
      </c>
      <c r="AG135" s="98"/>
      <c r="AH135" s="102">
        <f t="shared" si="63"/>
        <v>24200</v>
      </c>
      <c r="AI135" s="99">
        <v>800</v>
      </c>
      <c r="AJ135" s="98"/>
      <c r="AK135" s="102">
        <f t="shared" si="64"/>
        <v>25000</v>
      </c>
      <c r="AL135" s="99">
        <v>800</v>
      </c>
      <c r="AM135" s="98"/>
      <c r="AN135" s="102">
        <f t="shared" si="65"/>
        <v>25800</v>
      </c>
      <c r="AO135" s="99">
        <v>800</v>
      </c>
      <c r="AP135" s="114"/>
      <c r="AQ135" s="102">
        <f t="shared" si="66"/>
        <v>26600</v>
      </c>
      <c r="AR135" s="99">
        <v>800</v>
      </c>
      <c r="AS135" s="114"/>
      <c r="AT135" s="102">
        <f t="shared" si="67"/>
        <v>27400</v>
      </c>
    </row>
    <row r="136" spans="1:46">
      <c r="A136" s="41">
        <f>VLOOKUP(B136,справочник!$B$2:$E$322,4,FALSE)</f>
        <v>123</v>
      </c>
      <c r="B136" t="str">
        <f t="shared" si="56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57"/>
        <v>47</v>
      </c>
      <c r="I136" s="1">
        <f t="shared" si="46"/>
        <v>47000</v>
      </c>
      <c r="J136" s="17">
        <v>34000</v>
      </c>
      <c r="K136" s="17"/>
      <c r="L136" s="18">
        <f t="shared" si="58"/>
        <v>13000</v>
      </c>
      <c r="M136" s="22"/>
      <c r="N136" s="22"/>
      <c r="O136" s="22"/>
      <c r="P136" s="22"/>
      <c r="Q136" s="22"/>
      <c r="R136" s="22"/>
      <c r="S136" s="22">
        <v>20000</v>
      </c>
      <c r="T136" s="22"/>
      <c r="U136" s="22"/>
      <c r="V136" s="22"/>
      <c r="W136" s="22"/>
      <c r="X136" s="22"/>
      <c r="Y136" s="18">
        <f t="shared" si="59"/>
        <v>20000</v>
      </c>
      <c r="Z136" s="96">
        <v>12</v>
      </c>
      <c r="AA136" s="96">
        <f t="shared" si="60"/>
        <v>9600</v>
      </c>
      <c r="AB136" s="96">
        <f t="shared" si="61"/>
        <v>2600</v>
      </c>
      <c r="AC136" s="99">
        <v>800</v>
      </c>
      <c r="AD136" s="110">
        <v>5000</v>
      </c>
      <c r="AE136" s="102">
        <f t="shared" si="62"/>
        <v>-1600</v>
      </c>
      <c r="AF136" s="99">
        <v>800</v>
      </c>
      <c r="AG136" s="110"/>
      <c r="AH136" s="102">
        <f t="shared" si="63"/>
        <v>-800</v>
      </c>
      <c r="AI136" s="99">
        <v>800</v>
      </c>
      <c r="AJ136" s="110"/>
      <c r="AK136" s="102">
        <f t="shared" si="64"/>
        <v>0</v>
      </c>
      <c r="AL136" s="99">
        <v>800</v>
      </c>
      <c r="AM136" s="110"/>
      <c r="AN136" s="102">
        <f t="shared" si="65"/>
        <v>800</v>
      </c>
      <c r="AO136" s="99">
        <v>800</v>
      </c>
      <c r="AP136" s="116"/>
      <c r="AQ136" s="102">
        <f t="shared" si="66"/>
        <v>1600</v>
      </c>
      <c r="AR136" s="99">
        <v>800</v>
      </c>
      <c r="AS136" s="116"/>
      <c r="AT136" s="102">
        <f t="shared" si="67"/>
        <v>2400</v>
      </c>
    </row>
    <row r="137" spans="1:46" ht="25.5">
      <c r="A137" s="41">
        <f>VLOOKUP(B137,справочник!$B$2:$E$322,4,FALSE)</f>
        <v>163</v>
      </c>
      <c r="B137" t="str">
        <f t="shared" si="56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57"/>
        <v>18</v>
      </c>
      <c r="I137" s="1">
        <f t="shared" si="46"/>
        <v>18000</v>
      </c>
      <c r="J137" s="17">
        <f>5000+4000</f>
        <v>9000</v>
      </c>
      <c r="K137" s="17"/>
      <c r="L137" s="18">
        <f t="shared" si="58"/>
        <v>9000</v>
      </c>
      <c r="M137" s="22"/>
      <c r="N137" s="22"/>
      <c r="O137" s="22"/>
      <c r="P137" s="22"/>
      <c r="Q137" s="22"/>
      <c r="R137" s="22"/>
      <c r="S137" s="22"/>
      <c r="T137">
        <v>6100</v>
      </c>
      <c r="U137" s="22"/>
      <c r="V137" s="22"/>
      <c r="W137" s="22"/>
      <c r="X137" s="22"/>
      <c r="Y137" s="18">
        <f t="shared" si="59"/>
        <v>6100</v>
      </c>
      <c r="Z137" s="96">
        <v>12</v>
      </c>
      <c r="AA137" s="96">
        <f t="shared" si="60"/>
        <v>9600</v>
      </c>
      <c r="AB137" s="96">
        <f t="shared" si="61"/>
        <v>12500</v>
      </c>
      <c r="AC137" s="99">
        <v>800</v>
      </c>
      <c r="AD137" s="110">
        <v>4000</v>
      </c>
      <c r="AE137" s="102">
        <f t="shared" si="62"/>
        <v>9300</v>
      </c>
      <c r="AF137" s="99">
        <v>800</v>
      </c>
      <c r="AG137" s="110"/>
      <c r="AH137" s="102">
        <f t="shared" si="63"/>
        <v>10100</v>
      </c>
      <c r="AI137" s="99">
        <v>800</v>
      </c>
      <c r="AJ137" s="110"/>
      <c r="AK137" s="102">
        <f t="shared" si="64"/>
        <v>10900</v>
      </c>
      <c r="AL137" s="99">
        <v>800</v>
      </c>
      <c r="AM137" s="110"/>
      <c r="AN137" s="102">
        <f t="shared" si="65"/>
        <v>11700</v>
      </c>
      <c r="AO137" s="99">
        <v>800</v>
      </c>
      <c r="AP137" s="116"/>
      <c r="AQ137" s="102">
        <f t="shared" si="66"/>
        <v>12500</v>
      </c>
      <c r="AR137" s="99">
        <v>800</v>
      </c>
      <c r="AS137" s="116">
        <f>2500+4800</f>
        <v>7300</v>
      </c>
      <c r="AT137" s="102">
        <f>AQ137+AR137-AS137</f>
        <v>6000</v>
      </c>
    </row>
    <row r="138" spans="1:46">
      <c r="A138" s="41">
        <f>VLOOKUP(B138,справочник!$B$2:$E$322,4,FALSE)</f>
        <v>110</v>
      </c>
      <c r="B138" t="str">
        <f t="shared" si="56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57"/>
        <v>42</v>
      </c>
      <c r="I138" s="1">
        <f t="shared" si="46"/>
        <v>42000</v>
      </c>
      <c r="J138" s="17">
        <v>23000</v>
      </c>
      <c r="K138" s="17"/>
      <c r="L138" s="18">
        <f t="shared" si="58"/>
        <v>19000</v>
      </c>
      <c r="M138" s="22"/>
      <c r="N138" s="22"/>
      <c r="O138" s="22"/>
      <c r="P138" s="22"/>
      <c r="Q138" s="22"/>
      <c r="R138" s="22"/>
      <c r="S138" s="22">
        <v>2400</v>
      </c>
      <c r="T138">
        <v>3600</v>
      </c>
      <c r="U138" s="22"/>
      <c r="V138" s="22">
        <v>1600</v>
      </c>
      <c r="W138" s="22"/>
      <c r="X138" s="22">
        <f>4000+5000</f>
        <v>9000</v>
      </c>
      <c r="Y138" s="18">
        <f t="shared" si="59"/>
        <v>16600</v>
      </c>
      <c r="Z138" s="96">
        <v>12</v>
      </c>
      <c r="AA138" s="96">
        <f t="shared" si="60"/>
        <v>9600</v>
      </c>
      <c r="AB138" s="96">
        <f t="shared" si="61"/>
        <v>12000</v>
      </c>
      <c r="AC138" s="99">
        <v>800</v>
      </c>
      <c r="AD138" s="110">
        <v>1800</v>
      </c>
      <c r="AE138" s="102">
        <f t="shared" si="62"/>
        <v>11000</v>
      </c>
      <c r="AF138" s="99">
        <v>800</v>
      </c>
      <c r="AG138" s="110"/>
      <c r="AH138" s="102">
        <f t="shared" si="63"/>
        <v>11800</v>
      </c>
      <c r="AI138" s="99">
        <v>800</v>
      </c>
      <c r="AJ138" s="110"/>
      <c r="AK138" s="102">
        <f t="shared" si="64"/>
        <v>12600</v>
      </c>
      <c r="AL138" s="99">
        <v>800</v>
      </c>
      <c r="AM138" s="110">
        <f>1000+2400</f>
        <v>3400</v>
      </c>
      <c r="AN138" s="102">
        <f t="shared" si="65"/>
        <v>10000</v>
      </c>
      <c r="AO138" s="99">
        <v>800</v>
      </c>
      <c r="AP138" s="116"/>
      <c r="AQ138" s="102">
        <f t="shared" si="66"/>
        <v>10800</v>
      </c>
      <c r="AR138" s="99">
        <v>800</v>
      </c>
      <c r="AS138" s="116"/>
      <c r="AT138" s="102">
        <f t="shared" si="67"/>
        <v>11600</v>
      </c>
    </row>
    <row r="139" spans="1:46" ht="25.5">
      <c r="A139" s="41">
        <f>VLOOKUP(B139,справочник!$B$2:$E$322,4,FALSE)</f>
        <v>112</v>
      </c>
      <c r="B139" t="str">
        <f t="shared" si="56"/>
        <v>117Кондрашов Сергей Вячеславович//Балыкин Александр Иванович</v>
      </c>
      <c r="C139" s="1">
        <v>117</v>
      </c>
      <c r="D139" s="2" t="s">
        <v>129</v>
      </c>
      <c r="E139" s="1"/>
      <c r="F139" s="16">
        <v>41101</v>
      </c>
      <c r="G139" s="16">
        <v>41091</v>
      </c>
      <c r="H139" s="17">
        <f t="shared" si="57"/>
        <v>42</v>
      </c>
      <c r="I139" s="1">
        <f t="shared" si="46"/>
        <v>42000</v>
      </c>
      <c r="J139" s="17">
        <f>25000</f>
        <v>25000</v>
      </c>
      <c r="K139" s="17"/>
      <c r="L139" s="18">
        <f t="shared" si="58"/>
        <v>17000</v>
      </c>
      <c r="M139" s="22"/>
      <c r="N139" s="22">
        <v>4800</v>
      </c>
      <c r="O139" s="22"/>
      <c r="P139" s="22"/>
      <c r="Q139" s="22"/>
      <c r="R139" s="22" t="s">
        <v>731</v>
      </c>
      <c r="S139" s="22">
        <v>4800</v>
      </c>
      <c r="T139" s="22"/>
      <c r="U139" s="22"/>
      <c r="V139" s="22"/>
      <c r="W139" s="22"/>
      <c r="X139" s="22">
        <v>4800</v>
      </c>
      <c r="Y139" s="18">
        <f t="shared" si="59"/>
        <v>14400</v>
      </c>
      <c r="Z139" s="96">
        <v>12</v>
      </c>
      <c r="AA139" s="96">
        <f t="shared" si="60"/>
        <v>9600</v>
      </c>
      <c r="AB139" s="96">
        <f t="shared" si="61"/>
        <v>12200</v>
      </c>
      <c r="AC139" s="99">
        <v>800</v>
      </c>
      <c r="AD139" s="110"/>
      <c r="AE139" s="102">
        <f t="shared" si="62"/>
        <v>13000</v>
      </c>
      <c r="AF139" s="99">
        <v>800</v>
      </c>
      <c r="AG139" s="110"/>
      <c r="AH139" s="102">
        <f>AE139+AF139-AG139</f>
        <v>13800</v>
      </c>
      <c r="AI139" s="99">
        <v>800</v>
      </c>
      <c r="AJ139" s="110"/>
      <c r="AK139" s="102">
        <f>AH139+AI139-AJ139</f>
        <v>14600</v>
      </c>
      <c r="AL139" s="99">
        <v>800</v>
      </c>
      <c r="AM139" s="110"/>
      <c r="AN139" s="102">
        <f>AK139+AL139-AM139</f>
        <v>15400</v>
      </c>
      <c r="AO139" s="99">
        <v>800</v>
      </c>
      <c r="AP139" s="116"/>
      <c r="AQ139" s="102">
        <f>AN139+AO139-AP139</f>
        <v>16200</v>
      </c>
      <c r="AR139" s="99">
        <v>800</v>
      </c>
      <c r="AS139" s="116"/>
      <c r="AT139" s="102">
        <f>AQ139+AR139-AS139</f>
        <v>17000</v>
      </c>
    </row>
    <row r="140" spans="1:46">
      <c r="A140" s="41">
        <f>VLOOKUP(B140,справочник!$B$2:$E$322,4,FALSE)</f>
        <v>190</v>
      </c>
      <c r="B140" t="str">
        <f t="shared" si="56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57"/>
        <v>31</v>
      </c>
      <c r="I140" s="1">
        <f t="shared" ref="I140:I186" si="68">H140*1000</f>
        <v>31000</v>
      </c>
      <c r="J140" s="17">
        <v>15000</v>
      </c>
      <c r="K140" s="17"/>
      <c r="L140" s="18">
        <f t="shared" si="58"/>
        <v>16000</v>
      </c>
      <c r="M140" s="22"/>
      <c r="N140" s="22"/>
      <c r="O140" s="22"/>
      <c r="P140" s="22"/>
      <c r="Q140" s="22"/>
      <c r="R140" s="22">
        <v>800</v>
      </c>
      <c r="S140" s="22"/>
      <c r="T140" s="22"/>
      <c r="U140" s="22"/>
      <c r="V140" s="22"/>
      <c r="W140" s="22"/>
      <c r="X140" s="22"/>
      <c r="Y140" s="18">
        <f t="shared" si="59"/>
        <v>800</v>
      </c>
      <c r="Z140" s="96">
        <v>12</v>
      </c>
      <c r="AA140" s="96">
        <f t="shared" si="60"/>
        <v>9600</v>
      </c>
      <c r="AB140" s="96">
        <f t="shared" si="61"/>
        <v>24800</v>
      </c>
      <c r="AC140" s="99">
        <v>800</v>
      </c>
      <c r="AD140" s="110"/>
      <c r="AE140" s="102">
        <f t="shared" si="62"/>
        <v>25600</v>
      </c>
      <c r="AF140" s="99">
        <v>800</v>
      </c>
      <c r="AG140" s="110"/>
      <c r="AH140" s="102">
        <f t="shared" si="63"/>
        <v>26400</v>
      </c>
      <c r="AI140" s="99">
        <v>800</v>
      </c>
      <c r="AJ140" s="110"/>
      <c r="AK140" s="102">
        <f t="shared" ref="AK140:AK152" si="69">AH140+AI140-AJ140</f>
        <v>27200</v>
      </c>
      <c r="AL140" s="99">
        <v>800</v>
      </c>
      <c r="AM140" s="110"/>
      <c r="AN140" s="102">
        <f t="shared" ref="AN140:AN152" si="70">AK140+AL140-AM140</f>
        <v>28000</v>
      </c>
      <c r="AO140" s="99">
        <v>800</v>
      </c>
      <c r="AP140" s="116"/>
      <c r="AQ140" s="102">
        <f t="shared" ref="AQ140:AQ152" si="71">AN140+AO140-AP140</f>
        <v>28800</v>
      </c>
      <c r="AR140" s="99">
        <v>800</v>
      </c>
      <c r="AS140" s="116"/>
      <c r="AT140" s="102">
        <f t="shared" ref="AT140:AT152" si="72">AQ140+AR140-AS140</f>
        <v>29600</v>
      </c>
    </row>
    <row r="141" spans="1:46">
      <c r="A141" s="41">
        <f>VLOOKUP(B141,справочник!$B$2:$E$322,4,FALSE)</f>
        <v>83</v>
      </c>
      <c r="B141" t="str">
        <f t="shared" si="56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57"/>
        <v>55</v>
      </c>
      <c r="I141" s="1">
        <f t="shared" si="68"/>
        <v>55000</v>
      </c>
      <c r="J141" s="17">
        <f>1000+49000</f>
        <v>50000</v>
      </c>
      <c r="K141" s="17"/>
      <c r="L141" s="18">
        <f t="shared" si="58"/>
        <v>5000</v>
      </c>
      <c r="M141" s="22">
        <v>2800</v>
      </c>
      <c r="N141" s="22">
        <v>800</v>
      </c>
      <c r="O141" s="22">
        <v>800</v>
      </c>
      <c r="P141" s="22">
        <v>800</v>
      </c>
      <c r="Q141" s="22">
        <v>800</v>
      </c>
      <c r="R141" s="22">
        <v>800</v>
      </c>
      <c r="S141" s="22">
        <v>800</v>
      </c>
      <c r="T141">
        <v>800</v>
      </c>
      <c r="U141" s="22"/>
      <c r="V141" s="22">
        <v>1600</v>
      </c>
      <c r="W141" s="22">
        <v>800</v>
      </c>
      <c r="X141" s="22">
        <v>800</v>
      </c>
      <c r="Y141" s="18">
        <f t="shared" si="59"/>
        <v>11600</v>
      </c>
      <c r="Z141" s="96">
        <v>12</v>
      </c>
      <c r="AA141" s="96">
        <f t="shared" si="60"/>
        <v>9600</v>
      </c>
      <c r="AB141" s="96">
        <f t="shared" si="61"/>
        <v>3000</v>
      </c>
      <c r="AC141" s="99">
        <v>800</v>
      </c>
      <c r="AD141" s="111">
        <v>800</v>
      </c>
      <c r="AE141" s="102">
        <f t="shared" si="62"/>
        <v>3000</v>
      </c>
      <c r="AF141" s="99">
        <v>800</v>
      </c>
      <c r="AG141" s="111"/>
      <c r="AH141" s="102">
        <f t="shared" si="63"/>
        <v>3800</v>
      </c>
      <c r="AI141" s="99">
        <v>800</v>
      </c>
      <c r="AJ141" s="111">
        <v>1600</v>
      </c>
      <c r="AK141" s="102">
        <f t="shared" si="69"/>
        <v>3000</v>
      </c>
      <c r="AL141" s="99">
        <v>800</v>
      </c>
      <c r="AM141" s="111">
        <f>3000+800</f>
        <v>3800</v>
      </c>
      <c r="AN141" s="102">
        <f t="shared" si="70"/>
        <v>0</v>
      </c>
      <c r="AO141" s="99">
        <v>800</v>
      </c>
      <c r="AP141" s="111"/>
      <c r="AQ141" s="102">
        <f t="shared" si="71"/>
        <v>800</v>
      </c>
      <c r="AR141" s="99">
        <v>800</v>
      </c>
      <c r="AS141" s="111">
        <v>1600</v>
      </c>
      <c r="AT141" s="102">
        <f t="shared" si="72"/>
        <v>0</v>
      </c>
    </row>
    <row r="142" spans="1:46">
      <c r="A142" s="41">
        <f>VLOOKUP(B142,справочник!$B$2:$E$322,4,FALSE)</f>
        <v>133</v>
      </c>
      <c r="B142" t="str">
        <f t="shared" si="56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57"/>
        <v>45</v>
      </c>
      <c r="I142" s="1">
        <f t="shared" si="68"/>
        <v>45000</v>
      </c>
      <c r="J142" s="17">
        <v>41000</v>
      </c>
      <c r="K142" s="17">
        <v>4000</v>
      </c>
      <c r="L142" s="18">
        <f t="shared" si="58"/>
        <v>0</v>
      </c>
      <c r="M142" s="22"/>
      <c r="N142" s="22">
        <v>1000</v>
      </c>
      <c r="O142" s="22">
        <v>1000</v>
      </c>
      <c r="P142" s="22">
        <v>1000</v>
      </c>
      <c r="Q142" s="22">
        <v>1000</v>
      </c>
      <c r="R142" s="22">
        <v>1000</v>
      </c>
      <c r="S142" s="22">
        <v>1000</v>
      </c>
      <c r="T142">
        <v>1000</v>
      </c>
      <c r="U142" s="22">
        <v>1000</v>
      </c>
      <c r="V142" s="22">
        <v>1000</v>
      </c>
      <c r="W142" s="22"/>
      <c r="X142" s="22"/>
      <c r="Y142" s="18">
        <f t="shared" si="59"/>
        <v>9000</v>
      </c>
      <c r="Z142" s="96">
        <v>12</v>
      </c>
      <c r="AA142" s="96">
        <f t="shared" si="60"/>
        <v>9600</v>
      </c>
      <c r="AB142" s="96">
        <f t="shared" si="61"/>
        <v>600</v>
      </c>
      <c r="AC142" s="99">
        <v>800</v>
      </c>
      <c r="AD142" s="110">
        <v>800</v>
      </c>
      <c r="AE142" s="102">
        <f t="shared" si="62"/>
        <v>600</v>
      </c>
      <c r="AF142" s="99">
        <v>800</v>
      </c>
      <c r="AG142" s="110">
        <v>800</v>
      </c>
      <c r="AH142" s="102">
        <f t="shared" si="63"/>
        <v>600</v>
      </c>
      <c r="AI142" s="99">
        <v>800</v>
      </c>
      <c r="AJ142" s="110"/>
      <c r="AK142" s="102">
        <f t="shared" si="69"/>
        <v>1400</v>
      </c>
      <c r="AL142" s="99">
        <v>800</v>
      </c>
      <c r="AM142" s="110">
        <v>1400</v>
      </c>
      <c r="AN142" s="102">
        <f t="shared" si="70"/>
        <v>800</v>
      </c>
      <c r="AO142" s="99">
        <v>800</v>
      </c>
      <c r="AP142" s="116"/>
      <c r="AQ142" s="102">
        <f t="shared" si="71"/>
        <v>1600</v>
      </c>
      <c r="AR142" s="99">
        <v>800</v>
      </c>
      <c r="AS142" s="116"/>
      <c r="AT142" s="102">
        <f t="shared" si="72"/>
        <v>2400</v>
      </c>
    </row>
    <row r="143" spans="1:46">
      <c r="A143" s="41">
        <f>VLOOKUP(B143,справочник!$B$2:$E$322,4,FALSE)</f>
        <v>202</v>
      </c>
      <c r="B143" t="str">
        <f t="shared" si="56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57"/>
        <v>42</v>
      </c>
      <c r="I143" s="1">
        <f t="shared" si="68"/>
        <v>42000</v>
      </c>
      <c r="J143" s="17">
        <v>18000</v>
      </c>
      <c r="K143" s="17"/>
      <c r="L143" s="18">
        <f t="shared" si="58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59"/>
        <v>0</v>
      </c>
      <c r="Z143" s="96">
        <v>12</v>
      </c>
      <c r="AA143" s="96">
        <f t="shared" si="60"/>
        <v>9600</v>
      </c>
      <c r="AB143" s="96">
        <f t="shared" si="61"/>
        <v>33600</v>
      </c>
      <c r="AC143" s="99">
        <v>800</v>
      </c>
      <c r="AD143" s="98"/>
      <c r="AE143" s="102">
        <f t="shared" si="62"/>
        <v>34400</v>
      </c>
      <c r="AF143" s="99">
        <v>800</v>
      </c>
      <c r="AG143" s="98"/>
      <c r="AH143" s="102">
        <f t="shared" si="63"/>
        <v>35200</v>
      </c>
      <c r="AI143" s="99">
        <v>800</v>
      </c>
      <c r="AJ143" s="98"/>
      <c r="AK143" s="102">
        <f t="shared" si="69"/>
        <v>36000</v>
      </c>
      <c r="AL143" s="99">
        <v>800</v>
      </c>
      <c r="AM143" s="98"/>
      <c r="AN143" s="102">
        <f t="shared" si="70"/>
        <v>36800</v>
      </c>
      <c r="AO143" s="99">
        <v>800</v>
      </c>
      <c r="AP143" s="114"/>
      <c r="AQ143" s="102">
        <f t="shared" si="71"/>
        <v>37600</v>
      </c>
      <c r="AR143" s="99">
        <v>800</v>
      </c>
      <c r="AS143" s="114"/>
      <c r="AT143" s="102">
        <f t="shared" si="72"/>
        <v>38400</v>
      </c>
    </row>
    <row r="144" spans="1:46">
      <c r="A144" s="41">
        <f>VLOOKUP(B144,справочник!$B$2:$E$322,4,FALSE)</f>
        <v>192</v>
      </c>
      <c r="B144" t="str">
        <f t="shared" si="56"/>
        <v>200Косенков Степан Фед-ч(Галактионова)</v>
      </c>
      <c r="C144" s="1">
        <v>200</v>
      </c>
      <c r="D144" s="2" t="s">
        <v>134</v>
      </c>
      <c r="E144" s="1" t="s">
        <v>450</v>
      </c>
      <c r="F144" s="16">
        <v>41829</v>
      </c>
      <c r="G144" s="16">
        <v>41852</v>
      </c>
      <c r="H144" s="17">
        <f t="shared" si="57"/>
        <v>17</v>
      </c>
      <c r="I144" s="1">
        <f t="shared" si="68"/>
        <v>17000</v>
      </c>
      <c r="J144" s="17"/>
      <c r="K144" s="17"/>
      <c r="L144" s="18">
        <f t="shared" si="58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59"/>
        <v>0</v>
      </c>
      <c r="Z144" s="96">
        <v>12</v>
      </c>
      <c r="AA144" s="96">
        <f t="shared" si="60"/>
        <v>9600</v>
      </c>
      <c r="AB144" s="96">
        <f t="shared" si="61"/>
        <v>26600</v>
      </c>
      <c r="AC144" s="99">
        <v>800</v>
      </c>
      <c r="AD144" s="98"/>
      <c r="AE144" s="102">
        <f t="shared" si="62"/>
        <v>27400</v>
      </c>
      <c r="AF144" s="99">
        <v>800</v>
      </c>
      <c r="AG144" s="98"/>
      <c r="AH144" s="102">
        <f t="shared" si="63"/>
        <v>28200</v>
      </c>
      <c r="AI144" s="99">
        <v>800</v>
      </c>
      <c r="AJ144" s="98"/>
      <c r="AK144" s="102">
        <f t="shared" si="69"/>
        <v>29000</v>
      </c>
      <c r="AL144" s="99">
        <v>800</v>
      </c>
      <c r="AM144" s="98"/>
      <c r="AN144" s="102">
        <f t="shared" si="70"/>
        <v>29800</v>
      </c>
      <c r="AO144" s="99">
        <v>800</v>
      </c>
      <c r="AP144" s="114"/>
      <c r="AQ144" s="102">
        <f t="shared" si="71"/>
        <v>30600</v>
      </c>
      <c r="AR144" s="99">
        <v>800</v>
      </c>
      <c r="AS144" s="114"/>
      <c r="AT144" s="102">
        <f t="shared" si="72"/>
        <v>31400</v>
      </c>
    </row>
    <row r="145" spans="1:46">
      <c r="A145" s="41">
        <f>VLOOKUP(B145,справочник!$B$2:$E$322,4,FALSE)</f>
        <v>289</v>
      </c>
      <c r="B145" t="str">
        <f t="shared" si="56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57"/>
        <v>12</v>
      </c>
      <c r="I145" s="1">
        <f t="shared" si="68"/>
        <v>12000</v>
      </c>
      <c r="J145" s="17">
        <v>3000</v>
      </c>
      <c r="K145" s="17"/>
      <c r="L145" s="18">
        <f t="shared" si="58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>
        <v>10000</v>
      </c>
      <c r="W145" s="22"/>
      <c r="X145" s="22"/>
      <c r="Y145" s="18">
        <f t="shared" si="59"/>
        <v>10000</v>
      </c>
      <c r="Z145" s="96">
        <v>12</v>
      </c>
      <c r="AA145" s="96">
        <f t="shared" si="60"/>
        <v>9600</v>
      </c>
      <c r="AB145" s="96">
        <f t="shared" si="61"/>
        <v>8600</v>
      </c>
      <c r="AC145" s="99">
        <v>800</v>
      </c>
      <c r="AD145" s="98"/>
      <c r="AE145" s="102">
        <f t="shared" si="62"/>
        <v>9400</v>
      </c>
      <c r="AF145" s="99">
        <v>800</v>
      </c>
      <c r="AG145" s="98"/>
      <c r="AH145" s="102">
        <f t="shared" si="63"/>
        <v>10200</v>
      </c>
      <c r="AI145" s="99">
        <v>800</v>
      </c>
      <c r="AJ145" s="98">
        <v>5000</v>
      </c>
      <c r="AK145" s="102">
        <f t="shared" si="69"/>
        <v>6000</v>
      </c>
      <c r="AL145" s="99">
        <v>800</v>
      </c>
      <c r="AM145" s="98"/>
      <c r="AN145" s="102">
        <f t="shared" si="70"/>
        <v>6800</v>
      </c>
      <c r="AO145" s="99">
        <v>800</v>
      </c>
      <c r="AP145" s="114">
        <v>6800</v>
      </c>
      <c r="AQ145" s="102">
        <f t="shared" si="71"/>
        <v>800</v>
      </c>
      <c r="AR145" s="99">
        <v>800</v>
      </c>
      <c r="AS145" s="114"/>
      <c r="AT145" s="102">
        <f t="shared" si="72"/>
        <v>1600</v>
      </c>
    </row>
    <row r="146" spans="1:46">
      <c r="A146" s="41">
        <f>VLOOKUP(B146,справочник!$B$2:$E$322,4,FALSE)</f>
        <v>143</v>
      </c>
      <c r="B146" t="str">
        <f t="shared" si="56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57"/>
        <v>50</v>
      </c>
      <c r="I146" s="1">
        <f t="shared" si="68"/>
        <v>50000</v>
      </c>
      <c r="J146" s="17">
        <v>37000</v>
      </c>
      <c r="K146" s="17"/>
      <c r="L146" s="18">
        <f t="shared" si="58"/>
        <v>13000</v>
      </c>
      <c r="M146" s="22"/>
      <c r="N146" s="22"/>
      <c r="O146" s="22"/>
      <c r="P146" s="22"/>
      <c r="Q146" s="22"/>
      <c r="R146" s="22">
        <v>4800</v>
      </c>
      <c r="S146" s="22"/>
      <c r="T146" s="22"/>
      <c r="U146" s="22"/>
      <c r="V146" s="22">
        <v>2900</v>
      </c>
      <c r="W146" s="22"/>
      <c r="X146" s="22">
        <v>2400</v>
      </c>
      <c r="Y146" s="18">
        <f t="shared" si="59"/>
        <v>10100</v>
      </c>
      <c r="Z146" s="96">
        <v>12</v>
      </c>
      <c r="AA146" s="96">
        <f t="shared" si="60"/>
        <v>9600</v>
      </c>
      <c r="AB146" s="96">
        <f t="shared" si="61"/>
        <v>12500</v>
      </c>
      <c r="AC146" s="99">
        <v>800</v>
      </c>
      <c r="AD146" s="98"/>
      <c r="AE146" s="102">
        <f t="shared" si="62"/>
        <v>13300</v>
      </c>
      <c r="AF146" s="99">
        <v>800</v>
      </c>
      <c r="AG146" s="98"/>
      <c r="AH146" s="102">
        <f t="shared" si="63"/>
        <v>14100</v>
      </c>
      <c r="AI146" s="99">
        <v>800</v>
      </c>
      <c r="AJ146" s="98">
        <v>2400</v>
      </c>
      <c r="AK146" s="102">
        <f t="shared" si="69"/>
        <v>12500</v>
      </c>
      <c r="AL146" s="99">
        <v>800</v>
      </c>
      <c r="AM146" s="98"/>
      <c r="AN146" s="102">
        <f t="shared" si="70"/>
        <v>13300</v>
      </c>
      <c r="AO146" s="99">
        <v>800</v>
      </c>
      <c r="AP146" s="114"/>
      <c r="AQ146" s="102">
        <f t="shared" si="71"/>
        <v>14100</v>
      </c>
      <c r="AR146" s="99">
        <v>800</v>
      </c>
      <c r="AS146" s="114">
        <v>2400</v>
      </c>
      <c r="AT146" s="102">
        <f t="shared" si="72"/>
        <v>12500</v>
      </c>
    </row>
    <row r="147" spans="1:46">
      <c r="A147" s="41">
        <f>VLOOKUP(B147,справочник!$B$2:$E$322,4,FALSE)</f>
        <v>62</v>
      </c>
      <c r="B147" t="str">
        <f t="shared" si="56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57"/>
        <v>51</v>
      </c>
      <c r="I147" s="1">
        <f t="shared" si="68"/>
        <v>51000</v>
      </c>
      <c r="J147" s="17">
        <f>1000+47000</f>
        <v>48000</v>
      </c>
      <c r="K147" s="17">
        <v>3000</v>
      </c>
      <c r="L147" s="18">
        <f t="shared" si="58"/>
        <v>0</v>
      </c>
      <c r="M147" s="29"/>
      <c r="N147" s="29"/>
      <c r="O147" s="29">
        <v>3200</v>
      </c>
      <c r="P147" s="29"/>
      <c r="Q147" s="29"/>
      <c r="R147" s="29"/>
      <c r="S147" s="29"/>
      <c r="T147">
        <v>3200</v>
      </c>
      <c r="U147" s="29"/>
      <c r="V147" s="29"/>
      <c r="W147" s="29"/>
      <c r="X147" s="29">
        <v>3200</v>
      </c>
      <c r="Y147" s="18">
        <f t="shared" si="59"/>
        <v>9600</v>
      </c>
      <c r="Z147" s="96">
        <v>12</v>
      </c>
      <c r="AA147" s="96">
        <f t="shared" si="60"/>
        <v>9600</v>
      </c>
      <c r="AB147" s="96">
        <f t="shared" si="61"/>
        <v>0</v>
      </c>
      <c r="AC147" s="99">
        <v>800</v>
      </c>
      <c r="AD147" s="98"/>
      <c r="AE147" s="102">
        <f t="shared" si="62"/>
        <v>800</v>
      </c>
      <c r="AF147" s="99">
        <v>800</v>
      </c>
      <c r="AG147" s="98"/>
      <c r="AH147" s="102">
        <f t="shared" si="63"/>
        <v>1600</v>
      </c>
      <c r="AI147" s="99">
        <v>800</v>
      </c>
      <c r="AJ147" s="98"/>
      <c r="AK147" s="102">
        <f t="shared" si="69"/>
        <v>2400</v>
      </c>
      <c r="AL147" s="99">
        <v>800</v>
      </c>
      <c r="AM147" s="98">
        <v>4000</v>
      </c>
      <c r="AN147" s="102">
        <f t="shared" si="70"/>
        <v>-800</v>
      </c>
      <c r="AO147" s="99">
        <v>800</v>
      </c>
      <c r="AP147" s="114"/>
      <c r="AQ147" s="102">
        <f t="shared" si="71"/>
        <v>0</v>
      </c>
      <c r="AR147" s="99">
        <v>800</v>
      </c>
      <c r="AS147" s="114"/>
      <c r="AT147" s="102">
        <f t="shared" si="72"/>
        <v>800</v>
      </c>
    </row>
    <row r="148" spans="1:46">
      <c r="A148" s="41">
        <f>VLOOKUP(B148,справочник!$B$2:$E$322,4,FALSE)</f>
        <v>225</v>
      </c>
      <c r="B148" t="str">
        <f t="shared" si="56"/>
        <v>234Крупник Андрей Валерьевич</v>
      </c>
      <c r="C148" s="1">
        <v>234</v>
      </c>
      <c r="D148" s="2" t="s">
        <v>138</v>
      </c>
      <c r="E148" s="1" t="s">
        <v>454</v>
      </c>
      <c r="F148" s="16">
        <v>41871</v>
      </c>
      <c r="G148" s="16">
        <v>41883</v>
      </c>
      <c r="H148" s="17">
        <f t="shared" si="57"/>
        <v>16</v>
      </c>
      <c r="I148" s="1">
        <f t="shared" si="68"/>
        <v>16000</v>
      </c>
      <c r="J148" s="17"/>
      <c r="K148" s="17"/>
      <c r="L148" s="18">
        <f t="shared" si="58"/>
        <v>16000</v>
      </c>
      <c r="M148" s="29"/>
      <c r="N148" s="29"/>
      <c r="O148" s="29"/>
      <c r="P148" s="29"/>
      <c r="Q148" s="29"/>
      <c r="R148" s="29"/>
      <c r="S148" s="29">
        <v>16000</v>
      </c>
      <c r="T148" s="29"/>
      <c r="U148" s="29"/>
      <c r="V148" s="29"/>
      <c r="W148" s="29"/>
      <c r="X148" s="29"/>
      <c r="Y148" s="18">
        <f t="shared" si="59"/>
        <v>16000</v>
      </c>
      <c r="Z148" s="96">
        <v>12</v>
      </c>
      <c r="AA148" s="96">
        <f t="shared" si="60"/>
        <v>9600</v>
      </c>
      <c r="AB148" s="96">
        <f t="shared" si="61"/>
        <v>9600</v>
      </c>
      <c r="AC148" s="99">
        <v>800</v>
      </c>
      <c r="AD148" s="98"/>
      <c r="AE148" s="102">
        <f t="shared" si="62"/>
        <v>10400</v>
      </c>
      <c r="AF148" s="99">
        <v>800</v>
      </c>
      <c r="AG148" s="98"/>
      <c r="AH148" s="102">
        <f t="shared" si="63"/>
        <v>11200</v>
      </c>
      <c r="AI148" s="99">
        <v>800</v>
      </c>
      <c r="AJ148" s="98">
        <v>6400</v>
      </c>
      <c r="AK148" s="102">
        <f t="shared" si="69"/>
        <v>5600</v>
      </c>
      <c r="AL148" s="99">
        <v>800</v>
      </c>
      <c r="AM148" s="98"/>
      <c r="AN148" s="102">
        <f t="shared" si="70"/>
        <v>6400</v>
      </c>
      <c r="AO148" s="99">
        <v>800</v>
      </c>
      <c r="AP148" s="114"/>
      <c r="AQ148" s="102">
        <f t="shared" si="71"/>
        <v>7200</v>
      </c>
      <c r="AR148" s="99">
        <v>800</v>
      </c>
      <c r="AS148" s="114"/>
      <c r="AT148" s="102">
        <f t="shared" si="72"/>
        <v>8000</v>
      </c>
    </row>
    <row r="149" spans="1:46">
      <c r="A149" s="41">
        <f>VLOOKUP(B149,справочник!$B$2:$E$322,4,FALSE)</f>
        <v>266</v>
      </c>
      <c r="B149" t="str">
        <f t="shared" si="56"/>
        <v>279Кудревцев Евгений Александрович</v>
      </c>
      <c r="C149" s="1">
        <v>279</v>
      </c>
      <c r="D149" s="2" t="s">
        <v>139</v>
      </c>
      <c r="E149" s="1" t="s">
        <v>455</v>
      </c>
      <c r="F149" s="16">
        <v>40799</v>
      </c>
      <c r="G149" s="16">
        <v>40787</v>
      </c>
      <c r="H149" s="17">
        <f t="shared" si="57"/>
        <v>52</v>
      </c>
      <c r="I149" s="1">
        <f t="shared" si="68"/>
        <v>52000</v>
      </c>
      <c r="J149" s="17">
        <f>40000+1000</f>
        <v>41000</v>
      </c>
      <c r="K149" s="17"/>
      <c r="L149" s="18">
        <f t="shared" si="58"/>
        <v>11000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>
        <v>18000</v>
      </c>
      <c r="X149" s="29"/>
      <c r="Y149" s="18">
        <f t="shared" si="59"/>
        <v>18000</v>
      </c>
      <c r="Z149" s="96">
        <v>12</v>
      </c>
      <c r="AA149" s="96">
        <f t="shared" si="60"/>
        <v>9600</v>
      </c>
      <c r="AB149" s="96">
        <f t="shared" si="61"/>
        <v>2600</v>
      </c>
      <c r="AC149" s="99">
        <v>800</v>
      </c>
      <c r="AD149" s="98"/>
      <c r="AE149" s="102">
        <f t="shared" si="62"/>
        <v>3400</v>
      </c>
      <c r="AF149" s="99">
        <v>800</v>
      </c>
      <c r="AG149" s="98"/>
      <c r="AH149" s="102">
        <f t="shared" si="63"/>
        <v>4200</v>
      </c>
      <c r="AI149" s="99">
        <v>800</v>
      </c>
      <c r="AJ149" s="98"/>
      <c r="AK149" s="102">
        <f t="shared" si="69"/>
        <v>5000</v>
      </c>
      <c r="AL149" s="99">
        <v>800</v>
      </c>
      <c r="AM149" s="98">
        <v>5000</v>
      </c>
      <c r="AN149" s="102">
        <f t="shared" si="70"/>
        <v>800</v>
      </c>
      <c r="AO149" s="99">
        <v>800</v>
      </c>
      <c r="AP149" s="114"/>
      <c r="AQ149" s="102">
        <f t="shared" si="71"/>
        <v>1600</v>
      </c>
      <c r="AR149" s="99">
        <v>800</v>
      </c>
      <c r="AS149" s="114"/>
      <c r="AT149" s="102">
        <f t="shared" si="72"/>
        <v>2400</v>
      </c>
    </row>
    <row r="150" spans="1:46">
      <c r="A150" s="41">
        <f>VLOOKUP(B150,справочник!$B$2:$E$322,4,FALSE)</f>
        <v>157</v>
      </c>
      <c r="B150" t="str">
        <f t="shared" si="56"/>
        <v>165Кудрявцева Наталья Викторовна</v>
      </c>
      <c r="C150" s="1">
        <v>165</v>
      </c>
      <c r="D150" s="2" t="s">
        <v>140</v>
      </c>
      <c r="E150" s="1" t="s">
        <v>456</v>
      </c>
      <c r="F150" s="16">
        <v>40885</v>
      </c>
      <c r="G150" s="16">
        <v>40878</v>
      </c>
      <c r="H150" s="17">
        <f t="shared" si="57"/>
        <v>49</v>
      </c>
      <c r="I150" s="1">
        <f t="shared" si="68"/>
        <v>49000</v>
      </c>
      <c r="J150" s="17">
        <f>12000+13000</f>
        <v>25000</v>
      </c>
      <c r="K150" s="17"/>
      <c r="L150" s="18">
        <f t="shared" si="58"/>
        <v>24000</v>
      </c>
      <c r="M150" s="29">
        <v>1000</v>
      </c>
      <c r="N150" s="29"/>
      <c r="O150" s="29"/>
      <c r="P150" s="29"/>
      <c r="Q150" s="29"/>
      <c r="R150" s="29"/>
      <c r="S150" s="29"/>
      <c r="T150">
        <v>12000</v>
      </c>
      <c r="U150" s="29">
        <v>12000</v>
      </c>
      <c r="V150" s="29"/>
      <c r="W150" s="29"/>
      <c r="X150" s="29"/>
      <c r="Y150" s="18">
        <f t="shared" si="59"/>
        <v>25000</v>
      </c>
      <c r="Z150" s="96">
        <v>12</v>
      </c>
      <c r="AA150" s="96">
        <f t="shared" si="60"/>
        <v>9600</v>
      </c>
      <c r="AB150" s="96">
        <f t="shared" si="61"/>
        <v>8600</v>
      </c>
      <c r="AC150" s="99">
        <v>800</v>
      </c>
      <c r="AD150" s="98"/>
      <c r="AE150" s="102">
        <f t="shared" si="62"/>
        <v>9400</v>
      </c>
      <c r="AF150" s="99">
        <v>800</v>
      </c>
      <c r="AG150" s="98"/>
      <c r="AH150" s="102">
        <f t="shared" si="63"/>
        <v>10200</v>
      </c>
      <c r="AI150" s="99">
        <v>800</v>
      </c>
      <c r="AJ150" s="98"/>
      <c r="AK150" s="102">
        <f t="shared" si="69"/>
        <v>11000</v>
      </c>
      <c r="AL150" s="99">
        <v>800</v>
      </c>
      <c r="AM150" s="98"/>
      <c r="AN150" s="102">
        <f t="shared" si="70"/>
        <v>11800</v>
      </c>
      <c r="AO150" s="99">
        <v>800</v>
      </c>
      <c r="AP150" s="114"/>
      <c r="AQ150" s="102">
        <f t="shared" si="71"/>
        <v>12600</v>
      </c>
      <c r="AR150" s="99">
        <v>800</v>
      </c>
      <c r="AS150" s="114"/>
      <c r="AT150" s="102">
        <f t="shared" si="72"/>
        <v>13400</v>
      </c>
    </row>
    <row r="151" spans="1:46">
      <c r="A151" s="41">
        <f>VLOOKUP(B151,справочник!$B$2:$E$322,4,FALSE)</f>
        <v>194</v>
      </c>
      <c r="B151" t="str">
        <f t="shared" si="56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57"/>
        <v>15</v>
      </c>
      <c r="I151" s="1">
        <f t="shared" si="68"/>
        <v>15000</v>
      </c>
      <c r="J151" s="17">
        <v>11000</v>
      </c>
      <c r="K151" s="17"/>
      <c r="L151" s="18">
        <f t="shared" si="58"/>
        <v>4000</v>
      </c>
      <c r="M151" s="29"/>
      <c r="N151" s="29">
        <v>5000</v>
      </c>
      <c r="O151" s="29"/>
      <c r="P151" s="29"/>
      <c r="Q151" s="29"/>
      <c r="R151" s="29"/>
      <c r="S151" s="29"/>
      <c r="T151" s="29"/>
      <c r="U151" s="29">
        <v>9600</v>
      </c>
      <c r="V151" s="29"/>
      <c r="W151" s="29"/>
      <c r="X151" s="29"/>
      <c r="Y151" s="18">
        <f t="shared" si="59"/>
        <v>14600</v>
      </c>
      <c r="Z151" s="96">
        <v>12</v>
      </c>
      <c r="AA151" s="96">
        <f t="shared" si="60"/>
        <v>9600</v>
      </c>
      <c r="AB151" s="96">
        <f t="shared" si="61"/>
        <v>-1000</v>
      </c>
      <c r="AC151" s="99">
        <v>800</v>
      </c>
      <c r="AD151" s="98"/>
      <c r="AE151" s="102">
        <f t="shared" si="62"/>
        <v>-200</v>
      </c>
      <c r="AF151" s="99">
        <v>800</v>
      </c>
      <c r="AG151" s="98"/>
      <c r="AH151" s="102">
        <f t="shared" si="63"/>
        <v>600</v>
      </c>
      <c r="AI151" s="99">
        <v>800</v>
      </c>
      <c r="AJ151" s="98"/>
      <c r="AK151" s="102">
        <f t="shared" si="69"/>
        <v>1400</v>
      </c>
      <c r="AL151" s="99">
        <v>800</v>
      </c>
      <c r="AM151" s="98"/>
      <c r="AN151" s="102">
        <f t="shared" si="70"/>
        <v>2200</v>
      </c>
      <c r="AO151" s="99">
        <v>800</v>
      </c>
      <c r="AP151" s="114"/>
      <c r="AQ151" s="102">
        <f t="shared" si="71"/>
        <v>3000</v>
      </c>
      <c r="AR151" s="99">
        <v>800</v>
      </c>
      <c r="AS151" s="114"/>
      <c r="AT151" s="102">
        <f t="shared" si="72"/>
        <v>3800</v>
      </c>
    </row>
    <row r="152" spans="1:46">
      <c r="A152" s="41">
        <f>VLOOKUP(B152,справочник!$B$2:$E$322,4,FALSE)</f>
        <v>65</v>
      </c>
      <c r="B152" t="str">
        <f t="shared" si="56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57"/>
        <v>50</v>
      </c>
      <c r="I152" s="1">
        <f t="shared" si="68"/>
        <v>50000</v>
      </c>
      <c r="J152" s="17">
        <f>30000</f>
        <v>30000</v>
      </c>
      <c r="K152" s="17"/>
      <c r="L152" s="18">
        <f t="shared" si="58"/>
        <v>20000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18">
        <f t="shared" si="59"/>
        <v>0</v>
      </c>
      <c r="Z152" s="96">
        <v>12</v>
      </c>
      <c r="AA152" s="96">
        <f t="shared" si="60"/>
        <v>9600</v>
      </c>
      <c r="AB152" s="96">
        <f t="shared" si="61"/>
        <v>29600</v>
      </c>
      <c r="AC152" s="99">
        <v>800</v>
      </c>
      <c r="AD152" s="98"/>
      <c r="AE152" s="102">
        <f t="shared" si="62"/>
        <v>30400</v>
      </c>
      <c r="AF152" s="99">
        <v>800</v>
      </c>
      <c r="AG152" s="98"/>
      <c r="AH152" s="102">
        <f t="shared" si="63"/>
        <v>31200</v>
      </c>
      <c r="AI152" s="99">
        <v>800</v>
      </c>
      <c r="AJ152" s="98"/>
      <c r="AK152" s="102">
        <f t="shared" si="69"/>
        <v>32000</v>
      </c>
      <c r="AL152" s="99">
        <v>800</v>
      </c>
      <c r="AM152" s="98"/>
      <c r="AN152" s="102">
        <f t="shared" si="70"/>
        <v>32800</v>
      </c>
      <c r="AO152" s="99">
        <v>800</v>
      </c>
      <c r="AP152" s="114"/>
      <c r="AQ152" s="102">
        <f t="shared" si="71"/>
        <v>33600</v>
      </c>
      <c r="AR152" s="99">
        <v>800</v>
      </c>
      <c r="AS152" s="114"/>
      <c r="AT152" s="102">
        <f t="shared" si="72"/>
        <v>34400</v>
      </c>
    </row>
    <row r="153" spans="1:46" s="80" customFormat="1">
      <c r="A153" s="103">
        <f>VLOOKUP(B153,справочник!$B$2:$E$322,4,FALSE)</f>
        <v>216</v>
      </c>
      <c r="B153" s="80" t="str">
        <f t="shared" si="56"/>
        <v xml:space="preserve">225Кулиш Сергей Александрович       </v>
      </c>
      <c r="C153" s="5">
        <v>225</v>
      </c>
      <c r="D153" s="108" t="s">
        <v>143</v>
      </c>
      <c r="E153" s="5" t="s">
        <v>459</v>
      </c>
      <c r="F153" s="19">
        <v>41773</v>
      </c>
      <c r="G153" s="19">
        <v>41760</v>
      </c>
      <c r="H153" s="20">
        <f t="shared" si="57"/>
        <v>20</v>
      </c>
      <c r="I153" s="5">
        <f t="shared" si="68"/>
        <v>20000</v>
      </c>
      <c r="J153" s="20">
        <v>20000</v>
      </c>
      <c r="K153" s="20"/>
      <c r="L153" s="21">
        <f t="shared" si="58"/>
        <v>0</v>
      </c>
      <c r="M153" s="109"/>
      <c r="N153" s="109">
        <v>5200</v>
      </c>
      <c r="O153" s="109"/>
      <c r="P153" s="109"/>
      <c r="Q153" s="109"/>
      <c r="R153" s="109"/>
      <c r="S153" s="109"/>
      <c r="T153" s="109"/>
      <c r="U153" s="109"/>
      <c r="V153" s="109"/>
      <c r="W153" s="109">
        <v>4400</v>
      </c>
      <c r="X153" s="109"/>
      <c r="Y153" s="21">
        <f t="shared" si="59"/>
        <v>9600</v>
      </c>
      <c r="Z153" s="104">
        <v>12</v>
      </c>
      <c r="AA153" s="104">
        <f t="shared" si="60"/>
        <v>9600</v>
      </c>
      <c r="AB153" s="104">
        <f t="shared" si="61"/>
        <v>0</v>
      </c>
      <c r="AC153" s="104">
        <v>0</v>
      </c>
      <c r="AD153" s="105"/>
      <c r="AE153" s="127">
        <f>SUM(AB153:AB154)+SUM(AC153:AC154)-SUM(AD153:AD154)</f>
        <v>800</v>
      </c>
      <c r="AF153" s="104">
        <v>0</v>
      </c>
      <c r="AG153" s="105"/>
      <c r="AH153" s="127">
        <f>SUM(AE153:AE154)+SUM(AF153:AF154)-SUM(AG153:AG154)</f>
        <v>1600</v>
      </c>
      <c r="AI153" s="104">
        <v>0</v>
      </c>
      <c r="AJ153" s="105"/>
      <c r="AK153" s="127">
        <f>SUM(AH153:AH154)+SUM(AI153:AI154)-SUM(AJ153:AJ154)</f>
        <v>2400</v>
      </c>
      <c r="AL153" s="104">
        <v>0</v>
      </c>
      <c r="AM153" s="105"/>
      <c r="AN153" s="127">
        <f>SUM(AK153:AK154)+SUM(AL153:AL154)-SUM(AM153:AM154)</f>
        <v>-800</v>
      </c>
      <c r="AO153" s="104">
        <v>0</v>
      </c>
      <c r="AP153" s="105"/>
      <c r="AQ153" s="127">
        <f>SUM(AN153:AN154)+SUM(AO153:AO154)-SUM(AP153:AP154)</f>
        <v>0</v>
      </c>
      <c r="AR153" s="104">
        <v>0</v>
      </c>
      <c r="AS153" s="105"/>
      <c r="AT153" s="127">
        <f>SUM(AQ153:AQ154)+SUM(AR153:AR154)-SUM(AS153:AS154)</f>
        <v>800</v>
      </c>
    </row>
    <row r="154" spans="1:46" s="80" customFormat="1">
      <c r="A154" s="103">
        <f>VLOOKUP(B154,справочник!$B$2:$E$322,4,FALSE)</f>
        <v>216</v>
      </c>
      <c r="B154" s="80" t="str">
        <f t="shared" si="56"/>
        <v xml:space="preserve">226Кулиш Сергей Александрович       </v>
      </c>
      <c r="C154" s="5">
        <v>226</v>
      </c>
      <c r="D154" s="108" t="s">
        <v>143</v>
      </c>
      <c r="E154" s="5" t="s">
        <v>460</v>
      </c>
      <c r="F154" s="19">
        <v>41773</v>
      </c>
      <c r="G154" s="19">
        <v>41760</v>
      </c>
      <c r="H154" s="20">
        <f t="shared" si="57"/>
        <v>20</v>
      </c>
      <c r="I154" s="5">
        <f t="shared" si="68"/>
        <v>20000</v>
      </c>
      <c r="J154" s="20">
        <v>20000</v>
      </c>
      <c r="K154" s="20"/>
      <c r="L154" s="21">
        <f t="shared" si="58"/>
        <v>0</v>
      </c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21">
        <f t="shared" si="59"/>
        <v>0</v>
      </c>
      <c r="Z154" s="104">
        <v>0</v>
      </c>
      <c r="AA154" s="104">
        <f t="shared" si="60"/>
        <v>0</v>
      </c>
      <c r="AB154" s="104">
        <f t="shared" si="61"/>
        <v>0</v>
      </c>
      <c r="AC154" s="104">
        <v>800</v>
      </c>
      <c r="AD154" s="105"/>
      <c r="AE154" s="129"/>
      <c r="AF154" s="104">
        <v>800</v>
      </c>
      <c r="AG154" s="105"/>
      <c r="AH154" s="129"/>
      <c r="AI154" s="104">
        <v>800</v>
      </c>
      <c r="AJ154" s="105"/>
      <c r="AK154" s="129"/>
      <c r="AL154" s="104">
        <v>800</v>
      </c>
      <c r="AM154" s="105">
        <v>4000</v>
      </c>
      <c r="AN154" s="129"/>
      <c r="AO154" s="104">
        <v>800</v>
      </c>
      <c r="AP154" s="105"/>
      <c r="AQ154" s="129"/>
      <c r="AR154" s="104">
        <v>800</v>
      </c>
      <c r="AS154" s="105"/>
      <c r="AT154" s="129"/>
    </row>
    <row r="155" spans="1:46">
      <c r="A155" s="41">
        <f>VLOOKUP(B155,справочник!$B$2:$E$322,4,FALSE)</f>
        <v>56</v>
      </c>
      <c r="B155" t="str">
        <f t="shared" si="56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si="57"/>
        <v>54</v>
      </c>
      <c r="I155" s="1">
        <f t="shared" si="68"/>
        <v>54000</v>
      </c>
      <c r="J155" s="17">
        <v>1000</v>
      </c>
      <c r="K155" s="17"/>
      <c r="L155" s="18">
        <f t="shared" si="58"/>
        <v>53000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18">
        <f t="shared" si="59"/>
        <v>0</v>
      </c>
      <c r="Z155" s="96">
        <v>12</v>
      </c>
      <c r="AA155" s="96">
        <f t="shared" si="60"/>
        <v>9600</v>
      </c>
      <c r="AB155" s="96">
        <f t="shared" si="61"/>
        <v>62600</v>
      </c>
      <c r="AC155" s="99">
        <v>800</v>
      </c>
      <c r="AD155" s="98"/>
      <c r="AE155" s="102">
        <f t="shared" si="62"/>
        <v>63400</v>
      </c>
      <c r="AF155" s="99">
        <v>800</v>
      </c>
      <c r="AG155" s="98"/>
      <c r="AH155" s="102">
        <f t="shared" ref="AH155:AH160" si="73">AE155+AF155-AG155</f>
        <v>64200</v>
      </c>
      <c r="AI155" s="99">
        <v>800</v>
      </c>
      <c r="AJ155" s="98"/>
      <c r="AK155" s="102">
        <f t="shared" ref="AK155:AK160" si="74">AH155+AI155-AJ155</f>
        <v>65000</v>
      </c>
      <c r="AL155" s="99">
        <v>800</v>
      </c>
      <c r="AM155" s="98"/>
      <c r="AN155" s="102">
        <f t="shared" ref="AN155:AN160" si="75">AK155+AL155-AM155</f>
        <v>65800</v>
      </c>
      <c r="AO155" s="99">
        <v>800</v>
      </c>
      <c r="AP155" s="114"/>
      <c r="AQ155" s="102">
        <f t="shared" ref="AQ155:AQ160" si="76">AN155+AO155-AP155</f>
        <v>66600</v>
      </c>
      <c r="AR155" s="99">
        <v>800</v>
      </c>
      <c r="AS155" s="114"/>
      <c r="AT155" s="102">
        <f t="shared" ref="AT155:AT160" si="77">AQ155+AR155-AS155</f>
        <v>67400</v>
      </c>
    </row>
    <row r="156" spans="1:46">
      <c r="A156" s="41">
        <f>VLOOKUP(B156,справочник!$B$2:$E$322,4,FALSE)</f>
        <v>150</v>
      </c>
      <c r="B156" t="str">
        <f t="shared" si="56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57"/>
        <v>52</v>
      </c>
      <c r="I156" s="1">
        <f t="shared" si="68"/>
        <v>52000</v>
      </c>
      <c r="J156" s="17">
        <f>21000+1000</f>
        <v>22000</v>
      </c>
      <c r="K156" s="17"/>
      <c r="L156" s="18">
        <f t="shared" si="58"/>
        <v>30000</v>
      </c>
      <c r="M156" s="29"/>
      <c r="N156" s="29"/>
      <c r="O156" s="29"/>
      <c r="P156" s="29"/>
      <c r="Q156" s="29"/>
      <c r="R156" s="29"/>
      <c r="S156" s="29"/>
      <c r="T156">
        <v>4800</v>
      </c>
      <c r="U156" s="29">
        <v>6000</v>
      </c>
      <c r="V156" s="29"/>
      <c r="W156" s="29"/>
      <c r="X156" s="29">
        <v>4800</v>
      </c>
      <c r="Y156" s="18">
        <f t="shared" si="59"/>
        <v>15600</v>
      </c>
      <c r="Z156" s="96">
        <v>12</v>
      </c>
      <c r="AA156" s="96">
        <f t="shared" si="60"/>
        <v>9600</v>
      </c>
      <c r="AB156" s="96">
        <f>L156+AA156-Y156</f>
        <v>24000</v>
      </c>
      <c r="AC156" s="99">
        <v>800</v>
      </c>
      <c r="AD156" s="98"/>
      <c r="AE156" s="102">
        <f t="shared" si="62"/>
        <v>24800</v>
      </c>
      <c r="AF156" s="99">
        <v>800</v>
      </c>
      <c r="AG156" s="98"/>
      <c r="AH156" s="102">
        <f t="shared" si="73"/>
        <v>25600</v>
      </c>
      <c r="AI156" s="99">
        <v>800</v>
      </c>
      <c r="AJ156" s="98"/>
      <c r="AK156" s="102">
        <f t="shared" si="74"/>
        <v>26400</v>
      </c>
      <c r="AL156" s="99">
        <v>800</v>
      </c>
      <c r="AM156" s="98"/>
      <c r="AN156" s="102">
        <f t="shared" si="75"/>
        <v>27200</v>
      </c>
      <c r="AO156" s="99">
        <v>800</v>
      </c>
      <c r="AP156" s="114">
        <v>4000</v>
      </c>
      <c r="AQ156" s="102">
        <f t="shared" si="76"/>
        <v>24000</v>
      </c>
      <c r="AR156" s="99">
        <v>800</v>
      </c>
      <c r="AS156" s="114"/>
      <c r="AT156" s="102">
        <f t="shared" si="77"/>
        <v>24800</v>
      </c>
    </row>
    <row r="157" spans="1:46">
      <c r="A157" s="41">
        <f>VLOOKUP(B157,справочник!$B$2:$E$322,4,FALSE)</f>
        <v>243</v>
      </c>
      <c r="B157" t="str">
        <f t="shared" si="56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57"/>
        <v>52</v>
      </c>
      <c r="I157" s="1">
        <f t="shared" si="68"/>
        <v>52000</v>
      </c>
      <c r="J157" s="17">
        <f>1000</f>
        <v>1000</v>
      </c>
      <c r="K157" s="17">
        <v>45000</v>
      </c>
      <c r="L157" s="18">
        <f t="shared" si="58"/>
        <v>6000</v>
      </c>
      <c r="M157" s="29">
        <v>5000</v>
      </c>
      <c r="N157" s="29">
        <v>4800</v>
      </c>
      <c r="O157" s="29"/>
      <c r="P157" s="29"/>
      <c r="Q157" s="29"/>
      <c r="R157" s="29">
        <v>4800</v>
      </c>
      <c r="S157" s="29"/>
      <c r="T157" s="29"/>
      <c r="U157" s="29"/>
      <c r="V157" s="29"/>
      <c r="W157" s="29"/>
      <c r="X157" s="29"/>
      <c r="Y157" s="18">
        <f t="shared" si="59"/>
        <v>14600</v>
      </c>
      <c r="Z157" s="96">
        <v>12</v>
      </c>
      <c r="AA157" s="96">
        <f t="shared" si="60"/>
        <v>9600</v>
      </c>
      <c r="AB157" s="96">
        <f t="shared" si="61"/>
        <v>1000</v>
      </c>
      <c r="AC157" s="99">
        <v>800</v>
      </c>
      <c r="AD157" s="98">
        <v>1600</v>
      </c>
      <c r="AE157" s="102">
        <f t="shared" si="62"/>
        <v>200</v>
      </c>
      <c r="AF157" s="99">
        <v>800</v>
      </c>
      <c r="AG157" s="98"/>
      <c r="AH157" s="102">
        <f t="shared" si="73"/>
        <v>1000</v>
      </c>
      <c r="AI157" s="99">
        <v>800</v>
      </c>
      <c r="AJ157" s="98">
        <v>800</v>
      </c>
      <c r="AK157" s="102">
        <f t="shared" si="74"/>
        <v>1000</v>
      </c>
      <c r="AL157" s="99">
        <v>800</v>
      </c>
      <c r="AM157" s="98"/>
      <c r="AN157" s="102">
        <f t="shared" si="75"/>
        <v>1800</v>
      </c>
      <c r="AO157" s="99">
        <v>800</v>
      </c>
      <c r="AP157" s="114">
        <v>2600</v>
      </c>
      <c r="AQ157" s="102">
        <f t="shared" si="76"/>
        <v>0</v>
      </c>
      <c r="AR157" s="99">
        <v>800</v>
      </c>
      <c r="AS157" s="114"/>
      <c r="AT157" s="102">
        <f t="shared" si="77"/>
        <v>800</v>
      </c>
    </row>
    <row r="158" spans="1:46">
      <c r="A158" s="41">
        <f>VLOOKUP(B158,справочник!$B$2:$E$322,4,FALSE)</f>
        <v>220</v>
      </c>
      <c r="B158" t="str">
        <f t="shared" si="56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57"/>
        <v>18</v>
      </c>
      <c r="I158" s="1">
        <f t="shared" si="68"/>
        <v>18000</v>
      </c>
      <c r="J158" s="17">
        <f>1000</f>
        <v>1000</v>
      </c>
      <c r="K158" s="17"/>
      <c r="L158" s="18">
        <f t="shared" si="58"/>
        <v>17000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18">
        <f t="shared" si="59"/>
        <v>0</v>
      </c>
      <c r="Z158" s="96">
        <v>12</v>
      </c>
      <c r="AA158" s="96">
        <f t="shared" si="60"/>
        <v>9600</v>
      </c>
      <c r="AB158" s="96">
        <f t="shared" si="61"/>
        <v>26600</v>
      </c>
      <c r="AC158" s="99">
        <v>800</v>
      </c>
      <c r="AD158" s="98"/>
      <c r="AE158" s="102">
        <f t="shared" si="62"/>
        <v>27400</v>
      </c>
      <c r="AF158" s="99">
        <v>800</v>
      </c>
      <c r="AG158" s="98"/>
      <c r="AH158" s="102">
        <f t="shared" si="73"/>
        <v>28200</v>
      </c>
      <c r="AI158" s="99">
        <v>800</v>
      </c>
      <c r="AJ158" s="98"/>
      <c r="AK158" s="102">
        <f t="shared" si="74"/>
        <v>29000</v>
      </c>
      <c r="AL158" s="99">
        <v>800</v>
      </c>
      <c r="AM158" s="98"/>
      <c r="AN158" s="102">
        <f t="shared" si="75"/>
        <v>29800</v>
      </c>
      <c r="AO158" s="99">
        <v>800</v>
      </c>
      <c r="AP158" s="114"/>
      <c r="AQ158" s="102">
        <f t="shared" si="76"/>
        <v>30600</v>
      </c>
      <c r="AR158" s="99">
        <v>800</v>
      </c>
      <c r="AS158" s="114"/>
      <c r="AT158" s="102">
        <f t="shared" si="77"/>
        <v>31400</v>
      </c>
    </row>
    <row r="159" spans="1:46">
      <c r="A159" s="41">
        <f>VLOOKUP(B159,справочник!$B$2:$E$322,4,FALSE)</f>
        <v>3</v>
      </c>
      <c r="B159" t="str">
        <f t="shared" si="56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57"/>
        <v>25</v>
      </c>
      <c r="I159" s="1">
        <f t="shared" si="68"/>
        <v>25000</v>
      </c>
      <c r="J159" s="17">
        <f>4000</f>
        <v>4000</v>
      </c>
      <c r="K159" s="17"/>
      <c r="L159" s="18">
        <f t="shared" si="58"/>
        <v>21000</v>
      </c>
      <c r="M159" s="29"/>
      <c r="N159" s="29"/>
      <c r="O159" s="29"/>
      <c r="P159" s="29"/>
      <c r="Q159" s="29"/>
      <c r="R159" s="29"/>
      <c r="S159" s="29"/>
      <c r="T159" s="29"/>
      <c r="U159" s="29">
        <v>15000</v>
      </c>
      <c r="V159" s="29"/>
      <c r="W159" s="29"/>
      <c r="X159" s="29"/>
      <c r="Y159" s="18">
        <f t="shared" si="59"/>
        <v>15000</v>
      </c>
      <c r="Z159" s="96">
        <v>12</v>
      </c>
      <c r="AA159" s="96">
        <f t="shared" si="60"/>
        <v>9600</v>
      </c>
      <c r="AB159" s="96">
        <f t="shared" si="61"/>
        <v>15600</v>
      </c>
      <c r="AC159" s="99">
        <v>800</v>
      </c>
      <c r="AD159" s="98"/>
      <c r="AE159" s="102">
        <f t="shared" si="62"/>
        <v>16400</v>
      </c>
      <c r="AF159" s="99">
        <v>800</v>
      </c>
      <c r="AG159" s="98"/>
      <c r="AH159" s="102">
        <f t="shared" si="73"/>
        <v>17200</v>
      </c>
      <c r="AI159" s="99">
        <v>800</v>
      </c>
      <c r="AJ159" s="98"/>
      <c r="AK159" s="102">
        <f t="shared" si="74"/>
        <v>18000</v>
      </c>
      <c r="AL159" s="99">
        <v>800</v>
      </c>
      <c r="AM159" s="98"/>
      <c r="AN159" s="102">
        <f t="shared" si="75"/>
        <v>18800</v>
      </c>
      <c r="AO159" s="99">
        <v>800</v>
      </c>
      <c r="AP159" s="114"/>
      <c r="AQ159" s="102">
        <f t="shared" si="76"/>
        <v>19600</v>
      </c>
      <c r="AR159" s="99">
        <v>800</v>
      </c>
      <c r="AS159" s="114">
        <v>17000</v>
      </c>
      <c r="AT159" s="102">
        <f t="shared" si="77"/>
        <v>3400</v>
      </c>
    </row>
    <row r="160" spans="1:46">
      <c r="A160" s="41">
        <f>VLOOKUP(B160,справочник!$B$2:$E$322,4,FALSE)</f>
        <v>158</v>
      </c>
      <c r="B160" t="str">
        <f t="shared" si="56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57"/>
        <v>23</v>
      </c>
      <c r="I160" s="1">
        <f t="shared" si="68"/>
        <v>23000</v>
      </c>
      <c r="J160" s="17">
        <f>1000</f>
        <v>1000</v>
      </c>
      <c r="K160" s="17"/>
      <c r="L160" s="18">
        <f t="shared" si="58"/>
        <v>22000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18">
        <f t="shared" si="59"/>
        <v>0</v>
      </c>
      <c r="Z160" s="96">
        <v>12</v>
      </c>
      <c r="AA160" s="96">
        <f t="shared" si="60"/>
        <v>9600</v>
      </c>
      <c r="AB160" s="96">
        <f t="shared" si="61"/>
        <v>31600</v>
      </c>
      <c r="AC160" s="99">
        <v>800</v>
      </c>
      <c r="AD160" s="98"/>
      <c r="AE160" s="102">
        <f t="shared" si="62"/>
        <v>32400</v>
      </c>
      <c r="AF160" s="99">
        <v>800</v>
      </c>
      <c r="AG160" s="98"/>
      <c r="AH160" s="102">
        <f t="shared" si="73"/>
        <v>33200</v>
      </c>
      <c r="AI160" s="99">
        <v>800</v>
      </c>
      <c r="AJ160" s="98"/>
      <c r="AK160" s="102">
        <f t="shared" si="74"/>
        <v>34000</v>
      </c>
      <c r="AL160" s="99">
        <v>800</v>
      </c>
      <c r="AM160" s="98"/>
      <c r="AN160" s="102">
        <f t="shared" si="75"/>
        <v>34800</v>
      </c>
      <c r="AO160" s="99">
        <v>800</v>
      </c>
      <c r="AP160" s="114"/>
      <c r="AQ160" s="102">
        <f t="shared" si="76"/>
        <v>35600</v>
      </c>
      <c r="AR160" s="99">
        <v>800</v>
      </c>
      <c r="AS160" s="114"/>
      <c r="AT160" s="102">
        <f t="shared" si="77"/>
        <v>36400</v>
      </c>
    </row>
    <row r="161" spans="1:46" s="80" customFormat="1">
      <c r="A161" s="103">
        <f>VLOOKUP(B161,справочник!$B$2:$E$322,4,FALSE)</f>
        <v>139</v>
      </c>
      <c r="B161" s="80" t="str">
        <f t="shared" si="56"/>
        <v>149Левина Елена Александровна (Дмитрий)</v>
      </c>
      <c r="C161" s="5">
        <v>149</v>
      </c>
      <c r="D161" s="7" t="s">
        <v>150</v>
      </c>
      <c r="E161" s="5" t="s">
        <v>467</v>
      </c>
      <c r="F161" s="19">
        <v>40715</v>
      </c>
      <c r="G161" s="19">
        <v>40725</v>
      </c>
      <c r="H161" s="20">
        <f t="shared" si="57"/>
        <v>54</v>
      </c>
      <c r="I161" s="5">
        <f t="shared" si="68"/>
        <v>54000</v>
      </c>
      <c r="J161" s="20">
        <v>54000</v>
      </c>
      <c r="K161" s="20"/>
      <c r="L161" s="21">
        <f t="shared" si="58"/>
        <v>0</v>
      </c>
      <c r="M161" s="109"/>
      <c r="N161" s="109"/>
      <c r="O161" s="109"/>
      <c r="P161" s="109"/>
      <c r="Q161" s="109">
        <v>4800</v>
      </c>
      <c r="R161" s="109"/>
      <c r="S161" s="109"/>
      <c r="T161" s="80">
        <v>4800</v>
      </c>
      <c r="U161" s="109"/>
      <c r="V161" s="109"/>
      <c r="W161" s="109"/>
      <c r="X161" s="109"/>
      <c r="Y161" s="21">
        <f t="shared" si="59"/>
        <v>9600</v>
      </c>
      <c r="Z161" s="104">
        <v>12</v>
      </c>
      <c r="AA161" s="104">
        <f t="shared" si="60"/>
        <v>9600</v>
      </c>
      <c r="AB161" s="104">
        <f t="shared" si="61"/>
        <v>0</v>
      </c>
      <c r="AC161" s="104">
        <v>0</v>
      </c>
      <c r="AD161" s="105"/>
      <c r="AE161" s="127">
        <f>AB163+AC163-AD163</f>
        <v>39800</v>
      </c>
      <c r="AF161" s="104">
        <v>0</v>
      </c>
      <c r="AG161" s="105"/>
      <c r="AH161" s="127">
        <f>AE161+AF163-AG163</f>
        <v>35800</v>
      </c>
      <c r="AI161" s="104">
        <v>0</v>
      </c>
      <c r="AJ161" s="105"/>
      <c r="AK161" s="127">
        <f>AH161+AI163-AJ163</f>
        <v>31800</v>
      </c>
      <c r="AL161" s="104">
        <v>0</v>
      </c>
      <c r="AM161" s="105"/>
      <c r="AN161" s="127">
        <f>AK161+AL163-AM163</f>
        <v>19600</v>
      </c>
      <c r="AO161" s="104">
        <v>0</v>
      </c>
      <c r="AP161" s="105"/>
      <c r="AQ161" s="127">
        <f>AN161+AO163-AP163</f>
        <v>20400</v>
      </c>
      <c r="AR161" s="104">
        <v>0</v>
      </c>
      <c r="AS161" s="105"/>
      <c r="AT161" s="127">
        <f>AQ161+AR163-AS163</f>
        <v>21200</v>
      </c>
    </row>
    <row r="162" spans="1:46" s="80" customFormat="1">
      <c r="A162" s="103">
        <f>VLOOKUP(B162,справочник!$B$2:$E$322,4,FALSE)</f>
        <v>139</v>
      </c>
      <c r="B162" s="80" t="str">
        <f t="shared" si="56"/>
        <v>147Левина Елена Александровна (Дмитрий)</v>
      </c>
      <c r="C162" s="5">
        <v>147</v>
      </c>
      <c r="D162" s="7" t="s">
        <v>150</v>
      </c>
      <c r="E162" s="5" t="s">
        <v>468</v>
      </c>
      <c r="F162" s="19">
        <v>40715</v>
      </c>
      <c r="G162" s="19">
        <v>40725</v>
      </c>
      <c r="H162" s="20">
        <f t="shared" si="57"/>
        <v>54</v>
      </c>
      <c r="I162" s="5">
        <f t="shared" si="68"/>
        <v>54000</v>
      </c>
      <c r="J162" s="20">
        <v>54000</v>
      </c>
      <c r="K162" s="20"/>
      <c r="L162" s="21">
        <f t="shared" si="58"/>
        <v>0</v>
      </c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21">
        <f t="shared" si="59"/>
        <v>0</v>
      </c>
      <c r="Z162" s="104">
        <v>0</v>
      </c>
      <c r="AA162" s="104">
        <f t="shared" si="60"/>
        <v>0</v>
      </c>
      <c r="AB162" s="104">
        <f t="shared" si="61"/>
        <v>0</v>
      </c>
      <c r="AC162" s="104">
        <v>0</v>
      </c>
      <c r="AD162" s="105"/>
      <c r="AE162" s="128"/>
      <c r="AF162" s="104">
        <v>0</v>
      </c>
      <c r="AG162" s="105"/>
      <c r="AH162" s="128"/>
      <c r="AI162" s="104">
        <v>0</v>
      </c>
      <c r="AJ162" s="105"/>
      <c r="AK162" s="128"/>
      <c r="AL162" s="104">
        <v>0</v>
      </c>
      <c r="AM162" s="105"/>
      <c r="AN162" s="128"/>
      <c r="AO162" s="104">
        <v>0</v>
      </c>
      <c r="AP162" s="105"/>
      <c r="AQ162" s="128"/>
      <c r="AR162" s="104">
        <v>0</v>
      </c>
      <c r="AS162" s="105"/>
      <c r="AT162" s="128"/>
    </row>
    <row r="163" spans="1:46" s="80" customFormat="1">
      <c r="A163" s="103">
        <f>VLOOKUP(B163,справочник!$B$2:$E$322,4,FALSE)</f>
        <v>139</v>
      </c>
      <c r="B163" s="80" t="str">
        <f t="shared" si="56"/>
        <v>148Левина Елена Александровна (Дмитрий)</v>
      </c>
      <c r="C163" s="5">
        <v>148</v>
      </c>
      <c r="D163" s="7" t="s">
        <v>150</v>
      </c>
      <c r="E163" s="5" t="s">
        <v>469</v>
      </c>
      <c r="F163" s="19">
        <v>40715</v>
      </c>
      <c r="G163" s="19">
        <v>40725</v>
      </c>
      <c r="H163" s="20">
        <f t="shared" si="57"/>
        <v>54</v>
      </c>
      <c r="I163" s="5">
        <f t="shared" si="68"/>
        <v>54000</v>
      </c>
      <c r="J163" s="20">
        <f>11000+4000</f>
        <v>15000</v>
      </c>
      <c r="K163" s="20"/>
      <c r="L163" s="21">
        <f t="shared" si="58"/>
        <v>39000</v>
      </c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21">
        <f t="shared" si="59"/>
        <v>0</v>
      </c>
      <c r="Z163" s="104">
        <v>0</v>
      </c>
      <c r="AA163" s="104">
        <f t="shared" si="60"/>
        <v>0</v>
      </c>
      <c r="AB163" s="104">
        <f>L163+AA163-Y163</f>
        <v>39000</v>
      </c>
      <c r="AC163" s="104">
        <v>800</v>
      </c>
      <c r="AD163" s="105"/>
      <c r="AE163" s="129"/>
      <c r="AF163" s="104">
        <v>800</v>
      </c>
      <c r="AG163" s="105">
        <v>4800</v>
      </c>
      <c r="AH163" s="129"/>
      <c r="AI163" s="104">
        <v>800</v>
      </c>
      <c r="AJ163" s="105">
        <v>4800</v>
      </c>
      <c r="AK163" s="129"/>
      <c r="AL163" s="104">
        <v>800</v>
      </c>
      <c r="AM163" s="105">
        <v>13000</v>
      </c>
      <c r="AN163" s="129"/>
      <c r="AO163" s="104">
        <v>800</v>
      </c>
      <c r="AP163" s="105"/>
      <c r="AQ163" s="129"/>
      <c r="AR163" s="104">
        <v>800</v>
      </c>
      <c r="AS163" s="105"/>
      <c r="AT163" s="129"/>
    </row>
    <row r="164" spans="1:46" s="80" customFormat="1">
      <c r="A164" s="103">
        <f>VLOOKUP(B164,справочник!$B$2:$E$322,4,FALSE)</f>
        <v>261</v>
      </c>
      <c r="B164" s="80" t="str">
        <f t="shared" si="56"/>
        <v>274Леськов Олег Петрович</v>
      </c>
      <c r="C164" s="5">
        <v>274</v>
      </c>
      <c r="D164" s="7" t="s">
        <v>151</v>
      </c>
      <c r="E164" s="5" t="s">
        <v>470</v>
      </c>
      <c r="F164" s="19">
        <v>41373</v>
      </c>
      <c r="G164" s="19">
        <v>41395</v>
      </c>
      <c r="H164" s="20">
        <f t="shared" si="57"/>
        <v>32</v>
      </c>
      <c r="I164" s="5">
        <f t="shared" si="68"/>
        <v>32000</v>
      </c>
      <c r="J164" s="20">
        <v>19000</v>
      </c>
      <c r="K164" s="20"/>
      <c r="L164" s="21">
        <f t="shared" si="58"/>
        <v>13000</v>
      </c>
      <c r="M164" s="109">
        <v>2400</v>
      </c>
      <c r="N164" s="109"/>
      <c r="O164" s="109"/>
      <c r="P164" s="109">
        <v>2400</v>
      </c>
      <c r="Q164" s="109"/>
      <c r="R164" s="109"/>
      <c r="S164" s="109">
        <v>3200</v>
      </c>
      <c r="T164" s="109"/>
      <c r="U164" s="109"/>
      <c r="V164" s="109"/>
      <c r="W164" s="109"/>
      <c r="X164" s="109">
        <v>4000</v>
      </c>
      <c r="Y164" s="21">
        <f>SUM(M164:X164)</f>
        <v>12000</v>
      </c>
      <c r="Z164" s="104">
        <v>12</v>
      </c>
      <c r="AA164" s="104">
        <f t="shared" si="60"/>
        <v>9600</v>
      </c>
      <c r="AB164" s="104">
        <f t="shared" si="61"/>
        <v>10600</v>
      </c>
      <c r="AC164" s="104">
        <v>800</v>
      </c>
      <c r="AD164" s="105"/>
      <c r="AE164" s="127">
        <f>SUM(AB164:AB165)+SUM(AC164:AC165)</f>
        <v>28400</v>
      </c>
      <c r="AF164" s="104">
        <v>800</v>
      </c>
      <c r="AG164" s="105"/>
      <c r="AH164" s="127">
        <f>SUM(AE164:AE165)+SUM(AF164:AF165)</f>
        <v>29200</v>
      </c>
      <c r="AI164" s="104">
        <v>800</v>
      </c>
      <c r="AJ164" s="105"/>
      <c r="AK164" s="127">
        <f>SUM(AH164:AH165)+SUM(AI164:AI165)</f>
        <v>30000</v>
      </c>
      <c r="AL164" s="104">
        <v>800</v>
      </c>
      <c r="AM164" s="105"/>
      <c r="AN164" s="127">
        <f>SUM(AK164:AK165)+SUM(AL164:AL165)</f>
        <v>30800</v>
      </c>
      <c r="AO164" s="104">
        <v>800</v>
      </c>
      <c r="AP164" s="105"/>
      <c r="AQ164" s="127">
        <f>SUM(AN164:AN165)+SUM(AO164:AO165)</f>
        <v>31600</v>
      </c>
      <c r="AR164" s="104">
        <v>800</v>
      </c>
      <c r="AS164" s="105"/>
      <c r="AT164" s="127">
        <f>SUM(AQ164:AQ165)+SUM(AR164:AR165)</f>
        <v>32400</v>
      </c>
    </row>
    <row r="165" spans="1:46" s="80" customFormat="1">
      <c r="A165" s="103">
        <f>VLOOKUP(B165,справочник!$B$2:$E$322,4,FALSE)</f>
        <v>261</v>
      </c>
      <c r="B165" s="80" t="str">
        <f t="shared" si="56"/>
        <v>275Леськов Олег Петрович</v>
      </c>
      <c r="C165" s="5">
        <v>275</v>
      </c>
      <c r="D165" s="7" t="s">
        <v>151</v>
      </c>
      <c r="E165" s="5"/>
      <c r="F165" s="19">
        <v>41016</v>
      </c>
      <c r="G165" s="19">
        <v>41000</v>
      </c>
      <c r="H165" s="20">
        <f t="shared" si="57"/>
        <v>45</v>
      </c>
      <c r="I165" s="5">
        <f t="shared" si="68"/>
        <v>45000</v>
      </c>
      <c r="J165" s="20">
        <f>9000+19000</f>
        <v>28000</v>
      </c>
      <c r="K165" s="20"/>
      <c r="L165" s="21">
        <f t="shared" si="58"/>
        <v>17000</v>
      </c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21">
        <f t="shared" si="59"/>
        <v>0</v>
      </c>
      <c r="Z165" s="104">
        <v>0</v>
      </c>
      <c r="AA165" s="104">
        <f t="shared" si="60"/>
        <v>0</v>
      </c>
      <c r="AB165" s="104">
        <f t="shared" si="61"/>
        <v>17000</v>
      </c>
      <c r="AC165" s="104">
        <v>0</v>
      </c>
      <c r="AD165" s="105"/>
      <c r="AE165" s="129"/>
      <c r="AF165" s="104">
        <v>0</v>
      </c>
      <c r="AG165" s="105"/>
      <c r="AH165" s="129"/>
      <c r="AI165" s="104">
        <v>0</v>
      </c>
      <c r="AJ165" s="105"/>
      <c r="AK165" s="129"/>
      <c r="AL165" s="104">
        <v>0</v>
      </c>
      <c r="AM165" s="105"/>
      <c r="AN165" s="129"/>
      <c r="AO165" s="104">
        <v>0</v>
      </c>
      <c r="AP165" s="105"/>
      <c r="AQ165" s="129"/>
      <c r="AR165" s="104">
        <v>0</v>
      </c>
      <c r="AS165" s="105"/>
      <c r="AT165" s="129"/>
    </row>
    <row r="166" spans="1:46">
      <c r="A166" s="41">
        <f>VLOOKUP(B166,справочник!$B$2:$E$322,4,FALSE)</f>
        <v>288</v>
      </c>
      <c r="B166" t="str">
        <f t="shared" si="56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 t="shared" si="57"/>
        <v>28</v>
      </c>
      <c r="I166" s="1">
        <f t="shared" si="68"/>
        <v>28000</v>
      </c>
      <c r="J166" s="17"/>
      <c r="K166" s="17"/>
      <c r="L166" s="18">
        <f t="shared" si="58"/>
        <v>28000</v>
      </c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18">
        <f t="shared" si="59"/>
        <v>0</v>
      </c>
      <c r="Z166" s="96">
        <v>12</v>
      </c>
      <c r="AA166" s="96">
        <f t="shared" si="60"/>
        <v>9600</v>
      </c>
      <c r="AB166" s="96">
        <f t="shared" si="61"/>
        <v>37600</v>
      </c>
      <c r="AC166" s="99">
        <v>800</v>
      </c>
      <c r="AD166" s="98"/>
      <c r="AE166" s="102">
        <f t="shared" si="62"/>
        <v>38400</v>
      </c>
      <c r="AF166" s="99">
        <v>800</v>
      </c>
      <c r="AG166" s="98"/>
      <c r="AH166" s="102">
        <f t="shared" ref="AH166:AH168" si="78">AE166+AF166-AG166</f>
        <v>39200</v>
      </c>
      <c r="AI166" s="99">
        <v>800</v>
      </c>
      <c r="AJ166" s="98"/>
      <c r="AK166" s="102">
        <f t="shared" ref="AK166:AK168" si="79">AH166+AI166-AJ166</f>
        <v>40000</v>
      </c>
      <c r="AL166" s="99">
        <v>800</v>
      </c>
      <c r="AM166" s="98"/>
      <c r="AN166" s="102">
        <f t="shared" ref="AN166:AN168" si="80">AK166+AL166-AM166</f>
        <v>40800</v>
      </c>
      <c r="AO166" s="99">
        <v>800</v>
      </c>
      <c r="AP166" s="114"/>
      <c r="AQ166" s="102">
        <f t="shared" ref="AQ166:AQ168" si="81">AN166+AO166-AP166</f>
        <v>41600</v>
      </c>
      <c r="AR166" s="99">
        <v>800</v>
      </c>
      <c r="AS166" s="114"/>
      <c r="AT166" s="102">
        <f t="shared" ref="AT166:AT168" si="82">AQ166+AR166-AS166</f>
        <v>42400</v>
      </c>
    </row>
    <row r="167" spans="1:46">
      <c r="A167" s="41">
        <f>VLOOKUP(B167,справочник!$B$2:$E$322,4,FALSE)</f>
        <v>166</v>
      </c>
      <c r="B167" t="str">
        <f t="shared" si="56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 t="shared" si="57"/>
        <v>17</v>
      </c>
      <c r="I167" s="1">
        <f t="shared" si="68"/>
        <v>17000</v>
      </c>
      <c r="J167" s="17">
        <v>5000</v>
      </c>
      <c r="K167" s="17"/>
      <c r="L167" s="18">
        <f t="shared" si="58"/>
        <v>12000</v>
      </c>
      <c r="M167" s="29"/>
      <c r="N167" s="29"/>
      <c r="O167" s="29"/>
      <c r="P167" s="29"/>
      <c r="Q167" s="29"/>
      <c r="R167" s="29"/>
      <c r="S167" s="29">
        <v>6800</v>
      </c>
      <c r="T167">
        <v>5000</v>
      </c>
      <c r="U167" s="29">
        <v>2400</v>
      </c>
      <c r="V167" s="29"/>
      <c r="W167" s="29"/>
      <c r="X167" s="29"/>
      <c r="Y167" s="18">
        <f t="shared" si="59"/>
        <v>14200</v>
      </c>
      <c r="Z167" s="96">
        <v>12</v>
      </c>
      <c r="AA167" s="96">
        <f t="shared" si="60"/>
        <v>9600</v>
      </c>
      <c r="AB167" s="96">
        <f t="shared" si="61"/>
        <v>7400</v>
      </c>
      <c r="AC167" s="99">
        <v>800</v>
      </c>
      <c r="AD167" s="98"/>
      <c r="AE167" s="102">
        <f t="shared" si="62"/>
        <v>8200</v>
      </c>
      <c r="AF167" s="99">
        <v>800</v>
      </c>
      <c r="AG167" s="98">
        <v>4000</v>
      </c>
      <c r="AH167" s="102">
        <f t="shared" si="78"/>
        <v>5000</v>
      </c>
      <c r="AI167" s="99">
        <v>800</v>
      </c>
      <c r="AJ167" s="98"/>
      <c r="AK167" s="102">
        <f t="shared" si="79"/>
        <v>5800</v>
      </c>
      <c r="AL167" s="99">
        <v>800</v>
      </c>
      <c r="AM167" s="98"/>
      <c r="AN167" s="102">
        <f t="shared" si="80"/>
        <v>6600</v>
      </c>
      <c r="AO167" s="99">
        <v>800</v>
      </c>
      <c r="AP167" s="114"/>
      <c r="AQ167" s="102">
        <f t="shared" si="81"/>
        <v>7400</v>
      </c>
      <c r="AR167" s="99">
        <v>800</v>
      </c>
      <c r="AS167" s="114"/>
      <c r="AT167" s="102">
        <f t="shared" si="82"/>
        <v>8200</v>
      </c>
    </row>
    <row r="168" spans="1:46">
      <c r="A168" s="41">
        <f>VLOOKUP(B168,справочник!$B$2:$E$322,4,FALSE)</f>
        <v>118</v>
      </c>
      <c r="B168" t="str">
        <f t="shared" si="56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 t="shared" si="57"/>
        <v>30</v>
      </c>
      <c r="I168" s="1">
        <f t="shared" si="68"/>
        <v>30000</v>
      </c>
      <c r="J168" s="17">
        <v>23000</v>
      </c>
      <c r="K168" s="17"/>
      <c r="L168" s="18">
        <f t="shared" si="58"/>
        <v>7000</v>
      </c>
      <c r="M168" s="29"/>
      <c r="N168" s="29"/>
      <c r="O168" s="29"/>
      <c r="P168" s="29"/>
      <c r="Q168" s="29"/>
      <c r="R168" s="29"/>
      <c r="S168" s="29">
        <v>12000</v>
      </c>
      <c r="T168" s="29"/>
      <c r="U168" s="29"/>
      <c r="V168" s="29"/>
      <c r="W168" s="29"/>
      <c r="X168" s="29"/>
      <c r="Y168" s="18">
        <f t="shared" si="59"/>
        <v>12000</v>
      </c>
      <c r="Z168" s="96">
        <v>12</v>
      </c>
      <c r="AA168" s="96">
        <f t="shared" si="60"/>
        <v>9600</v>
      </c>
      <c r="AB168" s="96">
        <f t="shared" si="61"/>
        <v>4600</v>
      </c>
      <c r="AC168" s="99">
        <v>800</v>
      </c>
      <c r="AD168" s="98"/>
      <c r="AE168" s="102">
        <f t="shared" si="62"/>
        <v>5400</v>
      </c>
      <c r="AF168" s="99">
        <v>800</v>
      </c>
      <c r="AG168" s="98"/>
      <c r="AH168" s="102">
        <f t="shared" si="78"/>
        <v>6200</v>
      </c>
      <c r="AI168" s="99">
        <v>800</v>
      </c>
      <c r="AJ168" s="98"/>
      <c r="AK168" s="102">
        <f t="shared" si="79"/>
        <v>7000</v>
      </c>
      <c r="AL168" s="99">
        <v>800</v>
      </c>
      <c r="AM168" s="98"/>
      <c r="AN168" s="102">
        <f t="shared" si="80"/>
        <v>7800</v>
      </c>
      <c r="AO168" s="99">
        <v>800</v>
      </c>
      <c r="AP168" s="114"/>
      <c r="AQ168" s="102">
        <f t="shared" si="81"/>
        <v>8600</v>
      </c>
      <c r="AR168" s="99">
        <v>800</v>
      </c>
      <c r="AS168" s="114"/>
      <c r="AT168" s="102">
        <f t="shared" si="82"/>
        <v>9400</v>
      </c>
    </row>
    <row r="169" spans="1:46" s="80" customFormat="1">
      <c r="A169" s="103">
        <f>VLOOKUP(B169,справочник!$B$2:$E$322,4,FALSE)</f>
        <v>199</v>
      </c>
      <c r="B169" s="80" t="str">
        <f t="shared" si="56"/>
        <v>207Лошкарев Виктор Ильич</v>
      </c>
      <c r="C169" s="5">
        <v>207</v>
      </c>
      <c r="D169" s="7" t="s">
        <v>155</v>
      </c>
      <c r="E169" s="5" t="s">
        <v>474</v>
      </c>
      <c r="F169" s="19">
        <v>41036</v>
      </c>
      <c r="G169" s="19">
        <v>41030</v>
      </c>
      <c r="H169" s="20">
        <f t="shared" si="57"/>
        <v>44</v>
      </c>
      <c r="I169" s="5">
        <f t="shared" si="68"/>
        <v>44000</v>
      </c>
      <c r="J169" s="20">
        <v>1000</v>
      </c>
      <c r="K169" s="20"/>
      <c r="L169" s="21">
        <f t="shared" si="58"/>
        <v>43000</v>
      </c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21">
        <f t="shared" si="59"/>
        <v>0</v>
      </c>
      <c r="Z169" s="104">
        <v>12</v>
      </c>
      <c r="AA169" s="104">
        <f t="shared" si="60"/>
        <v>9600</v>
      </c>
      <c r="AB169" s="104">
        <f t="shared" si="61"/>
        <v>52600</v>
      </c>
      <c r="AC169" s="104">
        <v>800</v>
      </c>
      <c r="AD169" s="105"/>
      <c r="AE169" s="127">
        <f>SUM(AB169:AB170)+SUM(AC169:AC170)</f>
        <v>96400</v>
      </c>
      <c r="AF169" s="104">
        <v>800</v>
      </c>
      <c r="AG169" s="105"/>
      <c r="AH169" s="127">
        <f>SUM(AE169:AE170)+SUM(AF169:AF170)</f>
        <v>97200</v>
      </c>
      <c r="AI169" s="104">
        <v>800</v>
      </c>
      <c r="AJ169" s="105"/>
      <c r="AK169" s="127">
        <f>SUM(AH169:AH170)+SUM(AI169:AI170)</f>
        <v>98000</v>
      </c>
      <c r="AL169" s="104">
        <v>800</v>
      </c>
      <c r="AM169" s="105"/>
      <c r="AN169" s="127">
        <f>SUM(AK169:AK170)+SUM(AL169:AL170)</f>
        <v>98800</v>
      </c>
      <c r="AO169" s="104">
        <v>800</v>
      </c>
      <c r="AP169" s="105"/>
      <c r="AQ169" s="127">
        <f>SUM(AN169:AN170)+SUM(AO169:AO170)</f>
        <v>99600</v>
      </c>
      <c r="AR169" s="104">
        <v>800</v>
      </c>
      <c r="AS169" s="105"/>
      <c r="AT169" s="127">
        <f>SUM(AQ169:AQ170)+SUM(AR169:AR170)</f>
        <v>100400</v>
      </c>
    </row>
    <row r="170" spans="1:46" s="80" customFormat="1">
      <c r="A170" s="103">
        <f>VLOOKUP(B170,справочник!$B$2:$E$322,4,FALSE)</f>
        <v>199</v>
      </c>
      <c r="B170" s="80" t="str">
        <f t="shared" si="56"/>
        <v>208Лошкарев Виктор Ильич</v>
      </c>
      <c r="C170" s="5">
        <v>208</v>
      </c>
      <c r="D170" s="7" t="s">
        <v>155</v>
      </c>
      <c r="E170" s="5" t="s">
        <v>448</v>
      </c>
      <c r="F170" s="19">
        <v>41036</v>
      </c>
      <c r="G170" s="19">
        <v>41030</v>
      </c>
      <c r="H170" s="20">
        <f t="shared" si="57"/>
        <v>44</v>
      </c>
      <c r="I170" s="5">
        <f t="shared" si="68"/>
        <v>44000</v>
      </c>
      <c r="J170" s="20">
        <v>1000</v>
      </c>
      <c r="K170" s="20"/>
      <c r="L170" s="21">
        <f t="shared" si="58"/>
        <v>43000</v>
      </c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21">
        <f t="shared" si="59"/>
        <v>0</v>
      </c>
      <c r="Z170" s="104">
        <v>0</v>
      </c>
      <c r="AA170" s="104">
        <f t="shared" si="60"/>
        <v>0</v>
      </c>
      <c r="AB170" s="104">
        <f t="shared" si="61"/>
        <v>43000</v>
      </c>
      <c r="AC170" s="104">
        <v>0</v>
      </c>
      <c r="AD170" s="105"/>
      <c r="AE170" s="129"/>
      <c r="AF170" s="104">
        <v>0</v>
      </c>
      <c r="AG170" s="105"/>
      <c r="AH170" s="129"/>
      <c r="AI170" s="104">
        <v>0</v>
      </c>
      <c r="AJ170" s="105"/>
      <c r="AK170" s="129"/>
      <c r="AL170" s="104">
        <v>0</v>
      </c>
      <c r="AM170" s="105"/>
      <c r="AN170" s="129"/>
      <c r="AO170" s="104">
        <v>0</v>
      </c>
      <c r="AP170" s="105"/>
      <c r="AQ170" s="129"/>
      <c r="AR170" s="104">
        <v>0</v>
      </c>
      <c r="AS170" s="105"/>
      <c r="AT170" s="129"/>
    </row>
    <row r="171" spans="1:46">
      <c r="A171" s="41">
        <f>VLOOKUP(B171,справочник!$B$2:$E$322,4,FALSE)</f>
        <v>164</v>
      </c>
      <c r="B171" t="str">
        <f t="shared" si="56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si="57"/>
        <v>26</v>
      </c>
      <c r="I171" s="1">
        <f t="shared" si="68"/>
        <v>26000</v>
      </c>
      <c r="J171" s="17">
        <v>1000</v>
      </c>
      <c r="K171" s="17"/>
      <c r="L171" s="18">
        <f t="shared" si="58"/>
        <v>25000</v>
      </c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>
        <v>10600</v>
      </c>
      <c r="X171" s="29"/>
      <c r="Y171" s="18">
        <f t="shared" si="59"/>
        <v>10600</v>
      </c>
      <c r="Z171" s="96">
        <v>12</v>
      </c>
      <c r="AA171" s="96">
        <f t="shared" si="60"/>
        <v>9600</v>
      </c>
      <c r="AB171" s="96">
        <f t="shared" si="61"/>
        <v>24000</v>
      </c>
      <c r="AC171" s="99">
        <v>800</v>
      </c>
      <c r="AD171" s="98"/>
      <c r="AE171" s="102">
        <f t="shared" si="62"/>
        <v>24800</v>
      </c>
      <c r="AF171" s="99">
        <v>800</v>
      </c>
      <c r="AG171" s="98"/>
      <c r="AH171" s="102">
        <f t="shared" ref="AH171:AH180" si="83">AE171+AF171-AG171</f>
        <v>25600</v>
      </c>
      <c r="AI171" s="99">
        <v>800</v>
      </c>
      <c r="AJ171" s="98"/>
      <c r="AK171" s="102">
        <f t="shared" ref="AK171:AK180" si="84">AH171+AI171-AJ171</f>
        <v>26400</v>
      </c>
      <c r="AL171" s="99">
        <v>800</v>
      </c>
      <c r="AM171" s="98"/>
      <c r="AN171" s="102">
        <f t="shared" ref="AN171:AN180" si="85">AK171+AL171-AM171</f>
        <v>27200</v>
      </c>
      <c r="AO171" s="99">
        <v>800</v>
      </c>
      <c r="AP171" s="114"/>
      <c r="AQ171" s="102">
        <f t="shared" ref="AQ171:AQ180" si="86">AN171+AO171-AP171</f>
        <v>28000</v>
      </c>
      <c r="AR171" s="99">
        <v>800</v>
      </c>
      <c r="AS171" s="114"/>
      <c r="AT171" s="102">
        <f t="shared" ref="AT171:AT180" si="87">AQ171+AR171-AS171</f>
        <v>28800</v>
      </c>
    </row>
    <row r="172" spans="1:46">
      <c r="A172" s="41">
        <f>VLOOKUP(B172,справочник!$B$2:$E$322,4,FALSE)</f>
        <v>34</v>
      </c>
      <c r="B172" t="str">
        <f t="shared" si="56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57"/>
        <v>52</v>
      </c>
      <c r="I172" s="1">
        <f t="shared" si="68"/>
        <v>52000</v>
      </c>
      <c r="J172" s="17">
        <v>55000</v>
      </c>
      <c r="K172" s="17"/>
      <c r="L172" s="18">
        <f t="shared" si="58"/>
        <v>-3000</v>
      </c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18">
        <f t="shared" si="59"/>
        <v>0</v>
      </c>
      <c r="Z172" s="96">
        <v>12</v>
      </c>
      <c r="AA172" s="96">
        <f t="shared" si="60"/>
        <v>9600</v>
      </c>
      <c r="AB172" s="96">
        <f t="shared" si="61"/>
        <v>6600</v>
      </c>
      <c r="AC172" s="99">
        <v>800</v>
      </c>
      <c r="AD172" s="98"/>
      <c r="AE172" s="102">
        <f t="shared" si="62"/>
        <v>7400</v>
      </c>
      <c r="AF172" s="99">
        <v>800</v>
      </c>
      <c r="AG172" s="98"/>
      <c r="AH172" s="102">
        <f t="shared" si="83"/>
        <v>8200</v>
      </c>
      <c r="AI172" s="99">
        <v>800</v>
      </c>
      <c r="AJ172" s="98"/>
      <c r="AK172" s="102">
        <f t="shared" si="84"/>
        <v>9000</v>
      </c>
      <c r="AL172" s="99">
        <v>800</v>
      </c>
      <c r="AM172" s="98"/>
      <c r="AN172" s="102">
        <f t="shared" si="85"/>
        <v>9800</v>
      </c>
      <c r="AO172" s="99">
        <v>800</v>
      </c>
      <c r="AP172" s="114"/>
      <c r="AQ172" s="102">
        <f t="shared" si="86"/>
        <v>10600</v>
      </c>
      <c r="AR172" s="99">
        <v>800</v>
      </c>
      <c r="AS172" s="114"/>
      <c r="AT172" s="102">
        <f t="shared" si="87"/>
        <v>11400</v>
      </c>
    </row>
    <row r="173" spans="1:46">
      <c r="A173" s="41">
        <f>VLOOKUP(B173,справочник!$B$2:$E$322,4,FALSE)</f>
        <v>13</v>
      </c>
      <c r="B173" t="str">
        <f t="shared" si="56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57"/>
        <v>29</v>
      </c>
      <c r="I173" s="1">
        <f t="shared" si="68"/>
        <v>29000</v>
      </c>
      <c r="J173" s="17">
        <v>13000</v>
      </c>
      <c r="K173" s="17"/>
      <c r="L173" s="18">
        <f t="shared" si="58"/>
        <v>16000</v>
      </c>
      <c r="M173" s="29"/>
      <c r="N173" s="29"/>
      <c r="O173" s="29"/>
      <c r="P173" s="29"/>
      <c r="Q173" s="29"/>
      <c r="R173" s="29"/>
      <c r="S173" s="29">
        <v>20000</v>
      </c>
      <c r="T173" s="29"/>
      <c r="U173" s="29"/>
      <c r="V173" s="29"/>
      <c r="W173" s="29"/>
      <c r="X173" s="29"/>
      <c r="Y173" s="18">
        <f t="shared" si="59"/>
        <v>20000</v>
      </c>
      <c r="Z173" s="96">
        <v>12</v>
      </c>
      <c r="AA173" s="96">
        <f t="shared" si="60"/>
        <v>9600</v>
      </c>
      <c r="AB173" s="96">
        <f t="shared" si="61"/>
        <v>5600</v>
      </c>
      <c r="AC173" s="99">
        <v>800</v>
      </c>
      <c r="AD173" s="98"/>
      <c r="AE173" s="102">
        <f t="shared" si="62"/>
        <v>6400</v>
      </c>
      <c r="AF173" s="99">
        <v>800</v>
      </c>
      <c r="AG173" s="98"/>
      <c r="AH173" s="102">
        <f t="shared" si="83"/>
        <v>7200</v>
      </c>
      <c r="AI173" s="99">
        <v>800</v>
      </c>
      <c r="AJ173" s="98"/>
      <c r="AK173" s="102">
        <f t="shared" si="84"/>
        <v>8000</v>
      </c>
      <c r="AL173" s="99">
        <v>800</v>
      </c>
      <c r="AM173" s="98"/>
      <c r="AN173" s="102">
        <f t="shared" si="85"/>
        <v>8800</v>
      </c>
      <c r="AO173" s="99">
        <v>800</v>
      </c>
      <c r="AP173" s="114">
        <v>8800</v>
      </c>
      <c r="AQ173" s="102">
        <f t="shared" si="86"/>
        <v>800</v>
      </c>
      <c r="AR173" s="99">
        <v>800</v>
      </c>
      <c r="AS173" s="114"/>
      <c r="AT173" s="102">
        <f t="shared" si="87"/>
        <v>1600</v>
      </c>
    </row>
    <row r="174" spans="1:46">
      <c r="A174" s="41">
        <f>VLOOKUP(B174,справочник!$B$2:$E$322,4,FALSE)</f>
        <v>273</v>
      </c>
      <c r="B174" t="str">
        <f t="shared" si="56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57"/>
        <v>12</v>
      </c>
      <c r="I174" s="1">
        <f t="shared" si="68"/>
        <v>12000</v>
      </c>
      <c r="J174" s="17">
        <v>8000</v>
      </c>
      <c r="K174" s="17"/>
      <c r="L174" s="18">
        <f t="shared" si="58"/>
        <v>4000</v>
      </c>
      <c r="M174" s="29"/>
      <c r="N174" s="29"/>
      <c r="O174" s="29"/>
      <c r="P174" s="29"/>
      <c r="Q174" s="29"/>
      <c r="R174" s="29">
        <v>8000</v>
      </c>
      <c r="S174" s="29"/>
      <c r="T174" s="29"/>
      <c r="U174" s="29">
        <v>1600</v>
      </c>
      <c r="V174" s="29"/>
      <c r="W174" s="29"/>
      <c r="X174" s="29">
        <f>800+800+1600</f>
        <v>3200</v>
      </c>
      <c r="Y174" s="18">
        <f t="shared" si="59"/>
        <v>12800</v>
      </c>
      <c r="Z174" s="96">
        <v>12</v>
      </c>
      <c r="AA174" s="96">
        <f t="shared" si="60"/>
        <v>9600</v>
      </c>
      <c r="AB174" s="96">
        <f t="shared" si="61"/>
        <v>800</v>
      </c>
      <c r="AC174" s="99">
        <v>800</v>
      </c>
      <c r="AD174" s="110"/>
      <c r="AE174" s="102">
        <f t="shared" si="62"/>
        <v>1600</v>
      </c>
      <c r="AF174" s="99">
        <v>800</v>
      </c>
      <c r="AG174" s="110"/>
      <c r="AH174" s="102">
        <f t="shared" si="83"/>
        <v>2400</v>
      </c>
      <c r="AI174" s="99">
        <v>800</v>
      </c>
      <c r="AJ174" s="110">
        <f>1600+800</f>
        <v>2400</v>
      </c>
      <c r="AK174" s="102">
        <f t="shared" si="84"/>
        <v>800</v>
      </c>
      <c r="AL174" s="99">
        <v>800</v>
      </c>
      <c r="AM174" s="110"/>
      <c r="AN174" s="102">
        <f t="shared" si="85"/>
        <v>1600</v>
      </c>
      <c r="AO174" s="99">
        <v>800</v>
      </c>
      <c r="AP174" s="116">
        <f>800+800</f>
        <v>1600</v>
      </c>
      <c r="AQ174" s="102">
        <f t="shared" si="86"/>
        <v>800</v>
      </c>
      <c r="AR174" s="99">
        <v>800</v>
      </c>
      <c r="AS174" s="116">
        <v>3600</v>
      </c>
      <c r="AT174" s="102">
        <f t="shared" si="87"/>
        <v>-2000</v>
      </c>
    </row>
    <row r="175" spans="1:46">
      <c r="A175" s="41">
        <f>VLOOKUP(B175,справочник!$B$2:$E$322,4,FALSE)</f>
        <v>87</v>
      </c>
      <c r="B175" t="str">
        <f t="shared" si="56"/>
        <v>92Маркина Людмила Николаевна, Марина</v>
      </c>
      <c r="C175" s="1">
        <v>92</v>
      </c>
      <c r="D175" s="2" t="s">
        <v>160</v>
      </c>
      <c r="E175" s="1" t="s">
        <v>479</v>
      </c>
      <c r="F175" s="16">
        <v>41144</v>
      </c>
      <c r="G175" s="16">
        <v>41153</v>
      </c>
      <c r="H175" s="17">
        <f t="shared" si="57"/>
        <v>40</v>
      </c>
      <c r="I175" s="1">
        <f t="shared" si="68"/>
        <v>40000</v>
      </c>
      <c r="J175" s="17">
        <v>37000</v>
      </c>
      <c r="K175" s="17"/>
      <c r="L175" s="18">
        <f t="shared" si="58"/>
        <v>3000</v>
      </c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18">
        <f t="shared" si="59"/>
        <v>0</v>
      </c>
      <c r="Z175" s="96">
        <v>12</v>
      </c>
      <c r="AA175" s="96">
        <f t="shared" si="60"/>
        <v>9600</v>
      </c>
      <c r="AB175" s="96">
        <f t="shared" si="61"/>
        <v>12600</v>
      </c>
      <c r="AC175" s="99">
        <v>800</v>
      </c>
      <c r="AD175" s="110">
        <v>1600</v>
      </c>
      <c r="AE175" s="102">
        <f t="shared" si="62"/>
        <v>11800</v>
      </c>
      <c r="AF175" s="99">
        <v>800</v>
      </c>
      <c r="AG175" s="110"/>
      <c r="AH175" s="102">
        <f t="shared" si="83"/>
        <v>12600</v>
      </c>
      <c r="AI175" s="99">
        <v>800</v>
      </c>
      <c r="AJ175" s="110"/>
      <c r="AK175" s="102">
        <f t="shared" si="84"/>
        <v>13400</v>
      </c>
      <c r="AL175" s="99">
        <v>800</v>
      </c>
      <c r="AM175" s="110"/>
      <c r="AN175" s="102">
        <f t="shared" si="85"/>
        <v>14200</v>
      </c>
      <c r="AO175" s="99">
        <v>800</v>
      </c>
      <c r="AP175" s="116">
        <v>2400</v>
      </c>
      <c r="AQ175" s="102">
        <f t="shared" si="86"/>
        <v>12600</v>
      </c>
      <c r="AR175" s="99">
        <v>800</v>
      </c>
      <c r="AS175" s="116"/>
      <c r="AT175" s="102">
        <f t="shared" si="87"/>
        <v>13400</v>
      </c>
    </row>
    <row r="176" spans="1:46">
      <c r="A176" s="41">
        <f>VLOOKUP(B176,справочник!$B$2:$E$322,4,FALSE)</f>
        <v>154</v>
      </c>
      <c r="B176" t="str">
        <f t="shared" si="56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57"/>
        <v>54</v>
      </c>
      <c r="I176" s="1">
        <f t="shared" si="68"/>
        <v>54000</v>
      </c>
      <c r="J176" s="17">
        <v>50000</v>
      </c>
      <c r="K176" s="17"/>
      <c r="L176" s="18">
        <f t="shared" si="58"/>
        <v>4000</v>
      </c>
      <c r="M176" s="29"/>
      <c r="N176" s="29"/>
      <c r="O176" s="29"/>
      <c r="P176" s="29">
        <v>2400</v>
      </c>
      <c r="Q176" s="29">
        <v>800</v>
      </c>
      <c r="R176" s="29">
        <v>1600</v>
      </c>
      <c r="S176" s="29">
        <v>800</v>
      </c>
      <c r="T176">
        <v>800</v>
      </c>
      <c r="U176" s="29">
        <v>800</v>
      </c>
      <c r="V176" s="29">
        <v>800</v>
      </c>
      <c r="W176" s="84">
        <v>800</v>
      </c>
      <c r="X176" s="29">
        <v>800</v>
      </c>
      <c r="Y176" s="18">
        <f t="shared" si="59"/>
        <v>9600</v>
      </c>
      <c r="Z176" s="96">
        <v>12</v>
      </c>
      <c r="AA176" s="96">
        <f t="shared" si="60"/>
        <v>9600</v>
      </c>
      <c r="AB176" s="96">
        <f t="shared" si="61"/>
        <v>4000</v>
      </c>
      <c r="AC176" s="99">
        <v>800</v>
      </c>
      <c r="AD176" s="111">
        <v>800</v>
      </c>
      <c r="AE176" s="102">
        <f t="shared" si="62"/>
        <v>4000</v>
      </c>
      <c r="AF176" s="99">
        <v>800</v>
      </c>
      <c r="AG176" s="111"/>
      <c r="AH176" s="102">
        <f t="shared" si="83"/>
        <v>4800</v>
      </c>
      <c r="AI176" s="99">
        <v>800</v>
      </c>
      <c r="AJ176" s="111"/>
      <c r="AK176" s="102">
        <f t="shared" si="84"/>
        <v>5600</v>
      </c>
      <c r="AL176" s="99">
        <v>800</v>
      </c>
      <c r="AM176" s="111">
        <v>800</v>
      </c>
      <c r="AN176" s="102">
        <f t="shared" si="85"/>
        <v>5600</v>
      </c>
      <c r="AO176" s="99">
        <v>800</v>
      </c>
      <c r="AP176" s="111"/>
      <c r="AQ176" s="102">
        <f t="shared" si="86"/>
        <v>6400</v>
      </c>
      <c r="AR176" s="99">
        <v>800</v>
      </c>
      <c r="AS176" s="111">
        <v>800</v>
      </c>
      <c r="AT176" s="102">
        <f t="shared" si="87"/>
        <v>6400</v>
      </c>
    </row>
    <row r="177" spans="1:46">
      <c r="A177" s="41">
        <f>VLOOKUP(B177,справочник!$B$2:$E$322,4,FALSE)</f>
        <v>270</v>
      </c>
      <c r="B177" t="str">
        <f t="shared" si="56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57"/>
        <v>30</v>
      </c>
      <c r="I177" s="1">
        <f t="shared" si="68"/>
        <v>30000</v>
      </c>
      <c r="J177" s="17">
        <v>20000</v>
      </c>
      <c r="K177" s="17"/>
      <c r="L177" s="18">
        <f t="shared" si="58"/>
        <v>10000</v>
      </c>
      <c r="M177" s="29"/>
      <c r="N177" s="29"/>
      <c r="O177" s="29"/>
      <c r="P177" s="29"/>
      <c r="Q177" s="29"/>
      <c r="R177" s="29"/>
      <c r="S177" s="29"/>
      <c r="T177">
        <v>14800</v>
      </c>
      <c r="U177" s="29"/>
      <c r="V177" s="29"/>
      <c r="W177" s="29"/>
      <c r="X177" s="29"/>
      <c r="Y177" s="18">
        <f t="shared" si="59"/>
        <v>14800</v>
      </c>
      <c r="Z177" s="96">
        <v>12</v>
      </c>
      <c r="AA177" s="96">
        <f t="shared" si="60"/>
        <v>9600</v>
      </c>
      <c r="AB177" s="96">
        <f t="shared" si="61"/>
        <v>4800</v>
      </c>
      <c r="AC177" s="99">
        <v>800</v>
      </c>
      <c r="AD177" s="110"/>
      <c r="AE177" s="102">
        <f t="shared" si="62"/>
        <v>5600</v>
      </c>
      <c r="AF177" s="99">
        <v>800</v>
      </c>
      <c r="AG177" s="110"/>
      <c r="AH177" s="102">
        <f t="shared" si="83"/>
        <v>6400</v>
      </c>
      <c r="AI177" s="99">
        <v>800</v>
      </c>
      <c r="AJ177" s="110"/>
      <c r="AK177" s="102">
        <f t="shared" si="84"/>
        <v>7200</v>
      </c>
      <c r="AL177" s="99">
        <v>800</v>
      </c>
      <c r="AM177" s="110"/>
      <c r="AN177" s="102">
        <f t="shared" si="85"/>
        <v>8000</v>
      </c>
      <c r="AO177" s="99">
        <v>800</v>
      </c>
      <c r="AP177" s="116"/>
      <c r="AQ177" s="102">
        <f t="shared" si="86"/>
        <v>8800</v>
      </c>
      <c r="AR177" s="99">
        <v>800</v>
      </c>
      <c r="AS177" s="116">
        <v>8800</v>
      </c>
      <c r="AT177" s="102">
        <f t="shared" si="87"/>
        <v>800</v>
      </c>
    </row>
    <row r="178" spans="1:46">
      <c r="A178" s="41">
        <f>VLOOKUP(B178,справочник!$B$2:$E$322,4,FALSE)</f>
        <v>9</v>
      </c>
      <c r="B178" t="str">
        <f t="shared" si="56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57"/>
        <v>41</v>
      </c>
      <c r="I178" s="1">
        <f t="shared" si="68"/>
        <v>41000</v>
      </c>
      <c r="J178" s="17">
        <v>18000</v>
      </c>
      <c r="K178" s="17"/>
      <c r="L178" s="18">
        <f t="shared" si="58"/>
        <v>23000</v>
      </c>
      <c r="M178" s="29"/>
      <c r="N178" s="29"/>
      <c r="O178" s="29"/>
      <c r="P178" s="29"/>
      <c r="Q178" s="29">
        <v>9000</v>
      </c>
      <c r="R178" s="29">
        <v>1600</v>
      </c>
      <c r="S178" s="29">
        <v>1000</v>
      </c>
      <c r="T178" s="29">
        <v>11000</v>
      </c>
      <c r="U178" s="29"/>
      <c r="V178" s="29">
        <v>7000</v>
      </c>
      <c r="W178" s="29"/>
      <c r="X178" s="29">
        <v>3000</v>
      </c>
      <c r="Y178" s="18">
        <f t="shared" si="59"/>
        <v>32600</v>
      </c>
      <c r="Z178" s="96">
        <v>12</v>
      </c>
      <c r="AA178" s="96">
        <f t="shared" si="60"/>
        <v>9600</v>
      </c>
      <c r="AB178" s="96">
        <f t="shared" si="61"/>
        <v>0</v>
      </c>
      <c r="AC178" s="99">
        <v>800</v>
      </c>
      <c r="AD178" s="110">
        <v>4800</v>
      </c>
      <c r="AE178" s="102">
        <f t="shared" si="62"/>
        <v>-4000</v>
      </c>
      <c r="AF178" s="99">
        <v>800</v>
      </c>
      <c r="AG178" s="110"/>
      <c r="AH178" s="102">
        <f t="shared" si="83"/>
        <v>-3200</v>
      </c>
      <c r="AI178" s="99">
        <v>800</v>
      </c>
      <c r="AJ178" s="110"/>
      <c r="AK178" s="102">
        <f t="shared" si="84"/>
        <v>-2400</v>
      </c>
      <c r="AL178" s="99">
        <v>800</v>
      </c>
      <c r="AM178" s="110"/>
      <c r="AN178" s="102">
        <f t="shared" si="85"/>
        <v>-1600</v>
      </c>
      <c r="AO178" s="99">
        <v>800</v>
      </c>
      <c r="AP178" s="116"/>
      <c r="AQ178" s="102">
        <f t="shared" si="86"/>
        <v>-800</v>
      </c>
      <c r="AR178" s="99">
        <v>800</v>
      </c>
      <c r="AS178" s="116">
        <v>4800</v>
      </c>
      <c r="AT178" s="102">
        <f t="shared" si="87"/>
        <v>-4800</v>
      </c>
    </row>
    <row r="179" spans="1:46">
      <c r="A179" s="41">
        <f>VLOOKUP(B179,справочник!$B$2:$E$322,4,FALSE)</f>
        <v>129</v>
      </c>
      <c r="B179" t="str">
        <f t="shared" si="56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57"/>
        <v>33</v>
      </c>
      <c r="I179" s="1">
        <f t="shared" si="68"/>
        <v>33000</v>
      </c>
      <c r="J179" s="17">
        <v>31000</v>
      </c>
      <c r="K179" s="17"/>
      <c r="L179" s="18">
        <f t="shared" si="58"/>
        <v>2000</v>
      </c>
      <c r="M179" s="29"/>
      <c r="N179" s="29">
        <v>3000</v>
      </c>
      <c r="O179" s="29"/>
      <c r="P179" s="29">
        <v>3000</v>
      </c>
      <c r="Q179" s="29"/>
      <c r="R179" s="29"/>
      <c r="S179" s="29">
        <v>3000</v>
      </c>
      <c r="T179" s="29"/>
      <c r="U179" s="29"/>
      <c r="V179" s="29"/>
      <c r="W179" s="29"/>
      <c r="X179" s="29"/>
      <c r="Y179" s="18">
        <f t="shared" si="59"/>
        <v>9000</v>
      </c>
      <c r="Z179" s="96">
        <v>12</v>
      </c>
      <c r="AA179" s="96">
        <f t="shared" si="60"/>
        <v>9600</v>
      </c>
      <c r="AB179" s="96">
        <f t="shared" si="61"/>
        <v>2600</v>
      </c>
      <c r="AC179" s="99">
        <v>800</v>
      </c>
      <c r="AD179" s="98"/>
      <c r="AE179" s="102">
        <f t="shared" si="62"/>
        <v>3400</v>
      </c>
      <c r="AF179" s="99">
        <v>800</v>
      </c>
      <c r="AG179" s="98">
        <v>3000</v>
      </c>
      <c r="AH179" s="102">
        <f t="shared" si="83"/>
        <v>1200</v>
      </c>
      <c r="AI179" s="99">
        <v>800</v>
      </c>
      <c r="AJ179" s="98"/>
      <c r="AK179" s="102">
        <f t="shared" si="84"/>
        <v>2000</v>
      </c>
      <c r="AL179" s="99">
        <v>800</v>
      </c>
      <c r="AM179" s="98"/>
      <c r="AN179" s="102">
        <f t="shared" si="85"/>
        <v>2800</v>
      </c>
      <c r="AO179" s="99">
        <v>800</v>
      </c>
      <c r="AP179" s="114">
        <v>5000</v>
      </c>
      <c r="AQ179" s="102">
        <f t="shared" si="86"/>
        <v>-1400</v>
      </c>
      <c r="AR179" s="99">
        <v>800</v>
      </c>
      <c r="AS179" s="114"/>
      <c r="AT179" s="102">
        <f t="shared" si="87"/>
        <v>-600</v>
      </c>
    </row>
    <row r="180" spans="1:46" ht="25.5">
      <c r="A180" s="41">
        <f>VLOOKUP(B180,справочник!$B$2:$E$322,4,FALSE)</f>
        <v>42</v>
      </c>
      <c r="B180" t="str">
        <f t="shared" si="56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57"/>
        <v>52</v>
      </c>
      <c r="I180" s="1">
        <f t="shared" si="68"/>
        <v>52000</v>
      </c>
      <c r="J180" s="17">
        <f>19500+500+4500+23500</f>
        <v>48000</v>
      </c>
      <c r="K180" s="17"/>
      <c r="L180" s="18">
        <f t="shared" si="58"/>
        <v>4000</v>
      </c>
      <c r="M180" s="29">
        <v>5000</v>
      </c>
      <c r="N180" s="29">
        <v>1400</v>
      </c>
      <c r="O180" s="29"/>
      <c r="P180" s="29">
        <v>1600</v>
      </c>
      <c r="Q180" s="29"/>
      <c r="R180" s="29">
        <v>1600</v>
      </c>
      <c r="S180" s="29"/>
      <c r="T180" s="29"/>
      <c r="U180" s="29"/>
      <c r="V180" s="29">
        <v>2400</v>
      </c>
      <c r="W180" s="29"/>
      <c r="X180" s="29">
        <v>1600</v>
      </c>
      <c r="Y180" s="18">
        <f t="shared" si="59"/>
        <v>13600</v>
      </c>
      <c r="Z180" s="96">
        <v>12</v>
      </c>
      <c r="AA180" s="96">
        <f t="shared" si="60"/>
        <v>9600</v>
      </c>
      <c r="AB180" s="96">
        <f t="shared" si="61"/>
        <v>0</v>
      </c>
      <c r="AC180" s="99">
        <v>800</v>
      </c>
      <c r="AD180" s="98"/>
      <c r="AE180" s="102">
        <f t="shared" si="62"/>
        <v>800</v>
      </c>
      <c r="AF180" s="99">
        <v>800</v>
      </c>
      <c r="AG180" s="98">
        <v>800</v>
      </c>
      <c r="AH180" s="102">
        <f t="shared" si="83"/>
        <v>800</v>
      </c>
      <c r="AI180" s="99">
        <v>800</v>
      </c>
      <c r="AJ180" s="98">
        <v>800</v>
      </c>
      <c r="AK180" s="102">
        <f t="shared" si="84"/>
        <v>800</v>
      </c>
      <c r="AL180" s="99">
        <v>800</v>
      </c>
      <c r="AM180" s="98"/>
      <c r="AN180" s="102">
        <f t="shared" si="85"/>
        <v>1600</v>
      </c>
      <c r="AO180" s="99">
        <v>800</v>
      </c>
      <c r="AP180" s="114">
        <v>2400</v>
      </c>
      <c r="AQ180" s="102">
        <f t="shared" si="86"/>
        <v>0</v>
      </c>
      <c r="AR180" s="99">
        <v>800</v>
      </c>
      <c r="AS180" s="114">
        <v>800</v>
      </c>
      <c r="AT180" s="102">
        <f t="shared" si="87"/>
        <v>0</v>
      </c>
    </row>
    <row r="181" spans="1:46" s="80" customFormat="1">
      <c r="A181" s="103">
        <f>VLOOKUP(B181,справочник!$B$2:$E$322,4,FALSE)</f>
        <v>96</v>
      </c>
      <c r="B181" s="80" t="str">
        <f t="shared" si="56"/>
        <v>101Маслова Валентина Петровна</v>
      </c>
      <c r="C181" s="5">
        <v>101</v>
      </c>
      <c r="D181" s="7" t="s">
        <v>166</v>
      </c>
      <c r="E181" s="5" t="s">
        <v>484</v>
      </c>
      <c r="F181" s="19">
        <v>40708</v>
      </c>
      <c r="G181" s="19">
        <v>40725</v>
      </c>
      <c r="H181" s="20">
        <v>32</v>
      </c>
      <c r="I181" s="5">
        <f>H181*1000</f>
        <v>32000</v>
      </c>
      <c r="J181" s="20">
        <v>41012</v>
      </c>
      <c r="K181" s="20"/>
      <c r="L181" s="21">
        <f t="shared" si="58"/>
        <v>-9012</v>
      </c>
      <c r="M181" s="109">
        <v>9000</v>
      </c>
      <c r="N181" s="109"/>
      <c r="O181" s="109"/>
      <c r="P181" s="109">
        <v>2000</v>
      </c>
      <c r="Q181" s="109"/>
      <c r="R181" s="109">
        <v>2000</v>
      </c>
      <c r="S181" s="109"/>
      <c r="T181" s="80">
        <v>2000</v>
      </c>
      <c r="U181" s="109"/>
      <c r="V181" s="109">
        <v>2000</v>
      </c>
      <c r="W181" s="109"/>
      <c r="X181" s="109">
        <v>2000</v>
      </c>
      <c r="Y181" s="21">
        <f t="shared" si="59"/>
        <v>19000</v>
      </c>
      <c r="Z181" s="104">
        <v>12</v>
      </c>
      <c r="AA181" s="104">
        <f t="shared" si="60"/>
        <v>9600</v>
      </c>
      <c r="AB181" s="104">
        <f t="shared" si="61"/>
        <v>-18412</v>
      </c>
      <c r="AC181" s="104">
        <v>800</v>
      </c>
      <c r="AD181" s="105"/>
      <c r="AE181" s="127">
        <f>SUM(AB181:AB182)+SUM(AC181:AC182)-SUM(AD181:AD182)</f>
        <v>-7612</v>
      </c>
      <c r="AF181" s="104">
        <v>800</v>
      </c>
      <c r="AG181" s="105">
        <v>2000</v>
      </c>
      <c r="AH181" s="127">
        <f>SUM(AE181:AE182)+SUM(AF181:AF182)-SUM(AG181:AG182)</f>
        <v>-8812</v>
      </c>
      <c r="AI181" s="104">
        <v>800</v>
      </c>
      <c r="AJ181" s="105"/>
      <c r="AK181" s="127">
        <f>SUM(AH181:AH182)+SUM(AI181:AI182)-SUM(AJ181:AJ182)</f>
        <v>-8012</v>
      </c>
      <c r="AL181" s="104">
        <v>800</v>
      </c>
      <c r="AM181" s="105"/>
      <c r="AN181" s="127">
        <f>SUM(AK181:AK182)+SUM(AL181:AL182)-SUM(AM181:AM182)</f>
        <v>-7212</v>
      </c>
      <c r="AO181" s="104">
        <v>800</v>
      </c>
      <c r="AP181" s="105">
        <v>3000</v>
      </c>
      <c r="AQ181" s="127">
        <f>SUM(AN181:AN182)+SUM(AO181:AO182)-SUM(AP181:AP182)</f>
        <v>-9412</v>
      </c>
      <c r="AR181" s="104">
        <v>800</v>
      </c>
      <c r="AS181" s="105"/>
      <c r="AT181" s="127">
        <f>SUM(AQ181:AQ182)+SUM(AR181:AR182)-SUM(AS181:AS182)</f>
        <v>-8612</v>
      </c>
    </row>
    <row r="182" spans="1:46" s="80" customFormat="1">
      <c r="A182" s="103">
        <f>VLOOKUP(B182,справочник!$B$2:$E$322,4,FALSE)</f>
        <v>96</v>
      </c>
      <c r="B182" s="80" t="str">
        <f t="shared" si="56"/>
        <v>102Маслова Валентина Петровна</v>
      </c>
      <c r="C182" s="5">
        <v>102</v>
      </c>
      <c r="D182" s="7" t="s">
        <v>166</v>
      </c>
      <c r="E182" s="5"/>
      <c r="F182" s="19">
        <v>40708</v>
      </c>
      <c r="G182" s="19">
        <v>40725</v>
      </c>
      <c r="H182" s="20">
        <v>51</v>
      </c>
      <c r="I182" s="5">
        <f t="shared" si="68"/>
        <v>51000</v>
      </c>
      <c r="J182" s="20">
        <v>41000</v>
      </c>
      <c r="K182" s="20"/>
      <c r="L182" s="21">
        <f t="shared" si="58"/>
        <v>10000</v>
      </c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21">
        <f t="shared" si="59"/>
        <v>0</v>
      </c>
      <c r="Z182" s="104">
        <v>0</v>
      </c>
      <c r="AA182" s="104">
        <f t="shared" si="60"/>
        <v>0</v>
      </c>
      <c r="AB182" s="104">
        <f t="shared" si="61"/>
        <v>10000</v>
      </c>
      <c r="AC182" s="104">
        <v>0</v>
      </c>
      <c r="AD182" s="105"/>
      <c r="AE182" s="129"/>
      <c r="AF182" s="104">
        <v>0</v>
      </c>
      <c r="AG182" s="105"/>
      <c r="AH182" s="129"/>
      <c r="AI182" s="104">
        <v>0</v>
      </c>
      <c r="AJ182" s="105"/>
      <c r="AK182" s="129"/>
      <c r="AL182" s="104">
        <v>0</v>
      </c>
      <c r="AM182" s="105"/>
      <c r="AN182" s="129"/>
      <c r="AO182" s="104">
        <v>0</v>
      </c>
      <c r="AP182" s="105"/>
      <c r="AQ182" s="129"/>
      <c r="AR182" s="104">
        <v>0</v>
      </c>
      <c r="AS182" s="105"/>
      <c r="AT182" s="129"/>
    </row>
    <row r="183" spans="1:46">
      <c r="A183" s="41">
        <f>VLOOKUP(B183,справочник!$B$2:$E$322,4,FALSE)</f>
        <v>292</v>
      </c>
      <c r="B183" t="str">
        <f t="shared" si="56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>INT(($H$325-G183)/30)</f>
        <v>11</v>
      </c>
      <c r="I183" s="1">
        <f t="shared" si="68"/>
        <v>11000</v>
      </c>
      <c r="J183" s="17"/>
      <c r="K183" s="17"/>
      <c r="L183" s="18">
        <f t="shared" si="58"/>
        <v>11000</v>
      </c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18">
        <f t="shared" si="59"/>
        <v>0</v>
      </c>
      <c r="Z183" s="96">
        <v>12</v>
      </c>
      <c r="AA183" s="96">
        <f t="shared" si="60"/>
        <v>9600</v>
      </c>
      <c r="AB183" s="96">
        <f t="shared" si="61"/>
        <v>20600</v>
      </c>
      <c r="AC183" s="99">
        <v>800</v>
      </c>
      <c r="AD183" s="98"/>
      <c r="AE183" s="102">
        <f t="shared" si="62"/>
        <v>21400</v>
      </c>
      <c r="AF183" s="99">
        <v>800</v>
      </c>
      <c r="AG183" s="98"/>
      <c r="AH183" s="102">
        <f t="shared" ref="AH183:AH194" si="88">AE183+AF183-AG183</f>
        <v>22200</v>
      </c>
      <c r="AI183" s="99">
        <v>800</v>
      </c>
      <c r="AJ183" s="98"/>
      <c r="AK183" s="102">
        <f t="shared" ref="AK183:AK194" si="89">AH183+AI183-AJ183</f>
        <v>23000</v>
      </c>
      <c r="AL183" s="99">
        <v>800</v>
      </c>
      <c r="AM183" s="98"/>
      <c r="AN183" s="102">
        <f t="shared" ref="AN183:AN194" si="90">AK183+AL183-AM183</f>
        <v>23800</v>
      </c>
      <c r="AO183" s="99">
        <v>800</v>
      </c>
      <c r="AP183" s="114"/>
      <c r="AQ183" s="102">
        <f t="shared" ref="AQ183:AQ194" si="91">AN183+AO183-AP183</f>
        <v>24600</v>
      </c>
      <c r="AR183" s="99">
        <v>800</v>
      </c>
      <c r="AS183" s="114"/>
      <c r="AT183" s="102">
        <f t="shared" ref="AT183:AT194" si="92">AQ183+AR183-AS183</f>
        <v>25400</v>
      </c>
    </row>
    <row r="184" spans="1:46">
      <c r="A184" s="41">
        <f>VLOOKUP(B184,справочник!$B$2:$E$322,4,FALSE)</f>
        <v>209</v>
      </c>
      <c r="B184" t="str">
        <f t="shared" si="56"/>
        <v>219Мельников Михаил Вячеславович / Диденко</v>
      </c>
      <c r="C184" s="1">
        <v>219</v>
      </c>
      <c r="D184" s="2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68"/>
        <v>20000</v>
      </c>
      <c r="J184" s="17"/>
      <c r="K184" s="17"/>
      <c r="L184" s="18">
        <f t="shared" si="58"/>
        <v>20000</v>
      </c>
      <c r="M184" s="29"/>
      <c r="N184" s="29"/>
      <c r="O184" s="29"/>
      <c r="P184" s="29"/>
      <c r="Q184" s="29">
        <v>2000</v>
      </c>
      <c r="R184" s="29">
        <v>3000</v>
      </c>
      <c r="S184" s="29"/>
      <c r="T184">
        <v>3000</v>
      </c>
      <c r="U184" s="29"/>
      <c r="V184" s="29">
        <v>3000</v>
      </c>
      <c r="W184" s="29">
        <v>2000</v>
      </c>
      <c r="X184" s="29"/>
      <c r="Y184" s="18">
        <f t="shared" si="59"/>
        <v>13000</v>
      </c>
      <c r="Z184" s="96">
        <v>12</v>
      </c>
      <c r="AA184" s="96">
        <f t="shared" si="60"/>
        <v>9600</v>
      </c>
      <c r="AB184" s="96">
        <f t="shared" si="61"/>
        <v>16600</v>
      </c>
      <c r="AC184" s="99">
        <v>800</v>
      </c>
      <c r="AD184" s="98"/>
      <c r="AE184" s="102">
        <f t="shared" si="62"/>
        <v>17400</v>
      </c>
      <c r="AF184" s="99">
        <v>800</v>
      </c>
      <c r="AG184" s="98"/>
      <c r="AH184" s="102">
        <f t="shared" si="88"/>
        <v>18200</v>
      </c>
      <c r="AI184" s="99">
        <v>800</v>
      </c>
      <c r="AJ184" s="98"/>
      <c r="AK184" s="102">
        <f t="shared" si="89"/>
        <v>19000</v>
      </c>
      <c r="AL184" s="99">
        <v>800</v>
      </c>
      <c r="AM184" s="98"/>
      <c r="AN184" s="102">
        <f t="shared" si="90"/>
        <v>19800</v>
      </c>
      <c r="AO184" s="99">
        <v>800</v>
      </c>
      <c r="AP184" s="114"/>
      <c r="AQ184" s="102">
        <f t="shared" si="91"/>
        <v>20600</v>
      </c>
      <c r="AR184" s="99">
        <v>800</v>
      </c>
      <c r="AS184" s="114"/>
      <c r="AT184" s="102">
        <f t="shared" si="92"/>
        <v>21400</v>
      </c>
    </row>
    <row r="185" spans="1:46">
      <c r="A185" s="41">
        <f>VLOOKUP(B185,справочник!$B$2:$E$322,4,FALSE)</f>
        <v>257</v>
      </c>
      <c r="B185" t="str">
        <f t="shared" si="56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INT(($H$325-G185)/30)</f>
        <v>27</v>
      </c>
      <c r="I185" s="1">
        <f t="shared" si="68"/>
        <v>27000</v>
      </c>
      <c r="J185" s="17">
        <v>1000</v>
      </c>
      <c r="K185" s="17"/>
      <c r="L185" s="18">
        <f t="shared" si="58"/>
        <v>26000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18">
        <f t="shared" si="59"/>
        <v>0</v>
      </c>
      <c r="Z185" s="96">
        <v>12</v>
      </c>
      <c r="AA185" s="96">
        <f t="shared" si="60"/>
        <v>9600</v>
      </c>
      <c r="AB185" s="96">
        <f t="shared" si="61"/>
        <v>35600</v>
      </c>
      <c r="AC185" s="99">
        <v>800</v>
      </c>
      <c r="AD185" s="98"/>
      <c r="AE185" s="102">
        <f t="shared" si="62"/>
        <v>36400</v>
      </c>
      <c r="AF185" s="99">
        <v>800</v>
      </c>
      <c r="AG185" s="98"/>
      <c r="AH185" s="102">
        <f t="shared" si="88"/>
        <v>37200</v>
      </c>
      <c r="AI185" s="99">
        <v>800</v>
      </c>
      <c r="AJ185" s="98"/>
      <c r="AK185" s="102">
        <f t="shared" si="89"/>
        <v>38000</v>
      </c>
      <c r="AL185" s="99">
        <v>800</v>
      </c>
      <c r="AM185" s="98"/>
      <c r="AN185" s="102">
        <f t="shared" si="90"/>
        <v>38800</v>
      </c>
      <c r="AO185" s="99">
        <v>800</v>
      </c>
      <c r="AP185" s="114"/>
      <c r="AQ185" s="102">
        <f t="shared" si="91"/>
        <v>39600</v>
      </c>
      <c r="AR185" s="99">
        <v>800</v>
      </c>
      <c r="AS185" s="114"/>
      <c r="AT185" s="102">
        <f t="shared" si="92"/>
        <v>40400</v>
      </c>
    </row>
    <row r="186" spans="1:46">
      <c r="A186" s="41">
        <f>VLOOKUP(B186,справочник!$B$2:$E$322,4,FALSE)</f>
        <v>212</v>
      </c>
      <c r="B186" t="str">
        <f t="shared" si="56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INT(($H$325-G186)/30)</f>
        <v>26</v>
      </c>
      <c r="I186" s="1">
        <f t="shared" si="68"/>
        <v>26000</v>
      </c>
      <c r="J186" s="17">
        <v>23000</v>
      </c>
      <c r="K186" s="17"/>
      <c r="L186" s="18">
        <f t="shared" si="58"/>
        <v>3000</v>
      </c>
      <c r="M186" s="29">
        <v>600</v>
      </c>
      <c r="N186" s="29"/>
      <c r="O186" s="29">
        <v>1600</v>
      </c>
      <c r="P186" s="29">
        <v>800</v>
      </c>
      <c r="Q186" s="29"/>
      <c r="R186" s="29"/>
      <c r="S186" s="29">
        <v>800</v>
      </c>
      <c r="T186">
        <v>800</v>
      </c>
      <c r="U186" s="29"/>
      <c r="V186" s="29">
        <v>1600</v>
      </c>
      <c r="W186" s="29"/>
      <c r="X186" s="29">
        <v>1600</v>
      </c>
      <c r="Y186" s="18">
        <f t="shared" si="59"/>
        <v>7800</v>
      </c>
      <c r="Z186" s="96">
        <v>12</v>
      </c>
      <c r="AA186" s="96">
        <f t="shared" si="60"/>
        <v>9600</v>
      </c>
      <c r="AB186" s="96">
        <f t="shared" si="61"/>
        <v>4800</v>
      </c>
      <c r="AC186" s="99">
        <v>800</v>
      </c>
      <c r="AD186" s="98"/>
      <c r="AE186" s="102">
        <f t="shared" si="62"/>
        <v>5600</v>
      </c>
      <c r="AF186" s="99">
        <v>800</v>
      </c>
      <c r="AG186" s="98"/>
      <c r="AH186" s="102">
        <f t="shared" si="88"/>
        <v>6400</v>
      </c>
      <c r="AI186" s="99">
        <v>800</v>
      </c>
      <c r="AJ186" s="98">
        <v>1600</v>
      </c>
      <c r="AK186" s="102">
        <f t="shared" si="89"/>
        <v>5600</v>
      </c>
      <c r="AL186" s="99">
        <v>800</v>
      </c>
      <c r="AM186" s="98">
        <v>800</v>
      </c>
      <c r="AN186" s="102">
        <f t="shared" si="90"/>
        <v>5600</v>
      </c>
      <c r="AO186" s="99">
        <v>800</v>
      </c>
      <c r="AP186" s="114"/>
      <c r="AQ186" s="102">
        <f t="shared" si="91"/>
        <v>6400</v>
      </c>
      <c r="AR186" s="99">
        <v>800</v>
      </c>
      <c r="AS186" s="114">
        <v>800</v>
      </c>
      <c r="AT186" s="102">
        <f t="shared" si="92"/>
        <v>6400</v>
      </c>
    </row>
    <row r="187" spans="1:46">
      <c r="A187" s="41" t="e">
        <f>VLOOKUP(B187,справочник!$B$2:$E$322,4,FALSE)</f>
        <v>#N/A</v>
      </c>
      <c r="B187" t="str">
        <f t="shared" si="56"/>
        <v>59Милоянин Алексей Леонидович</v>
      </c>
      <c r="C187" s="1">
        <v>59</v>
      </c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9"/>
      <c r="N187" s="29"/>
      <c r="O187" s="29"/>
      <c r="P187" s="29">
        <v>3200</v>
      </c>
      <c r="Q187" s="29"/>
      <c r="R187" s="29"/>
      <c r="S187" s="29"/>
      <c r="T187"/>
      <c r="U187" s="29"/>
      <c r="V187" s="29"/>
      <c r="W187" s="84">
        <v>6400</v>
      </c>
      <c r="X187" s="29"/>
      <c r="Y187" s="18">
        <f t="shared" si="59"/>
        <v>9600</v>
      </c>
      <c r="Z187" s="96">
        <v>12</v>
      </c>
      <c r="AA187" s="96">
        <f t="shared" si="60"/>
        <v>9600</v>
      </c>
      <c r="AB187" s="96">
        <f t="shared" si="61"/>
        <v>0</v>
      </c>
      <c r="AC187" s="99">
        <v>800</v>
      </c>
      <c r="AD187" s="98"/>
      <c r="AE187" s="102">
        <f t="shared" si="62"/>
        <v>800</v>
      </c>
      <c r="AF187" s="99">
        <v>800</v>
      </c>
      <c r="AG187" s="98"/>
      <c r="AH187" s="102">
        <f t="shared" si="88"/>
        <v>1600</v>
      </c>
      <c r="AI187" s="99">
        <v>800</v>
      </c>
      <c r="AJ187" s="98">
        <v>3200</v>
      </c>
      <c r="AK187" s="102">
        <f t="shared" si="89"/>
        <v>-800</v>
      </c>
      <c r="AL187" s="99">
        <v>800</v>
      </c>
      <c r="AM187" s="98"/>
      <c r="AN187" s="102">
        <f t="shared" si="90"/>
        <v>0</v>
      </c>
      <c r="AO187" s="99">
        <v>800</v>
      </c>
      <c r="AP187" s="114"/>
      <c r="AQ187" s="102">
        <f t="shared" si="91"/>
        <v>800</v>
      </c>
      <c r="AR187" s="99">
        <v>800</v>
      </c>
      <c r="AS187" s="114"/>
      <c r="AT187" s="102">
        <f t="shared" si="92"/>
        <v>1600</v>
      </c>
    </row>
    <row r="188" spans="1:46" ht="25.5">
      <c r="A188" s="41">
        <f>VLOOKUP(B188,справочник!$B$2:$E$322,4,FALSE)</f>
        <v>186</v>
      </c>
      <c r="B188" t="str">
        <f t="shared" si="56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93">INT(($H$325-G188)/30)</f>
        <v>16</v>
      </c>
      <c r="I188" s="1">
        <f t="shared" ref="I188:I226" si="94">H188*1000</f>
        <v>16000</v>
      </c>
      <c r="J188" s="17">
        <v>12000</v>
      </c>
      <c r="K188" s="17"/>
      <c r="L188" s="18">
        <f t="shared" ref="L188:L249" si="95">I188-J188-K188</f>
        <v>4000</v>
      </c>
      <c r="M188" s="29"/>
      <c r="N188" s="29"/>
      <c r="O188" s="29"/>
      <c r="P188" s="29">
        <v>5000</v>
      </c>
      <c r="Q188" s="29"/>
      <c r="R188" s="29"/>
      <c r="S188" s="29"/>
      <c r="T188" s="29"/>
      <c r="U188" s="29"/>
      <c r="V188" s="29"/>
      <c r="W188" s="29"/>
      <c r="X188" s="29"/>
      <c r="Y188" s="18">
        <f t="shared" si="59"/>
        <v>5000</v>
      </c>
      <c r="Z188" s="96">
        <v>12</v>
      </c>
      <c r="AA188" s="96">
        <f t="shared" si="60"/>
        <v>9600</v>
      </c>
      <c r="AB188" s="96">
        <f t="shared" si="61"/>
        <v>8600</v>
      </c>
      <c r="AC188" s="99">
        <v>800</v>
      </c>
      <c r="AD188" s="98"/>
      <c r="AE188" s="102">
        <f t="shared" si="62"/>
        <v>9400</v>
      </c>
      <c r="AF188" s="99">
        <v>800</v>
      </c>
      <c r="AG188" s="98"/>
      <c r="AH188" s="102">
        <f t="shared" si="88"/>
        <v>10200</v>
      </c>
      <c r="AI188" s="99">
        <v>800</v>
      </c>
      <c r="AJ188" s="98"/>
      <c r="AK188" s="102">
        <f t="shared" si="89"/>
        <v>11000</v>
      </c>
      <c r="AL188" s="99">
        <v>800</v>
      </c>
      <c r="AM188" s="98"/>
      <c r="AN188" s="102">
        <f t="shared" si="90"/>
        <v>11800</v>
      </c>
      <c r="AO188" s="99">
        <v>800</v>
      </c>
      <c r="AP188" s="114"/>
      <c r="AQ188" s="102">
        <f t="shared" si="91"/>
        <v>12600</v>
      </c>
      <c r="AR188" s="99">
        <v>800</v>
      </c>
      <c r="AS188" s="114"/>
      <c r="AT188" s="102">
        <f t="shared" si="92"/>
        <v>13400</v>
      </c>
    </row>
    <row r="189" spans="1:46">
      <c r="A189" s="41">
        <f>VLOOKUP(B189,справочник!$B$2:$E$322,4,FALSE)</f>
        <v>187</v>
      </c>
      <c r="B189" t="str">
        <f t="shared" si="56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93"/>
        <v>27</v>
      </c>
      <c r="I189" s="1">
        <f t="shared" si="94"/>
        <v>27000</v>
      </c>
      <c r="J189" s="17"/>
      <c r="K189" s="17"/>
      <c r="L189" s="18">
        <f t="shared" si="95"/>
        <v>27000</v>
      </c>
      <c r="M189" s="29"/>
      <c r="N189" s="29"/>
      <c r="O189" s="29"/>
      <c r="P189" s="29">
        <v>5000</v>
      </c>
      <c r="Q189" s="29"/>
      <c r="R189" s="29"/>
      <c r="S189" s="29"/>
      <c r="T189">
        <v>5000</v>
      </c>
      <c r="U189" s="29"/>
      <c r="V189" s="29"/>
      <c r="W189" s="29"/>
      <c r="X189" s="29"/>
      <c r="Y189" s="18">
        <f t="shared" si="59"/>
        <v>10000</v>
      </c>
      <c r="Z189" s="96">
        <v>12</v>
      </c>
      <c r="AA189" s="96">
        <f t="shared" si="60"/>
        <v>9600</v>
      </c>
      <c r="AB189" s="96">
        <f t="shared" si="61"/>
        <v>26600</v>
      </c>
      <c r="AC189" s="99">
        <v>800</v>
      </c>
      <c r="AD189" s="98"/>
      <c r="AE189" s="102">
        <f t="shared" si="62"/>
        <v>27400</v>
      </c>
      <c r="AF189" s="99">
        <v>800</v>
      </c>
      <c r="AG189" s="98"/>
      <c r="AH189" s="102">
        <f t="shared" si="88"/>
        <v>28200</v>
      </c>
      <c r="AI189" s="99">
        <v>800</v>
      </c>
      <c r="AJ189" s="98"/>
      <c r="AK189" s="102">
        <f t="shared" si="89"/>
        <v>29000</v>
      </c>
      <c r="AL189" s="99">
        <v>800</v>
      </c>
      <c r="AM189" s="98"/>
      <c r="AN189" s="102">
        <f t="shared" si="90"/>
        <v>29800</v>
      </c>
      <c r="AO189" s="99">
        <v>800</v>
      </c>
      <c r="AP189" s="114"/>
      <c r="AQ189" s="102">
        <f t="shared" si="91"/>
        <v>30600</v>
      </c>
      <c r="AR189" s="99">
        <v>800</v>
      </c>
      <c r="AS189" s="114"/>
      <c r="AT189" s="102">
        <f t="shared" si="92"/>
        <v>31400</v>
      </c>
    </row>
    <row r="190" spans="1:46">
      <c r="A190" s="41">
        <f>VLOOKUP(B190,справочник!$B$2:$E$322,4,FALSE)</f>
        <v>211</v>
      </c>
      <c r="B190" t="str">
        <f t="shared" si="56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93"/>
        <v>31</v>
      </c>
      <c r="I190" s="1">
        <f t="shared" si="94"/>
        <v>31000</v>
      </c>
      <c r="J190" s="17">
        <v>26000</v>
      </c>
      <c r="K190" s="17">
        <v>7000</v>
      </c>
      <c r="L190" s="18">
        <f t="shared" si="95"/>
        <v>-2000</v>
      </c>
      <c r="M190" s="29"/>
      <c r="N190" s="29"/>
      <c r="O190" s="29"/>
      <c r="P190" s="29"/>
      <c r="Q190" s="29"/>
      <c r="R190" s="29"/>
      <c r="S190" s="29"/>
      <c r="T190" s="29"/>
      <c r="U190" s="29"/>
      <c r="V190" s="29">
        <v>9600</v>
      </c>
      <c r="W190" s="29"/>
      <c r="X190" s="29"/>
      <c r="Y190" s="18">
        <f t="shared" si="59"/>
        <v>9600</v>
      </c>
      <c r="Z190" s="96">
        <v>12</v>
      </c>
      <c r="AA190" s="96">
        <f t="shared" si="60"/>
        <v>9600</v>
      </c>
      <c r="AB190" s="96">
        <f t="shared" si="61"/>
        <v>-2000</v>
      </c>
      <c r="AC190" s="99">
        <v>800</v>
      </c>
      <c r="AD190" s="98"/>
      <c r="AE190" s="102">
        <f t="shared" si="62"/>
        <v>-1200</v>
      </c>
      <c r="AF190" s="99">
        <v>800</v>
      </c>
      <c r="AG190" s="98"/>
      <c r="AH190" s="102">
        <f t="shared" si="88"/>
        <v>-400</v>
      </c>
      <c r="AI190" s="99">
        <v>800</v>
      </c>
      <c r="AJ190" s="98"/>
      <c r="AK190" s="102">
        <f t="shared" si="89"/>
        <v>400</v>
      </c>
      <c r="AL190" s="99">
        <v>800</v>
      </c>
      <c r="AM190" s="98"/>
      <c r="AN190" s="102">
        <f t="shared" si="90"/>
        <v>1200</v>
      </c>
      <c r="AO190" s="99">
        <v>800</v>
      </c>
      <c r="AP190" s="114"/>
      <c r="AQ190" s="102">
        <f t="shared" si="91"/>
        <v>2000</v>
      </c>
      <c r="AR190" s="99">
        <v>800</v>
      </c>
      <c r="AS190" s="114"/>
      <c r="AT190" s="102">
        <f t="shared" si="92"/>
        <v>2800</v>
      </c>
    </row>
    <row r="191" spans="1:46" ht="25.5" customHeight="1">
      <c r="A191" s="41">
        <f>VLOOKUP(B191,справочник!$B$2:$E$322,4,FALSE)</f>
        <v>242</v>
      </c>
      <c r="B191" t="str">
        <f t="shared" si="56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93"/>
        <v>33</v>
      </c>
      <c r="I191" s="1">
        <f t="shared" si="94"/>
        <v>33000</v>
      </c>
      <c r="J191" s="17">
        <v>4000</v>
      </c>
      <c r="K191" s="17"/>
      <c r="L191" s="18">
        <f t="shared" si="95"/>
        <v>29000</v>
      </c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18">
        <f t="shared" si="59"/>
        <v>0</v>
      </c>
      <c r="Z191" s="96">
        <v>12</v>
      </c>
      <c r="AA191" s="96">
        <f t="shared" si="60"/>
        <v>9600</v>
      </c>
      <c r="AB191" s="96">
        <f t="shared" si="61"/>
        <v>38600</v>
      </c>
      <c r="AC191" s="99">
        <v>800</v>
      </c>
      <c r="AD191" s="98"/>
      <c r="AE191" s="102">
        <f t="shared" si="62"/>
        <v>39400</v>
      </c>
      <c r="AF191" s="99">
        <v>800</v>
      </c>
      <c r="AG191" s="98"/>
      <c r="AH191" s="102">
        <f t="shared" si="88"/>
        <v>40200</v>
      </c>
      <c r="AI191" s="99">
        <v>800</v>
      </c>
      <c r="AJ191" s="98"/>
      <c r="AK191" s="102">
        <f t="shared" si="89"/>
        <v>41000</v>
      </c>
      <c r="AL191" s="99">
        <v>800</v>
      </c>
      <c r="AM191" s="98"/>
      <c r="AN191" s="102">
        <f t="shared" si="90"/>
        <v>41800</v>
      </c>
      <c r="AO191" s="99">
        <v>800</v>
      </c>
      <c r="AP191" s="114"/>
      <c r="AQ191" s="102">
        <f t="shared" si="91"/>
        <v>42600</v>
      </c>
      <c r="AR191" s="99">
        <v>800</v>
      </c>
      <c r="AS191" s="114"/>
      <c r="AT191" s="102">
        <f t="shared" si="92"/>
        <v>43400</v>
      </c>
    </row>
    <row r="192" spans="1:46">
      <c r="A192" s="41">
        <f>VLOOKUP(B192,справочник!$B$2:$E$322,4,FALSE)</f>
        <v>218</v>
      </c>
      <c r="B192" t="str">
        <f t="shared" si="56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93"/>
        <v>52</v>
      </c>
      <c r="I192" s="1">
        <f t="shared" si="94"/>
        <v>52000</v>
      </c>
      <c r="J192" s="17">
        <v>33000</v>
      </c>
      <c r="K192" s="17">
        <v>5000</v>
      </c>
      <c r="L192" s="18">
        <f t="shared" si="95"/>
        <v>14000</v>
      </c>
      <c r="M192" s="29"/>
      <c r="N192" s="29"/>
      <c r="O192" s="29">
        <v>1000</v>
      </c>
      <c r="P192" s="29"/>
      <c r="Q192" s="29"/>
      <c r="R192" s="29">
        <v>5000</v>
      </c>
      <c r="S192" s="92">
        <v>12000</v>
      </c>
      <c r="T192" s="29"/>
      <c r="U192" s="29">
        <v>3200</v>
      </c>
      <c r="V192" s="29"/>
      <c r="W192" s="29"/>
      <c r="X192" s="29">
        <v>2400</v>
      </c>
      <c r="Y192" s="18">
        <f t="shared" si="59"/>
        <v>23600</v>
      </c>
      <c r="Z192" s="96">
        <v>12</v>
      </c>
      <c r="AA192" s="96">
        <f t="shared" si="60"/>
        <v>9600</v>
      </c>
      <c r="AB192" s="96">
        <f t="shared" si="61"/>
        <v>0</v>
      </c>
      <c r="AC192" s="99">
        <v>800</v>
      </c>
      <c r="AD192" s="98"/>
      <c r="AE192" s="102">
        <f t="shared" si="62"/>
        <v>800</v>
      </c>
      <c r="AF192" s="99">
        <v>800</v>
      </c>
      <c r="AG192" s="98">
        <v>800</v>
      </c>
      <c r="AH192" s="102">
        <f t="shared" si="88"/>
        <v>800</v>
      </c>
      <c r="AI192" s="99">
        <v>800</v>
      </c>
      <c r="AJ192" s="98">
        <v>800</v>
      </c>
      <c r="AK192" s="102">
        <f t="shared" si="89"/>
        <v>800</v>
      </c>
      <c r="AL192" s="99">
        <v>800</v>
      </c>
      <c r="AM192" s="98"/>
      <c r="AN192" s="102">
        <f t="shared" si="90"/>
        <v>1600</v>
      </c>
      <c r="AO192" s="99">
        <v>800</v>
      </c>
      <c r="AP192" s="114"/>
      <c r="AQ192" s="102">
        <f t="shared" si="91"/>
        <v>2400</v>
      </c>
      <c r="AR192" s="99">
        <v>800</v>
      </c>
      <c r="AS192" s="114">
        <v>2400</v>
      </c>
      <c r="AT192" s="102">
        <f t="shared" si="92"/>
        <v>800</v>
      </c>
    </row>
    <row r="193" spans="1:46">
      <c r="A193" s="41">
        <f>VLOOKUP(B193,справочник!$B$2:$E$322,4,FALSE)</f>
        <v>120</v>
      </c>
      <c r="B193" t="str">
        <f t="shared" si="56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93"/>
        <v>31</v>
      </c>
      <c r="I193" s="1">
        <f t="shared" si="94"/>
        <v>31000</v>
      </c>
      <c r="J193" s="17">
        <v>21000</v>
      </c>
      <c r="K193" s="17"/>
      <c r="L193" s="18">
        <f t="shared" si="95"/>
        <v>10000</v>
      </c>
      <c r="M193" s="29">
        <v>5000</v>
      </c>
      <c r="N193" s="29">
        <v>6600</v>
      </c>
      <c r="O193" s="29">
        <v>2000</v>
      </c>
      <c r="P193" s="29"/>
      <c r="Q193" s="29"/>
      <c r="R193" s="29">
        <v>1200</v>
      </c>
      <c r="S193" s="29"/>
      <c r="T193" s="29"/>
      <c r="U193" s="29"/>
      <c r="V193" s="29">
        <v>3200</v>
      </c>
      <c r="W193" s="29"/>
      <c r="X193" s="29">
        <v>1600</v>
      </c>
      <c r="Y193" s="18">
        <f t="shared" si="59"/>
        <v>19600</v>
      </c>
      <c r="Z193" s="96">
        <v>12</v>
      </c>
      <c r="AA193" s="96">
        <f t="shared" si="60"/>
        <v>9600</v>
      </c>
      <c r="AB193" s="96">
        <f t="shared" si="61"/>
        <v>0</v>
      </c>
      <c r="AC193" s="99">
        <v>800</v>
      </c>
      <c r="AD193" s="98"/>
      <c r="AE193" s="102">
        <f t="shared" si="62"/>
        <v>800</v>
      </c>
      <c r="AF193" s="99">
        <v>800</v>
      </c>
      <c r="AG193" s="98"/>
      <c r="AH193" s="102">
        <f t="shared" si="88"/>
        <v>1600</v>
      </c>
      <c r="AI193" s="99">
        <v>800</v>
      </c>
      <c r="AJ193" s="98"/>
      <c r="AK193" s="102">
        <f t="shared" si="89"/>
        <v>2400</v>
      </c>
      <c r="AL193" s="99">
        <v>800</v>
      </c>
      <c r="AM193" s="98"/>
      <c r="AN193" s="102">
        <f t="shared" si="90"/>
        <v>3200</v>
      </c>
      <c r="AO193" s="99">
        <v>800</v>
      </c>
      <c r="AP193" s="114"/>
      <c r="AQ193" s="102">
        <f t="shared" si="91"/>
        <v>4000</v>
      </c>
      <c r="AR193" s="99">
        <v>800</v>
      </c>
      <c r="AS193" s="114"/>
      <c r="AT193" s="102">
        <f t="shared" si="92"/>
        <v>4800</v>
      </c>
    </row>
    <row r="194" spans="1:46">
      <c r="A194" s="41">
        <f>VLOOKUP(B194,справочник!$B$2:$E$322,4,FALSE)</f>
        <v>287</v>
      </c>
      <c r="B194" t="str">
        <f t="shared" si="56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93"/>
        <v>15</v>
      </c>
      <c r="I194" s="1">
        <f t="shared" si="94"/>
        <v>15000</v>
      </c>
      <c r="J194" s="17">
        <v>13000</v>
      </c>
      <c r="K194" s="17"/>
      <c r="L194" s="18">
        <f t="shared" si="95"/>
        <v>2000</v>
      </c>
      <c r="M194" s="29"/>
      <c r="N194" s="29"/>
      <c r="O194" s="29"/>
      <c r="P194" s="29"/>
      <c r="Q194" s="29"/>
      <c r="R194" s="29"/>
      <c r="S194" s="29">
        <v>5200</v>
      </c>
      <c r="T194" s="29"/>
      <c r="U194" s="29"/>
      <c r="V194" s="29"/>
      <c r="W194" s="29"/>
      <c r="X194" s="29">
        <v>5600</v>
      </c>
      <c r="Y194" s="18">
        <f t="shared" si="59"/>
        <v>10800</v>
      </c>
      <c r="Z194" s="96">
        <v>12</v>
      </c>
      <c r="AA194" s="96">
        <f t="shared" si="60"/>
        <v>9600</v>
      </c>
      <c r="AB194" s="96">
        <f t="shared" si="61"/>
        <v>800</v>
      </c>
      <c r="AC194" s="99">
        <v>800</v>
      </c>
      <c r="AD194" s="98"/>
      <c r="AE194" s="102">
        <f t="shared" si="62"/>
        <v>1600</v>
      </c>
      <c r="AF194" s="99">
        <v>800</v>
      </c>
      <c r="AG194" s="98">
        <f>1600</f>
        <v>1600</v>
      </c>
      <c r="AH194" s="102">
        <f t="shared" si="88"/>
        <v>800</v>
      </c>
      <c r="AI194" s="99">
        <v>800</v>
      </c>
      <c r="AJ194" s="98">
        <v>1800</v>
      </c>
      <c r="AK194" s="102">
        <f t="shared" si="89"/>
        <v>-200</v>
      </c>
      <c r="AL194" s="99">
        <v>800</v>
      </c>
      <c r="AM194" s="98"/>
      <c r="AN194" s="102">
        <f t="shared" si="90"/>
        <v>600</v>
      </c>
      <c r="AO194" s="99">
        <v>800</v>
      </c>
      <c r="AP194" s="114">
        <v>1600</v>
      </c>
      <c r="AQ194" s="102">
        <f t="shared" si="91"/>
        <v>-200</v>
      </c>
      <c r="AR194" s="99">
        <v>800</v>
      </c>
      <c r="AS194" s="114">
        <v>1600</v>
      </c>
      <c r="AT194" s="102">
        <f t="shared" si="92"/>
        <v>-1000</v>
      </c>
    </row>
    <row r="195" spans="1:46" s="80" customFormat="1">
      <c r="A195" s="103">
        <f>VLOOKUP(B195,справочник!$B$2:$E$322,4,FALSE)</f>
        <v>170</v>
      </c>
      <c r="B195" s="80" t="str">
        <f t="shared" si="56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93"/>
        <v>30</v>
      </c>
      <c r="I195" s="5">
        <f t="shared" si="94"/>
        <v>30000</v>
      </c>
      <c r="J195" s="20">
        <v>29000</v>
      </c>
      <c r="K195" s="20">
        <v>1000</v>
      </c>
      <c r="L195" s="21">
        <f t="shared" si="95"/>
        <v>0</v>
      </c>
      <c r="M195" s="109">
        <v>2400</v>
      </c>
      <c r="N195" s="109"/>
      <c r="O195" s="109">
        <v>2400</v>
      </c>
      <c r="P195" s="109"/>
      <c r="Q195" s="109"/>
      <c r="R195" s="109">
        <v>2400</v>
      </c>
      <c r="S195" s="109"/>
      <c r="T195" s="109"/>
      <c r="U195" s="109"/>
      <c r="V195" s="109">
        <v>2400</v>
      </c>
      <c r="W195" s="109"/>
      <c r="X195" s="109">
        <v>2400</v>
      </c>
      <c r="Y195" s="21">
        <f t="shared" si="59"/>
        <v>12000</v>
      </c>
      <c r="Z195" s="104">
        <v>12</v>
      </c>
      <c r="AA195" s="104">
        <f t="shared" si="60"/>
        <v>9600</v>
      </c>
      <c r="AB195" s="104">
        <f t="shared" si="61"/>
        <v>-2400</v>
      </c>
      <c r="AC195" s="104">
        <v>800</v>
      </c>
      <c r="AD195" s="105"/>
      <c r="AE195" s="123">
        <f>SUM(AB195:AB196)+SUM(AC195:AC196)-SUM(AD195:AD196)</f>
        <v>-1600</v>
      </c>
      <c r="AF195" s="104">
        <v>800</v>
      </c>
      <c r="AG195" s="105"/>
      <c r="AH195" s="123">
        <f>SUM(AE195:AE196)+SUM(AF195:AF196)-SUM(AG195:AG196)</f>
        <v>-800</v>
      </c>
      <c r="AI195" s="104">
        <v>800</v>
      </c>
      <c r="AJ195" s="105"/>
      <c r="AK195" s="123">
        <f>SUM(AH195:AH196)+SUM(AI195:AI196)-SUM(AJ195:AJ196)</f>
        <v>0</v>
      </c>
      <c r="AL195" s="104">
        <v>800</v>
      </c>
      <c r="AM195" s="105">
        <v>3200</v>
      </c>
      <c r="AN195" s="123">
        <f>SUM(AK195:AK196)+SUM(AL195:AL196)-SUM(AM195:AM196)</f>
        <v>-2400</v>
      </c>
      <c r="AO195" s="104">
        <v>800</v>
      </c>
      <c r="AP195" s="105"/>
      <c r="AQ195" s="123">
        <f>SUM(AN195:AN196)+SUM(AO195:AO196)-SUM(AP195:AP196)</f>
        <v>-1600</v>
      </c>
      <c r="AR195" s="104">
        <v>800</v>
      </c>
      <c r="AS195" s="105"/>
      <c r="AT195" s="123">
        <f>SUM(AQ195:AQ196)+SUM(AR195:AR196)-SUM(AS195:AS196)</f>
        <v>-800</v>
      </c>
    </row>
    <row r="196" spans="1:46" s="80" customFormat="1">
      <c r="A196" s="103">
        <f>VLOOKUP(B196,справочник!$B$2:$E$322,4,FALSE)</f>
        <v>170</v>
      </c>
      <c r="B196" s="80" t="str">
        <f t="shared" si="56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f t="shared" si="93"/>
        <v>30</v>
      </c>
      <c r="I196" s="5">
        <f t="shared" si="94"/>
        <v>30000</v>
      </c>
      <c r="J196" s="20">
        <v>29000</v>
      </c>
      <c r="K196" s="20">
        <v>1000</v>
      </c>
      <c r="L196" s="21">
        <f t="shared" si="95"/>
        <v>0</v>
      </c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21">
        <f t="shared" si="59"/>
        <v>0</v>
      </c>
      <c r="Z196" s="104">
        <v>0</v>
      </c>
      <c r="AA196" s="104">
        <f t="shared" si="60"/>
        <v>0</v>
      </c>
      <c r="AB196" s="104">
        <f t="shared" si="61"/>
        <v>0</v>
      </c>
      <c r="AC196" s="104">
        <v>0</v>
      </c>
      <c r="AD196" s="105"/>
      <c r="AE196" s="124"/>
      <c r="AF196" s="104">
        <v>0</v>
      </c>
      <c r="AG196" s="105"/>
      <c r="AH196" s="124"/>
      <c r="AI196" s="104">
        <v>0</v>
      </c>
      <c r="AJ196" s="105"/>
      <c r="AK196" s="124"/>
      <c r="AL196" s="104">
        <v>0</v>
      </c>
      <c r="AM196" s="105"/>
      <c r="AN196" s="124"/>
      <c r="AO196" s="104">
        <v>0</v>
      </c>
      <c r="AP196" s="105"/>
      <c r="AQ196" s="124"/>
      <c r="AR196" s="104">
        <v>0</v>
      </c>
      <c r="AS196" s="105"/>
      <c r="AT196" s="124"/>
    </row>
    <row r="197" spans="1:46">
      <c r="A197" s="41">
        <f>VLOOKUP(B197,справочник!$B$2:$E$322,4,FALSE)</f>
        <v>290</v>
      </c>
      <c r="B197" t="str">
        <f t="shared" si="56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93"/>
        <v>47</v>
      </c>
      <c r="I197" s="1">
        <f t="shared" si="94"/>
        <v>47000</v>
      </c>
      <c r="J197" s="17">
        <v>42000</v>
      </c>
      <c r="K197" s="17">
        <v>5000</v>
      </c>
      <c r="L197" s="18">
        <f t="shared" si="95"/>
        <v>0</v>
      </c>
      <c r="M197" s="29"/>
      <c r="N197" s="29"/>
      <c r="O197" s="29"/>
      <c r="P197" s="29"/>
      <c r="Q197" s="29">
        <v>5000</v>
      </c>
      <c r="R197" s="29"/>
      <c r="S197" s="29"/>
      <c r="T197" s="29"/>
      <c r="U197" s="29">
        <v>5000</v>
      </c>
      <c r="V197" s="29"/>
      <c r="W197" s="29"/>
      <c r="X197" s="29"/>
      <c r="Y197" s="18">
        <f t="shared" si="59"/>
        <v>10000</v>
      </c>
      <c r="Z197" s="96">
        <v>12</v>
      </c>
      <c r="AA197" s="96">
        <f t="shared" si="60"/>
        <v>9600</v>
      </c>
      <c r="AB197" s="96">
        <f t="shared" si="61"/>
        <v>-400</v>
      </c>
      <c r="AC197" s="99">
        <v>800</v>
      </c>
      <c r="AD197" s="98"/>
      <c r="AE197" s="102">
        <f t="shared" si="62"/>
        <v>400</v>
      </c>
      <c r="AF197" s="99">
        <v>800</v>
      </c>
      <c r="AG197" s="98"/>
      <c r="AH197" s="102">
        <f t="shared" ref="AH197:AH229" si="96">AE197+AF197-AG197</f>
        <v>1200</v>
      </c>
      <c r="AI197" s="99">
        <v>800</v>
      </c>
      <c r="AJ197" s="98">
        <v>5000</v>
      </c>
      <c r="AK197" s="102">
        <f t="shared" ref="AK197:AK229" si="97">AH197+AI197-AJ197</f>
        <v>-3000</v>
      </c>
      <c r="AL197" s="99">
        <v>800</v>
      </c>
      <c r="AM197" s="98"/>
      <c r="AN197" s="102">
        <f t="shared" ref="AN197:AN229" si="98">AK197+AL197-AM197</f>
        <v>-2200</v>
      </c>
      <c r="AO197" s="99">
        <v>800</v>
      </c>
      <c r="AP197" s="114"/>
      <c r="AQ197" s="102">
        <f t="shared" ref="AQ197:AQ229" si="99">AN197+AO197-AP197</f>
        <v>-1400</v>
      </c>
      <c r="AR197" s="99">
        <v>800</v>
      </c>
      <c r="AS197" s="114"/>
      <c r="AT197" s="102">
        <f t="shared" ref="AT197:AT229" si="100">AQ197+AR197-AS197</f>
        <v>-600</v>
      </c>
    </row>
    <row r="198" spans="1:46">
      <c r="A198" s="41">
        <f>VLOOKUP(B198,справочник!$B$2:$E$322,4,FALSE)</f>
        <v>81</v>
      </c>
      <c r="B198" t="str">
        <f t="shared" ref="B198:B259" si="101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93"/>
        <v>47</v>
      </c>
      <c r="I198" s="1">
        <f t="shared" si="94"/>
        <v>47000</v>
      </c>
      <c r="J198" s="17">
        <v>44000</v>
      </c>
      <c r="K198" s="17">
        <v>3000</v>
      </c>
      <c r="L198" s="18">
        <f t="shared" si="95"/>
        <v>0</v>
      </c>
      <c r="M198" s="29"/>
      <c r="N198" s="29"/>
      <c r="O198" s="29">
        <v>3200</v>
      </c>
      <c r="P198" s="29"/>
      <c r="Q198" s="29"/>
      <c r="R198" s="29"/>
      <c r="S198" s="29"/>
      <c r="T198">
        <v>3200</v>
      </c>
      <c r="U198" s="29"/>
      <c r="V198" s="29"/>
      <c r="W198" s="29"/>
      <c r="X198" s="29">
        <v>3200</v>
      </c>
      <c r="Y198" s="18">
        <f t="shared" ref="Y198:Y259" si="102">SUM(M198:X198)</f>
        <v>9600</v>
      </c>
      <c r="Z198" s="96">
        <v>12</v>
      </c>
      <c r="AA198" s="96">
        <f t="shared" ref="AA198:AA259" si="103">Z198*800</f>
        <v>9600</v>
      </c>
      <c r="AB198" s="96">
        <f t="shared" ref="AB198:AB259" si="104">L198+AA198-Y198</f>
        <v>0</v>
      </c>
      <c r="AC198" s="99">
        <v>800</v>
      </c>
      <c r="AD198" s="98"/>
      <c r="AE198" s="102">
        <f t="shared" ref="AE198:AE259" si="105">AB198+AC198-AD198</f>
        <v>800</v>
      </c>
      <c r="AF198" s="99">
        <v>800</v>
      </c>
      <c r="AG198" s="98"/>
      <c r="AH198" s="102">
        <f t="shared" si="96"/>
        <v>1600</v>
      </c>
      <c r="AI198" s="99">
        <v>800</v>
      </c>
      <c r="AJ198" s="98"/>
      <c r="AK198" s="102">
        <f t="shared" si="97"/>
        <v>2400</v>
      </c>
      <c r="AL198" s="99">
        <v>800</v>
      </c>
      <c r="AM198" s="98"/>
      <c r="AN198" s="102">
        <f t="shared" si="98"/>
        <v>3200</v>
      </c>
      <c r="AO198" s="99">
        <v>800</v>
      </c>
      <c r="AP198" s="114">
        <v>3200</v>
      </c>
      <c r="AQ198" s="102">
        <f t="shared" si="99"/>
        <v>800</v>
      </c>
      <c r="AR198" s="99">
        <v>800</v>
      </c>
      <c r="AS198" s="114"/>
      <c r="AT198" s="102">
        <f t="shared" si="100"/>
        <v>1600</v>
      </c>
    </row>
    <row r="199" spans="1:46">
      <c r="A199" s="41">
        <f>VLOOKUP(B199,справочник!$B$2:$E$322,4,FALSE)</f>
        <v>31</v>
      </c>
      <c r="B199" t="str">
        <f t="shared" si="101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93"/>
        <v>52</v>
      </c>
      <c r="I199" s="1">
        <f t="shared" si="94"/>
        <v>52000</v>
      </c>
      <c r="J199" s="17">
        <f>10000+42000</f>
        <v>52000</v>
      </c>
      <c r="K199" s="17"/>
      <c r="L199" s="18">
        <f t="shared" si="95"/>
        <v>0</v>
      </c>
      <c r="M199" s="29"/>
      <c r="N199" s="29"/>
      <c r="O199" s="29"/>
      <c r="P199" s="29">
        <v>2400</v>
      </c>
      <c r="Q199" s="29">
        <v>2400</v>
      </c>
      <c r="R199" s="29"/>
      <c r="S199" s="29"/>
      <c r="T199">
        <v>4800</v>
      </c>
      <c r="U199" s="29"/>
      <c r="V199" s="29"/>
      <c r="W199" s="29"/>
      <c r="X199" s="29"/>
      <c r="Y199" s="18">
        <f t="shared" si="102"/>
        <v>9600</v>
      </c>
      <c r="Z199" s="96">
        <v>12</v>
      </c>
      <c r="AA199" s="96">
        <f t="shared" si="103"/>
        <v>9600</v>
      </c>
      <c r="AB199" s="96">
        <f t="shared" si="104"/>
        <v>0</v>
      </c>
      <c r="AC199" s="99">
        <v>800</v>
      </c>
      <c r="AD199" s="98">
        <v>4800</v>
      </c>
      <c r="AE199" s="102">
        <f t="shared" si="105"/>
        <v>-4000</v>
      </c>
      <c r="AF199" s="99">
        <v>800</v>
      </c>
      <c r="AG199" s="98"/>
      <c r="AH199" s="102">
        <f t="shared" si="96"/>
        <v>-3200</v>
      </c>
      <c r="AI199" s="99">
        <v>800</v>
      </c>
      <c r="AJ199" s="98"/>
      <c r="AK199" s="102">
        <f t="shared" si="97"/>
        <v>-2400</v>
      </c>
      <c r="AL199" s="99">
        <v>800</v>
      </c>
      <c r="AM199" s="98"/>
      <c r="AN199" s="102">
        <f t="shared" si="98"/>
        <v>-1600</v>
      </c>
      <c r="AO199" s="99">
        <v>800</v>
      </c>
      <c r="AP199" s="114"/>
      <c r="AQ199" s="102">
        <f t="shared" si="99"/>
        <v>-800</v>
      </c>
      <c r="AR199" s="99">
        <v>800</v>
      </c>
      <c r="AS199" s="114"/>
      <c r="AT199" s="102">
        <f t="shared" si="100"/>
        <v>0</v>
      </c>
    </row>
    <row r="200" spans="1:46">
      <c r="A200" s="41">
        <f>VLOOKUP(B200,справочник!$B$2:$E$322,4,FALSE)</f>
        <v>104</v>
      </c>
      <c r="B200" t="str">
        <f t="shared" si="101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93"/>
        <v>49</v>
      </c>
      <c r="I200" s="1">
        <f t="shared" si="94"/>
        <v>49000</v>
      </c>
      <c r="J200" s="17">
        <f>1000+45000</f>
        <v>46000</v>
      </c>
      <c r="K200" s="17"/>
      <c r="L200" s="18">
        <f t="shared" si="95"/>
        <v>3000</v>
      </c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18">
        <f t="shared" si="102"/>
        <v>0</v>
      </c>
      <c r="Z200" s="96">
        <v>12</v>
      </c>
      <c r="AA200" s="96">
        <f t="shared" si="103"/>
        <v>9600</v>
      </c>
      <c r="AB200" s="96">
        <f t="shared" si="104"/>
        <v>12600</v>
      </c>
      <c r="AC200" s="99">
        <v>800</v>
      </c>
      <c r="AD200" s="98"/>
      <c r="AE200" s="102">
        <f t="shared" si="105"/>
        <v>13400</v>
      </c>
      <c r="AF200" s="99">
        <v>800</v>
      </c>
      <c r="AG200" s="98"/>
      <c r="AH200" s="102">
        <f t="shared" si="96"/>
        <v>14200</v>
      </c>
      <c r="AI200" s="99">
        <v>800</v>
      </c>
      <c r="AJ200" s="98"/>
      <c r="AK200" s="102">
        <f t="shared" si="97"/>
        <v>15000</v>
      </c>
      <c r="AL200" s="99">
        <v>800</v>
      </c>
      <c r="AM200" s="98"/>
      <c r="AN200" s="102">
        <f t="shared" si="98"/>
        <v>15800</v>
      </c>
      <c r="AO200" s="99">
        <v>800</v>
      </c>
      <c r="AP200" s="114"/>
      <c r="AQ200" s="102">
        <f t="shared" si="99"/>
        <v>16600</v>
      </c>
      <c r="AR200" s="99">
        <v>800</v>
      </c>
      <c r="AS200" s="114"/>
      <c r="AT200" s="102">
        <f t="shared" si="100"/>
        <v>17400</v>
      </c>
    </row>
    <row r="201" spans="1:46" ht="25.5" customHeight="1">
      <c r="A201" s="41">
        <f>VLOOKUP(B201,справочник!$B$2:$E$322,4,FALSE)</f>
        <v>85</v>
      </c>
      <c r="B201" t="str">
        <f t="shared" si="101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93"/>
        <v>54</v>
      </c>
      <c r="I201" s="1">
        <f t="shared" si="94"/>
        <v>54000</v>
      </c>
      <c r="J201" s="17">
        <f>1000+53000</f>
        <v>54000</v>
      </c>
      <c r="K201" s="17"/>
      <c r="L201" s="18">
        <f t="shared" si="95"/>
        <v>0</v>
      </c>
      <c r="M201" s="29"/>
      <c r="N201" s="29"/>
      <c r="O201" s="29"/>
      <c r="P201" s="29">
        <v>4800</v>
      </c>
      <c r="Q201" s="29"/>
      <c r="R201" s="29"/>
      <c r="S201" s="29"/>
      <c r="T201" s="29"/>
      <c r="U201" s="29"/>
      <c r="V201" s="29"/>
      <c r="W201" s="29"/>
      <c r="X201" s="29"/>
      <c r="Y201" s="18">
        <f t="shared" si="102"/>
        <v>4800</v>
      </c>
      <c r="Z201" s="96">
        <v>12</v>
      </c>
      <c r="AA201" s="96">
        <f t="shared" si="103"/>
        <v>9600</v>
      </c>
      <c r="AB201" s="96">
        <f t="shared" si="104"/>
        <v>4800</v>
      </c>
      <c r="AC201" s="99">
        <v>800</v>
      </c>
      <c r="AD201" s="98"/>
      <c r="AE201" s="102">
        <f t="shared" si="105"/>
        <v>5600</v>
      </c>
      <c r="AF201" s="99">
        <v>800</v>
      </c>
      <c r="AG201" s="98"/>
      <c r="AH201" s="102">
        <f t="shared" si="96"/>
        <v>6400</v>
      </c>
      <c r="AI201" s="99">
        <v>800</v>
      </c>
      <c r="AJ201" s="98"/>
      <c r="AK201" s="102">
        <f t="shared" si="97"/>
        <v>7200</v>
      </c>
      <c r="AL201" s="99">
        <v>800</v>
      </c>
      <c r="AM201" s="98"/>
      <c r="AN201" s="102">
        <f t="shared" si="98"/>
        <v>8000</v>
      </c>
      <c r="AO201" s="99">
        <v>800</v>
      </c>
      <c r="AP201" s="114"/>
      <c r="AQ201" s="102">
        <f t="shared" si="99"/>
        <v>8800</v>
      </c>
      <c r="AR201" s="99">
        <v>800</v>
      </c>
      <c r="AS201" s="114"/>
      <c r="AT201" s="102">
        <f t="shared" si="100"/>
        <v>9600</v>
      </c>
    </row>
    <row r="202" spans="1:46" ht="25.5" customHeight="1">
      <c r="A202" s="41">
        <f>VLOOKUP(B202,справочник!$B$2:$E$322,4,FALSE)</f>
        <v>300</v>
      </c>
      <c r="B202" t="str">
        <f t="shared" si="101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93"/>
        <v>12</v>
      </c>
      <c r="I202" s="1">
        <f t="shared" si="94"/>
        <v>12000</v>
      </c>
      <c r="J202" s="17">
        <v>1000</v>
      </c>
      <c r="K202" s="17"/>
      <c r="L202" s="18">
        <f t="shared" si="95"/>
        <v>11000</v>
      </c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18">
        <f t="shared" si="102"/>
        <v>0</v>
      </c>
      <c r="Z202" s="96">
        <v>12</v>
      </c>
      <c r="AA202" s="96">
        <f t="shared" si="103"/>
        <v>9600</v>
      </c>
      <c r="AB202" s="96">
        <f t="shared" si="104"/>
        <v>20600</v>
      </c>
      <c r="AC202" s="99">
        <v>800</v>
      </c>
      <c r="AD202" s="98"/>
      <c r="AE202" s="102">
        <f t="shared" si="105"/>
        <v>21400</v>
      </c>
      <c r="AF202" s="99">
        <v>800</v>
      </c>
      <c r="AG202" s="98"/>
      <c r="AH202" s="102">
        <f t="shared" si="96"/>
        <v>22200</v>
      </c>
      <c r="AI202" s="99">
        <v>800</v>
      </c>
      <c r="AJ202" s="98"/>
      <c r="AK202" s="102">
        <f t="shared" si="97"/>
        <v>23000</v>
      </c>
      <c r="AL202" s="99">
        <v>800</v>
      </c>
      <c r="AM202" s="98"/>
      <c r="AN202" s="102">
        <f t="shared" si="98"/>
        <v>23800</v>
      </c>
      <c r="AO202" s="99">
        <v>800</v>
      </c>
      <c r="AP202" s="114"/>
      <c r="AQ202" s="102">
        <f t="shared" si="99"/>
        <v>24600</v>
      </c>
      <c r="AR202" s="99">
        <v>800</v>
      </c>
      <c r="AS202" s="114"/>
      <c r="AT202" s="102">
        <f t="shared" si="100"/>
        <v>25400</v>
      </c>
    </row>
    <row r="203" spans="1:46" ht="25.5">
      <c r="A203" s="41">
        <f>VLOOKUP(B203,справочник!$B$2:$E$322,4,FALSE)</f>
        <v>47</v>
      </c>
      <c r="B203" t="str">
        <f t="shared" si="101"/>
        <v>47Новикова Светлана Владимировна (Анатолий)</v>
      </c>
      <c r="C203" s="1">
        <v>47</v>
      </c>
      <c r="D203" s="2" t="s">
        <v>186</v>
      </c>
      <c r="E203" s="1" t="s">
        <v>503</v>
      </c>
      <c r="F203" s="16">
        <v>41375</v>
      </c>
      <c r="G203" s="16">
        <v>41395</v>
      </c>
      <c r="H203" s="17">
        <f t="shared" si="93"/>
        <v>32</v>
      </c>
      <c r="I203" s="1">
        <f t="shared" si="94"/>
        <v>32000</v>
      </c>
      <c r="J203" s="17">
        <v>9000</v>
      </c>
      <c r="K203" s="17"/>
      <c r="L203" s="18">
        <f t="shared" si="95"/>
        <v>23000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18">
        <f t="shared" si="102"/>
        <v>0</v>
      </c>
      <c r="Z203" s="96">
        <v>12</v>
      </c>
      <c r="AA203" s="96">
        <f t="shared" si="103"/>
        <v>9600</v>
      </c>
      <c r="AB203" s="96">
        <f t="shared" si="104"/>
        <v>32600</v>
      </c>
      <c r="AC203" s="99">
        <v>800</v>
      </c>
      <c r="AD203" s="98"/>
      <c r="AE203" s="102">
        <f t="shared" si="105"/>
        <v>33400</v>
      </c>
      <c r="AF203" s="99">
        <v>800</v>
      </c>
      <c r="AG203" s="98"/>
      <c r="AH203" s="102">
        <f t="shared" si="96"/>
        <v>34200</v>
      </c>
      <c r="AI203" s="99">
        <v>800</v>
      </c>
      <c r="AJ203" s="98"/>
      <c r="AK203" s="102">
        <f t="shared" si="97"/>
        <v>35000</v>
      </c>
      <c r="AL203" s="99">
        <v>800</v>
      </c>
      <c r="AM203" s="98"/>
      <c r="AN203" s="102">
        <f t="shared" si="98"/>
        <v>35800</v>
      </c>
      <c r="AO203" s="99">
        <v>800</v>
      </c>
      <c r="AP203" s="114"/>
      <c r="AQ203" s="102">
        <f t="shared" si="99"/>
        <v>36600</v>
      </c>
      <c r="AR203" s="99">
        <v>800</v>
      </c>
      <c r="AS203" s="114"/>
      <c r="AT203" s="102">
        <f t="shared" si="100"/>
        <v>37400</v>
      </c>
    </row>
    <row r="204" spans="1:46">
      <c r="A204" s="41">
        <f>VLOOKUP(B204,справочник!$B$2:$E$322,4,FALSE)</f>
        <v>282</v>
      </c>
      <c r="B204" t="str">
        <f t="shared" si="101"/>
        <v xml:space="preserve">294Нормуротов Анваржон Абдирайимович    </v>
      </c>
      <c r="C204" s="1">
        <v>294</v>
      </c>
      <c r="D204" s="2" t="s">
        <v>187</v>
      </c>
      <c r="E204" s="23" t="s">
        <v>474</v>
      </c>
      <c r="F204" s="24">
        <v>41716</v>
      </c>
      <c r="G204" s="24">
        <v>41730</v>
      </c>
      <c r="H204" s="17">
        <f t="shared" si="93"/>
        <v>21</v>
      </c>
      <c r="I204" s="1">
        <f t="shared" si="94"/>
        <v>21000</v>
      </c>
      <c r="J204" s="17">
        <v>18000</v>
      </c>
      <c r="K204" s="17"/>
      <c r="L204" s="18">
        <f t="shared" si="95"/>
        <v>3000</v>
      </c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18">
        <f t="shared" si="102"/>
        <v>0</v>
      </c>
      <c r="Z204" s="96">
        <v>12</v>
      </c>
      <c r="AA204" s="96">
        <f t="shared" si="103"/>
        <v>9600</v>
      </c>
      <c r="AB204" s="96">
        <f t="shared" si="104"/>
        <v>12600</v>
      </c>
      <c r="AC204" s="99">
        <v>800</v>
      </c>
      <c r="AD204" s="98"/>
      <c r="AE204" s="102">
        <f t="shared" si="105"/>
        <v>13400</v>
      </c>
      <c r="AF204" s="99">
        <v>800</v>
      </c>
      <c r="AG204" s="98"/>
      <c r="AH204" s="102">
        <f t="shared" si="96"/>
        <v>14200</v>
      </c>
      <c r="AI204" s="99">
        <v>800</v>
      </c>
      <c r="AJ204" s="98"/>
      <c r="AK204" s="102">
        <f t="shared" si="97"/>
        <v>15000</v>
      </c>
      <c r="AL204" s="99">
        <v>800</v>
      </c>
      <c r="AM204" s="98"/>
      <c r="AN204" s="102">
        <f t="shared" si="98"/>
        <v>15800</v>
      </c>
      <c r="AO204" s="99">
        <v>800</v>
      </c>
      <c r="AP204" s="114"/>
      <c r="AQ204" s="102">
        <f t="shared" si="99"/>
        <v>16600</v>
      </c>
      <c r="AR204" s="99">
        <v>800</v>
      </c>
      <c r="AS204" s="114"/>
      <c r="AT204" s="102">
        <f t="shared" si="100"/>
        <v>17400</v>
      </c>
    </row>
    <row r="205" spans="1:46" ht="25.5" customHeight="1">
      <c r="A205" s="41">
        <f>VLOOKUP(B205,справочник!$B$2:$E$322,4,FALSE)</f>
        <v>204</v>
      </c>
      <c r="B205" t="str">
        <f t="shared" si="101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94"/>
        <v>0</v>
      </c>
      <c r="J205" s="17"/>
      <c r="K205" s="17"/>
      <c r="L205" s="18">
        <f t="shared" si="95"/>
        <v>0</v>
      </c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18">
        <f t="shared" si="102"/>
        <v>0</v>
      </c>
      <c r="Z205" s="96">
        <v>12</v>
      </c>
      <c r="AA205" s="96">
        <f t="shared" si="103"/>
        <v>9600</v>
      </c>
      <c r="AB205" s="96">
        <f t="shared" si="104"/>
        <v>9600</v>
      </c>
      <c r="AC205" s="99">
        <v>800</v>
      </c>
      <c r="AD205" s="98"/>
      <c r="AE205" s="102">
        <f t="shared" si="105"/>
        <v>10400</v>
      </c>
      <c r="AF205" s="99">
        <v>800</v>
      </c>
      <c r="AG205" s="98"/>
      <c r="AH205" s="102">
        <f t="shared" si="96"/>
        <v>11200</v>
      </c>
      <c r="AI205" s="99">
        <v>800</v>
      </c>
      <c r="AJ205" s="98"/>
      <c r="AK205" s="102">
        <f t="shared" si="97"/>
        <v>12000</v>
      </c>
      <c r="AL205" s="99">
        <v>800</v>
      </c>
      <c r="AM205" s="98"/>
      <c r="AN205" s="102">
        <f t="shared" si="98"/>
        <v>12800</v>
      </c>
      <c r="AO205" s="99">
        <v>800</v>
      </c>
      <c r="AP205" s="114"/>
      <c r="AQ205" s="102">
        <f t="shared" si="99"/>
        <v>13600</v>
      </c>
      <c r="AR205" s="99">
        <v>800</v>
      </c>
      <c r="AS205" s="114"/>
      <c r="AT205" s="102">
        <f t="shared" si="100"/>
        <v>14400</v>
      </c>
    </row>
    <row r="206" spans="1:46">
      <c r="A206" s="41">
        <f>VLOOKUP(B206,справочник!$B$2:$E$322,4,FALSE)</f>
        <v>291</v>
      </c>
      <c r="B206" t="str">
        <f t="shared" si="101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94"/>
        <v>0</v>
      </c>
      <c r="J206" s="17"/>
      <c r="K206" s="17"/>
      <c r="L206" s="18">
        <f t="shared" si="95"/>
        <v>0</v>
      </c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18">
        <f t="shared" si="102"/>
        <v>0</v>
      </c>
      <c r="Z206" s="96">
        <v>12</v>
      </c>
      <c r="AA206" s="96">
        <f t="shared" si="103"/>
        <v>9600</v>
      </c>
      <c r="AB206" s="96">
        <f t="shared" si="104"/>
        <v>9600</v>
      </c>
      <c r="AC206" s="99">
        <v>800</v>
      </c>
      <c r="AD206" s="98"/>
      <c r="AE206" s="102">
        <f t="shared" si="105"/>
        <v>10400</v>
      </c>
      <c r="AF206" s="99">
        <v>800</v>
      </c>
      <c r="AG206" s="98"/>
      <c r="AH206" s="102">
        <f t="shared" si="96"/>
        <v>11200</v>
      </c>
      <c r="AI206" s="99">
        <v>800</v>
      </c>
      <c r="AJ206" s="98"/>
      <c r="AK206" s="102">
        <f t="shared" si="97"/>
        <v>12000</v>
      </c>
      <c r="AL206" s="99">
        <v>800</v>
      </c>
      <c r="AM206" s="98"/>
      <c r="AN206" s="102">
        <f t="shared" si="98"/>
        <v>12800</v>
      </c>
      <c r="AO206" s="99">
        <v>800</v>
      </c>
      <c r="AP206" s="114"/>
      <c r="AQ206" s="102">
        <f t="shared" si="99"/>
        <v>13600</v>
      </c>
      <c r="AR206" s="99">
        <v>800</v>
      </c>
      <c r="AS206" s="114"/>
      <c r="AT206" s="102">
        <f t="shared" si="100"/>
        <v>14400</v>
      </c>
    </row>
    <row r="207" spans="1:46">
      <c r="A207" s="41">
        <f>VLOOKUP(B207,справочник!$B$2:$E$322,4,FALSE)</f>
        <v>89</v>
      </c>
      <c r="B207" t="str">
        <f t="shared" si="101"/>
        <v xml:space="preserve">94Олег (Гусев Николай Михайлович — был) </v>
      </c>
      <c r="C207" s="1">
        <v>94</v>
      </c>
      <c r="D207" s="2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106">INT(($H$325-G207)/30)</f>
        <v>42</v>
      </c>
      <c r="I207" s="1">
        <f t="shared" si="94"/>
        <v>42000</v>
      </c>
      <c r="J207" s="17">
        <f>21000</f>
        <v>21000</v>
      </c>
      <c r="K207" s="17"/>
      <c r="L207" s="18">
        <f t="shared" si="95"/>
        <v>21000</v>
      </c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18">
        <f t="shared" si="102"/>
        <v>0</v>
      </c>
      <c r="Z207" s="96">
        <v>12</v>
      </c>
      <c r="AA207" s="96">
        <f t="shared" si="103"/>
        <v>9600</v>
      </c>
      <c r="AB207" s="96">
        <f t="shared" si="104"/>
        <v>30600</v>
      </c>
      <c r="AC207" s="99">
        <v>800</v>
      </c>
      <c r="AD207" s="98"/>
      <c r="AE207" s="102">
        <f t="shared" si="105"/>
        <v>31400</v>
      </c>
      <c r="AF207" s="99">
        <v>800</v>
      </c>
      <c r="AG207" s="98"/>
      <c r="AH207" s="102">
        <f t="shared" si="96"/>
        <v>32200</v>
      </c>
      <c r="AI207" s="99">
        <v>800</v>
      </c>
      <c r="AJ207" s="98"/>
      <c r="AK207" s="102">
        <f t="shared" si="97"/>
        <v>33000</v>
      </c>
      <c r="AL207" s="99">
        <v>800</v>
      </c>
      <c r="AM207" s="98"/>
      <c r="AN207" s="102">
        <f t="shared" si="98"/>
        <v>33800</v>
      </c>
      <c r="AO207" s="99">
        <v>800</v>
      </c>
      <c r="AP207" s="114"/>
      <c r="AQ207" s="102">
        <f t="shared" si="99"/>
        <v>34600</v>
      </c>
      <c r="AR207" s="99">
        <v>800</v>
      </c>
      <c r="AS207" s="114"/>
      <c r="AT207" s="102">
        <f t="shared" si="100"/>
        <v>35400</v>
      </c>
    </row>
    <row r="208" spans="1:46">
      <c r="A208" s="41">
        <f>VLOOKUP(B208,справочник!$B$2:$E$322,4,FALSE)</f>
        <v>26</v>
      </c>
      <c r="B208" t="str">
        <f t="shared" si="101"/>
        <v xml:space="preserve">26Олейников Дмитрий Александрович </v>
      </c>
      <c r="C208" s="1">
        <v>26</v>
      </c>
      <c r="D208" s="2" t="s">
        <v>191</v>
      </c>
      <c r="E208" s="1" t="s">
        <v>507</v>
      </c>
      <c r="F208" s="16">
        <v>40788</v>
      </c>
      <c r="G208" s="16">
        <v>40787</v>
      </c>
      <c r="H208" s="17">
        <f t="shared" si="106"/>
        <v>52</v>
      </c>
      <c r="I208" s="1">
        <f t="shared" si="94"/>
        <v>52000</v>
      </c>
      <c r="J208" s="17"/>
      <c r="K208" s="17"/>
      <c r="L208" s="18">
        <f t="shared" si="95"/>
        <v>52000</v>
      </c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18">
        <f t="shared" si="102"/>
        <v>0</v>
      </c>
      <c r="Z208" s="96">
        <v>12</v>
      </c>
      <c r="AA208" s="96">
        <f t="shared" si="103"/>
        <v>9600</v>
      </c>
      <c r="AB208" s="96">
        <f t="shared" si="104"/>
        <v>61600</v>
      </c>
      <c r="AC208" s="99">
        <v>800</v>
      </c>
      <c r="AD208" s="98"/>
      <c r="AE208" s="102">
        <f t="shared" si="105"/>
        <v>62400</v>
      </c>
      <c r="AF208" s="99">
        <v>800</v>
      </c>
      <c r="AG208" s="98"/>
      <c r="AH208" s="102">
        <f t="shared" si="96"/>
        <v>63200</v>
      </c>
      <c r="AI208" s="99">
        <v>800</v>
      </c>
      <c r="AJ208" s="98"/>
      <c r="AK208" s="102">
        <f t="shared" si="97"/>
        <v>64000</v>
      </c>
      <c r="AL208" s="99">
        <v>800</v>
      </c>
      <c r="AM208" s="98"/>
      <c r="AN208" s="102">
        <f t="shared" si="98"/>
        <v>64800</v>
      </c>
      <c r="AO208" s="99">
        <v>800</v>
      </c>
      <c r="AP208" s="114"/>
      <c r="AQ208" s="102">
        <f t="shared" si="99"/>
        <v>65600</v>
      </c>
      <c r="AR208" s="99">
        <v>800</v>
      </c>
      <c r="AS208" s="114"/>
      <c r="AT208" s="102">
        <f t="shared" si="100"/>
        <v>66400</v>
      </c>
    </row>
    <row r="209" spans="1:46">
      <c r="A209" s="41">
        <f>VLOOKUP(B209,справочник!$B$2:$E$322,4,FALSE)</f>
        <v>71</v>
      </c>
      <c r="B209" t="str">
        <f t="shared" si="101"/>
        <v>77Олейникова Евгения Александровна</v>
      </c>
      <c r="C209" s="1">
        <v>77</v>
      </c>
      <c r="D209" s="2" t="s">
        <v>192</v>
      </c>
      <c r="E209" s="1" t="s">
        <v>508</v>
      </c>
      <c r="F209" s="16">
        <v>40788</v>
      </c>
      <c r="G209" s="16">
        <v>40787</v>
      </c>
      <c r="H209" s="17">
        <f t="shared" si="106"/>
        <v>52</v>
      </c>
      <c r="I209" s="1">
        <f t="shared" si="94"/>
        <v>52000</v>
      </c>
      <c r="J209" s="17">
        <f>36000+4000</f>
        <v>40000</v>
      </c>
      <c r="K209" s="17"/>
      <c r="L209" s="18">
        <f t="shared" si="95"/>
        <v>12000</v>
      </c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18">
        <f t="shared" si="102"/>
        <v>0</v>
      </c>
      <c r="Z209" s="96">
        <v>12</v>
      </c>
      <c r="AA209" s="96">
        <f t="shared" si="103"/>
        <v>9600</v>
      </c>
      <c r="AB209" s="96">
        <f t="shared" si="104"/>
        <v>21600</v>
      </c>
      <c r="AC209" s="99">
        <v>800</v>
      </c>
      <c r="AD209" s="98"/>
      <c r="AE209" s="102">
        <f t="shared" si="105"/>
        <v>22400</v>
      </c>
      <c r="AF209" s="99">
        <v>800</v>
      </c>
      <c r="AG209" s="98"/>
      <c r="AH209" s="102">
        <f t="shared" si="96"/>
        <v>23200</v>
      </c>
      <c r="AI209" s="99">
        <v>800</v>
      </c>
      <c r="AJ209" s="98"/>
      <c r="AK209" s="102">
        <f t="shared" si="97"/>
        <v>24000</v>
      </c>
      <c r="AL209" s="99">
        <v>800</v>
      </c>
      <c r="AM209" s="98"/>
      <c r="AN209" s="102">
        <f t="shared" si="98"/>
        <v>24800</v>
      </c>
      <c r="AO209" s="99">
        <v>800</v>
      </c>
      <c r="AP209" s="114"/>
      <c r="AQ209" s="102">
        <f t="shared" si="99"/>
        <v>25600</v>
      </c>
      <c r="AR209" s="99">
        <v>800</v>
      </c>
      <c r="AS209" s="114"/>
      <c r="AT209" s="102">
        <f t="shared" si="100"/>
        <v>26400</v>
      </c>
    </row>
    <row r="210" spans="1:46" ht="25.5" customHeight="1">
      <c r="A210" s="41">
        <f>VLOOKUP(B210,справочник!$B$2:$E$322,4,FALSE)</f>
        <v>6</v>
      </c>
      <c r="B210" t="str">
        <f t="shared" si="101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106"/>
        <v>14</v>
      </c>
      <c r="I210" s="1">
        <f t="shared" si="94"/>
        <v>14000</v>
      </c>
      <c r="J210" s="17"/>
      <c r="K210" s="17"/>
      <c r="L210" s="18">
        <f t="shared" si="95"/>
        <v>14000</v>
      </c>
      <c r="M210" s="29"/>
      <c r="N210" s="29"/>
      <c r="O210" s="29"/>
      <c r="P210" s="29"/>
      <c r="Q210" s="29">
        <v>4000</v>
      </c>
      <c r="R210" s="29"/>
      <c r="S210" s="29"/>
      <c r="T210" s="29"/>
      <c r="U210" s="29"/>
      <c r="V210" s="29"/>
      <c r="W210" s="29"/>
      <c r="X210" s="29">
        <v>18000</v>
      </c>
      <c r="Y210" s="18">
        <f t="shared" si="102"/>
        <v>22000</v>
      </c>
      <c r="Z210" s="96">
        <v>12</v>
      </c>
      <c r="AA210" s="96">
        <f t="shared" si="103"/>
        <v>9600</v>
      </c>
      <c r="AB210" s="96">
        <f t="shared" si="104"/>
        <v>1600</v>
      </c>
      <c r="AC210" s="99">
        <v>800</v>
      </c>
      <c r="AD210" s="98"/>
      <c r="AE210" s="102">
        <f t="shared" si="105"/>
        <v>2400</v>
      </c>
      <c r="AF210" s="99">
        <v>800</v>
      </c>
      <c r="AG210" s="98"/>
      <c r="AH210" s="102">
        <f t="shared" si="96"/>
        <v>3200</v>
      </c>
      <c r="AI210" s="99">
        <v>800</v>
      </c>
      <c r="AJ210" s="98"/>
      <c r="AK210" s="102">
        <f t="shared" si="97"/>
        <v>4000</v>
      </c>
      <c r="AL210" s="99">
        <v>800</v>
      </c>
      <c r="AM210" s="98"/>
      <c r="AN210" s="102">
        <f t="shared" si="98"/>
        <v>4800</v>
      </c>
      <c r="AO210" s="99">
        <v>800</v>
      </c>
      <c r="AP210" s="114">
        <v>4500</v>
      </c>
      <c r="AQ210" s="102">
        <f t="shared" si="99"/>
        <v>1100</v>
      </c>
      <c r="AR210" s="99">
        <v>800</v>
      </c>
      <c r="AS210" s="114"/>
      <c r="AT210" s="102">
        <f t="shared" si="100"/>
        <v>1900</v>
      </c>
    </row>
    <row r="211" spans="1:46" ht="25.5" customHeight="1">
      <c r="A211" s="41">
        <f>VLOOKUP(B211,справочник!$B$2:$E$322,4,FALSE)</f>
        <v>80</v>
      </c>
      <c r="B211" t="str">
        <f t="shared" si="101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106"/>
        <v>45</v>
      </c>
      <c r="I211" s="1">
        <f t="shared" si="94"/>
        <v>45000</v>
      </c>
      <c r="J211" s="17">
        <v>45000</v>
      </c>
      <c r="K211" s="17"/>
      <c r="L211" s="18">
        <f t="shared" si="95"/>
        <v>0</v>
      </c>
      <c r="M211" s="29"/>
      <c r="N211" s="29"/>
      <c r="O211" s="29"/>
      <c r="P211" s="29"/>
      <c r="Q211" s="29"/>
      <c r="R211" s="29">
        <v>4000</v>
      </c>
      <c r="S211" s="29">
        <v>2000</v>
      </c>
      <c r="T211">
        <v>2000</v>
      </c>
      <c r="U211" s="29"/>
      <c r="V211" s="29"/>
      <c r="W211" s="29"/>
      <c r="X211" s="29"/>
      <c r="Y211" s="18">
        <f t="shared" si="102"/>
        <v>8000</v>
      </c>
      <c r="Z211" s="96">
        <v>12</v>
      </c>
      <c r="AA211" s="96">
        <f t="shared" si="103"/>
        <v>9600</v>
      </c>
      <c r="AB211" s="96">
        <f t="shared" si="104"/>
        <v>1600</v>
      </c>
      <c r="AC211" s="99">
        <v>800</v>
      </c>
      <c r="AD211" s="98">
        <v>6000</v>
      </c>
      <c r="AE211" s="102">
        <f t="shared" si="105"/>
        <v>-3600</v>
      </c>
      <c r="AF211" s="99">
        <v>800</v>
      </c>
      <c r="AG211" s="98">
        <v>4000</v>
      </c>
      <c r="AH211" s="102">
        <f t="shared" si="96"/>
        <v>-6800</v>
      </c>
      <c r="AI211" s="99">
        <v>800</v>
      </c>
      <c r="AJ211" s="98"/>
      <c r="AK211" s="102">
        <f t="shared" si="97"/>
        <v>-6000</v>
      </c>
      <c r="AL211" s="99">
        <v>800</v>
      </c>
      <c r="AM211" s="98">
        <v>1600</v>
      </c>
      <c r="AN211" s="102">
        <f t="shared" si="98"/>
        <v>-6800</v>
      </c>
      <c r="AO211" s="99">
        <v>800</v>
      </c>
      <c r="AP211" s="114"/>
      <c r="AQ211" s="102">
        <f t="shared" si="99"/>
        <v>-6000</v>
      </c>
      <c r="AR211" s="99">
        <v>800</v>
      </c>
      <c r="AS211" s="114"/>
      <c r="AT211" s="102">
        <f t="shared" si="100"/>
        <v>-5200</v>
      </c>
    </row>
    <row r="212" spans="1:46" ht="38.25" customHeight="1">
      <c r="A212" s="41">
        <f>VLOOKUP(B212,справочник!$B$2:$E$322,4,FALSE)</f>
        <v>201</v>
      </c>
      <c r="B212" t="str">
        <f t="shared" si="101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106"/>
        <v>46</v>
      </c>
      <c r="I212" s="1">
        <f t="shared" si="94"/>
        <v>46000</v>
      </c>
      <c r="J212" s="17">
        <v>38000</v>
      </c>
      <c r="K212" s="17"/>
      <c r="L212" s="18">
        <f t="shared" si="95"/>
        <v>8000</v>
      </c>
      <c r="M212" s="29">
        <v>4000</v>
      </c>
      <c r="N212" s="29"/>
      <c r="O212" s="29"/>
      <c r="P212" s="29"/>
      <c r="Q212" s="29">
        <v>3200</v>
      </c>
      <c r="R212" s="29"/>
      <c r="S212" s="29">
        <v>800</v>
      </c>
      <c r="T212">
        <v>1600</v>
      </c>
      <c r="U212" s="29"/>
      <c r="V212" s="29"/>
      <c r="W212" s="29"/>
      <c r="X212" s="29">
        <f>1600+1600+800</f>
        <v>4000</v>
      </c>
      <c r="Y212" s="18">
        <f t="shared" si="102"/>
        <v>13600</v>
      </c>
      <c r="Z212" s="96">
        <v>12</v>
      </c>
      <c r="AA212" s="96">
        <f t="shared" si="103"/>
        <v>9600</v>
      </c>
      <c r="AB212" s="96">
        <f t="shared" si="104"/>
        <v>4000</v>
      </c>
      <c r="AC212" s="99">
        <v>800</v>
      </c>
      <c r="AD212" s="98"/>
      <c r="AE212" s="102">
        <f t="shared" si="105"/>
        <v>4800</v>
      </c>
      <c r="AF212" s="99">
        <v>800</v>
      </c>
      <c r="AG212" s="98">
        <v>1600</v>
      </c>
      <c r="AH212" s="102">
        <f t="shared" si="96"/>
        <v>4000</v>
      </c>
      <c r="AI212" s="99">
        <v>800</v>
      </c>
      <c r="AJ212" s="98"/>
      <c r="AK212" s="102">
        <f t="shared" si="97"/>
        <v>4800</v>
      </c>
      <c r="AL212" s="99">
        <v>800</v>
      </c>
      <c r="AM212" s="98"/>
      <c r="AN212" s="102">
        <f t="shared" si="98"/>
        <v>5600</v>
      </c>
      <c r="AO212" s="99">
        <v>800</v>
      </c>
      <c r="AP212" s="114"/>
      <c r="AQ212" s="102">
        <f t="shared" si="99"/>
        <v>6400</v>
      </c>
      <c r="AR212" s="99">
        <v>800</v>
      </c>
      <c r="AS212" s="114"/>
      <c r="AT212" s="102">
        <f t="shared" si="100"/>
        <v>7200</v>
      </c>
    </row>
    <row r="213" spans="1:46">
      <c r="A213" s="41">
        <f>VLOOKUP(B213,справочник!$B$2:$E$322,4,FALSE)</f>
        <v>147</v>
      </c>
      <c r="B213" t="str">
        <f t="shared" si="101"/>
        <v>155Пахарева Ольга Александровна (Дмитрий)</v>
      </c>
      <c r="C213" s="1">
        <v>155</v>
      </c>
      <c r="D213" s="2" t="s">
        <v>196</v>
      </c>
      <c r="E213" s="1" t="s">
        <v>512</v>
      </c>
      <c r="F213" s="16">
        <v>40952</v>
      </c>
      <c r="G213" s="16">
        <v>40940</v>
      </c>
      <c r="H213" s="17">
        <f t="shared" si="106"/>
        <v>47</v>
      </c>
      <c r="I213" s="1">
        <f t="shared" si="94"/>
        <v>47000</v>
      </c>
      <c r="J213" s="17">
        <v>32000</v>
      </c>
      <c r="K213" s="17"/>
      <c r="L213" s="18">
        <f t="shared" si="95"/>
        <v>15000</v>
      </c>
      <c r="M213" s="29"/>
      <c r="N213" s="29"/>
      <c r="O213" s="29"/>
      <c r="P213" s="29"/>
      <c r="Q213" s="29"/>
      <c r="R213" s="29"/>
      <c r="S213" s="29">
        <v>1000</v>
      </c>
      <c r="T213">
        <v>1000</v>
      </c>
      <c r="U213" s="29">
        <v>1000</v>
      </c>
      <c r="V213" s="29"/>
      <c r="W213" s="29"/>
      <c r="X213" s="29">
        <v>1000</v>
      </c>
      <c r="Y213" s="18">
        <f t="shared" si="102"/>
        <v>4000</v>
      </c>
      <c r="Z213" s="96">
        <v>12</v>
      </c>
      <c r="AA213" s="96">
        <f t="shared" si="103"/>
        <v>9600</v>
      </c>
      <c r="AB213" s="96">
        <f t="shared" si="104"/>
        <v>20600</v>
      </c>
      <c r="AC213" s="99">
        <v>800</v>
      </c>
      <c r="AD213" s="98"/>
      <c r="AE213" s="102">
        <f t="shared" si="105"/>
        <v>21400</v>
      </c>
      <c r="AF213" s="99">
        <v>800</v>
      </c>
      <c r="AG213" s="98"/>
      <c r="AH213" s="102">
        <f t="shared" si="96"/>
        <v>22200</v>
      </c>
      <c r="AI213" s="99">
        <v>800</v>
      </c>
      <c r="AJ213" s="98"/>
      <c r="AK213" s="102">
        <f t="shared" si="97"/>
        <v>23000</v>
      </c>
      <c r="AL213" s="99">
        <v>800</v>
      </c>
      <c r="AM213" s="98"/>
      <c r="AN213" s="102">
        <f t="shared" si="98"/>
        <v>23800</v>
      </c>
      <c r="AO213" s="99">
        <v>800</v>
      </c>
      <c r="AP213" s="114"/>
      <c r="AQ213" s="102">
        <f t="shared" si="99"/>
        <v>24600</v>
      </c>
      <c r="AR213" s="99">
        <v>800</v>
      </c>
      <c r="AS213" s="114">
        <v>2500</v>
      </c>
      <c r="AT213" s="102">
        <f t="shared" si="100"/>
        <v>22900</v>
      </c>
    </row>
    <row r="214" spans="1:46">
      <c r="A214" s="41">
        <f>VLOOKUP(B214,справочник!$B$2:$E$322,4,FALSE)</f>
        <v>33</v>
      </c>
      <c r="B214" t="str">
        <f t="shared" si="101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ref="H214:H223" si="107">INT(($H$325-G214)/30)</f>
        <v>52</v>
      </c>
      <c r="I214" s="1">
        <f t="shared" si="94"/>
        <v>52000</v>
      </c>
      <c r="J214" s="17">
        <f>1000+44000</f>
        <v>45000</v>
      </c>
      <c r="K214" s="17"/>
      <c r="L214" s="18">
        <f t="shared" si="95"/>
        <v>7000</v>
      </c>
      <c r="M214" s="29"/>
      <c r="N214" s="29"/>
      <c r="O214" s="29"/>
      <c r="P214" s="29"/>
      <c r="Q214" s="29">
        <v>10050</v>
      </c>
      <c r="R214" s="29"/>
      <c r="S214" s="29"/>
      <c r="T214" s="29"/>
      <c r="U214" s="29"/>
      <c r="V214" s="29"/>
      <c r="W214" s="29"/>
      <c r="X214" s="29"/>
      <c r="Y214" s="18">
        <f t="shared" si="102"/>
        <v>10050</v>
      </c>
      <c r="Z214" s="96">
        <v>12</v>
      </c>
      <c r="AA214" s="96">
        <f t="shared" si="103"/>
        <v>9600</v>
      </c>
      <c r="AB214" s="96">
        <f t="shared" si="104"/>
        <v>6550</v>
      </c>
      <c r="AC214" s="99">
        <v>800</v>
      </c>
      <c r="AD214" s="98"/>
      <c r="AE214" s="102">
        <f t="shared" si="105"/>
        <v>7350</v>
      </c>
      <c r="AF214" s="99">
        <v>800</v>
      </c>
      <c r="AG214" s="98"/>
      <c r="AH214" s="102">
        <f t="shared" si="96"/>
        <v>8150</v>
      </c>
      <c r="AI214" s="99">
        <v>800</v>
      </c>
      <c r="AJ214" s="98">
        <v>8150</v>
      </c>
      <c r="AK214" s="102">
        <f t="shared" si="97"/>
        <v>800</v>
      </c>
      <c r="AL214" s="99">
        <v>800</v>
      </c>
      <c r="AM214" s="98"/>
      <c r="AN214" s="102">
        <f t="shared" si="98"/>
        <v>1600</v>
      </c>
      <c r="AO214" s="99">
        <v>800</v>
      </c>
      <c r="AP214" s="114"/>
      <c r="AQ214" s="102">
        <f t="shared" si="99"/>
        <v>2400</v>
      </c>
      <c r="AR214" s="99">
        <v>800</v>
      </c>
      <c r="AS214" s="114"/>
      <c r="AT214" s="102">
        <f t="shared" si="100"/>
        <v>3200</v>
      </c>
    </row>
    <row r="215" spans="1:46">
      <c r="A215" s="41">
        <f>VLOOKUP(B215,справочник!$B$2:$E$322,4,FALSE)</f>
        <v>169</v>
      </c>
      <c r="B215" t="str">
        <f t="shared" si="101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107"/>
        <v>25</v>
      </c>
      <c r="I215" s="1">
        <f t="shared" si="94"/>
        <v>25000</v>
      </c>
      <c r="J215" s="17">
        <v>21000</v>
      </c>
      <c r="K215" s="17"/>
      <c r="L215" s="18">
        <f t="shared" si="95"/>
        <v>4000</v>
      </c>
      <c r="M215" s="29"/>
      <c r="N215" s="29"/>
      <c r="O215" s="29">
        <v>5400</v>
      </c>
      <c r="P215" s="29"/>
      <c r="Q215" s="29">
        <v>2400</v>
      </c>
      <c r="R215" s="29"/>
      <c r="S215" s="29"/>
      <c r="T215" s="29"/>
      <c r="U215" s="29"/>
      <c r="V215" s="29">
        <v>2400</v>
      </c>
      <c r="W215" s="84">
        <v>2400</v>
      </c>
      <c r="X215" s="29"/>
      <c r="Y215" s="18">
        <f t="shared" si="102"/>
        <v>12600</v>
      </c>
      <c r="Z215" s="96">
        <v>12</v>
      </c>
      <c r="AA215" s="96">
        <f t="shared" si="103"/>
        <v>9600</v>
      </c>
      <c r="AB215" s="96">
        <f t="shared" si="104"/>
        <v>1000</v>
      </c>
      <c r="AC215" s="99">
        <v>800</v>
      </c>
      <c r="AD215" s="98"/>
      <c r="AE215" s="102">
        <f t="shared" si="105"/>
        <v>1800</v>
      </c>
      <c r="AF215" s="99">
        <v>800</v>
      </c>
      <c r="AG215" s="98">
        <v>2400</v>
      </c>
      <c r="AH215" s="102">
        <f t="shared" si="96"/>
        <v>200</v>
      </c>
      <c r="AI215" s="99">
        <v>800</v>
      </c>
      <c r="AJ215" s="98"/>
      <c r="AK215" s="102">
        <f t="shared" si="97"/>
        <v>1000</v>
      </c>
      <c r="AL215" s="99">
        <v>800</v>
      </c>
      <c r="AM215" s="98"/>
      <c r="AN215" s="102">
        <f t="shared" si="98"/>
        <v>1800</v>
      </c>
      <c r="AO215" s="99">
        <v>800</v>
      </c>
      <c r="AP215" s="114">
        <v>2400</v>
      </c>
      <c r="AQ215" s="102">
        <f t="shared" si="99"/>
        <v>200</v>
      </c>
      <c r="AR215" s="99">
        <v>800</v>
      </c>
      <c r="AS215" s="114"/>
      <c r="AT215" s="102">
        <f t="shared" si="100"/>
        <v>1000</v>
      </c>
    </row>
    <row r="216" spans="1:46">
      <c r="A216" s="41">
        <f>VLOOKUP(B216,справочник!$B$2:$E$322,4,FALSE)</f>
        <v>185</v>
      </c>
      <c r="B216" t="str">
        <f t="shared" si="101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107"/>
        <v>28</v>
      </c>
      <c r="I216" s="1">
        <f t="shared" si="94"/>
        <v>28000</v>
      </c>
      <c r="J216" s="17">
        <v>14000</v>
      </c>
      <c r="K216" s="17"/>
      <c r="L216" s="18">
        <f t="shared" si="95"/>
        <v>14000</v>
      </c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18">
        <f t="shared" si="102"/>
        <v>0</v>
      </c>
      <c r="Z216" s="96">
        <v>12</v>
      </c>
      <c r="AA216" s="96">
        <f t="shared" si="103"/>
        <v>9600</v>
      </c>
      <c r="AB216" s="96">
        <f t="shared" si="104"/>
        <v>23600</v>
      </c>
      <c r="AC216" s="99">
        <v>800</v>
      </c>
      <c r="AD216" s="98"/>
      <c r="AE216" s="102">
        <f t="shared" si="105"/>
        <v>24400</v>
      </c>
      <c r="AF216" s="99">
        <v>800</v>
      </c>
      <c r="AG216" s="98"/>
      <c r="AH216" s="102">
        <f t="shared" si="96"/>
        <v>25200</v>
      </c>
      <c r="AI216" s="99">
        <v>800</v>
      </c>
      <c r="AJ216" s="98"/>
      <c r="AK216" s="102">
        <f t="shared" si="97"/>
        <v>26000</v>
      </c>
      <c r="AL216" s="99">
        <v>800</v>
      </c>
      <c r="AM216" s="98"/>
      <c r="AN216" s="102">
        <f t="shared" si="98"/>
        <v>26800</v>
      </c>
      <c r="AO216" s="99">
        <v>800</v>
      </c>
      <c r="AP216" s="114"/>
      <c r="AQ216" s="102">
        <f t="shared" si="99"/>
        <v>27600</v>
      </c>
      <c r="AR216" s="99">
        <v>800</v>
      </c>
      <c r="AS216" s="114"/>
      <c r="AT216" s="102">
        <f t="shared" si="100"/>
        <v>28400</v>
      </c>
    </row>
    <row r="217" spans="1:46">
      <c r="A217" s="41">
        <f>VLOOKUP(B217,справочник!$B$2:$E$322,4,FALSE)</f>
        <v>176</v>
      </c>
      <c r="B217" t="str">
        <f t="shared" si="101"/>
        <v>184Пикалёва Алла Григорьевна (Юрий)</v>
      </c>
      <c r="C217" s="1">
        <v>184</v>
      </c>
      <c r="D217" s="2" t="s">
        <v>201</v>
      </c>
      <c r="E217" s="1" t="s">
        <v>517</v>
      </c>
      <c r="F217" s="16">
        <v>41734</v>
      </c>
      <c r="G217" s="16">
        <v>41760</v>
      </c>
      <c r="H217" s="17">
        <f t="shared" si="107"/>
        <v>20</v>
      </c>
      <c r="I217" s="1">
        <f t="shared" si="94"/>
        <v>20000</v>
      </c>
      <c r="J217" s="17">
        <v>3000</v>
      </c>
      <c r="K217" s="17"/>
      <c r="L217" s="18">
        <f t="shared" si="95"/>
        <v>17000</v>
      </c>
      <c r="M217" s="29">
        <v>5000</v>
      </c>
      <c r="N217" s="29">
        <v>3000</v>
      </c>
      <c r="O217" s="29"/>
      <c r="P217" s="29"/>
      <c r="Q217" s="29">
        <v>3000</v>
      </c>
      <c r="R217" s="29">
        <v>3500</v>
      </c>
      <c r="S217" s="29"/>
      <c r="T217" s="29"/>
      <c r="U217" s="29"/>
      <c r="V217" s="29"/>
      <c r="W217" s="29"/>
      <c r="X217" s="29"/>
      <c r="Y217" s="18">
        <f t="shared" si="102"/>
        <v>14500</v>
      </c>
      <c r="Z217" s="96">
        <v>12</v>
      </c>
      <c r="AA217" s="96">
        <f t="shared" si="103"/>
        <v>9600</v>
      </c>
      <c r="AB217" s="96">
        <f t="shared" si="104"/>
        <v>12100</v>
      </c>
      <c r="AC217" s="99">
        <v>800</v>
      </c>
      <c r="AD217" s="98"/>
      <c r="AE217" s="102">
        <f t="shared" si="105"/>
        <v>12900</v>
      </c>
      <c r="AF217" s="99">
        <v>800</v>
      </c>
      <c r="AG217" s="98"/>
      <c r="AH217" s="102">
        <f t="shared" si="96"/>
        <v>13700</v>
      </c>
      <c r="AI217" s="99">
        <v>800</v>
      </c>
      <c r="AJ217" s="98"/>
      <c r="AK217" s="102">
        <f t="shared" si="97"/>
        <v>14500</v>
      </c>
      <c r="AL217" s="99">
        <v>800</v>
      </c>
      <c r="AM217" s="98"/>
      <c r="AN217" s="102">
        <f t="shared" si="98"/>
        <v>15300</v>
      </c>
      <c r="AO217" s="99">
        <v>800</v>
      </c>
      <c r="AP217" s="114"/>
      <c r="AQ217" s="102">
        <f t="shared" si="99"/>
        <v>16100</v>
      </c>
      <c r="AR217" s="99">
        <v>800</v>
      </c>
      <c r="AS217" s="114"/>
      <c r="AT217" s="102">
        <f t="shared" si="100"/>
        <v>16900</v>
      </c>
    </row>
    <row r="218" spans="1:46">
      <c r="A218" s="41">
        <f>VLOOKUP(B218,справочник!$B$2:$E$322,4,FALSE)</f>
        <v>307</v>
      </c>
      <c r="B218" t="str">
        <f t="shared" si="101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107"/>
        <v>41</v>
      </c>
      <c r="I218" s="1">
        <f t="shared" si="94"/>
        <v>41000</v>
      </c>
      <c r="J218" s="17">
        <v>27000</v>
      </c>
      <c r="K218" s="17"/>
      <c r="L218" s="18">
        <f t="shared" si="95"/>
        <v>14000</v>
      </c>
      <c r="M218" s="29"/>
      <c r="N218" s="29"/>
      <c r="O218" s="29"/>
      <c r="P218" s="29"/>
      <c r="Q218" s="29">
        <v>8000</v>
      </c>
      <c r="R218" s="29"/>
      <c r="S218" s="29"/>
      <c r="T218" s="29"/>
      <c r="U218" s="29"/>
      <c r="V218" s="29"/>
      <c r="W218" s="29"/>
      <c r="X218" s="29"/>
      <c r="Y218" s="18">
        <f t="shared" si="102"/>
        <v>8000</v>
      </c>
      <c r="Z218" s="96">
        <v>12</v>
      </c>
      <c r="AA218" s="96">
        <f t="shared" si="103"/>
        <v>9600</v>
      </c>
      <c r="AB218" s="96">
        <f t="shared" si="104"/>
        <v>15600</v>
      </c>
      <c r="AC218" s="99">
        <v>800</v>
      </c>
      <c r="AD218" s="98"/>
      <c r="AE218" s="102">
        <f t="shared" si="105"/>
        <v>16400</v>
      </c>
      <c r="AF218" s="99">
        <v>800</v>
      </c>
      <c r="AG218" s="98"/>
      <c r="AH218" s="102">
        <f t="shared" si="96"/>
        <v>17200</v>
      </c>
      <c r="AI218" s="99">
        <v>800</v>
      </c>
      <c r="AJ218" s="98">
        <v>4800</v>
      </c>
      <c r="AK218" s="102">
        <f t="shared" si="97"/>
        <v>13200</v>
      </c>
      <c r="AL218" s="99">
        <v>800</v>
      </c>
      <c r="AM218" s="98">
        <v>4800</v>
      </c>
      <c r="AN218" s="102">
        <f t="shared" si="98"/>
        <v>9200</v>
      </c>
      <c r="AO218" s="99">
        <v>800</v>
      </c>
      <c r="AP218" s="114">
        <v>3200</v>
      </c>
      <c r="AQ218" s="102">
        <f t="shared" si="99"/>
        <v>6800</v>
      </c>
      <c r="AR218" s="99">
        <v>800</v>
      </c>
      <c r="AS218" s="114">
        <v>2800</v>
      </c>
      <c r="AT218" s="102">
        <f t="shared" si="100"/>
        <v>4800</v>
      </c>
    </row>
    <row r="219" spans="1:46">
      <c r="A219" s="41">
        <f>VLOOKUP(B219,справочник!$B$2:$E$322,4,FALSE)</f>
        <v>177</v>
      </c>
      <c r="B219" t="str">
        <f t="shared" si="101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107"/>
        <v>15</v>
      </c>
      <c r="I219" s="1">
        <f t="shared" si="94"/>
        <v>15000</v>
      </c>
      <c r="J219" s="17">
        <v>12000</v>
      </c>
      <c r="K219" s="17"/>
      <c r="L219" s="18">
        <f t="shared" si="95"/>
        <v>3000</v>
      </c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84">
        <v>5000</v>
      </c>
      <c r="X219" s="29"/>
      <c r="Y219" s="18">
        <f t="shared" si="102"/>
        <v>5000</v>
      </c>
      <c r="Z219" s="96">
        <v>12</v>
      </c>
      <c r="AA219" s="96">
        <f t="shared" si="103"/>
        <v>9600</v>
      </c>
      <c r="AB219" s="96">
        <f t="shared" si="104"/>
        <v>7600</v>
      </c>
      <c r="AC219" s="99">
        <v>800</v>
      </c>
      <c r="AD219" s="98">
        <v>10000</v>
      </c>
      <c r="AE219" s="102">
        <f t="shared" si="105"/>
        <v>-1600</v>
      </c>
      <c r="AF219" s="99">
        <v>800</v>
      </c>
      <c r="AG219" s="98"/>
      <c r="AH219" s="102">
        <f t="shared" si="96"/>
        <v>-800</v>
      </c>
      <c r="AI219" s="99">
        <v>800</v>
      </c>
      <c r="AJ219" s="98"/>
      <c r="AK219" s="102">
        <f t="shared" si="97"/>
        <v>0</v>
      </c>
      <c r="AL219" s="99">
        <v>800</v>
      </c>
      <c r="AM219" s="98"/>
      <c r="AN219" s="102">
        <f t="shared" si="98"/>
        <v>800</v>
      </c>
      <c r="AO219" s="99">
        <v>800</v>
      </c>
      <c r="AP219" s="114"/>
      <c r="AQ219" s="102">
        <f t="shared" si="99"/>
        <v>1600</v>
      </c>
      <c r="AR219" s="99">
        <v>800</v>
      </c>
      <c r="AS219" s="114"/>
      <c r="AT219" s="102">
        <f t="shared" si="100"/>
        <v>2400</v>
      </c>
    </row>
    <row r="220" spans="1:46">
      <c r="A220" s="41">
        <f>VLOOKUP(B220,справочник!$B$2:$E$322,4,FALSE)</f>
        <v>160</v>
      </c>
      <c r="B220" t="str">
        <f t="shared" si="101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107"/>
        <v>42</v>
      </c>
      <c r="I220" s="1">
        <f t="shared" si="94"/>
        <v>42000</v>
      </c>
      <c r="J220" s="17">
        <v>21000</v>
      </c>
      <c r="K220" s="17"/>
      <c r="L220" s="18">
        <f t="shared" si="95"/>
        <v>21000</v>
      </c>
      <c r="M220" s="29"/>
      <c r="N220" s="29"/>
      <c r="O220" s="29"/>
      <c r="P220" s="29"/>
      <c r="Q220" s="29"/>
      <c r="R220" s="29"/>
      <c r="S220" s="29"/>
      <c r="T220" s="29"/>
      <c r="U220" s="29"/>
      <c r="V220" s="29">
        <v>4800</v>
      </c>
      <c r="W220" s="29"/>
      <c r="X220" s="29">
        <v>4800</v>
      </c>
      <c r="Y220" s="18">
        <f t="shared" si="102"/>
        <v>9600</v>
      </c>
      <c r="Z220" s="96">
        <v>12</v>
      </c>
      <c r="AA220" s="96">
        <f t="shared" si="103"/>
        <v>9600</v>
      </c>
      <c r="AB220" s="96">
        <f t="shared" si="104"/>
        <v>21000</v>
      </c>
      <c r="AC220" s="99">
        <v>800</v>
      </c>
      <c r="AD220" s="98"/>
      <c r="AE220" s="102">
        <f t="shared" si="105"/>
        <v>21800</v>
      </c>
      <c r="AF220" s="99">
        <v>800</v>
      </c>
      <c r="AG220" s="98">
        <v>2400</v>
      </c>
      <c r="AH220" s="102">
        <f t="shared" si="96"/>
        <v>20200</v>
      </c>
      <c r="AI220" s="99">
        <v>800</v>
      </c>
      <c r="AJ220" s="98"/>
      <c r="AK220" s="102">
        <f t="shared" si="97"/>
        <v>21000</v>
      </c>
      <c r="AL220" s="99">
        <v>800</v>
      </c>
      <c r="AM220" s="98"/>
      <c r="AN220" s="102">
        <f t="shared" si="98"/>
        <v>21800</v>
      </c>
      <c r="AO220" s="99">
        <v>800</v>
      </c>
      <c r="AP220" s="114"/>
      <c r="AQ220" s="102">
        <f t="shared" si="99"/>
        <v>22600</v>
      </c>
      <c r="AR220" s="99">
        <v>800</v>
      </c>
      <c r="AS220" s="114">
        <f>4000</f>
        <v>4000</v>
      </c>
      <c r="AT220" s="102">
        <f t="shared" si="100"/>
        <v>19400</v>
      </c>
    </row>
    <row r="221" spans="1:46" ht="25.5" customHeight="1">
      <c r="A221" s="41">
        <f>VLOOKUP(B221,справочник!$B$2:$E$322,4,FALSE)</f>
        <v>53</v>
      </c>
      <c r="B221" t="str">
        <f t="shared" si="101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107"/>
        <v>12</v>
      </c>
      <c r="I221" s="1">
        <f t="shared" si="94"/>
        <v>12000</v>
      </c>
      <c r="J221" s="17">
        <v>12000</v>
      </c>
      <c r="K221" s="17"/>
      <c r="L221" s="18">
        <f t="shared" si="95"/>
        <v>0</v>
      </c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18">
        <f t="shared" si="102"/>
        <v>0</v>
      </c>
      <c r="Z221" s="96">
        <v>12</v>
      </c>
      <c r="AA221" s="96">
        <f t="shared" si="103"/>
        <v>9600</v>
      </c>
      <c r="AB221" s="96">
        <f t="shared" si="104"/>
        <v>9600</v>
      </c>
      <c r="AC221" s="99">
        <v>800</v>
      </c>
      <c r="AD221" s="98"/>
      <c r="AE221" s="102">
        <f t="shared" si="105"/>
        <v>10400</v>
      </c>
      <c r="AF221" s="99">
        <v>800</v>
      </c>
      <c r="AG221" s="98"/>
      <c r="AH221" s="102">
        <f t="shared" si="96"/>
        <v>11200</v>
      </c>
      <c r="AI221" s="99">
        <v>800</v>
      </c>
      <c r="AJ221" s="98"/>
      <c r="AK221" s="102">
        <f t="shared" si="97"/>
        <v>12000</v>
      </c>
      <c r="AL221" s="99">
        <v>800</v>
      </c>
      <c r="AM221" s="98"/>
      <c r="AN221" s="102">
        <f t="shared" si="98"/>
        <v>12800</v>
      </c>
      <c r="AO221" s="99">
        <v>800</v>
      </c>
      <c r="AP221" s="114"/>
      <c r="AQ221" s="102">
        <f t="shared" si="99"/>
        <v>13600</v>
      </c>
      <c r="AR221" s="99">
        <v>800</v>
      </c>
      <c r="AS221" s="114">
        <f>4800+4800</f>
        <v>9600</v>
      </c>
      <c r="AT221" s="102">
        <f t="shared" si="100"/>
        <v>4800</v>
      </c>
    </row>
    <row r="222" spans="1:46">
      <c r="A222" s="41">
        <f>VLOOKUP(B222,справочник!$B$2:$E$322,4,FALSE)</f>
        <v>102</v>
      </c>
      <c r="B222" t="str">
        <f t="shared" si="101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107"/>
        <v>53</v>
      </c>
      <c r="I222" s="1">
        <f t="shared" si="94"/>
        <v>53000</v>
      </c>
      <c r="J222" s="17">
        <f>52000+1000</f>
        <v>53000</v>
      </c>
      <c r="K222" s="17"/>
      <c r="L222" s="18">
        <f t="shared" si="95"/>
        <v>0</v>
      </c>
      <c r="M222" s="29">
        <v>800</v>
      </c>
      <c r="N222" s="29">
        <v>800</v>
      </c>
      <c r="O222" s="29">
        <v>800</v>
      </c>
      <c r="P222" s="29">
        <v>800</v>
      </c>
      <c r="Q222" s="29"/>
      <c r="R222" s="29">
        <v>800</v>
      </c>
      <c r="S222" s="29">
        <v>800</v>
      </c>
      <c r="T222">
        <v>1600</v>
      </c>
      <c r="U222" s="29">
        <v>800</v>
      </c>
      <c r="V222" s="29">
        <v>800</v>
      </c>
      <c r="W222" s="84">
        <v>800</v>
      </c>
      <c r="X222" s="29">
        <v>800</v>
      </c>
      <c r="Y222" s="18">
        <f t="shared" si="102"/>
        <v>9600</v>
      </c>
      <c r="Z222" s="96">
        <v>12</v>
      </c>
      <c r="AA222" s="96">
        <f t="shared" si="103"/>
        <v>9600</v>
      </c>
      <c r="AB222" s="96">
        <f t="shared" si="104"/>
        <v>0</v>
      </c>
      <c r="AC222" s="99">
        <v>800</v>
      </c>
      <c r="AD222" s="97">
        <v>800</v>
      </c>
      <c r="AE222" s="102">
        <f t="shared" si="105"/>
        <v>0</v>
      </c>
      <c r="AF222" s="99">
        <v>800</v>
      </c>
      <c r="AG222" s="97"/>
      <c r="AH222" s="102">
        <f t="shared" si="96"/>
        <v>800</v>
      </c>
      <c r="AI222" s="99">
        <v>800</v>
      </c>
      <c r="AJ222" s="97">
        <v>800</v>
      </c>
      <c r="AK222" s="102">
        <f t="shared" si="97"/>
        <v>800</v>
      </c>
      <c r="AL222" s="99">
        <v>800</v>
      </c>
      <c r="AM222" s="97">
        <v>800</v>
      </c>
      <c r="AN222" s="102">
        <f t="shared" si="98"/>
        <v>800</v>
      </c>
      <c r="AO222" s="99">
        <v>800</v>
      </c>
      <c r="AP222" s="97"/>
      <c r="AQ222" s="102">
        <f t="shared" si="99"/>
        <v>1600</v>
      </c>
      <c r="AR222" s="99">
        <v>800</v>
      </c>
      <c r="AS222" s="97">
        <f>800+800</f>
        <v>1600</v>
      </c>
      <c r="AT222" s="102">
        <f t="shared" si="100"/>
        <v>800</v>
      </c>
    </row>
    <row r="223" spans="1:46">
      <c r="A223" s="41">
        <f>VLOOKUP(B223,справочник!$B$2:$E$322,4,FALSE)</f>
        <v>174</v>
      </c>
      <c r="B223" t="str">
        <f t="shared" si="101"/>
        <v>182Просянов Александр Александрович</v>
      </c>
      <c r="C223" s="1">
        <v>182</v>
      </c>
      <c r="D223" s="2" t="s">
        <v>207</v>
      </c>
      <c r="E223" s="1" t="s">
        <v>523</v>
      </c>
      <c r="F223" s="16">
        <v>41352</v>
      </c>
      <c r="G223" s="16">
        <v>41365</v>
      </c>
      <c r="H223" s="17">
        <f t="shared" si="107"/>
        <v>33</v>
      </c>
      <c r="I223" s="1">
        <f t="shared" si="94"/>
        <v>33000</v>
      </c>
      <c r="J223" s="17">
        <v>33000</v>
      </c>
      <c r="K223" s="17"/>
      <c r="L223" s="18">
        <f t="shared" si="95"/>
        <v>0</v>
      </c>
      <c r="M223" s="29">
        <v>1000</v>
      </c>
      <c r="N223" s="29"/>
      <c r="O223" s="29"/>
      <c r="P223" s="29"/>
      <c r="Q223" s="29">
        <v>3000</v>
      </c>
      <c r="R223" s="29"/>
      <c r="S223" s="29">
        <v>1600</v>
      </c>
      <c r="T223" s="29"/>
      <c r="U223" s="29"/>
      <c r="V223" s="29">
        <v>0</v>
      </c>
      <c r="W223" s="29"/>
      <c r="X223" s="29"/>
      <c r="Y223" s="18">
        <f t="shared" si="102"/>
        <v>5600</v>
      </c>
      <c r="Z223" s="96">
        <v>12</v>
      </c>
      <c r="AA223" s="96">
        <f t="shared" si="103"/>
        <v>9600</v>
      </c>
      <c r="AB223" s="96">
        <f t="shared" si="104"/>
        <v>4000</v>
      </c>
      <c r="AC223" s="99">
        <v>800</v>
      </c>
      <c r="AD223" s="98"/>
      <c r="AE223" s="102">
        <f t="shared" si="105"/>
        <v>4800</v>
      </c>
      <c r="AF223" s="99">
        <v>800</v>
      </c>
      <c r="AG223" s="98"/>
      <c r="AH223" s="102">
        <f t="shared" si="96"/>
        <v>5600</v>
      </c>
      <c r="AI223" s="99">
        <v>800</v>
      </c>
      <c r="AJ223" s="98">
        <v>6000</v>
      </c>
      <c r="AK223" s="102">
        <f t="shared" si="97"/>
        <v>400</v>
      </c>
      <c r="AL223" s="99">
        <v>800</v>
      </c>
      <c r="AM223" s="98"/>
      <c r="AN223" s="102">
        <f t="shared" si="98"/>
        <v>1200</v>
      </c>
      <c r="AO223" s="99">
        <v>800</v>
      </c>
      <c r="AP223" s="114"/>
      <c r="AQ223" s="102">
        <f t="shared" si="99"/>
        <v>2000</v>
      </c>
      <c r="AR223" s="99">
        <v>800</v>
      </c>
      <c r="AS223" s="114"/>
      <c r="AT223" s="102">
        <f t="shared" si="100"/>
        <v>2800</v>
      </c>
    </row>
    <row r="224" spans="1:46">
      <c r="A224" s="41">
        <f>VLOOKUP(B224,справочник!$B$2:$E$322,4,FALSE)</f>
        <v>165</v>
      </c>
      <c r="B224" t="str">
        <f t="shared" si="101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94"/>
        <v>17000</v>
      </c>
      <c r="J224" s="17">
        <v>17000</v>
      </c>
      <c r="K224" s="17"/>
      <c r="L224" s="18">
        <f t="shared" si="95"/>
        <v>0</v>
      </c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18">
        <f t="shared" si="102"/>
        <v>0</v>
      </c>
      <c r="Z224" s="96">
        <v>12</v>
      </c>
      <c r="AA224" s="96">
        <f t="shared" si="103"/>
        <v>9600</v>
      </c>
      <c r="AB224" s="96">
        <f t="shared" si="104"/>
        <v>9600</v>
      </c>
      <c r="AC224" s="99">
        <v>800</v>
      </c>
      <c r="AD224" s="98"/>
      <c r="AE224" s="102">
        <f t="shared" si="105"/>
        <v>10400</v>
      </c>
      <c r="AF224" s="99">
        <v>800</v>
      </c>
      <c r="AG224" s="98"/>
      <c r="AH224" s="102">
        <f t="shared" si="96"/>
        <v>11200</v>
      </c>
      <c r="AI224" s="99">
        <v>800</v>
      </c>
      <c r="AJ224" s="98"/>
      <c r="AK224" s="102">
        <f t="shared" si="97"/>
        <v>12000</v>
      </c>
      <c r="AL224" s="99">
        <v>800</v>
      </c>
      <c r="AM224" s="98"/>
      <c r="AN224" s="102">
        <f t="shared" si="98"/>
        <v>12800</v>
      </c>
      <c r="AO224" s="99">
        <v>800</v>
      </c>
      <c r="AP224" s="114"/>
      <c r="AQ224" s="102">
        <f t="shared" si="99"/>
        <v>13600</v>
      </c>
      <c r="AR224" s="99">
        <v>800</v>
      </c>
      <c r="AS224" s="114"/>
      <c r="AT224" s="102">
        <f t="shared" si="100"/>
        <v>14400</v>
      </c>
    </row>
    <row r="225" spans="1:46">
      <c r="A225" s="41">
        <f>VLOOKUP(B225,справочник!$B$2:$E$322,4,FALSE)</f>
        <v>251</v>
      </c>
      <c r="B225" t="str">
        <f t="shared" si="101"/>
        <v xml:space="preserve">262Пузанова Екатерина Вячеславовна        </v>
      </c>
      <c r="C225" s="1">
        <v>262</v>
      </c>
      <c r="D225" s="2" t="s">
        <v>209</v>
      </c>
      <c r="E225" s="1" t="s">
        <v>525</v>
      </c>
      <c r="F225" s="16">
        <v>41751</v>
      </c>
      <c r="G225" s="16">
        <v>41760</v>
      </c>
      <c r="H225" s="17">
        <f t="shared" ref="H225:H244" si="108">INT(($H$325-G225)/30)</f>
        <v>20</v>
      </c>
      <c r="I225" s="1">
        <f t="shared" si="94"/>
        <v>20000</v>
      </c>
      <c r="J225" s="17"/>
      <c r="K225" s="17"/>
      <c r="L225" s="18">
        <f t="shared" si="95"/>
        <v>20000</v>
      </c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18">
        <f t="shared" si="102"/>
        <v>0</v>
      </c>
      <c r="Z225" s="96">
        <v>12</v>
      </c>
      <c r="AA225" s="96">
        <f t="shared" si="103"/>
        <v>9600</v>
      </c>
      <c r="AB225" s="96">
        <f t="shared" si="104"/>
        <v>29600</v>
      </c>
      <c r="AC225" s="99">
        <v>800</v>
      </c>
      <c r="AD225" s="98"/>
      <c r="AE225" s="102">
        <f t="shared" si="105"/>
        <v>30400</v>
      </c>
      <c r="AF225" s="99">
        <v>800</v>
      </c>
      <c r="AG225" s="98"/>
      <c r="AH225" s="102">
        <f t="shared" si="96"/>
        <v>31200</v>
      </c>
      <c r="AI225" s="99">
        <v>800</v>
      </c>
      <c r="AJ225" s="98"/>
      <c r="AK225" s="102">
        <f t="shared" si="97"/>
        <v>32000</v>
      </c>
      <c r="AL225" s="99">
        <v>800</v>
      </c>
      <c r="AM225" s="98">
        <v>15000</v>
      </c>
      <c r="AN225" s="102">
        <f t="shared" si="98"/>
        <v>17800</v>
      </c>
      <c r="AO225" s="99">
        <v>800</v>
      </c>
      <c r="AP225" s="114"/>
      <c r="AQ225" s="102">
        <f t="shared" si="99"/>
        <v>18600</v>
      </c>
      <c r="AR225" s="99">
        <v>800</v>
      </c>
      <c r="AS225" s="114"/>
      <c r="AT225" s="102">
        <f t="shared" si="100"/>
        <v>19400</v>
      </c>
    </row>
    <row r="226" spans="1:46">
      <c r="A226" s="41">
        <f>VLOOKUP(B226,справочник!$B$2:$E$322,4,FALSE)</f>
        <v>315</v>
      </c>
      <c r="B226" t="str">
        <f t="shared" si="101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 t="shared" si="108"/>
        <v>49</v>
      </c>
      <c r="I226" s="5">
        <f t="shared" si="94"/>
        <v>49000</v>
      </c>
      <c r="J226" s="20">
        <f>28000+2000</f>
        <v>30000</v>
      </c>
      <c r="K226" s="20"/>
      <c r="L226" s="21">
        <f t="shared" si="95"/>
        <v>19000</v>
      </c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18">
        <f t="shared" si="102"/>
        <v>0</v>
      </c>
      <c r="Z226" s="96">
        <v>12</v>
      </c>
      <c r="AA226" s="96">
        <f t="shared" si="103"/>
        <v>9600</v>
      </c>
      <c r="AB226" s="96">
        <f t="shared" si="104"/>
        <v>28600</v>
      </c>
      <c r="AC226" s="99">
        <v>800</v>
      </c>
      <c r="AD226" s="98"/>
      <c r="AE226" s="102">
        <f t="shared" si="105"/>
        <v>29400</v>
      </c>
      <c r="AF226" s="99">
        <v>800</v>
      </c>
      <c r="AG226" s="98"/>
      <c r="AH226" s="102">
        <f t="shared" si="96"/>
        <v>30200</v>
      </c>
      <c r="AI226" s="99">
        <v>800</v>
      </c>
      <c r="AJ226" s="98"/>
      <c r="AK226" s="102">
        <f t="shared" si="97"/>
        <v>31000</v>
      </c>
      <c r="AL226" s="99">
        <v>800</v>
      </c>
      <c r="AM226" s="98"/>
      <c r="AN226" s="102">
        <f t="shared" si="98"/>
        <v>31800</v>
      </c>
      <c r="AO226" s="99">
        <v>800</v>
      </c>
      <c r="AP226" s="114"/>
      <c r="AQ226" s="102">
        <f t="shared" si="99"/>
        <v>32600</v>
      </c>
      <c r="AR226" s="99">
        <v>800</v>
      </c>
      <c r="AS226" s="114"/>
      <c r="AT226" s="102">
        <f t="shared" si="100"/>
        <v>33400</v>
      </c>
    </row>
    <row r="227" spans="1:46" s="80" customFormat="1" ht="25.5" customHeight="1">
      <c r="A227" s="103" t="e">
        <f>VLOOKUP(B227,справочник!$B$2:$E$322,4,FALSE)</f>
        <v>#N/A</v>
      </c>
      <c r="B227" s="80" t="str">
        <f t="shared" si="101"/>
        <v>210-211Решетов Владимир Генадьевич</v>
      </c>
      <c r="C227" s="5" t="s">
        <v>212</v>
      </c>
      <c r="D227" s="7" t="s">
        <v>213</v>
      </c>
      <c r="E227" s="5" t="s">
        <v>527</v>
      </c>
      <c r="F227" s="19">
        <v>40816</v>
      </c>
      <c r="G227" s="19">
        <v>40817</v>
      </c>
      <c r="H227" s="20">
        <f t="shared" si="108"/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95"/>
        <v>0</v>
      </c>
      <c r="M227" s="109">
        <v>2000</v>
      </c>
      <c r="N227" s="109"/>
      <c r="O227" s="109"/>
      <c r="P227" s="109">
        <v>2000</v>
      </c>
      <c r="Q227" s="109"/>
      <c r="R227" s="109">
        <v>2000</v>
      </c>
      <c r="S227" s="109"/>
      <c r="T227" s="80">
        <v>2000</v>
      </c>
      <c r="U227" s="109"/>
      <c r="V227" s="109">
        <v>2000</v>
      </c>
      <c r="W227" s="109"/>
      <c r="X227" s="109">
        <v>2000</v>
      </c>
      <c r="Y227" s="21">
        <f t="shared" si="102"/>
        <v>12000</v>
      </c>
      <c r="Z227" s="104">
        <v>12</v>
      </c>
      <c r="AA227" s="104">
        <f t="shared" si="103"/>
        <v>9600</v>
      </c>
      <c r="AB227" s="104">
        <f t="shared" si="104"/>
        <v>-2400</v>
      </c>
      <c r="AC227" s="104">
        <v>800</v>
      </c>
      <c r="AD227" s="105"/>
      <c r="AE227" s="106">
        <f t="shared" si="105"/>
        <v>-1600</v>
      </c>
      <c r="AF227" s="104">
        <v>800</v>
      </c>
      <c r="AG227" s="105"/>
      <c r="AH227" s="106">
        <f t="shared" si="96"/>
        <v>-800</v>
      </c>
      <c r="AI227" s="104">
        <v>800</v>
      </c>
      <c r="AJ227" s="105"/>
      <c r="AK227" s="106">
        <f t="shared" si="97"/>
        <v>0</v>
      </c>
      <c r="AL227" s="104">
        <v>800</v>
      </c>
      <c r="AM227" s="105"/>
      <c r="AN227" s="106">
        <f t="shared" si="98"/>
        <v>800</v>
      </c>
      <c r="AO227" s="104">
        <v>800</v>
      </c>
      <c r="AP227" s="105">
        <v>3000</v>
      </c>
      <c r="AQ227" s="106">
        <f t="shared" si="99"/>
        <v>-1400</v>
      </c>
      <c r="AR227" s="104">
        <v>800</v>
      </c>
      <c r="AS227" s="105"/>
      <c r="AT227" s="106">
        <f t="shared" si="100"/>
        <v>-600</v>
      </c>
    </row>
    <row r="228" spans="1:46" s="80" customFormat="1">
      <c r="A228" s="103" t="e">
        <f>VLOOKUP(B228,справочник!$B$2:$E$322,4,FALSE)</f>
        <v>#N/A</v>
      </c>
      <c r="B228" s="80" t="str">
        <f t="shared" si="101"/>
        <v>210-211Решетов Владимир Генадьевич</v>
      </c>
      <c r="C228" s="5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f t="shared" si="108"/>
        <v>51</v>
      </c>
      <c r="I228" s="5">
        <v>61000</v>
      </c>
      <c r="J228" s="20">
        <v>58000</v>
      </c>
      <c r="K228" s="20">
        <v>3000</v>
      </c>
      <c r="L228" s="21">
        <f t="shared" si="95"/>
        <v>0</v>
      </c>
      <c r="M228" s="109"/>
      <c r="N228" s="109"/>
      <c r="O228" s="109"/>
      <c r="P228" s="109"/>
      <c r="Q228" s="109"/>
      <c r="R228" s="109"/>
      <c r="S228" s="109"/>
      <c r="U228" s="109"/>
      <c r="V228" s="109"/>
      <c r="W228" s="109"/>
      <c r="X228" s="109"/>
      <c r="Y228" s="21">
        <f t="shared" si="102"/>
        <v>0</v>
      </c>
      <c r="Z228" s="104">
        <v>0</v>
      </c>
      <c r="AA228" s="104">
        <f t="shared" si="103"/>
        <v>0</v>
      </c>
      <c r="AB228" s="104">
        <f t="shared" si="104"/>
        <v>0</v>
      </c>
      <c r="AC228" s="104">
        <v>0</v>
      </c>
      <c r="AD228" s="105"/>
      <c r="AE228" s="106">
        <f t="shared" si="105"/>
        <v>0</v>
      </c>
      <c r="AF228" s="104">
        <v>0</v>
      </c>
      <c r="AG228" s="105"/>
      <c r="AH228" s="106">
        <f t="shared" si="96"/>
        <v>0</v>
      </c>
      <c r="AI228" s="104">
        <v>0</v>
      </c>
      <c r="AJ228" s="105"/>
      <c r="AK228" s="106">
        <f t="shared" si="97"/>
        <v>0</v>
      </c>
      <c r="AL228" s="104">
        <v>0</v>
      </c>
      <c r="AM228" s="105"/>
      <c r="AN228" s="106">
        <f t="shared" si="98"/>
        <v>0</v>
      </c>
      <c r="AO228" s="104">
        <v>0</v>
      </c>
      <c r="AP228" s="105"/>
      <c r="AQ228" s="106">
        <f t="shared" si="99"/>
        <v>0</v>
      </c>
      <c r="AR228" s="104">
        <v>0</v>
      </c>
      <c r="AS228" s="105"/>
      <c r="AT228" s="106">
        <f t="shared" si="100"/>
        <v>0</v>
      </c>
    </row>
    <row r="229" spans="1:46" ht="25.5">
      <c r="A229" s="41">
        <f>VLOOKUP(B229,справочник!$B$2:$E$322,4,FALSE)</f>
        <v>195</v>
      </c>
      <c r="B229" t="str">
        <f t="shared" si="101"/>
        <v>203Родичева Наталья Николаевна - Завилевская Е.И. ???</v>
      </c>
      <c r="C229" s="1">
        <v>203</v>
      </c>
      <c r="D229" s="2" t="s">
        <v>216</v>
      </c>
      <c r="E229" s="1" t="s">
        <v>528</v>
      </c>
      <c r="F229" s="16">
        <v>41599</v>
      </c>
      <c r="G229" s="16">
        <v>41609</v>
      </c>
      <c r="H229" s="17">
        <f t="shared" si="108"/>
        <v>25</v>
      </c>
      <c r="I229" s="1">
        <f t="shared" ref="I229:I265" si="109">H229*1000</f>
        <v>25000</v>
      </c>
      <c r="J229" s="17">
        <v>1000</v>
      </c>
      <c r="K229" s="17"/>
      <c r="L229" s="18">
        <f t="shared" si="95"/>
        <v>24000</v>
      </c>
      <c r="M229" s="29"/>
      <c r="N229" s="29"/>
      <c r="O229" s="29"/>
      <c r="P229" s="29"/>
      <c r="Q229" s="29"/>
      <c r="R229" s="29">
        <v>4000</v>
      </c>
      <c r="S229" s="29"/>
      <c r="T229" s="29"/>
      <c r="U229" s="29"/>
      <c r="V229" s="29"/>
      <c r="W229" s="29"/>
      <c r="X229" s="29"/>
      <c r="Y229" s="18">
        <f t="shared" si="102"/>
        <v>4000</v>
      </c>
      <c r="Z229" s="96">
        <v>12</v>
      </c>
      <c r="AA229" s="96">
        <f t="shared" si="103"/>
        <v>9600</v>
      </c>
      <c r="AB229" s="96">
        <f t="shared" si="104"/>
        <v>29600</v>
      </c>
      <c r="AC229" s="99">
        <v>800</v>
      </c>
      <c r="AD229" s="98"/>
      <c r="AE229" s="102">
        <f t="shared" si="105"/>
        <v>30400</v>
      </c>
      <c r="AF229" s="99">
        <v>800</v>
      </c>
      <c r="AG229" s="98"/>
      <c r="AH229" s="102">
        <f t="shared" si="96"/>
        <v>31200</v>
      </c>
      <c r="AI229" s="99">
        <v>800</v>
      </c>
      <c r="AJ229" s="98">
        <v>5000</v>
      </c>
      <c r="AK229" s="102">
        <f t="shared" si="97"/>
        <v>27000</v>
      </c>
      <c r="AL229" s="99">
        <v>800</v>
      </c>
      <c r="AM229" s="98"/>
      <c r="AN229" s="102">
        <f t="shared" si="98"/>
        <v>27800</v>
      </c>
      <c r="AO229" s="99">
        <v>800</v>
      </c>
      <c r="AP229" s="114"/>
      <c r="AQ229" s="102">
        <f t="shared" si="99"/>
        <v>28600</v>
      </c>
      <c r="AR229" s="99">
        <v>800</v>
      </c>
      <c r="AS229" s="114"/>
      <c r="AT229" s="102">
        <f t="shared" si="100"/>
        <v>29400</v>
      </c>
    </row>
    <row r="230" spans="1:46" s="80" customFormat="1">
      <c r="A230" s="103">
        <f>VLOOKUP(B230,справочник!$B$2:$E$322,4,FALSE)</f>
        <v>144</v>
      </c>
      <c r="B230" s="80" t="str">
        <f t="shared" si="101"/>
        <v>152Рожкова Глафира Андреевна</v>
      </c>
      <c r="C230" s="5">
        <v>152</v>
      </c>
      <c r="D230" s="7" t="s">
        <v>217</v>
      </c>
      <c r="E230" s="5" t="s">
        <v>529</v>
      </c>
      <c r="F230" s="19">
        <v>40788</v>
      </c>
      <c r="G230" s="19">
        <v>40787</v>
      </c>
      <c r="H230" s="20">
        <f t="shared" si="108"/>
        <v>52</v>
      </c>
      <c r="I230" s="5">
        <f t="shared" si="109"/>
        <v>52000</v>
      </c>
      <c r="J230" s="20">
        <v>1000</v>
      </c>
      <c r="K230" s="20"/>
      <c r="L230" s="21">
        <f t="shared" si="95"/>
        <v>51000</v>
      </c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21">
        <f t="shared" si="102"/>
        <v>0</v>
      </c>
      <c r="Z230" s="104">
        <v>12</v>
      </c>
      <c r="AA230" s="104">
        <f t="shared" si="103"/>
        <v>9600</v>
      </c>
      <c r="AB230" s="104">
        <f t="shared" si="104"/>
        <v>60600</v>
      </c>
      <c r="AC230" s="104">
        <v>800</v>
      </c>
      <c r="AD230" s="105"/>
      <c r="AE230" s="127">
        <f>SUM(AB230:AB231)+SUM(AC230:AC231)-SUM(AD230:AD231)</f>
        <v>112400</v>
      </c>
      <c r="AF230" s="104">
        <v>800</v>
      </c>
      <c r="AG230" s="105"/>
      <c r="AH230" s="127">
        <f>SUM(AE230:AE231)+SUM(AF230:AF231)-SUM(AG230:AG231)</f>
        <v>113200</v>
      </c>
      <c r="AI230" s="104">
        <v>800</v>
      </c>
      <c r="AJ230" s="105"/>
      <c r="AK230" s="127">
        <f>SUM(AH230:AH231)+SUM(AI230:AI231)-SUM(AJ230:AJ231)</f>
        <v>114000</v>
      </c>
      <c r="AL230" s="104">
        <v>800</v>
      </c>
      <c r="AM230" s="105"/>
      <c r="AN230" s="127">
        <f>SUM(AK230:AK231)+SUM(AL230:AL231)-SUM(AM230:AM231)</f>
        <v>114800</v>
      </c>
      <c r="AO230" s="104">
        <v>800</v>
      </c>
      <c r="AP230" s="105"/>
      <c r="AQ230" s="127">
        <f>SUM(AN230:AN231)+SUM(AO230:AO231)-SUM(AP230:AP231)</f>
        <v>115600</v>
      </c>
      <c r="AR230" s="104">
        <v>800</v>
      </c>
      <c r="AS230" s="105"/>
      <c r="AT230" s="127">
        <f>SUM(AQ230:AQ231)+SUM(AR230:AR231)-SUM(AS230:AS231)</f>
        <v>116400</v>
      </c>
    </row>
    <row r="231" spans="1:46" s="80" customFormat="1">
      <c r="A231" s="103">
        <f>VLOOKUP(B231,справочник!$B$2:$E$322,4,FALSE)</f>
        <v>144</v>
      </c>
      <c r="B231" s="80" t="str">
        <f t="shared" si="101"/>
        <v>153Рожкова Глафира Андреевна</v>
      </c>
      <c r="C231" s="5">
        <v>153</v>
      </c>
      <c r="D231" s="7" t="s">
        <v>217</v>
      </c>
      <c r="E231" s="5"/>
      <c r="F231" s="19">
        <v>40788</v>
      </c>
      <c r="G231" s="19">
        <v>40787</v>
      </c>
      <c r="H231" s="20">
        <f t="shared" si="108"/>
        <v>52</v>
      </c>
      <c r="I231" s="5">
        <f t="shared" si="109"/>
        <v>52000</v>
      </c>
      <c r="J231" s="20">
        <v>1000</v>
      </c>
      <c r="K231" s="20"/>
      <c r="L231" s="21">
        <f t="shared" si="95"/>
        <v>51000</v>
      </c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21">
        <f t="shared" si="102"/>
        <v>0</v>
      </c>
      <c r="Z231" s="104">
        <v>0</v>
      </c>
      <c r="AA231" s="104">
        <f t="shared" si="103"/>
        <v>0</v>
      </c>
      <c r="AB231" s="104">
        <f t="shared" si="104"/>
        <v>51000</v>
      </c>
      <c r="AC231" s="104">
        <v>0</v>
      </c>
      <c r="AD231" s="105"/>
      <c r="AE231" s="129"/>
      <c r="AF231" s="104">
        <v>0</v>
      </c>
      <c r="AG231" s="105"/>
      <c r="AH231" s="129"/>
      <c r="AI231" s="104">
        <v>0</v>
      </c>
      <c r="AJ231" s="105"/>
      <c r="AK231" s="129"/>
      <c r="AL231" s="104">
        <v>0</v>
      </c>
      <c r="AM231" s="105"/>
      <c r="AN231" s="129"/>
      <c r="AO231" s="104">
        <v>0</v>
      </c>
      <c r="AP231" s="105"/>
      <c r="AQ231" s="129"/>
      <c r="AR231" s="104">
        <v>0</v>
      </c>
      <c r="AS231" s="105"/>
      <c r="AT231" s="129"/>
    </row>
    <row r="232" spans="1:46" s="80" customFormat="1">
      <c r="A232" s="103">
        <f>VLOOKUP(B232,справочник!$B$2:$E$322,4,FALSE)</f>
        <v>74</v>
      </c>
      <c r="B232" s="80" t="str">
        <f t="shared" si="101"/>
        <v>80Розова Татьяна Викторовна</v>
      </c>
      <c r="C232" s="5">
        <v>80</v>
      </c>
      <c r="D232" s="7" t="s">
        <v>218</v>
      </c>
      <c r="E232" s="5" t="s">
        <v>530</v>
      </c>
      <c r="F232" s="19">
        <v>41310</v>
      </c>
      <c r="G232" s="19">
        <v>41334</v>
      </c>
      <c r="H232" s="20">
        <f t="shared" si="108"/>
        <v>34</v>
      </c>
      <c r="I232" s="5">
        <f t="shared" si="109"/>
        <v>34000</v>
      </c>
      <c r="J232" s="20">
        <v>31000</v>
      </c>
      <c r="K232" s="20"/>
      <c r="L232" s="21">
        <f t="shared" si="95"/>
        <v>3000</v>
      </c>
      <c r="M232" s="109">
        <v>6000</v>
      </c>
      <c r="N232" s="109"/>
      <c r="O232" s="109"/>
      <c r="P232" s="109"/>
      <c r="Q232" s="109">
        <v>2400</v>
      </c>
      <c r="R232" s="109"/>
      <c r="S232" s="109">
        <v>2400</v>
      </c>
      <c r="T232" s="109"/>
      <c r="U232" s="109"/>
      <c r="V232" s="109">
        <v>2400</v>
      </c>
      <c r="W232" s="109"/>
      <c r="X232" s="109">
        <v>2400</v>
      </c>
      <c r="Y232" s="21">
        <f t="shared" si="102"/>
        <v>15600</v>
      </c>
      <c r="Z232" s="104">
        <v>12</v>
      </c>
      <c r="AA232" s="104">
        <f t="shared" si="103"/>
        <v>9600</v>
      </c>
      <c r="AB232" s="104">
        <f t="shared" si="104"/>
        <v>-3000</v>
      </c>
      <c r="AC232" s="104">
        <v>800</v>
      </c>
      <c r="AD232" s="105"/>
      <c r="AE232" s="123">
        <f>SUM(AB232:AB233)+SUM(AC232:AC233)-SUM(AD232:AD233)</f>
        <v>800</v>
      </c>
      <c r="AF232" s="104">
        <v>800</v>
      </c>
      <c r="AG232" s="105"/>
      <c r="AH232" s="123">
        <f>SUM(AE232:AE233)+SUM(AF232:AF233)-SUM(AG232:AG233)</f>
        <v>1600</v>
      </c>
      <c r="AI232" s="104">
        <v>800</v>
      </c>
      <c r="AJ232" s="105"/>
      <c r="AK232" s="123">
        <f>SUM(AH232:AH233)+SUM(AI232:AI233)-SUM(AJ232:AJ233)</f>
        <v>2400</v>
      </c>
      <c r="AL232" s="104">
        <v>800</v>
      </c>
      <c r="AM232" s="105"/>
      <c r="AN232" s="123">
        <f>SUM(AK232:AK233)+SUM(AL232:AL233)-SUM(AM232:AM233)</f>
        <v>3200</v>
      </c>
      <c r="AO232" s="104">
        <v>800</v>
      </c>
      <c r="AP232" s="105">
        <v>2400</v>
      </c>
      <c r="AQ232" s="123">
        <f>SUM(AN232:AN233)+SUM(AO232:AO233)-SUM(AP232:AP233)</f>
        <v>1600</v>
      </c>
      <c r="AR232" s="104">
        <v>800</v>
      </c>
      <c r="AS232" s="105"/>
      <c r="AT232" s="123">
        <f>SUM(AQ232:AQ233)+SUM(AR232:AR233)-SUM(AS232:AS233)</f>
        <v>2400</v>
      </c>
    </row>
    <row r="233" spans="1:46" s="80" customFormat="1">
      <c r="A233" s="103">
        <f>VLOOKUP(B233,справочник!$B$2:$E$322,4,FALSE)</f>
        <v>74</v>
      </c>
      <c r="B233" s="80" t="str">
        <f t="shared" si="101"/>
        <v>81Розова Татьяна Викторовна</v>
      </c>
      <c r="C233" s="5">
        <v>81</v>
      </c>
      <c r="D233" s="7" t="s">
        <v>218</v>
      </c>
      <c r="E233" s="5" t="s">
        <v>531</v>
      </c>
      <c r="F233" s="19">
        <v>40682</v>
      </c>
      <c r="G233" s="19">
        <v>40695</v>
      </c>
      <c r="H233" s="20">
        <f t="shared" si="108"/>
        <v>55</v>
      </c>
      <c r="I233" s="5">
        <f t="shared" si="109"/>
        <v>55000</v>
      </c>
      <c r="J233" s="20">
        <f>7000+48000-3000</f>
        <v>52000</v>
      </c>
      <c r="K233" s="20"/>
      <c r="L233" s="21">
        <f t="shared" si="95"/>
        <v>3000</v>
      </c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21">
        <f t="shared" si="102"/>
        <v>0</v>
      </c>
      <c r="Z233" s="104">
        <v>0</v>
      </c>
      <c r="AA233" s="104">
        <f t="shared" si="103"/>
        <v>0</v>
      </c>
      <c r="AB233" s="104">
        <f t="shared" si="104"/>
        <v>3000</v>
      </c>
      <c r="AC233" s="104">
        <v>0</v>
      </c>
      <c r="AD233" s="105"/>
      <c r="AE233" s="124"/>
      <c r="AF233" s="104">
        <v>0</v>
      </c>
      <c r="AG233" s="105"/>
      <c r="AH233" s="124"/>
      <c r="AI233" s="104">
        <v>0</v>
      </c>
      <c r="AJ233" s="105"/>
      <c r="AK233" s="124"/>
      <c r="AL233" s="104">
        <v>0</v>
      </c>
      <c r="AM233" s="105"/>
      <c r="AN233" s="124"/>
      <c r="AO233" s="104">
        <v>0</v>
      </c>
      <c r="AP233" s="105"/>
      <c r="AQ233" s="124"/>
      <c r="AR233" s="104">
        <v>0</v>
      </c>
      <c r="AS233" s="105"/>
      <c r="AT233" s="124"/>
    </row>
    <row r="234" spans="1:46">
      <c r="A234" s="41">
        <f>VLOOKUP(B234,справочник!$B$2:$E$322,4,FALSE)</f>
        <v>68</v>
      </c>
      <c r="B234" t="str">
        <f t="shared" si="101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si="108"/>
        <v>56</v>
      </c>
      <c r="I234" s="1">
        <f t="shared" si="109"/>
        <v>56000</v>
      </c>
      <c r="J234" s="17">
        <f>12000+44000</f>
        <v>56000</v>
      </c>
      <c r="K234" s="17"/>
      <c r="L234" s="18">
        <f t="shared" si="95"/>
        <v>0</v>
      </c>
      <c r="M234" s="29"/>
      <c r="N234" s="29">
        <v>1600</v>
      </c>
      <c r="O234" s="29">
        <v>800</v>
      </c>
      <c r="P234" s="29"/>
      <c r="Q234" s="29">
        <v>800</v>
      </c>
      <c r="R234" s="29">
        <v>800</v>
      </c>
      <c r="S234" s="29"/>
      <c r="T234" s="29"/>
      <c r="U234" s="29">
        <v>800</v>
      </c>
      <c r="V234" s="29"/>
      <c r="W234" s="29"/>
      <c r="X234" s="29"/>
      <c r="Y234" s="18">
        <f t="shared" si="102"/>
        <v>4800</v>
      </c>
      <c r="Z234" s="96">
        <v>12</v>
      </c>
      <c r="AA234" s="96">
        <f t="shared" si="103"/>
        <v>9600</v>
      </c>
      <c r="AB234" s="96">
        <f t="shared" si="104"/>
        <v>4800</v>
      </c>
      <c r="AC234" s="99">
        <v>800</v>
      </c>
      <c r="AD234" s="98"/>
      <c r="AE234" s="102">
        <f t="shared" si="105"/>
        <v>5600</v>
      </c>
      <c r="AF234" s="99">
        <v>800</v>
      </c>
      <c r="AG234" s="98"/>
      <c r="AH234" s="102">
        <f t="shared" ref="AH234:AH259" si="110">AE234+AF234-AG234</f>
        <v>6400</v>
      </c>
      <c r="AI234" s="99">
        <v>800</v>
      </c>
      <c r="AJ234" s="98"/>
      <c r="AK234" s="102">
        <f t="shared" ref="AK234:AK259" si="111">AH234+AI234-AJ234</f>
        <v>7200</v>
      </c>
      <c r="AL234" s="99">
        <v>800</v>
      </c>
      <c r="AM234" s="98"/>
      <c r="AN234" s="102">
        <f t="shared" ref="AN234" si="112">AK234+AL234-AM234</f>
        <v>8000</v>
      </c>
      <c r="AO234" s="99">
        <v>800</v>
      </c>
      <c r="AP234" s="114"/>
      <c r="AQ234" s="102">
        <f t="shared" ref="AQ234" si="113">AN234+AO234-AP234</f>
        <v>8800</v>
      </c>
      <c r="AR234" s="99">
        <v>800</v>
      </c>
      <c r="AS234" s="114"/>
      <c r="AT234" s="102">
        <f t="shared" ref="AT234" si="114">AQ234+AR234-AS234</f>
        <v>9600</v>
      </c>
    </row>
    <row r="235" spans="1:46">
      <c r="A235" s="41">
        <f>VLOOKUP(B235,справочник!$B$2:$E$322,4,FALSE)</f>
        <v>224</v>
      </c>
      <c r="B235" t="str">
        <f t="shared" si="101"/>
        <v xml:space="preserve">233Рудая Наталья Викторовна           </v>
      </c>
      <c r="C235" s="1">
        <v>233</v>
      </c>
      <c r="D235" s="2" t="s">
        <v>220</v>
      </c>
      <c r="E235" s="1" t="s">
        <v>533</v>
      </c>
      <c r="F235" s="16">
        <v>41751</v>
      </c>
      <c r="G235" s="16">
        <v>41760</v>
      </c>
      <c r="H235" s="17">
        <f t="shared" si="108"/>
        <v>20</v>
      </c>
      <c r="I235" s="1">
        <f t="shared" si="109"/>
        <v>20000</v>
      </c>
      <c r="J235" s="17"/>
      <c r="K235" s="17"/>
      <c r="L235" s="18">
        <f t="shared" si="95"/>
        <v>20000</v>
      </c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18">
        <f t="shared" si="102"/>
        <v>0</v>
      </c>
      <c r="Z235" s="96">
        <v>12</v>
      </c>
      <c r="AA235" s="96">
        <f t="shared" si="103"/>
        <v>9600</v>
      </c>
      <c r="AB235" s="96">
        <f t="shared" si="104"/>
        <v>29600</v>
      </c>
      <c r="AC235" s="99">
        <v>800</v>
      </c>
      <c r="AD235" s="98"/>
      <c r="AE235" s="102">
        <f t="shared" si="105"/>
        <v>30400</v>
      </c>
      <c r="AF235" s="99">
        <v>800</v>
      </c>
      <c r="AG235" s="98"/>
      <c r="AH235" s="102">
        <f t="shared" si="110"/>
        <v>31200</v>
      </c>
      <c r="AI235" s="99">
        <v>800</v>
      </c>
      <c r="AJ235" s="98">
        <v>10200</v>
      </c>
      <c r="AK235" s="102">
        <f>AH235+AI235-AJ235</f>
        <v>21800</v>
      </c>
      <c r="AL235" s="99">
        <v>800</v>
      </c>
      <c r="AM235" s="98">
        <v>10800</v>
      </c>
      <c r="AN235" s="102">
        <f>AK235+AL235-AM235</f>
        <v>11800</v>
      </c>
      <c r="AO235" s="99">
        <v>800</v>
      </c>
      <c r="AP235" s="114"/>
      <c r="AQ235" s="102">
        <f>AN235+AO235-AP235</f>
        <v>12600</v>
      </c>
      <c r="AR235" s="99">
        <v>800</v>
      </c>
      <c r="AS235" s="114">
        <v>10000</v>
      </c>
      <c r="AT235" s="102">
        <f>AQ235+AR235-AS235</f>
        <v>3400</v>
      </c>
    </row>
    <row r="236" spans="1:46">
      <c r="A236" s="41">
        <f>VLOOKUP(B236,справочник!$B$2:$E$322,4,FALSE)</f>
        <v>134</v>
      </c>
      <c r="B236" t="str">
        <f t="shared" si="101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108"/>
        <v>49</v>
      </c>
      <c r="I236" s="1">
        <f t="shared" si="109"/>
        <v>49000</v>
      </c>
      <c r="J236" s="17">
        <f>37000</f>
        <v>37000</v>
      </c>
      <c r="K236" s="17"/>
      <c r="L236" s="18">
        <f t="shared" si="95"/>
        <v>12000</v>
      </c>
      <c r="M236" s="29">
        <v>12000</v>
      </c>
      <c r="N236" s="29">
        <v>4800</v>
      </c>
      <c r="O236" s="29"/>
      <c r="P236" s="29"/>
      <c r="Q236" s="29"/>
      <c r="R236" s="29"/>
      <c r="S236" s="29"/>
      <c r="T236" s="29"/>
      <c r="U236" s="29"/>
      <c r="V236" s="29">
        <v>4800</v>
      </c>
      <c r="W236" s="29"/>
      <c r="X236" s="29"/>
      <c r="Y236" s="18">
        <f t="shared" si="102"/>
        <v>21600</v>
      </c>
      <c r="Z236" s="96">
        <v>12</v>
      </c>
      <c r="AA236" s="96">
        <f t="shared" si="103"/>
        <v>9600</v>
      </c>
      <c r="AB236" s="96">
        <f t="shared" si="104"/>
        <v>0</v>
      </c>
      <c r="AC236" s="99">
        <v>800</v>
      </c>
      <c r="AD236" s="98"/>
      <c r="AE236" s="102">
        <f t="shared" si="105"/>
        <v>800</v>
      </c>
      <c r="AF236" s="99">
        <v>800</v>
      </c>
      <c r="AG236" s="98"/>
      <c r="AH236" s="102">
        <f t="shared" si="110"/>
        <v>1600</v>
      </c>
      <c r="AI236" s="99">
        <v>800</v>
      </c>
      <c r="AJ236" s="98"/>
      <c r="AK236" s="102">
        <f t="shared" si="111"/>
        <v>2400</v>
      </c>
      <c r="AL236" s="99">
        <v>800</v>
      </c>
      <c r="AM236" s="98"/>
      <c r="AN236" s="102">
        <f t="shared" ref="AN236:AN259" si="115">AK236+AL236-AM236</f>
        <v>3200</v>
      </c>
      <c r="AO236" s="99">
        <v>800</v>
      </c>
      <c r="AP236" s="114"/>
      <c r="AQ236" s="102">
        <f t="shared" ref="AQ236:AQ259" si="116">AN236+AO236-AP236</f>
        <v>4000</v>
      </c>
      <c r="AR236" s="99">
        <v>800</v>
      </c>
      <c r="AS236" s="114">
        <v>4800</v>
      </c>
      <c r="AT236" s="102">
        <f t="shared" ref="AT236:AT259" si="117">AQ236+AR236-AS236</f>
        <v>0</v>
      </c>
    </row>
    <row r="237" spans="1:46" ht="38.25" customHeight="1">
      <c r="A237" s="41">
        <f>VLOOKUP(B237,справочник!$B$2:$E$322,4,FALSE)</f>
        <v>267</v>
      </c>
      <c r="B237" t="str">
        <f t="shared" si="101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108"/>
        <v>45</v>
      </c>
      <c r="I237" s="1">
        <f t="shared" si="109"/>
        <v>45000</v>
      </c>
      <c r="J237" s="17">
        <f>41000</f>
        <v>41000</v>
      </c>
      <c r="K237" s="17"/>
      <c r="L237" s="18">
        <f t="shared" si="95"/>
        <v>4000</v>
      </c>
      <c r="M237" s="29"/>
      <c r="N237" s="29">
        <v>4000</v>
      </c>
      <c r="O237" s="29">
        <v>2000</v>
      </c>
      <c r="P237" s="29">
        <v>2000</v>
      </c>
      <c r="Q237" s="29"/>
      <c r="R237" s="29"/>
      <c r="S237" s="29"/>
      <c r="T237" s="29"/>
      <c r="U237" s="29">
        <v>2000</v>
      </c>
      <c r="V237" s="29">
        <v>2000</v>
      </c>
      <c r="W237" s="84">
        <v>2000</v>
      </c>
      <c r="X237" s="29"/>
      <c r="Y237" s="18">
        <f t="shared" si="102"/>
        <v>14000</v>
      </c>
      <c r="Z237" s="96">
        <v>12</v>
      </c>
      <c r="AA237" s="96">
        <f t="shared" si="103"/>
        <v>9600</v>
      </c>
      <c r="AB237" s="96">
        <f t="shared" si="104"/>
        <v>-400</v>
      </c>
      <c r="AC237" s="99">
        <v>800</v>
      </c>
      <c r="AD237" s="98"/>
      <c r="AE237" s="102">
        <f t="shared" si="105"/>
        <v>400</v>
      </c>
      <c r="AF237" s="99">
        <v>800</v>
      </c>
      <c r="AG237" s="98">
        <v>2000</v>
      </c>
      <c r="AH237" s="102">
        <f t="shared" si="110"/>
        <v>-800</v>
      </c>
      <c r="AI237" s="99">
        <v>800</v>
      </c>
      <c r="AJ237" s="98"/>
      <c r="AK237" s="102">
        <f t="shared" si="111"/>
        <v>0</v>
      </c>
      <c r="AL237" s="99">
        <v>800</v>
      </c>
      <c r="AM237" s="98"/>
      <c r="AN237" s="102">
        <f t="shared" si="115"/>
        <v>800</v>
      </c>
      <c r="AO237" s="99">
        <v>800</v>
      </c>
      <c r="AP237" s="114"/>
      <c r="AQ237" s="102">
        <f t="shared" si="116"/>
        <v>1600</v>
      </c>
      <c r="AR237" s="99">
        <v>800</v>
      </c>
      <c r="AS237" s="114"/>
      <c r="AT237" s="102">
        <f t="shared" si="117"/>
        <v>2400</v>
      </c>
    </row>
    <row r="238" spans="1:46">
      <c r="A238" s="41">
        <f>VLOOKUP(B238,справочник!$B$2:$E$322,4,FALSE)</f>
        <v>258</v>
      </c>
      <c r="B238" t="str">
        <f t="shared" si="101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108"/>
        <v>44</v>
      </c>
      <c r="I238" s="1">
        <f t="shared" si="109"/>
        <v>44000</v>
      </c>
      <c r="J238" s="17">
        <v>44000</v>
      </c>
      <c r="K238" s="17"/>
      <c r="L238" s="18">
        <f t="shared" si="95"/>
        <v>0</v>
      </c>
      <c r="M238" s="29"/>
      <c r="N238" s="29"/>
      <c r="O238" s="29"/>
      <c r="P238" s="29"/>
      <c r="Q238" s="29"/>
      <c r="R238" s="29">
        <v>4800</v>
      </c>
      <c r="S238" s="29"/>
      <c r="T238" s="29"/>
      <c r="U238" s="29"/>
      <c r="V238" s="29"/>
      <c r="W238" s="29"/>
      <c r="X238" s="29"/>
      <c r="Y238" s="18">
        <f t="shared" si="102"/>
        <v>4800</v>
      </c>
      <c r="Z238" s="96">
        <v>12</v>
      </c>
      <c r="AA238" s="96">
        <f t="shared" si="103"/>
        <v>9600</v>
      </c>
      <c r="AB238" s="96">
        <f t="shared" si="104"/>
        <v>4800</v>
      </c>
      <c r="AC238" s="99">
        <v>800</v>
      </c>
      <c r="AD238" s="98"/>
      <c r="AE238" s="102">
        <f t="shared" si="105"/>
        <v>5600</v>
      </c>
      <c r="AF238" s="99">
        <v>800</v>
      </c>
      <c r="AG238" s="98"/>
      <c r="AH238" s="102">
        <f t="shared" si="110"/>
        <v>6400</v>
      </c>
      <c r="AI238" s="99">
        <v>800</v>
      </c>
      <c r="AJ238" s="98"/>
      <c r="AK238" s="102">
        <f t="shared" si="111"/>
        <v>7200</v>
      </c>
      <c r="AL238" s="99">
        <v>800</v>
      </c>
      <c r="AM238" s="98">
        <v>6800</v>
      </c>
      <c r="AN238" s="102">
        <f t="shared" si="115"/>
        <v>1200</v>
      </c>
      <c r="AO238" s="99">
        <v>800</v>
      </c>
      <c r="AP238" s="114"/>
      <c r="AQ238" s="102">
        <f t="shared" si="116"/>
        <v>2000</v>
      </c>
      <c r="AR238" s="99">
        <v>800</v>
      </c>
      <c r="AS238" s="114"/>
      <c r="AT238" s="102">
        <f t="shared" si="117"/>
        <v>2800</v>
      </c>
    </row>
    <row r="239" spans="1:46" ht="25.5">
      <c r="A239" s="41">
        <f>VLOOKUP(B239,справочник!$B$2:$E$322,4,FALSE)</f>
        <v>299</v>
      </c>
      <c r="B239" t="str">
        <f t="shared" si="101"/>
        <v>314Садовников Алексей Владимирович(Рошка Александр Николаевич)</v>
      </c>
      <c r="C239" s="1">
        <v>314</v>
      </c>
      <c r="D239" s="2" t="s">
        <v>224</v>
      </c>
      <c r="E239" s="1"/>
      <c r="F239" s="16">
        <v>42017</v>
      </c>
      <c r="G239" s="16">
        <v>41275</v>
      </c>
      <c r="H239" s="17">
        <f t="shared" si="108"/>
        <v>36</v>
      </c>
      <c r="I239" s="1">
        <f t="shared" si="109"/>
        <v>36000</v>
      </c>
      <c r="J239" s="17">
        <f>1000</f>
        <v>1000</v>
      </c>
      <c r="K239" s="17">
        <v>3000</v>
      </c>
      <c r="L239" s="18">
        <f t="shared" si="95"/>
        <v>32000</v>
      </c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18">
        <f t="shared" si="102"/>
        <v>0</v>
      </c>
      <c r="Z239" s="96">
        <v>12</v>
      </c>
      <c r="AA239" s="96">
        <f t="shared" si="103"/>
        <v>9600</v>
      </c>
      <c r="AB239" s="96">
        <f t="shared" si="104"/>
        <v>41600</v>
      </c>
      <c r="AC239" s="99">
        <v>800</v>
      </c>
      <c r="AD239" s="98"/>
      <c r="AE239" s="102">
        <f t="shared" si="105"/>
        <v>42400</v>
      </c>
      <c r="AF239" s="99">
        <v>800</v>
      </c>
      <c r="AG239" s="98"/>
      <c r="AH239" s="102">
        <f t="shared" si="110"/>
        <v>43200</v>
      </c>
      <c r="AI239" s="99">
        <v>800</v>
      </c>
      <c r="AJ239" s="98"/>
      <c r="AK239" s="102">
        <f t="shared" si="111"/>
        <v>44000</v>
      </c>
      <c r="AL239" s="99">
        <v>800</v>
      </c>
      <c r="AM239" s="98"/>
      <c r="AN239" s="102">
        <f t="shared" si="115"/>
        <v>44800</v>
      </c>
      <c r="AO239" s="99">
        <v>800</v>
      </c>
      <c r="AP239" s="114"/>
      <c r="AQ239" s="102">
        <f t="shared" si="116"/>
        <v>45600</v>
      </c>
      <c r="AR239" s="99">
        <v>800</v>
      </c>
      <c r="AS239" s="114"/>
      <c r="AT239" s="102">
        <f t="shared" si="117"/>
        <v>46400</v>
      </c>
    </row>
    <row r="240" spans="1:46">
      <c r="A240" s="41">
        <f>VLOOKUP(B240,справочник!$B$2:$E$322,4,FALSE)</f>
        <v>239</v>
      </c>
      <c r="B240" t="str">
        <f t="shared" si="101"/>
        <v>250Салопаева Татьяна Сергеевна</v>
      </c>
      <c r="C240" s="1">
        <v>250</v>
      </c>
      <c r="D240" s="2" t="s">
        <v>226</v>
      </c>
      <c r="E240" s="1" t="s">
        <v>537</v>
      </c>
      <c r="F240" s="16">
        <v>40973</v>
      </c>
      <c r="G240" s="16">
        <v>40969</v>
      </c>
      <c r="H240" s="17">
        <f t="shared" si="108"/>
        <v>46</v>
      </c>
      <c r="I240" s="1">
        <f t="shared" si="109"/>
        <v>46000</v>
      </c>
      <c r="J240" s="17">
        <v>26000</v>
      </c>
      <c r="K240" s="17"/>
      <c r="L240" s="18">
        <f t="shared" si="95"/>
        <v>20000</v>
      </c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18">
        <f t="shared" si="102"/>
        <v>0</v>
      </c>
      <c r="Z240" s="96">
        <v>12</v>
      </c>
      <c r="AA240" s="96">
        <f t="shared" si="103"/>
        <v>9600</v>
      </c>
      <c r="AB240" s="96">
        <f t="shared" si="104"/>
        <v>29600</v>
      </c>
      <c r="AC240" s="99">
        <v>800</v>
      </c>
      <c r="AD240" s="98"/>
      <c r="AE240" s="102">
        <f t="shared" si="105"/>
        <v>30400</v>
      </c>
      <c r="AF240" s="99">
        <v>800</v>
      </c>
      <c r="AG240" s="98"/>
      <c r="AH240" s="102">
        <f t="shared" si="110"/>
        <v>31200</v>
      </c>
      <c r="AI240" s="99">
        <v>800</v>
      </c>
      <c r="AJ240" s="98"/>
      <c r="AK240" s="102">
        <f t="shared" si="111"/>
        <v>32000</v>
      </c>
      <c r="AL240" s="99">
        <v>800</v>
      </c>
      <c r="AM240" s="98"/>
      <c r="AN240" s="102">
        <f t="shared" si="115"/>
        <v>32800</v>
      </c>
      <c r="AO240" s="99">
        <v>800</v>
      </c>
      <c r="AP240" s="114"/>
      <c r="AQ240" s="102">
        <f t="shared" si="116"/>
        <v>33600</v>
      </c>
      <c r="AR240" s="99">
        <v>800</v>
      </c>
      <c r="AS240" s="114"/>
      <c r="AT240" s="102">
        <f t="shared" si="117"/>
        <v>34400</v>
      </c>
    </row>
    <row r="241" spans="1:46">
      <c r="A241" s="41">
        <f>VLOOKUP(B241,справочник!$B$2:$E$322,4,FALSE)</f>
        <v>238</v>
      </c>
      <c r="B241" t="str">
        <f t="shared" si="101"/>
        <v>249Самоволькина Ирина Владимировна</v>
      </c>
      <c r="C241" s="1">
        <v>249</v>
      </c>
      <c r="D241" s="2" t="s">
        <v>227</v>
      </c>
      <c r="E241" s="1" t="s">
        <v>538</v>
      </c>
      <c r="F241" s="16">
        <v>41079</v>
      </c>
      <c r="G241" s="16">
        <v>41061</v>
      </c>
      <c r="H241" s="17">
        <f t="shared" si="108"/>
        <v>43</v>
      </c>
      <c r="I241" s="1">
        <f t="shared" si="109"/>
        <v>43000</v>
      </c>
      <c r="J241" s="17"/>
      <c r="K241" s="17"/>
      <c r="L241" s="18">
        <f t="shared" si="95"/>
        <v>43000</v>
      </c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18">
        <f t="shared" si="102"/>
        <v>0</v>
      </c>
      <c r="Z241" s="96">
        <v>12</v>
      </c>
      <c r="AA241" s="96">
        <f t="shared" si="103"/>
        <v>9600</v>
      </c>
      <c r="AB241" s="96">
        <f t="shared" si="104"/>
        <v>52600</v>
      </c>
      <c r="AC241" s="99">
        <v>800</v>
      </c>
      <c r="AD241" s="98"/>
      <c r="AE241" s="102">
        <f t="shared" si="105"/>
        <v>53400</v>
      </c>
      <c r="AF241" s="99">
        <v>800</v>
      </c>
      <c r="AG241" s="98"/>
      <c r="AH241" s="102">
        <f t="shared" si="110"/>
        <v>54200</v>
      </c>
      <c r="AI241" s="99">
        <v>800</v>
      </c>
      <c r="AJ241" s="98"/>
      <c r="AK241" s="102">
        <f t="shared" si="111"/>
        <v>55000</v>
      </c>
      <c r="AL241" s="99">
        <v>800</v>
      </c>
      <c r="AM241" s="98"/>
      <c r="AN241" s="102">
        <f t="shared" si="115"/>
        <v>55800</v>
      </c>
      <c r="AO241" s="99">
        <v>800</v>
      </c>
      <c r="AP241" s="114"/>
      <c r="AQ241" s="102">
        <f t="shared" si="116"/>
        <v>56600</v>
      </c>
      <c r="AR241" s="99">
        <v>800</v>
      </c>
      <c r="AS241" s="114"/>
      <c r="AT241" s="102">
        <f t="shared" si="117"/>
        <v>57400</v>
      </c>
    </row>
    <row r="242" spans="1:46">
      <c r="A242" s="41">
        <f>VLOOKUP(B242,справочник!$B$2:$E$322,4,FALSE)</f>
        <v>297</v>
      </c>
      <c r="B242" t="str">
        <f t="shared" si="101"/>
        <v>312Саргсян Оганнес Ншанович</v>
      </c>
      <c r="C242" s="1">
        <v>312</v>
      </c>
      <c r="D242" s="2" t="s">
        <v>228</v>
      </c>
      <c r="E242" s="1" t="s">
        <v>539</v>
      </c>
      <c r="F242" s="16">
        <v>42004</v>
      </c>
      <c r="G242" s="16">
        <v>42005</v>
      </c>
      <c r="H242" s="17">
        <f t="shared" si="108"/>
        <v>12</v>
      </c>
      <c r="I242" s="1">
        <f t="shared" si="109"/>
        <v>12000</v>
      </c>
      <c r="J242" s="17"/>
      <c r="K242" s="17"/>
      <c r="L242" s="18">
        <f t="shared" si="95"/>
        <v>12000</v>
      </c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18">
        <f t="shared" si="102"/>
        <v>0</v>
      </c>
      <c r="Z242" s="96">
        <v>12</v>
      </c>
      <c r="AA242" s="96">
        <f t="shared" si="103"/>
        <v>9600</v>
      </c>
      <c r="AB242" s="96">
        <f t="shared" si="104"/>
        <v>21600</v>
      </c>
      <c r="AC242" s="99">
        <v>800</v>
      </c>
      <c r="AD242" s="98"/>
      <c r="AE242" s="102">
        <f t="shared" si="105"/>
        <v>22400</v>
      </c>
      <c r="AF242" s="99">
        <v>800</v>
      </c>
      <c r="AG242" s="98"/>
      <c r="AH242" s="102">
        <f t="shared" si="110"/>
        <v>23200</v>
      </c>
      <c r="AI242" s="99">
        <v>800</v>
      </c>
      <c r="AJ242" s="98"/>
      <c r="AK242" s="102">
        <f t="shared" si="111"/>
        <v>24000</v>
      </c>
      <c r="AL242" s="99">
        <v>800</v>
      </c>
      <c r="AM242" s="98"/>
      <c r="AN242" s="102">
        <f t="shared" si="115"/>
        <v>24800</v>
      </c>
      <c r="AO242" s="99">
        <v>800</v>
      </c>
      <c r="AP242" s="114"/>
      <c r="AQ242" s="102">
        <f t="shared" si="116"/>
        <v>25600</v>
      </c>
      <c r="AR242" s="99">
        <v>800</v>
      </c>
      <c r="AS242" s="114"/>
      <c r="AT242" s="102">
        <f t="shared" si="117"/>
        <v>26400</v>
      </c>
    </row>
    <row r="243" spans="1:46" ht="25.5">
      <c r="A243" s="41">
        <f>VLOOKUP(B243,справочник!$B$2:$E$322,4,FALSE)</f>
        <v>128</v>
      </c>
      <c r="B243" t="str">
        <f t="shared" si="101"/>
        <v>135Сафронова Наталья Михайловна (у Дедков Илья Егорьевич купила)</v>
      </c>
      <c r="C243" s="1">
        <v>135</v>
      </c>
      <c r="D243" s="2" t="s">
        <v>229</v>
      </c>
      <c r="E243" s="1" t="s">
        <v>540</v>
      </c>
      <c r="F243" s="16">
        <v>41358</v>
      </c>
      <c r="G243" s="16">
        <v>41365</v>
      </c>
      <c r="H243" s="17">
        <f t="shared" si="108"/>
        <v>33</v>
      </c>
      <c r="I243" s="1">
        <f t="shared" si="109"/>
        <v>33000</v>
      </c>
      <c r="J243" s="17">
        <v>26000</v>
      </c>
      <c r="K243" s="17"/>
      <c r="L243" s="18">
        <f t="shared" si="95"/>
        <v>7000</v>
      </c>
      <c r="M243" s="29">
        <v>4000</v>
      </c>
      <c r="N243" s="29"/>
      <c r="O243" s="29"/>
      <c r="P243" s="29"/>
      <c r="Q243" s="29"/>
      <c r="R243" s="29"/>
      <c r="S243" s="29"/>
      <c r="T243" s="29"/>
      <c r="U243" s="29">
        <v>3200</v>
      </c>
      <c r="V243" s="29"/>
      <c r="W243" s="29">
        <v>2400</v>
      </c>
      <c r="X243" s="29"/>
      <c r="Y243" s="18">
        <f t="shared" si="102"/>
        <v>9600</v>
      </c>
      <c r="Z243" s="96">
        <v>12</v>
      </c>
      <c r="AA243" s="96">
        <f t="shared" si="103"/>
        <v>9600</v>
      </c>
      <c r="AB243" s="96">
        <f t="shared" si="104"/>
        <v>7000</v>
      </c>
      <c r="AC243" s="99">
        <v>800</v>
      </c>
      <c r="AD243" s="98"/>
      <c r="AE243" s="102">
        <f t="shared" si="105"/>
        <v>7800</v>
      </c>
      <c r="AF243" s="99">
        <v>800</v>
      </c>
      <c r="AG243" s="98"/>
      <c r="AH243" s="102">
        <f t="shared" si="110"/>
        <v>8600</v>
      </c>
      <c r="AI243" s="99">
        <v>800</v>
      </c>
      <c r="AJ243" s="98"/>
      <c r="AK243" s="102">
        <f t="shared" si="111"/>
        <v>9400</v>
      </c>
      <c r="AL243" s="99">
        <v>800</v>
      </c>
      <c r="AM243" s="98">
        <v>5433.38</v>
      </c>
      <c r="AN243" s="102">
        <f t="shared" si="115"/>
        <v>4766.62</v>
      </c>
      <c r="AO243" s="99">
        <v>800</v>
      </c>
      <c r="AP243" s="114">
        <v>4767</v>
      </c>
      <c r="AQ243" s="102">
        <f t="shared" si="116"/>
        <v>799.61999999999989</v>
      </c>
      <c r="AR243" s="99">
        <v>800</v>
      </c>
      <c r="AS243" s="114"/>
      <c r="AT243" s="102">
        <f t="shared" si="117"/>
        <v>1599.62</v>
      </c>
    </row>
    <row r="244" spans="1:46">
      <c r="A244" s="41">
        <f>VLOOKUP(B244,справочник!$B$2:$E$322,4,FALSE)</f>
        <v>67</v>
      </c>
      <c r="B244" t="str">
        <f t="shared" si="101"/>
        <v>69Сбитнева Юлия Сергеевна</v>
      </c>
      <c r="C244" s="1">
        <v>69</v>
      </c>
      <c r="D244" s="2" t="s">
        <v>230</v>
      </c>
      <c r="E244" s="1" t="s">
        <v>541</v>
      </c>
      <c r="F244" s="16">
        <v>41012</v>
      </c>
      <c r="G244" s="16">
        <v>41000</v>
      </c>
      <c r="H244" s="17">
        <f t="shared" si="108"/>
        <v>45</v>
      </c>
      <c r="I244" s="1">
        <f t="shared" si="109"/>
        <v>45000</v>
      </c>
      <c r="J244" s="17">
        <v>1000</v>
      </c>
      <c r="K244" s="17"/>
      <c r="L244" s="18">
        <f t="shared" si="95"/>
        <v>44000</v>
      </c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18">
        <f t="shared" si="102"/>
        <v>0</v>
      </c>
      <c r="Z244" s="96">
        <v>12</v>
      </c>
      <c r="AA244" s="96">
        <f t="shared" si="103"/>
        <v>9600</v>
      </c>
      <c r="AB244" s="96">
        <f t="shared" si="104"/>
        <v>53600</v>
      </c>
      <c r="AC244" s="99">
        <v>800</v>
      </c>
      <c r="AD244" s="98"/>
      <c r="AE244" s="102">
        <f t="shared" si="105"/>
        <v>54400</v>
      </c>
      <c r="AF244" s="99">
        <v>800</v>
      </c>
      <c r="AG244" s="98"/>
      <c r="AH244" s="102">
        <f t="shared" si="110"/>
        <v>55200</v>
      </c>
      <c r="AI244" s="99">
        <v>800</v>
      </c>
      <c r="AJ244" s="98"/>
      <c r="AK244" s="102">
        <f t="shared" si="111"/>
        <v>56000</v>
      </c>
      <c r="AL244" s="99">
        <v>800</v>
      </c>
      <c r="AM244" s="98"/>
      <c r="AN244" s="102">
        <f t="shared" si="115"/>
        <v>56800</v>
      </c>
      <c r="AO244" s="99">
        <v>800</v>
      </c>
      <c r="AP244" s="114"/>
      <c r="AQ244" s="102">
        <f t="shared" si="116"/>
        <v>57600</v>
      </c>
      <c r="AR244" s="99">
        <v>800</v>
      </c>
      <c r="AS244" s="114"/>
      <c r="AT244" s="102">
        <f t="shared" si="117"/>
        <v>58400</v>
      </c>
    </row>
    <row r="245" spans="1:46">
      <c r="A245" s="41" t="e">
        <f>VLOOKUP(B245,справочник!$B$2:$E$322,4,FALSE)</f>
        <v>#N/A</v>
      </c>
      <c r="B245" t="str">
        <f t="shared" si="101"/>
        <v>290___Севастьянов Михаил Григорьевич</v>
      </c>
      <c r="C245" s="1" t="s">
        <v>702</v>
      </c>
      <c r="D245" s="2" t="s">
        <v>231</v>
      </c>
      <c r="E245" s="1" t="s">
        <v>542</v>
      </c>
      <c r="F245" s="16">
        <v>40897</v>
      </c>
      <c r="G245" s="16">
        <v>40909</v>
      </c>
      <c r="H245" s="17">
        <v>30</v>
      </c>
      <c r="I245" s="1">
        <f t="shared" si="109"/>
        <v>30000</v>
      </c>
      <c r="J245" s="17">
        <v>1000</v>
      </c>
      <c r="K245" s="17"/>
      <c r="L245" s="18">
        <f t="shared" si="95"/>
        <v>29000</v>
      </c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18">
        <f>SUM(M245:X245)</f>
        <v>0</v>
      </c>
      <c r="Z245" s="96"/>
      <c r="AA245" s="96">
        <f t="shared" si="103"/>
        <v>0</v>
      </c>
      <c r="AB245" s="96">
        <f t="shared" si="104"/>
        <v>29000</v>
      </c>
      <c r="AC245" s="99"/>
      <c r="AD245" s="98"/>
      <c r="AE245" s="102">
        <f t="shared" si="105"/>
        <v>29000</v>
      </c>
      <c r="AF245" s="99"/>
      <c r="AG245" s="98"/>
      <c r="AH245" s="102">
        <f t="shared" si="110"/>
        <v>29000</v>
      </c>
      <c r="AI245" s="99"/>
      <c r="AJ245" s="98"/>
      <c r="AK245" s="102">
        <f t="shared" si="111"/>
        <v>29000</v>
      </c>
      <c r="AL245" s="99"/>
      <c r="AM245" s="98"/>
      <c r="AN245" s="102">
        <f t="shared" si="115"/>
        <v>29000</v>
      </c>
      <c r="AO245" s="99"/>
      <c r="AP245" s="114"/>
      <c r="AQ245" s="102">
        <f t="shared" si="116"/>
        <v>29000</v>
      </c>
      <c r="AR245" s="99"/>
      <c r="AS245" s="114"/>
      <c r="AT245" s="102">
        <f t="shared" si="117"/>
        <v>29000</v>
      </c>
    </row>
    <row r="246" spans="1:46" ht="25.5">
      <c r="A246" s="41" t="e">
        <f>VLOOKUP(B246,справочник!$B$2:$E$322,4,FALSE)</f>
        <v>#N/A</v>
      </c>
      <c r="B246" t="str">
        <f t="shared" si="101"/>
        <v>292Севрюгина Ольга Викторовна(Плесковский А.В.)</v>
      </c>
      <c r="C246" s="1">
        <v>292</v>
      </c>
      <c r="D246" s="2" t="s">
        <v>745</v>
      </c>
      <c r="E246" s="1" t="s">
        <v>543</v>
      </c>
      <c r="F246" s="16">
        <v>40897</v>
      </c>
      <c r="G246" s="16">
        <v>40878</v>
      </c>
      <c r="H246" s="17">
        <f t="shared" ref="H246:H265" si="118">INT(($H$325-G246)/30)</f>
        <v>49</v>
      </c>
      <c r="I246" s="1">
        <f t="shared" si="109"/>
        <v>49000</v>
      </c>
      <c r="J246" s="17">
        <f>43000+1000</f>
        <v>44000</v>
      </c>
      <c r="K246" s="17"/>
      <c r="L246" s="18">
        <f t="shared" si="95"/>
        <v>5000</v>
      </c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18">
        <f t="shared" si="102"/>
        <v>0</v>
      </c>
      <c r="Z246" s="96">
        <v>12</v>
      </c>
      <c r="AA246" s="96">
        <f t="shared" si="103"/>
        <v>9600</v>
      </c>
      <c r="AB246" s="96">
        <f t="shared" si="104"/>
        <v>14600</v>
      </c>
      <c r="AC246" s="99">
        <v>800</v>
      </c>
      <c r="AD246" s="98"/>
      <c r="AE246" s="102">
        <f t="shared" si="105"/>
        <v>15400</v>
      </c>
      <c r="AF246" s="99">
        <v>800</v>
      </c>
      <c r="AG246" s="98">
        <v>3000</v>
      </c>
      <c r="AH246" s="102">
        <f t="shared" si="110"/>
        <v>13200</v>
      </c>
      <c r="AI246" s="99">
        <v>800</v>
      </c>
      <c r="AJ246" s="98"/>
      <c r="AK246" s="102">
        <f t="shared" si="111"/>
        <v>14000</v>
      </c>
      <c r="AL246" s="99">
        <v>800</v>
      </c>
      <c r="AM246" s="98">
        <v>2000</v>
      </c>
      <c r="AN246" s="102">
        <f t="shared" si="115"/>
        <v>12800</v>
      </c>
      <c r="AO246" s="99">
        <v>800</v>
      </c>
      <c r="AP246" s="114"/>
      <c r="AQ246" s="102">
        <f t="shared" si="116"/>
        <v>13600</v>
      </c>
      <c r="AR246" s="99">
        <v>800</v>
      </c>
      <c r="AS246" s="114">
        <v>2000</v>
      </c>
      <c r="AT246" s="102">
        <f>AQ246+AR246-AS246</f>
        <v>12400</v>
      </c>
    </row>
    <row r="247" spans="1:46">
      <c r="A247" s="41">
        <f>VLOOKUP(B247,справочник!$B$2:$E$322,4,FALSE)</f>
        <v>215</v>
      </c>
      <c r="B247" t="str">
        <f t="shared" si="101"/>
        <v xml:space="preserve">224Семенова Рима Прановна    </v>
      </c>
      <c r="C247" s="1">
        <v>224</v>
      </c>
      <c r="D247" s="2" t="s">
        <v>233</v>
      </c>
      <c r="E247" s="1" t="s">
        <v>544</v>
      </c>
      <c r="F247" s="16">
        <v>41772</v>
      </c>
      <c r="G247" s="16">
        <v>41791</v>
      </c>
      <c r="H247" s="17">
        <f t="shared" si="118"/>
        <v>19</v>
      </c>
      <c r="I247" s="1">
        <f t="shared" si="109"/>
        <v>19000</v>
      </c>
      <c r="J247" s="17">
        <v>16000</v>
      </c>
      <c r="K247" s="17"/>
      <c r="L247" s="18">
        <f t="shared" si="95"/>
        <v>3000</v>
      </c>
      <c r="M247" s="29"/>
      <c r="N247" s="29">
        <v>7000</v>
      </c>
      <c r="O247" s="29"/>
      <c r="P247" s="29"/>
      <c r="Q247" s="29"/>
      <c r="R247" s="29"/>
      <c r="S247" s="29"/>
      <c r="T247" s="29"/>
      <c r="U247" s="29"/>
      <c r="V247" s="29"/>
      <c r="W247" s="29"/>
      <c r="X247" s="29">
        <v>10000</v>
      </c>
      <c r="Y247" s="18">
        <f t="shared" si="102"/>
        <v>17000</v>
      </c>
      <c r="Z247" s="96">
        <v>12</v>
      </c>
      <c r="AA247" s="96">
        <f t="shared" si="103"/>
        <v>9600</v>
      </c>
      <c r="AB247" s="96">
        <f t="shared" si="104"/>
        <v>-4400</v>
      </c>
      <c r="AC247" s="99">
        <v>800</v>
      </c>
      <c r="AD247" s="98"/>
      <c r="AE247" s="102">
        <f t="shared" si="105"/>
        <v>-3600</v>
      </c>
      <c r="AF247" s="99">
        <v>800</v>
      </c>
      <c r="AG247" s="98"/>
      <c r="AH247" s="102">
        <f t="shared" si="110"/>
        <v>-2800</v>
      </c>
      <c r="AI247" s="99">
        <v>800</v>
      </c>
      <c r="AJ247" s="98"/>
      <c r="AK247" s="102">
        <f t="shared" si="111"/>
        <v>-2000</v>
      </c>
      <c r="AL247" s="99">
        <v>800</v>
      </c>
      <c r="AM247" s="98"/>
      <c r="AN247" s="102">
        <f t="shared" si="115"/>
        <v>-1200</v>
      </c>
      <c r="AO247" s="99">
        <v>800</v>
      </c>
      <c r="AP247" s="114"/>
      <c r="AQ247" s="102">
        <f t="shared" si="116"/>
        <v>-400</v>
      </c>
      <c r="AR247" s="99">
        <v>800</v>
      </c>
      <c r="AS247" s="114"/>
      <c r="AT247" s="102">
        <f t="shared" si="117"/>
        <v>400</v>
      </c>
    </row>
    <row r="248" spans="1:46">
      <c r="A248" s="41">
        <f>VLOOKUP(B248,справочник!$B$2:$E$322,4,FALSE)</f>
        <v>241</v>
      </c>
      <c r="B248" t="str">
        <f t="shared" si="101"/>
        <v>252Сёмин Александр Иванович</v>
      </c>
      <c r="C248" s="1">
        <v>252</v>
      </c>
      <c r="D248" s="2" t="s">
        <v>234</v>
      </c>
      <c r="E248" s="1" t="s">
        <v>545</v>
      </c>
      <c r="F248" s="16">
        <v>40677</v>
      </c>
      <c r="G248" s="16">
        <v>40695</v>
      </c>
      <c r="H248" s="17">
        <f t="shared" si="118"/>
        <v>55</v>
      </c>
      <c r="I248" s="1">
        <f t="shared" si="109"/>
        <v>55000</v>
      </c>
      <c r="J248" s="17">
        <f>7000+41000</f>
        <v>48000</v>
      </c>
      <c r="K248" s="17">
        <v>4800</v>
      </c>
      <c r="L248" s="18">
        <f t="shared" si="95"/>
        <v>2200</v>
      </c>
      <c r="M248" s="29">
        <v>3000</v>
      </c>
      <c r="N248" s="29">
        <v>800</v>
      </c>
      <c r="O248" s="29">
        <v>800</v>
      </c>
      <c r="P248" s="29"/>
      <c r="Q248" s="29"/>
      <c r="R248" s="29">
        <v>2400</v>
      </c>
      <c r="S248" s="29">
        <v>800</v>
      </c>
      <c r="T248">
        <v>800</v>
      </c>
      <c r="U248" s="29">
        <v>800</v>
      </c>
      <c r="V248" s="29">
        <v>800</v>
      </c>
      <c r="W248" s="29">
        <v>800</v>
      </c>
      <c r="X248" s="29">
        <v>800</v>
      </c>
      <c r="Y248" s="18">
        <f t="shared" si="102"/>
        <v>11800</v>
      </c>
      <c r="Z248" s="96">
        <v>12</v>
      </c>
      <c r="AA248" s="96">
        <f t="shared" si="103"/>
        <v>9600</v>
      </c>
      <c r="AB248" s="96">
        <f t="shared" si="104"/>
        <v>0</v>
      </c>
      <c r="AC248" s="99">
        <v>800</v>
      </c>
      <c r="AD248" s="97">
        <v>800</v>
      </c>
      <c r="AE248" s="102">
        <f t="shared" si="105"/>
        <v>0</v>
      </c>
      <c r="AF248" s="99">
        <v>800</v>
      </c>
      <c r="AG248" s="97">
        <v>800</v>
      </c>
      <c r="AH248" s="102">
        <f t="shared" si="110"/>
        <v>0</v>
      </c>
      <c r="AI248" s="99">
        <v>800</v>
      </c>
      <c r="AJ248" s="97">
        <f>800+800</f>
        <v>1600</v>
      </c>
      <c r="AK248" s="102">
        <f t="shared" si="111"/>
        <v>-800</v>
      </c>
      <c r="AL248" s="99">
        <v>800</v>
      </c>
      <c r="AM248" s="97"/>
      <c r="AN248" s="102">
        <f t="shared" si="115"/>
        <v>0</v>
      </c>
      <c r="AO248" s="99">
        <v>800</v>
      </c>
      <c r="AP248" s="97">
        <v>800</v>
      </c>
      <c r="AQ248" s="102">
        <f t="shared" si="116"/>
        <v>0</v>
      </c>
      <c r="AR248" s="99">
        <v>800</v>
      </c>
      <c r="AS248" s="97">
        <v>800</v>
      </c>
      <c r="AT248" s="102">
        <f t="shared" si="117"/>
        <v>0</v>
      </c>
    </row>
    <row r="249" spans="1:46">
      <c r="A249" s="41">
        <f>VLOOKUP(B249,справочник!$B$2:$E$322,4,FALSE)</f>
        <v>161</v>
      </c>
      <c r="B249" t="str">
        <f t="shared" si="101"/>
        <v>169Сергиенко Николай Михайлович</v>
      </c>
      <c r="C249" s="1">
        <v>169</v>
      </c>
      <c r="D249" s="2" t="s">
        <v>235</v>
      </c>
      <c r="E249" s="1" t="s">
        <v>546</v>
      </c>
      <c r="F249" s="16">
        <v>41039</v>
      </c>
      <c r="G249" s="16">
        <v>41030</v>
      </c>
      <c r="H249" s="17">
        <f t="shared" si="118"/>
        <v>44</v>
      </c>
      <c r="I249" s="1">
        <f t="shared" si="109"/>
        <v>44000</v>
      </c>
      <c r="J249" s="17">
        <v>38000</v>
      </c>
      <c r="K249" s="17"/>
      <c r="L249" s="18">
        <f t="shared" si="95"/>
        <v>6000</v>
      </c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18">
        <f t="shared" si="102"/>
        <v>0</v>
      </c>
      <c r="Z249" s="96">
        <v>12</v>
      </c>
      <c r="AA249" s="96">
        <f t="shared" si="103"/>
        <v>9600</v>
      </c>
      <c r="AB249" s="96">
        <f t="shared" si="104"/>
        <v>15600</v>
      </c>
      <c r="AC249" s="99">
        <v>800</v>
      </c>
      <c r="AD249" s="98"/>
      <c r="AE249" s="102">
        <f t="shared" si="105"/>
        <v>16400</v>
      </c>
      <c r="AF249" s="99">
        <v>800</v>
      </c>
      <c r="AG249" s="98"/>
      <c r="AH249" s="102">
        <f t="shared" si="110"/>
        <v>17200</v>
      </c>
      <c r="AI249" s="99">
        <v>800</v>
      </c>
      <c r="AJ249" s="98"/>
      <c r="AK249" s="102">
        <f t="shared" si="111"/>
        <v>18000</v>
      </c>
      <c r="AL249" s="99">
        <v>800</v>
      </c>
      <c r="AM249" s="98"/>
      <c r="AN249" s="102">
        <f t="shared" si="115"/>
        <v>18800</v>
      </c>
      <c r="AO249" s="99">
        <v>800</v>
      </c>
      <c r="AP249" s="114"/>
      <c r="AQ249" s="102">
        <f t="shared" si="116"/>
        <v>19600</v>
      </c>
      <c r="AR249" s="99">
        <v>800</v>
      </c>
      <c r="AS249" s="114"/>
      <c r="AT249" s="102">
        <f t="shared" si="117"/>
        <v>20400</v>
      </c>
    </row>
    <row r="250" spans="1:46">
      <c r="A250" s="41">
        <f>VLOOKUP(B250,справочник!$B$2:$E$322,4,FALSE)</f>
        <v>272</v>
      </c>
      <c r="B250" t="str">
        <f t="shared" si="101"/>
        <v>285Серебряков Игорь Васильевич</v>
      </c>
      <c r="C250" s="1">
        <v>285</v>
      </c>
      <c r="D250" s="2" t="s">
        <v>236</v>
      </c>
      <c r="E250" s="1" t="s">
        <v>547</v>
      </c>
      <c r="F250" s="16">
        <v>42044</v>
      </c>
      <c r="G250" s="16">
        <v>42064</v>
      </c>
      <c r="H250" s="17">
        <f t="shared" si="118"/>
        <v>10</v>
      </c>
      <c r="I250" s="1">
        <f t="shared" si="109"/>
        <v>10000</v>
      </c>
      <c r="J250" s="17">
        <v>5000</v>
      </c>
      <c r="K250" s="17"/>
      <c r="L250" s="18">
        <f t="shared" ref="L250:L308" si="119">I250-J250-K250</f>
        <v>5000</v>
      </c>
      <c r="M250" s="29"/>
      <c r="N250" s="29"/>
      <c r="O250" s="29"/>
      <c r="P250" s="29"/>
      <c r="Q250" s="29"/>
      <c r="R250" s="29"/>
      <c r="S250" s="29">
        <v>12000</v>
      </c>
      <c r="T250" s="29"/>
      <c r="U250" s="29"/>
      <c r="V250" s="29"/>
      <c r="W250" s="29"/>
      <c r="X250" s="29"/>
      <c r="Y250" s="18">
        <f t="shared" si="102"/>
        <v>12000</v>
      </c>
      <c r="Z250" s="96">
        <v>12</v>
      </c>
      <c r="AA250" s="96">
        <f t="shared" si="103"/>
        <v>9600</v>
      </c>
      <c r="AB250" s="96">
        <f t="shared" si="104"/>
        <v>2600</v>
      </c>
      <c r="AC250" s="99">
        <v>800</v>
      </c>
      <c r="AD250" s="98"/>
      <c r="AE250" s="102">
        <f t="shared" si="105"/>
        <v>3400</v>
      </c>
      <c r="AF250" s="99">
        <v>800</v>
      </c>
      <c r="AG250" s="98"/>
      <c r="AH250" s="102">
        <f t="shared" si="110"/>
        <v>4200</v>
      </c>
      <c r="AI250" s="99">
        <v>800</v>
      </c>
      <c r="AJ250" s="98">
        <v>1600</v>
      </c>
      <c r="AK250" s="102">
        <f t="shared" si="111"/>
        <v>3400</v>
      </c>
      <c r="AL250" s="99">
        <v>800</v>
      </c>
      <c r="AM250" s="98"/>
      <c r="AN250" s="102">
        <f t="shared" si="115"/>
        <v>4200</v>
      </c>
      <c r="AO250" s="99">
        <v>800</v>
      </c>
      <c r="AP250" s="114"/>
      <c r="AQ250" s="102">
        <f t="shared" si="116"/>
        <v>5000</v>
      </c>
      <c r="AR250" s="99">
        <v>800</v>
      </c>
      <c r="AS250" s="114"/>
      <c r="AT250" s="102">
        <f t="shared" si="117"/>
        <v>5800</v>
      </c>
    </row>
    <row r="251" spans="1:46">
      <c r="A251" s="41">
        <f>VLOOKUP(B251,справочник!$B$2:$E$322,4,FALSE)</f>
        <v>19</v>
      </c>
      <c r="B251" t="str">
        <f t="shared" si="101"/>
        <v>19Серкин Сергей Львовович</v>
      </c>
      <c r="C251" s="1">
        <v>19</v>
      </c>
      <c r="D251" s="2" t="s">
        <v>237</v>
      </c>
      <c r="E251" s="1" t="s">
        <v>548</v>
      </c>
      <c r="F251" s="16">
        <v>41421</v>
      </c>
      <c r="G251" s="16">
        <v>41456</v>
      </c>
      <c r="H251" s="17">
        <f t="shared" si="118"/>
        <v>30</v>
      </c>
      <c r="I251" s="1">
        <f t="shared" si="109"/>
        <v>30000</v>
      </c>
      <c r="J251" s="17">
        <v>30000</v>
      </c>
      <c r="K251" s="17"/>
      <c r="L251" s="18">
        <f t="shared" si="119"/>
        <v>0</v>
      </c>
      <c r="M251" s="29"/>
      <c r="N251" s="29"/>
      <c r="O251" s="29"/>
      <c r="P251" s="29"/>
      <c r="Q251" s="29"/>
      <c r="R251" s="29">
        <v>4000</v>
      </c>
      <c r="S251" s="29"/>
      <c r="T251" s="29"/>
      <c r="U251" s="29"/>
      <c r="V251" s="29">
        <v>5600</v>
      </c>
      <c r="W251" s="29"/>
      <c r="X251" s="29"/>
      <c r="Y251" s="18">
        <f t="shared" si="102"/>
        <v>9600</v>
      </c>
      <c r="Z251" s="96">
        <v>12</v>
      </c>
      <c r="AA251" s="96">
        <f t="shared" si="103"/>
        <v>9600</v>
      </c>
      <c r="AB251" s="96">
        <f t="shared" si="104"/>
        <v>0</v>
      </c>
      <c r="AC251" s="99">
        <v>800</v>
      </c>
      <c r="AD251" s="98"/>
      <c r="AE251" s="102">
        <f t="shared" si="105"/>
        <v>800</v>
      </c>
      <c r="AF251" s="99">
        <v>800</v>
      </c>
      <c r="AG251" s="98"/>
      <c r="AH251" s="102">
        <f t="shared" si="110"/>
        <v>1600</v>
      </c>
      <c r="AI251" s="99">
        <v>800</v>
      </c>
      <c r="AJ251" s="98">
        <v>4000</v>
      </c>
      <c r="AK251" s="102">
        <f t="shared" si="111"/>
        <v>-1600</v>
      </c>
      <c r="AL251" s="99">
        <v>800</v>
      </c>
      <c r="AM251" s="98"/>
      <c r="AN251" s="102">
        <f t="shared" si="115"/>
        <v>-800</v>
      </c>
      <c r="AO251" s="99">
        <v>800</v>
      </c>
      <c r="AP251" s="114"/>
      <c r="AQ251" s="102">
        <f t="shared" si="116"/>
        <v>0</v>
      </c>
      <c r="AR251" s="99">
        <v>800</v>
      </c>
      <c r="AS251" s="114"/>
      <c r="AT251" s="102">
        <f t="shared" si="117"/>
        <v>800</v>
      </c>
    </row>
    <row r="252" spans="1:46" ht="25.5" customHeight="1">
      <c r="A252" s="41">
        <f>VLOOKUP(B252,справочник!$B$2:$E$322,4,FALSE)</f>
        <v>310</v>
      </c>
      <c r="B252" t="str">
        <f t="shared" si="101"/>
        <v>133-134Сидельникова Ольга Петровна</v>
      </c>
      <c r="C252" s="1" t="s">
        <v>238</v>
      </c>
      <c r="D252" s="2" t="s">
        <v>239</v>
      </c>
      <c r="E252" s="1" t="s">
        <v>549</v>
      </c>
      <c r="F252" s="19">
        <v>40778</v>
      </c>
      <c r="G252" s="19">
        <v>40787</v>
      </c>
      <c r="H252" s="20">
        <f t="shared" si="118"/>
        <v>52</v>
      </c>
      <c r="I252" s="5">
        <f t="shared" si="109"/>
        <v>52000</v>
      </c>
      <c r="J252" s="20">
        <v>12000</v>
      </c>
      <c r="K252" s="20"/>
      <c r="L252" s="21">
        <f t="shared" si="119"/>
        <v>40000</v>
      </c>
      <c r="M252" s="29">
        <v>5000</v>
      </c>
      <c r="N252" s="29"/>
      <c r="O252" s="29">
        <v>5000</v>
      </c>
      <c r="P252" s="29">
        <v>4950</v>
      </c>
      <c r="Q252" s="29">
        <v>5000</v>
      </c>
      <c r="R252" s="29"/>
      <c r="S252" s="29">
        <v>800</v>
      </c>
      <c r="T252">
        <v>3975</v>
      </c>
      <c r="U252" s="29">
        <v>800</v>
      </c>
      <c r="V252" s="29">
        <v>800</v>
      </c>
      <c r="W252" s="29"/>
      <c r="X252" s="29"/>
      <c r="Y252" s="18">
        <f t="shared" si="102"/>
        <v>26325</v>
      </c>
      <c r="Z252" s="96">
        <v>12</v>
      </c>
      <c r="AA252" s="96">
        <f t="shared" si="103"/>
        <v>9600</v>
      </c>
      <c r="AB252" s="96">
        <f t="shared" si="104"/>
        <v>23275</v>
      </c>
      <c r="AC252" s="99">
        <v>800</v>
      </c>
      <c r="AD252" s="98"/>
      <c r="AE252" s="102">
        <f t="shared" si="105"/>
        <v>24075</v>
      </c>
      <c r="AF252" s="99">
        <v>800</v>
      </c>
      <c r="AG252" s="98"/>
      <c r="AH252" s="102">
        <f t="shared" si="110"/>
        <v>24875</v>
      </c>
      <c r="AI252" s="99">
        <v>800</v>
      </c>
      <c r="AJ252" s="98"/>
      <c r="AK252" s="102">
        <f t="shared" si="111"/>
        <v>25675</v>
      </c>
      <c r="AL252" s="99">
        <v>800</v>
      </c>
      <c r="AM252" s="98"/>
      <c r="AN252" s="102">
        <f t="shared" si="115"/>
        <v>26475</v>
      </c>
      <c r="AO252" s="99">
        <v>800</v>
      </c>
      <c r="AP252" s="114"/>
      <c r="AQ252" s="102">
        <f t="shared" si="116"/>
        <v>27275</v>
      </c>
      <c r="AR252" s="99">
        <v>800</v>
      </c>
      <c r="AS252" s="114"/>
      <c r="AT252" s="102">
        <f t="shared" si="117"/>
        <v>28075</v>
      </c>
    </row>
    <row r="253" spans="1:46">
      <c r="A253" s="41">
        <f>VLOOKUP(B253,справочник!$B$2:$E$322,4,FALSE)</f>
        <v>205</v>
      </c>
      <c r="B253" t="str">
        <f t="shared" si="101"/>
        <v>215Сидоров Александр Юрьевич</v>
      </c>
      <c r="C253" s="1">
        <v>215</v>
      </c>
      <c r="D253" s="2" t="s">
        <v>240</v>
      </c>
      <c r="E253" s="1" t="s">
        <v>550</v>
      </c>
      <c r="F253" s="16">
        <v>41023</v>
      </c>
      <c r="G253" s="16">
        <v>41000</v>
      </c>
      <c r="H253" s="17">
        <f t="shared" si="118"/>
        <v>45</v>
      </c>
      <c r="I253" s="1">
        <f t="shared" si="109"/>
        <v>45000</v>
      </c>
      <c r="J253" s="17">
        <v>33000</v>
      </c>
      <c r="K253" s="17"/>
      <c r="L253" s="18">
        <f t="shared" si="119"/>
        <v>12000</v>
      </c>
      <c r="M253" s="29"/>
      <c r="N253" s="29"/>
      <c r="O253" s="29"/>
      <c r="P253" s="29"/>
      <c r="Q253" s="29"/>
      <c r="R253" s="29"/>
      <c r="S253" s="29">
        <v>12000</v>
      </c>
      <c r="T253" s="29"/>
      <c r="U253" s="29"/>
      <c r="V253" s="29"/>
      <c r="W253" s="29"/>
      <c r="X253" s="29"/>
      <c r="Y253" s="18">
        <f t="shared" si="102"/>
        <v>12000</v>
      </c>
      <c r="Z253" s="96">
        <v>12</v>
      </c>
      <c r="AA253" s="96">
        <f t="shared" si="103"/>
        <v>9600</v>
      </c>
      <c r="AB253" s="96">
        <f t="shared" si="104"/>
        <v>9600</v>
      </c>
      <c r="AC253" s="99">
        <v>800</v>
      </c>
      <c r="AD253" s="98"/>
      <c r="AE253" s="102">
        <f t="shared" si="105"/>
        <v>10400</v>
      </c>
      <c r="AF253" s="99">
        <v>800</v>
      </c>
      <c r="AG253" s="98"/>
      <c r="AH253" s="102">
        <f t="shared" si="110"/>
        <v>11200</v>
      </c>
      <c r="AI253" s="99">
        <v>800</v>
      </c>
      <c r="AJ253" s="98"/>
      <c r="AK253" s="102">
        <f t="shared" si="111"/>
        <v>12000</v>
      </c>
      <c r="AL253" s="99">
        <v>800</v>
      </c>
      <c r="AM253" s="98"/>
      <c r="AN253" s="102">
        <f t="shared" si="115"/>
        <v>12800</v>
      </c>
      <c r="AO253" s="99">
        <v>800</v>
      </c>
      <c r="AP253" s="114"/>
      <c r="AQ253" s="102">
        <f t="shared" si="116"/>
        <v>13600</v>
      </c>
      <c r="AR253" s="99">
        <v>800</v>
      </c>
      <c r="AS253" s="114"/>
      <c r="AT253" s="102">
        <f t="shared" si="117"/>
        <v>14400</v>
      </c>
    </row>
    <row r="254" spans="1:46" ht="25.5" customHeight="1">
      <c r="A254" s="41">
        <f>VLOOKUP(B254,справочник!$B$2:$E$322,4,FALSE)</f>
        <v>107</v>
      </c>
      <c r="B254" t="str">
        <f t="shared" si="101"/>
        <v>112Сиротин Дмитрий Борисович (Приставалова)</v>
      </c>
      <c r="C254" s="1">
        <v>112</v>
      </c>
      <c r="D254" s="2" t="s">
        <v>241</v>
      </c>
      <c r="E254" s="1" t="s">
        <v>551</v>
      </c>
      <c r="F254" s="16">
        <v>40932</v>
      </c>
      <c r="G254" s="16">
        <v>40909</v>
      </c>
      <c r="H254" s="17">
        <f t="shared" si="118"/>
        <v>48</v>
      </c>
      <c r="I254" s="1">
        <f t="shared" si="109"/>
        <v>48000</v>
      </c>
      <c r="J254" s="17">
        <v>40000</v>
      </c>
      <c r="K254" s="17">
        <v>4000</v>
      </c>
      <c r="L254" s="18">
        <f t="shared" si="119"/>
        <v>4000</v>
      </c>
      <c r="M254" s="29"/>
      <c r="N254" s="29">
        <v>2000</v>
      </c>
      <c r="O254" s="29">
        <v>3600</v>
      </c>
      <c r="P254" s="29">
        <v>1600</v>
      </c>
      <c r="Q254" s="29"/>
      <c r="R254" s="29">
        <v>800</v>
      </c>
      <c r="S254" s="29">
        <v>1600</v>
      </c>
      <c r="T254">
        <v>800</v>
      </c>
      <c r="U254" s="29"/>
      <c r="V254" s="29">
        <v>800</v>
      </c>
      <c r="W254" s="29">
        <v>800</v>
      </c>
      <c r="X254" s="29"/>
      <c r="Y254" s="18">
        <f t="shared" si="102"/>
        <v>12000</v>
      </c>
      <c r="Z254" s="96">
        <v>12</v>
      </c>
      <c r="AA254" s="96">
        <f t="shared" si="103"/>
        <v>9600</v>
      </c>
      <c r="AB254" s="96">
        <f t="shared" si="104"/>
        <v>1600</v>
      </c>
      <c r="AC254" s="99">
        <v>800</v>
      </c>
      <c r="AD254" s="98"/>
      <c r="AE254" s="102">
        <f t="shared" si="105"/>
        <v>2400</v>
      </c>
      <c r="AF254" s="99">
        <v>800</v>
      </c>
      <c r="AG254" s="98">
        <f>1600+1600</f>
        <v>3200</v>
      </c>
      <c r="AH254" s="102">
        <f t="shared" si="110"/>
        <v>0</v>
      </c>
      <c r="AI254" s="99">
        <v>800</v>
      </c>
      <c r="AJ254" s="98">
        <v>800</v>
      </c>
      <c r="AK254" s="102">
        <f t="shared" si="111"/>
        <v>0</v>
      </c>
      <c r="AL254" s="99">
        <v>800</v>
      </c>
      <c r="AM254" s="98"/>
      <c r="AN254" s="102">
        <f t="shared" si="115"/>
        <v>800</v>
      </c>
      <c r="AO254" s="99">
        <v>800</v>
      </c>
      <c r="AP254" s="114">
        <v>1600</v>
      </c>
      <c r="AQ254" s="102">
        <f t="shared" si="116"/>
        <v>0</v>
      </c>
      <c r="AR254" s="99">
        <v>800</v>
      </c>
      <c r="AS254" s="114"/>
      <c r="AT254" s="102">
        <f t="shared" si="117"/>
        <v>800</v>
      </c>
    </row>
    <row r="255" spans="1:46">
      <c r="A255" s="41">
        <f>VLOOKUP(B255,справочник!$B$2:$E$322,4,FALSE)</f>
        <v>48</v>
      </c>
      <c r="B255" t="str">
        <f t="shared" si="101"/>
        <v>48Сломов Константин Витальевич</v>
      </c>
      <c r="C255" s="1">
        <v>48</v>
      </c>
      <c r="D255" s="2" t="s">
        <v>242</v>
      </c>
      <c r="E255" s="1" t="s">
        <v>552</v>
      </c>
      <c r="F255" s="16">
        <v>40786</v>
      </c>
      <c r="G255" s="16">
        <v>40787</v>
      </c>
      <c r="H255" s="17">
        <f t="shared" si="118"/>
        <v>52</v>
      </c>
      <c r="I255" s="1">
        <f t="shared" si="109"/>
        <v>52000</v>
      </c>
      <c r="J255" s="17">
        <f>1000+22000</f>
        <v>23000</v>
      </c>
      <c r="K255" s="17"/>
      <c r="L255" s="18">
        <f t="shared" si="119"/>
        <v>29000</v>
      </c>
      <c r="M255" s="29"/>
      <c r="N255" s="29"/>
      <c r="O255" s="29"/>
      <c r="P255" s="29"/>
      <c r="Q255" s="29"/>
      <c r="R255" s="29"/>
      <c r="S255" s="29">
        <v>33800</v>
      </c>
      <c r="T255">
        <v>1600</v>
      </c>
      <c r="U255" s="29">
        <v>1600</v>
      </c>
      <c r="V255" s="29"/>
      <c r="W255" s="29">
        <v>1600</v>
      </c>
      <c r="X255" s="29"/>
      <c r="Y255" s="18">
        <f t="shared" si="102"/>
        <v>38600</v>
      </c>
      <c r="Z255" s="96">
        <v>12</v>
      </c>
      <c r="AA255" s="96">
        <f t="shared" si="103"/>
        <v>9600</v>
      </c>
      <c r="AB255" s="96">
        <f t="shared" si="104"/>
        <v>0</v>
      </c>
      <c r="AC255" s="99">
        <v>800</v>
      </c>
      <c r="AD255" s="98">
        <v>1600</v>
      </c>
      <c r="AE255" s="102">
        <f t="shared" si="105"/>
        <v>-800</v>
      </c>
      <c r="AF255" s="99">
        <v>800</v>
      </c>
      <c r="AG255" s="98"/>
      <c r="AH255" s="102">
        <f t="shared" si="110"/>
        <v>0</v>
      </c>
      <c r="AI255" s="99">
        <v>800</v>
      </c>
      <c r="AJ255" s="98">
        <v>1600</v>
      </c>
      <c r="AK255" s="102">
        <f t="shared" si="111"/>
        <v>-800</v>
      </c>
      <c r="AL255" s="99">
        <v>800</v>
      </c>
      <c r="AM255" s="98"/>
      <c r="AN255" s="102">
        <f t="shared" si="115"/>
        <v>0</v>
      </c>
      <c r="AO255" s="99">
        <v>800</v>
      </c>
      <c r="AP255" s="114">
        <v>1600</v>
      </c>
      <c r="AQ255" s="102">
        <f t="shared" si="116"/>
        <v>-800</v>
      </c>
      <c r="AR255" s="99">
        <v>800</v>
      </c>
      <c r="AS255" s="114"/>
      <c r="AT255" s="102">
        <f t="shared" si="117"/>
        <v>0</v>
      </c>
    </row>
    <row r="256" spans="1:46">
      <c r="A256" s="41">
        <f>VLOOKUP(B256,справочник!$B$2:$E$322,4,FALSE)</f>
        <v>237</v>
      </c>
      <c r="B256" t="str">
        <f t="shared" si="101"/>
        <v>248Смирнов Максим Анатольевич, Светлана</v>
      </c>
      <c r="C256" s="1">
        <v>248</v>
      </c>
      <c r="D256" s="2" t="s">
        <v>243</v>
      </c>
      <c r="E256" s="1" t="s">
        <v>553</v>
      </c>
      <c r="F256" s="16">
        <v>41036</v>
      </c>
      <c r="G256" s="16">
        <v>41030</v>
      </c>
      <c r="H256" s="17">
        <f t="shared" si="118"/>
        <v>44</v>
      </c>
      <c r="I256" s="1">
        <f t="shared" si="109"/>
        <v>44000</v>
      </c>
      <c r="J256" s="17">
        <v>13000</v>
      </c>
      <c r="K256" s="17"/>
      <c r="L256" s="18">
        <f t="shared" si="119"/>
        <v>31000</v>
      </c>
      <c r="M256" s="29">
        <v>31000</v>
      </c>
      <c r="N256" s="29"/>
      <c r="O256" s="29">
        <v>2000</v>
      </c>
      <c r="P256" s="29"/>
      <c r="Q256" s="29"/>
      <c r="R256" s="29"/>
      <c r="S256" s="29"/>
      <c r="T256" s="29"/>
      <c r="U256" s="29"/>
      <c r="V256" s="29"/>
      <c r="W256" s="29"/>
      <c r="X256" s="29"/>
      <c r="Y256" s="18">
        <f t="shared" si="102"/>
        <v>33000</v>
      </c>
      <c r="Z256" s="96">
        <v>12</v>
      </c>
      <c r="AA256" s="96">
        <f t="shared" si="103"/>
        <v>9600</v>
      </c>
      <c r="AB256" s="96">
        <f t="shared" si="104"/>
        <v>7600</v>
      </c>
      <c r="AC256" s="99">
        <v>800</v>
      </c>
      <c r="AD256" s="98"/>
      <c r="AE256" s="102">
        <f t="shared" si="105"/>
        <v>8400</v>
      </c>
      <c r="AF256" s="99">
        <v>800</v>
      </c>
      <c r="AG256" s="98"/>
      <c r="AH256" s="102">
        <f t="shared" si="110"/>
        <v>9200</v>
      </c>
      <c r="AI256" s="99">
        <v>800</v>
      </c>
      <c r="AJ256" s="98"/>
      <c r="AK256" s="102">
        <f t="shared" si="111"/>
        <v>10000</v>
      </c>
      <c r="AL256" s="99">
        <v>800</v>
      </c>
      <c r="AM256" s="98"/>
      <c r="AN256" s="102">
        <f t="shared" si="115"/>
        <v>10800</v>
      </c>
      <c r="AO256" s="99">
        <v>800</v>
      </c>
      <c r="AP256" s="114"/>
      <c r="AQ256" s="102">
        <f t="shared" si="116"/>
        <v>11600</v>
      </c>
      <c r="AR256" s="99">
        <v>800</v>
      </c>
      <c r="AS256" s="114"/>
      <c r="AT256" s="102">
        <f t="shared" si="117"/>
        <v>12400</v>
      </c>
    </row>
    <row r="257" spans="1:46">
      <c r="A257" s="41">
        <f>VLOOKUP(B257,справочник!$B$2:$E$322,4,FALSE)</f>
        <v>263</v>
      </c>
      <c r="B257" t="str">
        <f t="shared" si="101"/>
        <v>276Соколова Ирина Анатольевна</v>
      </c>
      <c r="C257" s="1">
        <v>276</v>
      </c>
      <c r="D257" s="2" t="s">
        <v>244</v>
      </c>
      <c r="E257" s="1" t="s">
        <v>554</v>
      </c>
      <c r="F257" s="16">
        <v>41289</v>
      </c>
      <c r="G257" s="16">
        <v>41306</v>
      </c>
      <c r="H257" s="17">
        <f t="shared" si="118"/>
        <v>35</v>
      </c>
      <c r="I257" s="1">
        <f t="shared" si="109"/>
        <v>35000</v>
      </c>
      <c r="J257" s="17">
        <v>32000</v>
      </c>
      <c r="K257" s="17"/>
      <c r="L257" s="18">
        <f t="shared" si="119"/>
        <v>3000</v>
      </c>
      <c r="M257" s="29"/>
      <c r="N257" s="29">
        <v>2600</v>
      </c>
      <c r="O257" s="29">
        <v>800</v>
      </c>
      <c r="P257" s="29"/>
      <c r="Q257" s="29"/>
      <c r="R257" s="29"/>
      <c r="S257" s="29"/>
      <c r="T257" s="29"/>
      <c r="U257" s="29">
        <v>2400</v>
      </c>
      <c r="V257" s="29"/>
      <c r="W257" s="29"/>
      <c r="X257" s="29">
        <v>2400</v>
      </c>
      <c r="Y257" s="18">
        <f t="shared" si="102"/>
        <v>8200</v>
      </c>
      <c r="Z257" s="96">
        <v>12</v>
      </c>
      <c r="AA257" s="96">
        <f t="shared" si="103"/>
        <v>9600</v>
      </c>
      <c r="AB257" s="96">
        <f t="shared" si="104"/>
        <v>4400</v>
      </c>
      <c r="AC257" s="99">
        <v>800</v>
      </c>
      <c r="AD257" s="98"/>
      <c r="AE257" s="102">
        <f t="shared" si="105"/>
        <v>5200</v>
      </c>
      <c r="AF257" s="99">
        <v>800</v>
      </c>
      <c r="AG257" s="98">
        <f>1600+2400</f>
        <v>4000</v>
      </c>
      <c r="AH257" s="102">
        <f t="shared" si="110"/>
        <v>2000</v>
      </c>
      <c r="AI257" s="99">
        <v>800</v>
      </c>
      <c r="AJ257" s="98"/>
      <c r="AK257" s="102">
        <f t="shared" si="111"/>
        <v>2800</v>
      </c>
      <c r="AL257" s="99">
        <v>800</v>
      </c>
      <c r="AM257" s="98"/>
      <c r="AN257" s="102">
        <f t="shared" si="115"/>
        <v>3600</v>
      </c>
      <c r="AO257" s="99">
        <v>800</v>
      </c>
      <c r="AP257" s="114">
        <v>1600</v>
      </c>
      <c r="AQ257" s="102">
        <f t="shared" si="116"/>
        <v>2800</v>
      </c>
      <c r="AR257" s="99">
        <v>800</v>
      </c>
      <c r="AS257" s="114">
        <v>800</v>
      </c>
      <c r="AT257" s="102">
        <f t="shared" si="117"/>
        <v>2800</v>
      </c>
    </row>
    <row r="258" spans="1:46">
      <c r="A258" s="41">
        <f>VLOOKUP(B258,справочник!$B$2:$E$322,4,FALSE)</f>
        <v>100</v>
      </c>
      <c r="B258" t="str">
        <f t="shared" si="101"/>
        <v>105Солодкий Дмитрий Павлович</v>
      </c>
      <c r="C258" s="1">
        <v>105</v>
      </c>
      <c r="D258" s="2" t="s">
        <v>245</v>
      </c>
      <c r="E258" s="1" t="s">
        <v>555</v>
      </c>
      <c r="F258" s="16">
        <v>41065</v>
      </c>
      <c r="G258" s="16">
        <v>41061</v>
      </c>
      <c r="H258" s="17">
        <f t="shared" si="118"/>
        <v>43</v>
      </c>
      <c r="I258" s="1">
        <f t="shared" si="109"/>
        <v>43000</v>
      </c>
      <c r="J258" s="17">
        <v>28000</v>
      </c>
      <c r="K258" s="17"/>
      <c r="L258" s="18">
        <f t="shared" si="119"/>
        <v>15000</v>
      </c>
      <c r="M258" s="29">
        <v>5050.3</v>
      </c>
      <c r="N258" s="29"/>
      <c r="O258" s="29"/>
      <c r="P258" s="29"/>
      <c r="Q258" s="29"/>
      <c r="R258" s="29"/>
      <c r="S258" s="29">
        <v>2800</v>
      </c>
      <c r="T258">
        <v>2000</v>
      </c>
      <c r="U258" s="29"/>
      <c r="V258" s="29"/>
      <c r="W258" s="29"/>
      <c r="X258" s="29"/>
      <c r="Y258" s="18">
        <f t="shared" si="102"/>
        <v>9850.2999999999993</v>
      </c>
      <c r="Z258" s="96">
        <v>12</v>
      </c>
      <c r="AA258" s="96">
        <f t="shared" si="103"/>
        <v>9600</v>
      </c>
      <c r="AB258" s="96">
        <f t="shared" si="104"/>
        <v>14749.7</v>
      </c>
      <c r="AC258" s="99">
        <v>800</v>
      </c>
      <c r="AD258" s="98"/>
      <c r="AE258" s="102">
        <f t="shared" si="105"/>
        <v>15549.7</v>
      </c>
      <c r="AF258" s="99">
        <v>800</v>
      </c>
      <c r="AG258" s="98"/>
      <c r="AH258" s="102">
        <f t="shared" si="110"/>
        <v>16349.7</v>
      </c>
      <c r="AI258" s="99">
        <v>800</v>
      </c>
      <c r="AJ258" s="98"/>
      <c r="AK258" s="102">
        <f t="shared" si="111"/>
        <v>17149.7</v>
      </c>
      <c r="AL258" s="99">
        <v>800</v>
      </c>
      <c r="AM258" s="98"/>
      <c r="AN258" s="102">
        <f t="shared" si="115"/>
        <v>17949.7</v>
      </c>
      <c r="AO258" s="99">
        <v>800</v>
      </c>
      <c r="AP258" s="114"/>
      <c r="AQ258" s="102">
        <f t="shared" si="116"/>
        <v>18749.7</v>
      </c>
      <c r="AR258" s="99">
        <v>800</v>
      </c>
      <c r="AS258" s="114"/>
      <c r="AT258" s="102">
        <f t="shared" si="117"/>
        <v>19549.7</v>
      </c>
    </row>
    <row r="259" spans="1:46">
      <c r="A259" s="41">
        <f>VLOOKUP(B259,справочник!$B$2:$E$322,4,FALSE)</f>
        <v>131</v>
      </c>
      <c r="B259" t="str">
        <f t="shared" si="101"/>
        <v>138Спивак Сергей Николаевич</v>
      </c>
      <c r="C259" s="1">
        <v>138</v>
      </c>
      <c r="D259" s="2" t="s">
        <v>246</v>
      </c>
      <c r="E259" s="1" t="s">
        <v>556</v>
      </c>
      <c r="F259" s="16">
        <v>41114</v>
      </c>
      <c r="G259" s="16">
        <v>41122</v>
      </c>
      <c r="H259" s="17">
        <f t="shared" si="118"/>
        <v>41</v>
      </c>
      <c r="I259" s="1">
        <f t="shared" si="109"/>
        <v>41000</v>
      </c>
      <c r="J259" s="17">
        <v>23000</v>
      </c>
      <c r="K259" s="17">
        <v>6000</v>
      </c>
      <c r="L259" s="18">
        <f t="shared" si="119"/>
        <v>12000</v>
      </c>
      <c r="M259" s="29"/>
      <c r="N259" s="29"/>
      <c r="O259" s="29"/>
      <c r="P259" s="29">
        <v>14400</v>
      </c>
      <c r="Q259" s="29"/>
      <c r="R259" s="29"/>
      <c r="S259" s="29"/>
      <c r="T259" s="29"/>
      <c r="U259" s="29"/>
      <c r="V259" s="29">
        <v>5600</v>
      </c>
      <c r="W259" s="29"/>
      <c r="X259" s="29">
        <v>1600</v>
      </c>
      <c r="Y259" s="18">
        <f t="shared" si="102"/>
        <v>21600</v>
      </c>
      <c r="Z259" s="96">
        <v>12</v>
      </c>
      <c r="AA259" s="96">
        <f t="shared" si="103"/>
        <v>9600</v>
      </c>
      <c r="AB259" s="96">
        <f t="shared" si="104"/>
        <v>0</v>
      </c>
      <c r="AC259" s="99">
        <v>800</v>
      </c>
      <c r="AD259" s="98"/>
      <c r="AE259" s="102">
        <f t="shared" si="105"/>
        <v>800</v>
      </c>
      <c r="AF259" s="99">
        <v>800</v>
      </c>
      <c r="AG259" s="98"/>
      <c r="AH259" s="102">
        <f t="shared" si="110"/>
        <v>1600</v>
      </c>
      <c r="AI259" s="99">
        <v>800</v>
      </c>
      <c r="AJ259" s="98"/>
      <c r="AK259" s="102">
        <f t="shared" si="111"/>
        <v>2400</v>
      </c>
      <c r="AL259" s="99">
        <v>800</v>
      </c>
      <c r="AM259" s="98"/>
      <c r="AN259" s="102">
        <f t="shared" si="115"/>
        <v>3200</v>
      </c>
      <c r="AO259" s="99">
        <v>800</v>
      </c>
      <c r="AP259" s="114"/>
      <c r="AQ259" s="102">
        <f t="shared" si="116"/>
        <v>4000</v>
      </c>
      <c r="AR259" s="99">
        <v>800</v>
      </c>
      <c r="AS259" s="114"/>
      <c r="AT259" s="102">
        <f t="shared" si="117"/>
        <v>4800</v>
      </c>
    </row>
    <row r="260" spans="1:46" s="80" customFormat="1">
      <c r="A260" s="103">
        <f>VLOOKUP(B260,справочник!$B$2:$E$322,4,FALSE)</f>
        <v>183</v>
      </c>
      <c r="B260" s="80" t="str">
        <f t="shared" ref="B260:B323" si="120">CONCATENATE(C260,D260)</f>
        <v>191Спиридонов Андрей Владимирович</v>
      </c>
      <c r="C260" s="5">
        <v>191</v>
      </c>
      <c r="D260" s="7" t="s">
        <v>247</v>
      </c>
      <c r="E260" s="5" t="s">
        <v>557</v>
      </c>
      <c r="F260" s="19">
        <v>41505</v>
      </c>
      <c r="G260" s="19">
        <v>41518</v>
      </c>
      <c r="H260" s="20">
        <f t="shared" si="118"/>
        <v>28</v>
      </c>
      <c r="I260" s="5">
        <f t="shared" si="109"/>
        <v>28000</v>
      </c>
      <c r="J260" s="20">
        <v>1000</v>
      </c>
      <c r="K260" s="20"/>
      <c r="L260" s="21">
        <f t="shared" si="119"/>
        <v>27000</v>
      </c>
      <c r="M260" s="109">
        <v>20000</v>
      </c>
      <c r="N260" s="109"/>
      <c r="O260" s="109"/>
      <c r="P260" s="109"/>
      <c r="Q260" s="109"/>
      <c r="R260" s="109"/>
      <c r="S260" s="109"/>
      <c r="T260" s="109">
        <f>15393+2250+15000+5000</f>
        <v>37643</v>
      </c>
      <c r="U260" s="109">
        <v>6000</v>
      </c>
      <c r="V260" s="109"/>
      <c r="W260" s="109"/>
      <c r="X260" s="109"/>
      <c r="Y260" s="21">
        <f t="shared" ref="Y260:Y323" si="121">SUM(M260:X260)</f>
        <v>63643</v>
      </c>
      <c r="Z260" s="104">
        <v>12</v>
      </c>
      <c r="AA260" s="104">
        <f t="shared" ref="AA260:AA323" si="122">Z260*800</f>
        <v>9600</v>
      </c>
      <c r="AB260" s="104">
        <f t="shared" ref="AB260:AB323" si="123">L260+AA260-Y260</f>
        <v>-27043</v>
      </c>
      <c r="AC260" s="104">
        <v>800</v>
      </c>
      <c r="AD260" s="105"/>
      <c r="AE260" s="125">
        <f>SUM(AB260:AB261)+SUM(AC260:AC261)-SUM(AD260:AD261)</f>
        <v>757</v>
      </c>
      <c r="AF260" s="104">
        <v>800</v>
      </c>
      <c r="AG260" s="105"/>
      <c r="AH260" s="125">
        <f>SUM(AE260:AE261)+SUM(AF260:AF261)-SUM(AG260:AG261)</f>
        <v>1557</v>
      </c>
      <c r="AI260" s="104">
        <v>800</v>
      </c>
      <c r="AJ260" s="105"/>
      <c r="AK260" s="125">
        <f>SUM(AH260:AH261)+SUM(AI260:AI261)-SUM(AJ260:AJ261)</f>
        <v>0</v>
      </c>
      <c r="AL260" s="104">
        <v>800</v>
      </c>
      <c r="AM260" s="105"/>
      <c r="AN260" s="125">
        <f>SUM(AK260:AK261)+SUM(AL260:AL261)-SUM(AM260:AM261)</f>
        <v>800</v>
      </c>
      <c r="AO260" s="104">
        <v>800</v>
      </c>
      <c r="AP260" s="105"/>
      <c r="AQ260" s="125">
        <f>SUM(AN260:AN261)+SUM(AO260:AO261)-SUM(AP260:AP261)</f>
        <v>1600</v>
      </c>
      <c r="AR260" s="104">
        <v>800</v>
      </c>
      <c r="AS260" s="105"/>
      <c r="AT260" s="125">
        <f>SUM(AQ260:AQ261)+SUM(AR260:AR261)-SUM(AS260:AS261)</f>
        <v>2400</v>
      </c>
    </row>
    <row r="261" spans="1:46" s="80" customFormat="1">
      <c r="A261" s="103">
        <f>VLOOKUP(B261,справочник!$B$2:$E$322,4,FALSE)</f>
        <v>183</v>
      </c>
      <c r="B261" s="80" t="str">
        <f t="shared" si="120"/>
        <v>192Спиридонов Андрей Владимирович</v>
      </c>
      <c r="C261" s="5">
        <v>192</v>
      </c>
      <c r="D261" s="7" t="s">
        <v>247</v>
      </c>
      <c r="E261" s="5" t="s">
        <v>558</v>
      </c>
      <c r="F261" s="19">
        <v>41505</v>
      </c>
      <c r="G261" s="19">
        <v>41518</v>
      </c>
      <c r="H261" s="20">
        <f t="shared" si="118"/>
        <v>28</v>
      </c>
      <c r="I261" s="5">
        <f t="shared" si="109"/>
        <v>28000</v>
      </c>
      <c r="J261" s="20">
        <v>1000</v>
      </c>
      <c r="K261" s="20"/>
      <c r="L261" s="21">
        <f t="shared" si="119"/>
        <v>27000</v>
      </c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21">
        <f t="shared" si="121"/>
        <v>0</v>
      </c>
      <c r="Z261" s="104">
        <v>0</v>
      </c>
      <c r="AA261" s="104">
        <f t="shared" si="122"/>
        <v>0</v>
      </c>
      <c r="AB261" s="104">
        <f t="shared" si="123"/>
        <v>27000</v>
      </c>
      <c r="AC261" s="104">
        <v>0</v>
      </c>
      <c r="AD261" s="105"/>
      <c r="AE261" s="126"/>
      <c r="AF261" s="104">
        <v>0</v>
      </c>
      <c r="AG261" s="105"/>
      <c r="AH261" s="126"/>
      <c r="AI261" s="104">
        <v>0</v>
      </c>
      <c r="AJ261" s="105">
        <v>2357</v>
      </c>
      <c r="AK261" s="126"/>
      <c r="AL261" s="104">
        <v>0</v>
      </c>
      <c r="AM261" s="105"/>
      <c r="AN261" s="126"/>
      <c r="AO261" s="104">
        <v>0</v>
      </c>
      <c r="AP261" s="105"/>
      <c r="AQ261" s="126"/>
      <c r="AR261" s="104">
        <v>0</v>
      </c>
      <c r="AS261" s="105"/>
      <c r="AT261" s="126"/>
    </row>
    <row r="262" spans="1:46" ht="25.5" customHeight="1">
      <c r="A262" s="41">
        <f>VLOOKUP(B262,справочник!$B$2:$E$322,4,FALSE)</f>
        <v>21</v>
      </c>
      <c r="B262" t="str">
        <f t="shared" si="120"/>
        <v>21Старостин Виктор Вячеславович</v>
      </c>
      <c r="C262" s="1">
        <v>21</v>
      </c>
      <c r="D262" s="2" t="s">
        <v>248</v>
      </c>
      <c r="E262" s="1" t="s">
        <v>559</v>
      </c>
      <c r="F262" s="16">
        <v>41107</v>
      </c>
      <c r="G262" s="16">
        <v>41091</v>
      </c>
      <c r="H262" s="17">
        <f t="shared" si="118"/>
        <v>42</v>
      </c>
      <c r="I262" s="1">
        <f t="shared" si="109"/>
        <v>42000</v>
      </c>
      <c r="J262" s="17">
        <v>40000</v>
      </c>
      <c r="K262" s="17"/>
      <c r="L262" s="18">
        <f t="shared" si="119"/>
        <v>2000</v>
      </c>
      <c r="M262" s="29"/>
      <c r="N262" s="29"/>
      <c r="O262" s="29"/>
      <c r="P262" s="29"/>
      <c r="Q262" s="29"/>
      <c r="R262" s="29"/>
      <c r="S262" s="29"/>
      <c r="T262" s="29"/>
      <c r="U262" s="29">
        <v>10000</v>
      </c>
      <c r="V262" s="29"/>
      <c r="W262" s="29"/>
      <c r="X262" s="29"/>
      <c r="Y262" s="18">
        <f t="shared" si="121"/>
        <v>10000</v>
      </c>
      <c r="Z262" s="96">
        <v>12</v>
      </c>
      <c r="AA262" s="96">
        <f t="shared" si="122"/>
        <v>9600</v>
      </c>
      <c r="AB262" s="96">
        <f t="shared" si="123"/>
        <v>1600</v>
      </c>
      <c r="AC262" s="99">
        <v>800</v>
      </c>
      <c r="AD262" s="98">
        <v>4000</v>
      </c>
      <c r="AE262" s="102">
        <f t="shared" ref="AE262:AE323" si="124">AB262+AC262-AD262</f>
        <v>-1600</v>
      </c>
      <c r="AF262" s="99">
        <v>800</v>
      </c>
      <c r="AG262" s="98"/>
      <c r="AH262" s="102">
        <f t="shared" ref="AH262:AH273" si="125">AE262+AF262-AG262</f>
        <v>-800</v>
      </c>
      <c r="AI262" s="99">
        <v>800</v>
      </c>
      <c r="AJ262" s="98"/>
      <c r="AK262" s="102">
        <f t="shared" ref="AK262:AK273" si="126">AH262+AI262-AJ262</f>
        <v>0</v>
      </c>
      <c r="AL262" s="99">
        <v>800</v>
      </c>
      <c r="AM262" s="98"/>
      <c r="AN262" s="102">
        <f t="shared" ref="AN262:AN273" si="127">AK262+AL262-AM262</f>
        <v>800</v>
      </c>
      <c r="AO262" s="99">
        <v>800</v>
      </c>
      <c r="AP262" s="114"/>
      <c r="AQ262" s="102">
        <f t="shared" ref="AQ262:AQ273" si="128">AN262+AO262-AP262</f>
        <v>1600</v>
      </c>
      <c r="AR262" s="99">
        <v>800</v>
      </c>
      <c r="AS262" s="114">
        <v>5000</v>
      </c>
      <c r="AT262" s="102">
        <f t="shared" ref="AT262:AT273" si="129">AQ262+AR262-AS262</f>
        <v>-2600</v>
      </c>
    </row>
    <row r="263" spans="1:46">
      <c r="A263" s="41">
        <f>VLOOKUP(B263,справочник!$B$2:$E$322,4,FALSE)</f>
        <v>298</v>
      </c>
      <c r="B263" t="str">
        <f t="shared" si="120"/>
        <v>313Степанов Валерий Владимирович</v>
      </c>
      <c r="C263" s="1">
        <v>313</v>
      </c>
      <c r="D263" s="2" t="s">
        <v>249</v>
      </c>
      <c r="E263" s="1" t="s">
        <v>560</v>
      </c>
      <c r="F263" s="16">
        <v>41994</v>
      </c>
      <c r="G263" s="16">
        <v>42005</v>
      </c>
      <c r="H263" s="17">
        <f t="shared" si="118"/>
        <v>12</v>
      </c>
      <c r="I263" s="1">
        <f t="shared" si="109"/>
        <v>12000</v>
      </c>
      <c r="J263" s="17">
        <v>12000</v>
      </c>
      <c r="K263" s="17"/>
      <c r="L263" s="18">
        <f t="shared" si="119"/>
        <v>0</v>
      </c>
      <c r="M263" s="29"/>
      <c r="N263" s="29">
        <v>4800</v>
      </c>
      <c r="O263" s="29"/>
      <c r="P263" s="29"/>
      <c r="Q263" s="29"/>
      <c r="R263" s="29"/>
      <c r="S263" s="29"/>
      <c r="T263" s="29"/>
      <c r="U263" s="29">
        <v>5000</v>
      </c>
      <c r="V263" s="29"/>
      <c r="W263" s="29"/>
      <c r="X263" s="29"/>
      <c r="Y263" s="18">
        <f t="shared" si="121"/>
        <v>9800</v>
      </c>
      <c r="Z263" s="96">
        <v>12</v>
      </c>
      <c r="AA263" s="96">
        <f t="shared" si="122"/>
        <v>9600</v>
      </c>
      <c r="AB263" s="96">
        <f t="shared" si="123"/>
        <v>-200</v>
      </c>
      <c r="AC263" s="99">
        <v>800</v>
      </c>
      <c r="AD263" s="98"/>
      <c r="AE263" s="102">
        <f t="shared" si="124"/>
        <v>600</v>
      </c>
      <c r="AF263" s="99">
        <v>800</v>
      </c>
      <c r="AG263" s="98"/>
      <c r="AH263" s="102">
        <f t="shared" si="125"/>
        <v>1400</v>
      </c>
      <c r="AI263" s="99">
        <v>800</v>
      </c>
      <c r="AJ263" s="98"/>
      <c r="AK263" s="102">
        <f t="shared" si="126"/>
        <v>2200</v>
      </c>
      <c r="AL263" s="99">
        <v>800</v>
      </c>
      <c r="AM263" s="98"/>
      <c r="AN263" s="102">
        <f t="shared" si="127"/>
        <v>3000</v>
      </c>
      <c r="AO263" s="99">
        <v>800</v>
      </c>
      <c r="AP263" s="114"/>
      <c r="AQ263" s="102">
        <f t="shared" si="128"/>
        <v>3800</v>
      </c>
      <c r="AR263" s="99">
        <v>800</v>
      </c>
      <c r="AS263" s="114">
        <v>3000</v>
      </c>
      <c r="AT263" s="102">
        <f t="shared" si="129"/>
        <v>1600</v>
      </c>
    </row>
    <row r="264" spans="1:46">
      <c r="A264" s="41">
        <f>VLOOKUP(B264,справочник!$B$2:$E$322,4,FALSE)</f>
        <v>91</v>
      </c>
      <c r="B264" t="str">
        <f t="shared" si="120"/>
        <v>96Степанова Марина Николаевна (Артем)</v>
      </c>
      <c r="C264" s="1">
        <v>96</v>
      </c>
      <c r="D264" s="2" t="s">
        <v>250</v>
      </c>
      <c r="E264" s="1" t="s">
        <v>561</v>
      </c>
      <c r="F264" s="16">
        <v>41070</v>
      </c>
      <c r="G264" s="16">
        <v>41061</v>
      </c>
      <c r="H264" s="17">
        <f t="shared" si="118"/>
        <v>43</v>
      </c>
      <c r="I264" s="1">
        <f t="shared" si="109"/>
        <v>43000</v>
      </c>
      <c r="J264" s="17">
        <v>12000</v>
      </c>
      <c r="K264" s="17"/>
      <c r="L264" s="18">
        <f t="shared" si="119"/>
        <v>31000</v>
      </c>
      <c r="M264" s="29"/>
      <c r="N264" s="29"/>
      <c r="O264" s="29"/>
      <c r="P264" s="29"/>
      <c r="Q264" s="29"/>
      <c r="R264" s="29"/>
      <c r="S264" s="29">
        <v>15000</v>
      </c>
      <c r="T264" s="29"/>
      <c r="U264" s="29"/>
      <c r="V264" s="29"/>
      <c r="W264" s="29"/>
      <c r="X264" s="29"/>
      <c r="Y264" s="18">
        <f t="shared" si="121"/>
        <v>15000</v>
      </c>
      <c r="Z264" s="96">
        <v>12</v>
      </c>
      <c r="AA264" s="96">
        <f t="shared" si="122"/>
        <v>9600</v>
      </c>
      <c r="AB264" s="96">
        <f t="shared" si="123"/>
        <v>25600</v>
      </c>
      <c r="AC264" s="99">
        <v>800</v>
      </c>
      <c r="AD264" s="98"/>
      <c r="AE264" s="102">
        <f t="shared" si="124"/>
        <v>26400</v>
      </c>
      <c r="AF264" s="99">
        <v>800</v>
      </c>
      <c r="AG264" s="98"/>
      <c r="AH264" s="102">
        <f t="shared" si="125"/>
        <v>27200</v>
      </c>
      <c r="AI264" s="99">
        <v>800</v>
      </c>
      <c r="AJ264" s="98"/>
      <c r="AK264" s="102">
        <f t="shared" si="126"/>
        <v>28000</v>
      </c>
      <c r="AL264" s="99">
        <v>800</v>
      </c>
      <c r="AM264" s="98"/>
      <c r="AN264" s="102">
        <f t="shared" si="127"/>
        <v>28800</v>
      </c>
      <c r="AO264" s="99">
        <v>800</v>
      </c>
      <c r="AP264" s="114"/>
      <c r="AQ264" s="102">
        <f t="shared" si="128"/>
        <v>29600</v>
      </c>
      <c r="AR264" s="99">
        <v>800</v>
      </c>
      <c r="AS264" s="114"/>
      <c r="AT264" s="102">
        <f t="shared" si="129"/>
        <v>30400</v>
      </c>
    </row>
    <row r="265" spans="1:46" s="80" customFormat="1">
      <c r="A265" s="103">
        <f>VLOOKUP(B265,справочник!$B$2:$E$322,4,FALSE)</f>
        <v>54</v>
      </c>
      <c r="B265" s="80" t="str">
        <f t="shared" si="120"/>
        <v>56Стрелков Андрей Вячеславович</v>
      </c>
      <c r="C265" s="5">
        <v>56</v>
      </c>
      <c r="D265" s="7" t="s">
        <v>251</v>
      </c>
      <c r="E265" s="5" t="s">
        <v>562</v>
      </c>
      <c r="F265" s="19">
        <v>41184</v>
      </c>
      <c r="G265" s="19">
        <v>41214</v>
      </c>
      <c r="H265" s="20">
        <f t="shared" si="118"/>
        <v>38</v>
      </c>
      <c r="I265" s="5">
        <f t="shared" si="109"/>
        <v>38000</v>
      </c>
      <c r="J265" s="20">
        <v>38000</v>
      </c>
      <c r="K265" s="20"/>
      <c r="L265" s="21">
        <f t="shared" si="119"/>
        <v>0</v>
      </c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21">
        <f t="shared" si="121"/>
        <v>0</v>
      </c>
      <c r="Z265" s="104">
        <v>0</v>
      </c>
      <c r="AA265" s="104">
        <f t="shared" si="122"/>
        <v>0</v>
      </c>
      <c r="AB265" s="104">
        <f t="shared" si="123"/>
        <v>0</v>
      </c>
      <c r="AC265" s="104">
        <v>0</v>
      </c>
      <c r="AD265" s="105"/>
      <c r="AE265" s="106">
        <f t="shared" si="124"/>
        <v>0</v>
      </c>
      <c r="AF265" s="104">
        <v>0</v>
      </c>
      <c r="AG265" s="105"/>
      <c r="AH265" s="106">
        <f t="shared" si="125"/>
        <v>0</v>
      </c>
      <c r="AI265" s="104">
        <v>0</v>
      </c>
      <c r="AJ265" s="105"/>
      <c r="AK265" s="106">
        <f t="shared" si="126"/>
        <v>0</v>
      </c>
      <c r="AL265" s="104">
        <v>0</v>
      </c>
      <c r="AM265" s="105"/>
      <c r="AN265" s="106">
        <f t="shared" si="127"/>
        <v>0</v>
      </c>
      <c r="AO265" s="104">
        <v>0</v>
      </c>
      <c r="AP265" s="105"/>
      <c r="AQ265" s="106">
        <f t="shared" si="128"/>
        <v>0</v>
      </c>
      <c r="AR265" s="104">
        <v>0</v>
      </c>
      <c r="AS265" s="105"/>
      <c r="AT265" s="106">
        <f t="shared" si="129"/>
        <v>0</v>
      </c>
    </row>
    <row r="266" spans="1:46" s="80" customFormat="1">
      <c r="A266" s="103">
        <f>VLOOKUP(B266,справочник!$B$2:$E$322,4,FALSE)</f>
        <v>317</v>
      </c>
      <c r="B266" s="80" t="str">
        <f t="shared" si="120"/>
        <v xml:space="preserve">51-52Стрелков Андрей Вячеславович  </v>
      </c>
      <c r="C266" s="5" t="s">
        <v>252</v>
      </c>
      <c r="D266" s="7" t="s">
        <v>253</v>
      </c>
      <c r="E266" s="5" t="s">
        <v>563</v>
      </c>
      <c r="F266" s="19">
        <v>41184</v>
      </c>
      <c r="G266" s="19">
        <v>41214</v>
      </c>
      <c r="H266" s="20">
        <f>INT(($H$325-G266)/30)*2</f>
        <v>76</v>
      </c>
      <c r="I266" s="5">
        <v>89000</v>
      </c>
      <c r="J266" s="20">
        <v>89000</v>
      </c>
      <c r="K266" s="20"/>
      <c r="L266" s="21">
        <f t="shared" si="119"/>
        <v>0</v>
      </c>
      <c r="M266" s="109"/>
      <c r="N266" s="109"/>
      <c r="O266" s="109"/>
      <c r="P266" s="109"/>
      <c r="Q266" s="109"/>
      <c r="R266" s="109"/>
      <c r="S266" s="109"/>
      <c r="T266" s="109"/>
      <c r="U266" s="109">
        <v>6400</v>
      </c>
      <c r="V266" s="109"/>
      <c r="W266" s="109"/>
      <c r="X266" s="109"/>
      <c r="Y266" s="21">
        <f t="shared" si="121"/>
        <v>6400</v>
      </c>
      <c r="Z266" s="104">
        <v>12</v>
      </c>
      <c r="AA266" s="104">
        <f t="shared" si="122"/>
        <v>9600</v>
      </c>
      <c r="AB266" s="104">
        <f t="shared" si="123"/>
        <v>3200</v>
      </c>
      <c r="AC266" s="104">
        <v>800</v>
      </c>
      <c r="AD266" s="105"/>
      <c r="AE266" s="106">
        <f t="shared" si="124"/>
        <v>4000</v>
      </c>
      <c r="AF266" s="104">
        <v>800</v>
      </c>
      <c r="AG266" s="105">
        <v>4800</v>
      </c>
      <c r="AH266" s="106">
        <f t="shared" si="125"/>
        <v>0</v>
      </c>
      <c r="AI266" s="104">
        <v>800</v>
      </c>
      <c r="AJ266" s="105">
        <v>800</v>
      </c>
      <c r="AK266" s="106">
        <f t="shared" si="126"/>
        <v>0</v>
      </c>
      <c r="AL266" s="104">
        <v>800</v>
      </c>
      <c r="AM266" s="105"/>
      <c r="AN266" s="106">
        <f t="shared" si="127"/>
        <v>800</v>
      </c>
      <c r="AO266" s="104">
        <v>800</v>
      </c>
      <c r="AP266" s="105"/>
      <c r="AQ266" s="106">
        <f t="shared" si="128"/>
        <v>1600</v>
      </c>
      <c r="AR266" s="104">
        <v>800</v>
      </c>
      <c r="AS266" s="105">
        <v>2400</v>
      </c>
      <c r="AT266" s="106">
        <f t="shared" si="129"/>
        <v>0</v>
      </c>
    </row>
    <row r="267" spans="1:46">
      <c r="A267" s="41">
        <f>VLOOKUP(B267,справочник!$B$2:$E$322,4,FALSE)</f>
        <v>268</v>
      </c>
      <c r="B267" t="str">
        <f t="shared" si="120"/>
        <v>281Стрелков Николай Валентинович</v>
      </c>
      <c r="C267" s="1">
        <v>281</v>
      </c>
      <c r="D267" s="2" t="s">
        <v>254</v>
      </c>
      <c r="E267" s="1" t="s">
        <v>564</v>
      </c>
      <c r="F267" s="16">
        <v>41184</v>
      </c>
      <c r="G267" s="16">
        <v>41214</v>
      </c>
      <c r="H267" s="17">
        <f t="shared" ref="H267:H285" si="130">INT(($H$325-G267)/30)</f>
        <v>38</v>
      </c>
      <c r="I267" s="1">
        <f t="shared" ref="I267:I276" si="131">H267*1000</f>
        <v>38000</v>
      </c>
      <c r="J267" s="17">
        <v>28000</v>
      </c>
      <c r="K267" s="17"/>
      <c r="L267" s="18">
        <f t="shared" si="119"/>
        <v>10000</v>
      </c>
      <c r="M267" s="29">
        <v>3000</v>
      </c>
      <c r="N267" s="29"/>
      <c r="O267" s="29"/>
      <c r="P267" s="29">
        <v>3000</v>
      </c>
      <c r="Q267" s="29"/>
      <c r="R267" s="29">
        <v>3000</v>
      </c>
      <c r="S267" s="29"/>
      <c r="T267" s="29"/>
      <c r="U267" s="29">
        <v>3000</v>
      </c>
      <c r="V267" s="29"/>
      <c r="W267" s="29"/>
      <c r="X267" s="29"/>
      <c r="Y267" s="18">
        <f t="shared" si="121"/>
        <v>12000</v>
      </c>
      <c r="Z267" s="96">
        <v>12</v>
      </c>
      <c r="AA267" s="96">
        <f t="shared" si="122"/>
        <v>9600</v>
      </c>
      <c r="AB267" s="96">
        <f t="shared" si="123"/>
        <v>7600</v>
      </c>
      <c r="AC267" s="99">
        <v>800</v>
      </c>
      <c r="AD267" s="98"/>
      <c r="AE267" s="102">
        <f t="shared" si="124"/>
        <v>8400</v>
      </c>
      <c r="AF267" s="99">
        <v>800</v>
      </c>
      <c r="AG267" s="98">
        <v>3000</v>
      </c>
      <c r="AH267" s="102">
        <f t="shared" si="125"/>
        <v>6200</v>
      </c>
      <c r="AI267" s="99">
        <v>800</v>
      </c>
      <c r="AJ267" s="98"/>
      <c r="AK267" s="102">
        <f t="shared" si="126"/>
        <v>7000</v>
      </c>
      <c r="AL267" s="99">
        <v>800</v>
      </c>
      <c r="AM267" s="98"/>
      <c r="AN267" s="102">
        <f t="shared" si="127"/>
        <v>7800</v>
      </c>
      <c r="AO267" s="99">
        <v>800</v>
      </c>
      <c r="AP267" s="114">
        <v>3000</v>
      </c>
      <c r="AQ267" s="102">
        <f t="shared" si="128"/>
        <v>5600</v>
      </c>
      <c r="AR267" s="99">
        <v>800</v>
      </c>
      <c r="AS267" s="114"/>
      <c r="AT267" s="102">
        <f t="shared" si="129"/>
        <v>6400</v>
      </c>
    </row>
    <row r="268" spans="1:46">
      <c r="A268" s="41">
        <f>VLOOKUP(B268,справочник!$B$2:$E$322,4,FALSE)</f>
        <v>172</v>
      </c>
      <c r="B268" t="str">
        <f t="shared" si="120"/>
        <v>180Ступнев Евгений  Романович</v>
      </c>
      <c r="C268" s="1">
        <v>180</v>
      </c>
      <c r="D268" s="2" t="s">
        <v>255</v>
      </c>
      <c r="E268" s="1" t="s">
        <v>565</v>
      </c>
      <c r="F268" s="16">
        <v>40809</v>
      </c>
      <c r="G268" s="16">
        <v>40787</v>
      </c>
      <c r="H268" s="17">
        <f t="shared" si="130"/>
        <v>52</v>
      </c>
      <c r="I268" s="1">
        <f t="shared" si="131"/>
        <v>52000</v>
      </c>
      <c r="J268" s="17">
        <f>13000+1000</f>
        <v>14000</v>
      </c>
      <c r="K268" s="17"/>
      <c r="L268" s="18">
        <f t="shared" si="119"/>
        <v>38000</v>
      </c>
      <c r="M268" s="29"/>
      <c r="N268" s="29"/>
      <c r="O268" s="29"/>
      <c r="P268" s="29"/>
      <c r="Q268" s="29"/>
      <c r="R268" s="29"/>
      <c r="S268" s="29"/>
      <c r="T268" s="29"/>
      <c r="U268" s="29"/>
      <c r="V268" s="29">
        <v>10200</v>
      </c>
      <c r="W268" s="29"/>
      <c r="X268" s="29"/>
      <c r="Y268" s="18">
        <f t="shared" si="121"/>
        <v>10200</v>
      </c>
      <c r="Z268" s="96">
        <v>12</v>
      </c>
      <c r="AA268" s="96">
        <f t="shared" si="122"/>
        <v>9600</v>
      </c>
      <c r="AB268" s="96">
        <f t="shared" si="123"/>
        <v>37400</v>
      </c>
      <c r="AC268" s="99">
        <v>800</v>
      </c>
      <c r="AD268" s="98"/>
      <c r="AE268" s="102">
        <f t="shared" si="124"/>
        <v>38200</v>
      </c>
      <c r="AF268" s="99">
        <v>800</v>
      </c>
      <c r="AG268" s="98"/>
      <c r="AH268" s="102">
        <f t="shared" si="125"/>
        <v>39000</v>
      </c>
      <c r="AI268" s="99">
        <v>800</v>
      </c>
      <c r="AJ268" s="98"/>
      <c r="AK268" s="102">
        <f t="shared" si="126"/>
        <v>39800</v>
      </c>
      <c r="AL268" s="99">
        <v>800</v>
      </c>
      <c r="AM268" s="98"/>
      <c r="AN268" s="102">
        <f t="shared" si="127"/>
        <v>40600</v>
      </c>
      <c r="AO268" s="99">
        <v>800</v>
      </c>
      <c r="AP268" s="114"/>
      <c r="AQ268" s="102">
        <f t="shared" si="128"/>
        <v>41400</v>
      </c>
      <c r="AR268" s="99">
        <v>800</v>
      </c>
      <c r="AS268" s="114"/>
      <c r="AT268" s="102">
        <f t="shared" si="129"/>
        <v>42200</v>
      </c>
    </row>
    <row r="269" spans="1:46">
      <c r="A269" s="41">
        <f>VLOOKUP(B269,справочник!$B$2:$E$322,4,FALSE)</f>
        <v>116</v>
      </c>
      <c r="B269" t="str">
        <f t="shared" si="120"/>
        <v>121Суворов Сергей Анатольевич</v>
      </c>
      <c r="C269" s="1">
        <v>121</v>
      </c>
      <c r="D269" s="2" t="s">
        <v>256</v>
      </c>
      <c r="E269" s="1" t="s">
        <v>566</v>
      </c>
      <c r="F269" s="16">
        <v>41531</v>
      </c>
      <c r="G269" s="16">
        <v>41518</v>
      </c>
      <c r="H269" s="17">
        <f t="shared" si="130"/>
        <v>28</v>
      </c>
      <c r="I269" s="1">
        <f t="shared" si="131"/>
        <v>28000</v>
      </c>
      <c r="J269" s="17">
        <v>20000</v>
      </c>
      <c r="K269" s="17"/>
      <c r="L269" s="18">
        <f t="shared" si="119"/>
        <v>8000</v>
      </c>
      <c r="M269" s="29"/>
      <c r="N269" s="29"/>
      <c r="O269" s="29">
        <v>10000</v>
      </c>
      <c r="P269" s="29"/>
      <c r="Q269" s="29"/>
      <c r="R269" s="29"/>
      <c r="S269" s="29"/>
      <c r="T269" s="29"/>
      <c r="U269" s="29"/>
      <c r="V269" s="29"/>
      <c r="W269" s="29"/>
      <c r="X269" s="29"/>
      <c r="Y269" s="18">
        <f t="shared" si="121"/>
        <v>10000</v>
      </c>
      <c r="Z269" s="96">
        <v>12</v>
      </c>
      <c r="AA269" s="96">
        <f t="shared" si="122"/>
        <v>9600</v>
      </c>
      <c r="AB269" s="96">
        <f t="shared" si="123"/>
        <v>7600</v>
      </c>
      <c r="AC269" s="99">
        <v>800</v>
      </c>
      <c r="AD269" s="98"/>
      <c r="AE269" s="102">
        <f t="shared" si="124"/>
        <v>8400</v>
      </c>
      <c r="AF269" s="99">
        <v>800</v>
      </c>
      <c r="AG269" s="98"/>
      <c r="AH269" s="102">
        <f t="shared" si="125"/>
        <v>9200</v>
      </c>
      <c r="AI269" s="99">
        <v>800</v>
      </c>
      <c r="AJ269" s="98"/>
      <c r="AK269" s="102">
        <f t="shared" si="126"/>
        <v>10000</v>
      </c>
      <c r="AL269" s="99">
        <v>800</v>
      </c>
      <c r="AM269" s="98"/>
      <c r="AN269" s="102">
        <f t="shared" si="127"/>
        <v>10800</v>
      </c>
      <c r="AO269" s="99">
        <v>800</v>
      </c>
      <c r="AP269" s="114"/>
      <c r="AQ269" s="102">
        <f t="shared" si="128"/>
        <v>11600</v>
      </c>
      <c r="AR269" s="99">
        <v>800</v>
      </c>
      <c r="AS269" s="114"/>
      <c r="AT269" s="102">
        <f t="shared" si="129"/>
        <v>12400</v>
      </c>
    </row>
    <row r="270" spans="1:46">
      <c r="A270" s="41">
        <f>VLOOKUP(B270,справочник!$B$2:$E$322,4,FALSE)</f>
        <v>57</v>
      </c>
      <c r="B270" t="str">
        <f t="shared" si="120"/>
        <v>59Суркова Татьяна Александровна</v>
      </c>
      <c r="C270" s="1">
        <v>59</v>
      </c>
      <c r="D270" s="2" t="s">
        <v>257</v>
      </c>
      <c r="E270" s="1" t="s">
        <v>567</v>
      </c>
      <c r="F270" s="16">
        <v>41044</v>
      </c>
      <c r="G270" s="16">
        <v>41030</v>
      </c>
      <c r="H270" s="17">
        <f t="shared" si="130"/>
        <v>44</v>
      </c>
      <c r="I270" s="1">
        <f t="shared" si="131"/>
        <v>44000</v>
      </c>
      <c r="J270" s="17">
        <v>34000</v>
      </c>
      <c r="K270" s="17"/>
      <c r="L270" s="18">
        <f t="shared" si="119"/>
        <v>10000</v>
      </c>
      <c r="M270" s="29"/>
      <c r="N270" s="29"/>
      <c r="O270" s="29"/>
      <c r="P270" s="29">
        <v>10000</v>
      </c>
      <c r="Q270" s="29"/>
      <c r="R270" s="29"/>
      <c r="S270" s="29"/>
      <c r="T270" s="29"/>
      <c r="U270" s="29"/>
      <c r="V270" s="29"/>
      <c r="W270" s="29"/>
      <c r="X270" s="29"/>
      <c r="Y270" s="18">
        <f t="shared" si="121"/>
        <v>10000</v>
      </c>
      <c r="Z270" s="96">
        <v>0</v>
      </c>
      <c r="AA270" s="96">
        <f t="shared" si="122"/>
        <v>0</v>
      </c>
      <c r="AB270" s="96">
        <f t="shared" si="123"/>
        <v>0</v>
      </c>
      <c r="AC270" s="99">
        <v>0</v>
      </c>
      <c r="AD270" s="98"/>
      <c r="AE270" s="102">
        <f t="shared" si="124"/>
        <v>0</v>
      </c>
      <c r="AF270" s="99">
        <v>0</v>
      </c>
      <c r="AG270" s="98"/>
      <c r="AH270" s="102">
        <f t="shared" si="125"/>
        <v>0</v>
      </c>
      <c r="AI270" s="99">
        <v>0</v>
      </c>
      <c r="AJ270" s="98"/>
      <c r="AK270" s="102">
        <f t="shared" si="126"/>
        <v>0</v>
      </c>
      <c r="AL270" s="99">
        <v>0</v>
      </c>
      <c r="AM270" s="98"/>
      <c r="AN270" s="102">
        <f t="shared" si="127"/>
        <v>0</v>
      </c>
      <c r="AO270" s="99">
        <v>0</v>
      </c>
      <c r="AP270" s="114"/>
      <c r="AQ270" s="102">
        <f t="shared" si="128"/>
        <v>0</v>
      </c>
      <c r="AR270" s="99">
        <v>0</v>
      </c>
      <c r="AS270" s="114"/>
      <c r="AT270" s="102">
        <f t="shared" si="129"/>
        <v>0</v>
      </c>
    </row>
    <row r="271" spans="1:46">
      <c r="A271" s="41">
        <f>VLOOKUP(B271,справочник!$B$2:$E$322,4,FALSE)</f>
        <v>46</v>
      </c>
      <c r="B271" t="str">
        <f t="shared" si="120"/>
        <v>46Сысоев Евгений Анатольевич</v>
      </c>
      <c r="C271" s="1">
        <v>46</v>
      </c>
      <c r="D271" s="2" t="s">
        <v>258</v>
      </c>
      <c r="E271" s="1" t="s">
        <v>568</v>
      </c>
      <c r="F271" s="16">
        <v>41382</v>
      </c>
      <c r="G271" s="16">
        <v>41395</v>
      </c>
      <c r="H271" s="17">
        <f t="shared" si="130"/>
        <v>32</v>
      </c>
      <c r="I271" s="1">
        <f t="shared" si="131"/>
        <v>32000</v>
      </c>
      <c r="J271" s="17">
        <v>17000</v>
      </c>
      <c r="K271" s="17"/>
      <c r="L271" s="18">
        <f t="shared" si="119"/>
        <v>15000</v>
      </c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18">
        <f t="shared" si="121"/>
        <v>0</v>
      </c>
      <c r="Z271" s="96">
        <v>12</v>
      </c>
      <c r="AA271" s="96">
        <f t="shared" si="122"/>
        <v>9600</v>
      </c>
      <c r="AB271" s="96">
        <f t="shared" si="123"/>
        <v>24600</v>
      </c>
      <c r="AC271" s="99">
        <v>800</v>
      </c>
      <c r="AD271" s="98"/>
      <c r="AE271" s="102">
        <f t="shared" si="124"/>
        <v>25400</v>
      </c>
      <c r="AF271" s="99">
        <v>800</v>
      </c>
      <c r="AG271" s="98"/>
      <c r="AH271" s="102">
        <f t="shared" si="125"/>
        <v>26200</v>
      </c>
      <c r="AI271" s="99">
        <v>800</v>
      </c>
      <c r="AJ271" s="98"/>
      <c r="AK271" s="102">
        <f t="shared" si="126"/>
        <v>27000</v>
      </c>
      <c r="AL271" s="99">
        <v>800</v>
      </c>
      <c r="AM271" s="98"/>
      <c r="AN271" s="102">
        <f t="shared" si="127"/>
        <v>27800</v>
      </c>
      <c r="AO271" s="99">
        <v>800</v>
      </c>
      <c r="AP271" s="114"/>
      <c r="AQ271" s="102">
        <f t="shared" si="128"/>
        <v>28600</v>
      </c>
      <c r="AR271" s="99">
        <v>800</v>
      </c>
      <c r="AS271" s="114"/>
      <c r="AT271" s="102">
        <f t="shared" si="129"/>
        <v>29400</v>
      </c>
    </row>
    <row r="272" spans="1:46">
      <c r="A272" s="41">
        <f>VLOOKUP(B272,справочник!$B$2:$E$322,4,FALSE)</f>
        <v>73</v>
      </c>
      <c r="B272" t="str">
        <f t="shared" si="120"/>
        <v>79Сысоев Семен Евгеньевич</v>
      </c>
      <c r="C272" s="1">
        <v>79</v>
      </c>
      <c r="D272" s="2" t="s">
        <v>259</v>
      </c>
      <c r="E272" s="1" t="s">
        <v>569</v>
      </c>
      <c r="F272" s="16">
        <v>41382</v>
      </c>
      <c r="G272" s="16">
        <v>41395</v>
      </c>
      <c r="H272" s="17">
        <f t="shared" si="130"/>
        <v>32</v>
      </c>
      <c r="I272" s="1">
        <f t="shared" si="131"/>
        <v>32000</v>
      </c>
      <c r="J272" s="17">
        <v>21000</v>
      </c>
      <c r="K272" s="17"/>
      <c r="L272" s="18">
        <f t="shared" si="119"/>
        <v>11000</v>
      </c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18">
        <f t="shared" si="121"/>
        <v>0</v>
      </c>
      <c r="Z272" s="96">
        <v>12</v>
      </c>
      <c r="AA272" s="96">
        <f t="shared" si="122"/>
        <v>9600</v>
      </c>
      <c r="AB272" s="96">
        <f t="shared" si="123"/>
        <v>20600</v>
      </c>
      <c r="AC272" s="99">
        <v>800</v>
      </c>
      <c r="AD272" s="98"/>
      <c r="AE272" s="102">
        <f t="shared" si="124"/>
        <v>21400</v>
      </c>
      <c r="AF272" s="99">
        <v>800</v>
      </c>
      <c r="AG272" s="98"/>
      <c r="AH272" s="102">
        <f t="shared" si="125"/>
        <v>22200</v>
      </c>
      <c r="AI272" s="99">
        <v>800</v>
      </c>
      <c r="AJ272" s="98"/>
      <c r="AK272" s="102">
        <f t="shared" si="126"/>
        <v>23000</v>
      </c>
      <c r="AL272" s="99">
        <v>800</v>
      </c>
      <c r="AM272" s="98"/>
      <c r="AN272" s="102">
        <f t="shared" si="127"/>
        <v>23800</v>
      </c>
      <c r="AO272" s="99">
        <v>800</v>
      </c>
      <c r="AP272" s="114"/>
      <c r="AQ272" s="102">
        <f t="shared" si="128"/>
        <v>24600</v>
      </c>
      <c r="AR272" s="99">
        <v>800</v>
      </c>
      <c r="AS272" s="114"/>
      <c r="AT272" s="102">
        <f t="shared" si="129"/>
        <v>25400</v>
      </c>
    </row>
    <row r="273" spans="1:46">
      <c r="A273" s="41">
        <f>VLOOKUP(B273,справочник!$B$2:$E$322,4,FALSE)</f>
        <v>162</v>
      </c>
      <c r="B273" t="str">
        <f t="shared" si="120"/>
        <v>170Тадлов Виталий Петрович</v>
      </c>
      <c r="C273" s="1">
        <v>170</v>
      </c>
      <c r="D273" s="2" t="s">
        <v>260</v>
      </c>
      <c r="E273" s="1" t="s">
        <v>570</v>
      </c>
      <c r="F273" s="16">
        <v>41800</v>
      </c>
      <c r="G273" s="16">
        <v>41821</v>
      </c>
      <c r="H273" s="17">
        <f t="shared" si="130"/>
        <v>18</v>
      </c>
      <c r="I273" s="1">
        <f t="shared" si="131"/>
        <v>18000</v>
      </c>
      <c r="J273" s="17">
        <v>12000</v>
      </c>
      <c r="K273" s="17"/>
      <c r="L273" s="18">
        <f t="shared" si="119"/>
        <v>6000</v>
      </c>
      <c r="M273" s="29"/>
      <c r="N273" s="29"/>
      <c r="O273" s="29"/>
      <c r="P273" s="29"/>
      <c r="Q273" s="29">
        <v>12000</v>
      </c>
      <c r="R273" s="29"/>
      <c r="S273" s="29"/>
      <c r="T273" s="29"/>
      <c r="U273" s="29"/>
      <c r="V273" s="29"/>
      <c r="W273" s="29"/>
      <c r="X273" s="29"/>
      <c r="Y273" s="18">
        <f t="shared" si="121"/>
        <v>12000</v>
      </c>
      <c r="Z273" s="96">
        <v>12</v>
      </c>
      <c r="AA273" s="96">
        <f t="shared" si="122"/>
        <v>9600</v>
      </c>
      <c r="AB273" s="96">
        <f t="shared" si="123"/>
        <v>3600</v>
      </c>
      <c r="AC273" s="99">
        <v>800</v>
      </c>
      <c r="AD273" s="98"/>
      <c r="AE273" s="102">
        <f t="shared" si="124"/>
        <v>4400</v>
      </c>
      <c r="AF273" s="99">
        <v>800</v>
      </c>
      <c r="AG273" s="98"/>
      <c r="AH273" s="102">
        <f t="shared" si="125"/>
        <v>5200</v>
      </c>
      <c r="AI273" s="99">
        <v>800</v>
      </c>
      <c r="AJ273" s="98"/>
      <c r="AK273" s="102">
        <f t="shared" si="126"/>
        <v>6000</v>
      </c>
      <c r="AL273" s="99">
        <v>800</v>
      </c>
      <c r="AM273" s="98"/>
      <c r="AN273" s="102">
        <f t="shared" si="127"/>
        <v>6800</v>
      </c>
      <c r="AO273" s="99">
        <v>800</v>
      </c>
      <c r="AP273" s="114"/>
      <c r="AQ273" s="102">
        <f t="shared" si="128"/>
        <v>7600</v>
      </c>
      <c r="AR273" s="99">
        <v>800</v>
      </c>
      <c r="AS273" s="114">
        <f>2500+8000</f>
        <v>10500</v>
      </c>
      <c r="AT273" s="102">
        <f t="shared" si="129"/>
        <v>-2100</v>
      </c>
    </row>
    <row r="274" spans="1:46" s="80" customFormat="1">
      <c r="A274" s="103">
        <f>VLOOKUP(B274,справочник!$B$2:$E$322,4,FALSE)</f>
        <v>252</v>
      </c>
      <c r="B274" s="80" t="str">
        <f t="shared" si="120"/>
        <v>263Тарасенко Анатолий Семенович</v>
      </c>
      <c r="C274" s="5">
        <v>263</v>
      </c>
      <c r="D274" s="7" t="s">
        <v>261</v>
      </c>
      <c r="E274" s="5" t="s">
        <v>571</v>
      </c>
      <c r="F274" s="19">
        <v>41967</v>
      </c>
      <c r="G274" s="19">
        <v>41974</v>
      </c>
      <c r="H274" s="20">
        <f t="shared" si="130"/>
        <v>13</v>
      </c>
      <c r="I274" s="5">
        <f t="shared" si="131"/>
        <v>13000</v>
      </c>
      <c r="J274" s="20">
        <v>8000</v>
      </c>
      <c r="K274" s="20"/>
      <c r="L274" s="21">
        <f t="shared" si="119"/>
        <v>5000</v>
      </c>
      <c r="M274" s="109"/>
      <c r="N274" s="109">
        <v>800</v>
      </c>
      <c r="O274" s="109">
        <v>1600</v>
      </c>
      <c r="P274" s="109"/>
      <c r="Q274" s="109">
        <v>1600</v>
      </c>
      <c r="R274" s="109"/>
      <c r="S274" s="109">
        <v>1600</v>
      </c>
      <c r="T274" s="80">
        <v>800</v>
      </c>
      <c r="U274" s="109">
        <v>800</v>
      </c>
      <c r="V274" s="109"/>
      <c r="W274" s="80">
        <v>800</v>
      </c>
      <c r="X274" s="109">
        <f>800+800</f>
        <v>1600</v>
      </c>
      <c r="Y274" s="21">
        <f t="shared" si="121"/>
        <v>9600</v>
      </c>
      <c r="Z274" s="104">
        <v>12</v>
      </c>
      <c r="AA274" s="104">
        <f t="shared" si="122"/>
        <v>9600</v>
      </c>
      <c r="AB274" s="104">
        <f t="shared" si="123"/>
        <v>5000</v>
      </c>
      <c r="AC274" s="104">
        <v>800</v>
      </c>
      <c r="AD274" s="105"/>
      <c r="AE274" s="123">
        <f>SUM(AB274:AB275)+SUM(AC274:AC275)-SUM(AD274:AD275)</f>
        <v>10800</v>
      </c>
      <c r="AF274" s="104">
        <v>800</v>
      </c>
      <c r="AG274" s="105">
        <v>800</v>
      </c>
      <c r="AH274" s="123">
        <f>SUM(AE274:AE275)+SUM(AF274:AF275)-SUM(AG274:AG275)</f>
        <v>10800</v>
      </c>
      <c r="AI274" s="104">
        <v>800</v>
      </c>
      <c r="AJ274" s="105">
        <v>800</v>
      </c>
      <c r="AK274" s="123">
        <f>SUM(AH274:AH275)+SUM(AI274:AI275)-SUM(AJ274:AJ275)</f>
        <v>10800</v>
      </c>
      <c r="AL274" s="104">
        <v>800</v>
      </c>
      <c r="AM274" s="105"/>
      <c r="AN274" s="123">
        <f>SUM(AK274:AK275)+SUM(AL274:AL275)-SUM(AM274:AM275)</f>
        <v>11600</v>
      </c>
      <c r="AO274" s="104">
        <v>800</v>
      </c>
      <c r="AP274" s="105"/>
      <c r="AQ274" s="123">
        <f>SUM(AN274:AN275)+SUM(AO274:AO275)-SUM(AP274:AP275)</f>
        <v>12400</v>
      </c>
      <c r="AR274" s="104">
        <v>800</v>
      </c>
      <c r="AS274" s="105"/>
      <c r="AT274" s="123">
        <f>SUM(AQ274:AQ275)+SUM(AR274:AR275)-SUM(AS274:AS275)</f>
        <v>13200</v>
      </c>
    </row>
    <row r="275" spans="1:46" s="80" customFormat="1">
      <c r="A275" s="103">
        <f>VLOOKUP(B275,справочник!$B$2:$E$322,4,FALSE)</f>
        <v>252</v>
      </c>
      <c r="B275" s="80" t="str">
        <f t="shared" si="120"/>
        <v>264Тарасенко Анатолий Семенович</v>
      </c>
      <c r="C275" s="5">
        <v>264</v>
      </c>
      <c r="D275" s="7" t="s">
        <v>261</v>
      </c>
      <c r="E275" s="5" t="s">
        <v>572</v>
      </c>
      <c r="F275" s="19">
        <v>41967</v>
      </c>
      <c r="G275" s="19">
        <v>41974</v>
      </c>
      <c r="H275" s="20">
        <f t="shared" si="130"/>
        <v>13</v>
      </c>
      <c r="I275" s="5">
        <f t="shared" si="131"/>
        <v>13000</v>
      </c>
      <c r="J275" s="20">
        <v>8000</v>
      </c>
      <c r="K275" s="20"/>
      <c r="L275" s="21">
        <f t="shared" si="119"/>
        <v>5000</v>
      </c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21">
        <f t="shared" si="121"/>
        <v>0</v>
      </c>
      <c r="Z275" s="104">
        <v>0</v>
      </c>
      <c r="AA275" s="104">
        <f t="shared" si="122"/>
        <v>0</v>
      </c>
      <c r="AB275" s="104">
        <f t="shared" si="123"/>
        <v>5000</v>
      </c>
      <c r="AC275" s="104">
        <v>0</v>
      </c>
      <c r="AD275" s="105"/>
      <c r="AE275" s="124"/>
      <c r="AF275" s="104">
        <v>0</v>
      </c>
      <c r="AG275" s="105"/>
      <c r="AH275" s="124"/>
      <c r="AI275" s="104">
        <v>0</v>
      </c>
      <c r="AJ275" s="105"/>
      <c r="AK275" s="124"/>
      <c r="AL275" s="104">
        <v>0</v>
      </c>
      <c r="AM275" s="105"/>
      <c r="AN275" s="124"/>
      <c r="AO275" s="104">
        <v>0</v>
      </c>
      <c r="AP275" s="105"/>
      <c r="AQ275" s="124"/>
      <c r="AR275" s="104">
        <v>0</v>
      </c>
      <c r="AS275" s="105"/>
      <c r="AT275" s="124"/>
    </row>
    <row r="276" spans="1:46" ht="25.5" customHeight="1">
      <c r="A276" s="41">
        <f>VLOOKUP(B276,справочник!$B$2:$E$322,4,FALSE)</f>
        <v>45</v>
      </c>
      <c r="B276" t="str">
        <f t="shared" si="120"/>
        <v>45Темникова Елена Станиславовна</v>
      </c>
      <c r="C276" s="1">
        <v>45</v>
      </c>
      <c r="D276" s="2" t="s">
        <v>262</v>
      </c>
      <c r="E276" s="1" t="s">
        <v>573</v>
      </c>
      <c r="F276" s="16">
        <v>41044</v>
      </c>
      <c r="G276" s="16">
        <v>41030</v>
      </c>
      <c r="H276" s="17">
        <f t="shared" si="130"/>
        <v>44</v>
      </c>
      <c r="I276" s="1">
        <f t="shared" si="131"/>
        <v>44000</v>
      </c>
      <c r="J276" s="17">
        <f>27000+8000</f>
        <v>35000</v>
      </c>
      <c r="K276" s="17">
        <v>9000</v>
      </c>
      <c r="L276" s="18">
        <f t="shared" si="119"/>
        <v>0</v>
      </c>
      <c r="M276" s="29">
        <v>800</v>
      </c>
      <c r="N276" s="29">
        <v>800</v>
      </c>
      <c r="O276" s="29">
        <v>800</v>
      </c>
      <c r="P276" s="29">
        <v>800</v>
      </c>
      <c r="Q276" s="29">
        <v>800</v>
      </c>
      <c r="R276" s="29">
        <v>800</v>
      </c>
      <c r="S276" s="29">
        <v>800</v>
      </c>
      <c r="T276">
        <v>800</v>
      </c>
      <c r="U276" s="29">
        <v>3200</v>
      </c>
      <c r="V276" s="29">
        <v>2600</v>
      </c>
      <c r="W276" s="29"/>
      <c r="X276" s="29"/>
      <c r="Y276" s="18">
        <f t="shared" si="121"/>
        <v>12200</v>
      </c>
      <c r="Z276" s="96">
        <v>12</v>
      </c>
      <c r="AA276" s="96">
        <f t="shared" si="122"/>
        <v>9600</v>
      </c>
      <c r="AB276" s="96">
        <f t="shared" si="123"/>
        <v>-2600</v>
      </c>
      <c r="AC276" s="99">
        <v>800</v>
      </c>
      <c r="AD276" s="98"/>
      <c r="AE276" s="102">
        <f t="shared" si="124"/>
        <v>-1800</v>
      </c>
      <c r="AF276" s="99">
        <v>800</v>
      </c>
      <c r="AG276" s="98">
        <v>1600</v>
      </c>
      <c r="AH276" s="102">
        <f>AE276+AF276-AG276</f>
        <v>-2600</v>
      </c>
      <c r="AI276" s="99">
        <v>800</v>
      </c>
      <c r="AJ276" s="98"/>
      <c r="AK276" s="102">
        <f>AH276+AI276-AJ276</f>
        <v>-1800</v>
      </c>
      <c r="AL276" s="99">
        <v>800</v>
      </c>
      <c r="AM276" s="98">
        <v>2400</v>
      </c>
      <c r="AN276" s="102">
        <f>AK276+AL276-AM276</f>
        <v>-3400</v>
      </c>
      <c r="AO276" s="99">
        <v>800</v>
      </c>
      <c r="AP276" s="114"/>
      <c r="AQ276" s="102">
        <f>AN276+AO276-AP276</f>
        <v>-2600</v>
      </c>
      <c r="AR276" s="99">
        <v>800</v>
      </c>
      <c r="AS276" s="114">
        <v>5000</v>
      </c>
      <c r="AT276" s="102">
        <f>AQ276+AR276-AS276</f>
        <v>-6800</v>
      </c>
    </row>
    <row r="277" spans="1:46">
      <c r="A277" s="41">
        <f>VLOOKUP(B277,справочник!$B$2:$E$322,4,FALSE)</f>
        <v>319</v>
      </c>
      <c r="B277" t="str">
        <f t="shared" si="120"/>
        <v>73-74Тимофеева Лариса Викторовна</v>
      </c>
      <c r="C277" s="1" t="s">
        <v>263</v>
      </c>
      <c r="D277" s="2" t="s">
        <v>264</v>
      </c>
      <c r="E277" s="1" t="s">
        <v>574</v>
      </c>
      <c r="F277" s="16">
        <v>40774</v>
      </c>
      <c r="G277" s="16">
        <v>40787</v>
      </c>
      <c r="H277" s="17">
        <f t="shared" si="130"/>
        <v>52</v>
      </c>
      <c r="I277" s="1">
        <v>76000</v>
      </c>
      <c r="J277" s="17">
        <f>8000+68000</f>
        <v>76000</v>
      </c>
      <c r="K277" s="17"/>
      <c r="L277" s="18">
        <f t="shared" si="119"/>
        <v>0</v>
      </c>
      <c r="M277" s="29"/>
      <c r="N277" s="29">
        <v>2000</v>
      </c>
      <c r="O277" s="29"/>
      <c r="P277" s="29">
        <v>4000</v>
      </c>
      <c r="Q277" s="29">
        <v>4000</v>
      </c>
      <c r="R277" s="29"/>
      <c r="S277" s="29"/>
      <c r="T277">
        <v>4000</v>
      </c>
      <c r="U277" s="29"/>
      <c r="V277" s="29">
        <v>4000</v>
      </c>
      <c r="W277" s="84">
        <v>4000</v>
      </c>
      <c r="X277" s="29"/>
      <c r="Y277" s="18">
        <f t="shared" si="121"/>
        <v>22000</v>
      </c>
      <c r="Z277" s="96">
        <v>12</v>
      </c>
      <c r="AA277" s="96">
        <f t="shared" si="122"/>
        <v>9600</v>
      </c>
      <c r="AB277" s="96">
        <f t="shared" si="123"/>
        <v>-12400</v>
      </c>
      <c r="AC277" s="99">
        <v>800</v>
      </c>
      <c r="AD277" s="98"/>
      <c r="AE277" s="102">
        <f t="shared" si="124"/>
        <v>-11600</v>
      </c>
      <c r="AF277" s="99">
        <v>800</v>
      </c>
      <c r="AG277" s="98">
        <v>4000</v>
      </c>
      <c r="AH277" s="102">
        <f t="shared" ref="AH277:AH285" si="132">AE277+AF277-AG277</f>
        <v>-14800</v>
      </c>
      <c r="AI277" s="99">
        <v>800</v>
      </c>
      <c r="AJ277" s="98"/>
      <c r="AK277" s="102">
        <f t="shared" ref="AK277:AK285" si="133">AH277+AI277-AJ277</f>
        <v>-14000</v>
      </c>
      <c r="AL277" s="99">
        <v>800</v>
      </c>
      <c r="AM277" s="98"/>
      <c r="AN277" s="102">
        <f t="shared" ref="AN277:AN285" si="134">AK277+AL277-AM277</f>
        <v>-13200</v>
      </c>
      <c r="AO277" s="99">
        <v>800</v>
      </c>
      <c r="AP277" s="114"/>
      <c r="AQ277" s="102">
        <f t="shared" ref="AQ277:AQ285" si="135">AN277+AO277-AP277</f>
        <v>-12400</v>
      </c>
      <c r="AR277" s="99">
        <v>800</v>
      </c>
      <c r="AS277" s="114"/>
      <c r="AT277" s="102">
        <f t="shared" ref="AT277:AT285" si="136">AQ277+AR277-AS277</f>
        <v>-11600</v>
      </c>
    </row>
    <row r="278" spans="1:46">
      <c r="A278" s="41">
        <f>VLOOKUP(B278,справочник!$B$2:$E$322,4,FALSE)</f>
        <v>93</v>
      </c>
      <c r="B278" t="str">
        <f t="shared" si="120"/>
        <v>98Тимофеева Татьяна Александровна (Денис)</v>
      </c>
      <c r="C278" s="1">
        <v>98</v>
      </c>
      <c r="D278" s="2" t="s">
        <v>265</v>
      </c>
      <c r="E278" s="1" t="s">
        <v>575</v>
      </c>
      <c r="F278" s="16">
        <v>40774</v>
      </c>
      <c r="G278" s="16">
        <v>40787</v>
      </c>
      <c r="H278" s="17">
        <f t="shared" si="130"/>
        <v>52</v>
      </c>
      <c r="I278" s="1">
        <f t="shared" ref="I278:I308" si="137">H278*1000</f>
        <v>52000</v>
      </c>
      <c r="J278" s="17">
        <f>4000+30000</f>
        <v>34000</v>
      </c>
      <c r="K278" s="17"/>
      <c r="L278" s="18">
        <f t="shared" si="119"/>
        <v>18000</v>
      </c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18">
        <f t="shared" si="121"/>
        <v>0</v>
      </c>
      <c r="Z278" s="96">
        <v>12</v>
      </c>
      <c r="AA278" s="96">
        <f t="shared" si="122"/>
        <v>9600</v>
      </c>
      <c r="AB278" s="96">
        <f t="shared" si="123"/>
        <v>27600</v>
      </c>
      <c r="AC278" s="99">
        <v>800</v>
      </c>
      <c r="AD278" s="98"/>
      <c r="AE278" s="102">
        <f t="shared" si="124"/>
        <v>28400</v>
      </c>
      <c r="AF278" s="99">
        <v>800</v>
      </c>
      <c r="AG278" s="98"/>
      <c r="AH278" s="102">
        <f t="shared" si="132"/>
        <v>29200</v>
      </c>
      <c r="AI278" s="99">
        <v>800</v>
      </c>
      <c r="AJ278" s="98"/>
      <c r="AK278" s="102">
        <f t="shared" si="133"/>
        <v>30000</v>
      </c>
      <c r="AL278" s="99">
        <v>800</v>
      </c>
      <c r="AM278" s="98"/>
      <c r="AN278" s="102">
        <f t="shared" si="134"/>
        <v>30800</v>
      </c>
      <c r="AO278" s="99">
        <v>800</v>
      </c>
      <c r="AP278" s="114"/>
      <c r="AQ278" s="102">
        <f t="shared" si="135"/>
        <v>31600</v>
      </c>
      <c r="AR278" s="99">
        <v>800</v>
      </c>
      <c r="AS278" s="114">
        <v>3000</v>
      </c>
      <c r="AT278" s="102">
        <f t="shared" si="136"/>
        <v>29400</v>
      </c>
    </row>
    <row r="279" spans="1:46">
      <c r="A279" s="41">
        <f>VLOOKUP(B279,справочник!$B$2:$E$322,4,FALSE)</f>
        <v>255</v>
      </c>
      <c r="B279" t="str">
        <f t="shared" si="120"/>
        <v>268Толкова Елена Анатольевна (Олег)</v>
      </c>
      <c r="C279" s="1">
        <v>268</v>
      </c>
      <c r="D279" s="2" t="s">
        <v>266</v>
      </c>
      <c r="E279" s="1" t="s">
        <v>576</v>
      </c>
      <c r="F279" s="16">
        <v>40959</v>
      </c>
      <c r="G279" s="16">
        <v>40969</v>
      </c>
      <c r="H279" s="17">
        <f t="shared" si="130"/>
        <v>46</v>
      </c>
      <c r="I279" s="1">
        <f t="shared" si="137"/>
        <v>46000</v>
      </c>
      <c r="J279" s="17">
        <f>37000+9000</f>
        <v>46000</v>
      </c>
      <c r="K279" s="17"/>
      <c r="L279" s="18">
        <f t="shared" si="119"/>
        <v>0</v>
      </c>
      <c r="M279" s="29"/>
      <c r="N279" s="29"/>
      <c r="O279" s="29">
        <v>3200</v>
      </c>
      <c r="P279" s="29"/>
      <c r="Q279" s="29">
        <v>3200</v>
      </c>
      <c r="R279" s="29"/>
      <c r="S279" s="29"/>
      <c r="T279" s="29"/>
      <c r="U279" s="29"/>
      <c r="V279" s="29"/>
      <c r="W279" s="29">
        <v>3200</v>
      </c>
      <c r="X279" s="29"/>
      <c r="Y279" s="18">
        <f t="shared" si="121"/>
        <v>9600</v>
      </c>
      <c r="Z279" s="96">
        <v>12</v>
      </c>
      <c r="AA279" s="96">
        <f t="shared" si="122"/>
        <v>9600</v>
      </c>
      <c r="AB279" s="96">
        <f t="shared" si="123"/>
        <v>0</v>
      </c>
      <c r="AC279" s="99">
        <v>800</v>
      </c>
      <c r="AD279" s="98"/>
      <c r="AE279" s="102">
        <f t="shared" si="124"/>
        <v>800</v>
      </c>
      <c r="AF279" s="99">
        <v>800</v>
      </c>
      <c r="AG279" s="98"/>
      <c r="AH279" s="102">
        <f t="shared" si="132"/>
        <v>1600</v>
      </c>
      <c r="AI279" s="99">
        <v>800</v>
      </c>
      <c r="AJ279" s="98">
        <v>4800</v>
      </c>
      <c r="AK279" s="102">
        <f t="shared" si="133"/>
        <v>-2400</v>
      </c>
      <c r="AL279" s="99">
        <v>800</v>
      </c>
      <c r="AM279" s="98"/>
      <c r="AN279" s="102">
        <f t="shared" si="134"/>
        <v>-1600</v>
      </c>
      <c r="AO279" s="99">
        <v>800</v>
      </c>
      <c r="AP279" s="114"/>
      <c r="AQ279" s="102">
        <f t="shared" si="135"/>
        <v>-800</v>
      </c>
      <c r="AR279" s="99">
        <v>800</v>
      </c>
      <c r="AS279" s="114"/>
      <c r="AT279" s="102">
        <f t="shared" si="136"/>
        <v>0</v>
      </c>
    </row>
    <row r="280" spans="1:46">
      <c r="A280" s="41">
        <f>VLOOKUP(B280,справочник!$B$2:$E$322,4,FALSE)</f>
        <v>167</v>
      </c>
      <c r="B280" t="str">
        <f t="shared" si="120"/>
        <v>175Трубченко Петр Александрович</v>
      </c>
      <c r="C280" s="1">
        <v>175</v>
      </c>
      <c r="D280" s="2" t="s">
        <v>267</v>
      </c>
      <c r="E280" s="1" t="s">
        <v>577</v>
      </c>
      <c r="F280" s="16">
        <v>41613</v>
      </c>
      <c r="G280" s="16">
        <v>41640</v>
      </c>
      <c r="H280" s="17">
        <f t="shared" si="130"/>
        <v>24</v>
      </c>
      <c r="I280" s="1">
        <f t="shared" si="137"/>
        <v>24000</v>
      </c>
      <c r="J280" s="17">
        <v>12000</v>
      </c>
      <c r="K280" s="17"/>
      <c r="L280" s="18">
        <f t="shared" si="119"/>
        <v>12000</v>
      </c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18">
        <f t="shared" si="121"/>
        <v>0</v>
      </c>
      <c r="Z280" s="96">
        <v>12</v>
      </c>
      <c r="AA280" s="96">
        <f t="shared" si="122"/>
        <v>9600</v>
      </c>
      <c r="AB280" s="96">
        <f t="shared" si="123"/>
        <v>21600</v>
      </c>
      <c r="AC280" s="99">
        <v>800</v>
      </c>
      <c r="AD280" s="98"/>
      <c r="AE280" s="102">
        <f t="shared" si="124"/>
        <v>22400</v>
      </c>
      <c r="AF280" s="99">
        <v>800</v>
      </c>
      <c r="AG280" s="98"/>
      <c r="AH280" s="102">
        <f t="shared" si="132"/>
        <v>23200</v>
      </c>
      <c r="AI280" s="99">
        <v>800</v>
      </c>
      <c r="AJ280" s="98"/>
      <c r="AK280" s="102">
        <f t="shared" si="133"/>
        <v>24000</v>
      </c>
      <c r="AL280" s="99">
        <v>800</v>
      </c>
      <c r="AM280" s="98"/>
      <c r="AN280" s="102">
        <f t="shared" si="134"/>
        <v>24800</v>
      </c>
      <c r="AO280" s="99">
        <v>800</v>
      </c>
      <c r="AP280" s="114"/>
      <c r="AQ280" s="102">
        <f t="shared" si="135"/>
        <v>25600</v>
      </c>
      <c r="AR280" s="99">
        <v>800</v>
      </c>
      <c r="AS280" s="114"/>
      <c r="AT280" s="102">
        <f t="shared" si="136"/>
        <v>26400</v>
      </c>
    </row>
    <row r="281" spans="1:46" ht="25.5" customHeight="1">
      <c r="A281" s="41">
        <f>VLOOKUP(B281,справочник!$B$2:$E$322,4,FALSE)</f>
        <v>99</v>
      </c>
      <c r="B281" t="str">
        <f t="shared" si="120"/>
        <v>104Трыкин Евгений Викторович</v>
      </c>
      <c r="C281" s="1">
        <v>104</v>
      </c>
      <c r="D281" s="2" t="s">
        <v>268</v>
      </c>
      <c r="E281" s="1" t="s">
        <v>578</v>
      </c>
      <c r="F281" s="16">
        <v>41104</v>
      </c>
      <c r="G281" s="16">
        <v>41091</v>
      </c>
      <c r="H281" s="17">
        <f t="shared" si="130"/>
        <v>42</v>
      </c>
      <c r="I281" s="1">
        <f t="shared" si="137"/>
        <v>42000</v>
      </c>
      <c r="J281" s="17">
        <v>13000</v>
      </c>
      <c r="K281" s="17"/>
      <c r="L281" s="18">
        <f t="shared" si="119"/>
        <v>29000</v>
      </c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18">
        <f t="shared" si="121"/>
        <v>0</v>
      </c>
      <c r="Z281" s="96">
        <v>12</v>
      </c>
      <c r="AA281" s="96">
        <f t="shared" si="122"/>
        <v>9600</v>
      </c>
      <c r="AB281" s="96">
        <f t="shared" si="123"/>
        <v>38600</v>
      </c>
      <c r="AC281" s="99">
        <v>800</v>
      </c>
      <c r="AD281" s="98"/>
      <c r="AE281" s="102">
        <f t="shared" si="124"/>
        <v>39400</v>
      </c>
      <c r="AF281" s="99">
        <v>800</v>
      </c>
      <c r="AG281" s="98"/>
      <c r="AH281" s="102">
        <f t="shared" si="132"/>
        <v>40200</v>
      </c>
      <c r="AI281" s="99">
        <v>800</v>
      </c>
      <c r="AJ281" s="98"/>
      <c r="AK281" s="102">
        <f t="shared" si="133"/>
        <v>41000</v>
      </c>
      <c r="AL281" s="99">
        <v>800</v>
      </c>
      <c r="AM281" s="98"/>
      <c r="AN281" s="102">
        <f t="shared" si="134"/>
        <v>41800</v>
      </c>
      <c r="AO281" s="99">
        <v>800</v>
      </c>
      <c r="AP281" s="114"/>
      <c r="AQ281" s="102">
        <f t="shared" si="135"/>
        <v>42600</v>
      </c>
      <c r="AR281" s="99">
        <v>800</v>
      </c>
      <c r="AS281" s="114"/>
      <c r="AT281" s="102">
        <f t="shared" si="136"/>
        <v>43400</v>
      </c>
    </row>
    <row r="282" spans="1:46">
      <c r="A282" s="41">
        <f>VLOOKUP(B282,справочник!$B$2:$E$322,4,FALSE)</f>
        <v>146</v>
      </c>
      <c r="B282" t="str">
        <f t="shared" si="120"/>
        <v>154Тюленев Вячеслав Рудольфович</v>
      </c>
      <c r="C282" s="1">
        <v>154</v>
      </c>
      <c r="D282" s="2" t="s">
        <v>269</v>
      </c>
      <c r="E282" s="1" t="s">
        <v>579</v>
      </c>
      <c r="F282" s="16">
        <v>40757</v>
      </c>
      <c r="G282" s="16">
        <v>40756</v>
      </c>
      <c r="H282" s="17">
        <f t="shared" si="130"/>
        <v>53</v>
      </c>
      <c r="I282" s="1">
        <f t="shared" si="137"/>
        <v>53000</v>
      </c>
      <c r="J282" s="17">
        <f>31000</f>
        <v>31000</v>
      </c>
      <c r="K282" s="17"/>
      <c r="L282" s="18">
        <f t="shared" si="119"/>
        <v>22000</v>
      </c>
      <c r="M282" s="29"/>
      <c r="N282" s="29"/>
      <c r="O282" s="29"/>
      <c r="P282" s="29"/>
      <c r="Q282" s="29"/>
      <c r="R282" s="29">
        <v>26000</v>
      </c>
      <c r="S282" s="29"/>
      <c r="T282" s="29"/>
      <c r="U282" s="29"/>
      <c r="V282" s="29"/>
      <c r="W282" s="29"/>
      <c r="X282" s="29"/>
      <c r="Y282" s="18">
        <f t="shared" si="121"/>
        <v>26000</v>
      </c>
      <c r="Z282" s="96">
        <v>12</v>
      </c>
      <c r="AA282" s="96">
        <f t="shared" si="122"/>
        <v>9600</v>
      </c>
      <c r="AB282" s="96">
        <f t="shared" si="123"/>
        <v>5600</v>
      </c>
      <c r="AC282" s="99">
        <v>800</v>
      </c>
      <c r="AD282" s="98"/>
      <c r="AE282" s="102">
        <f t="shared" si="124"/>
        <v>6400</v>
      </c>
      <c r="AF282" s="99">
        <v>800</v>
      </c>
      <c r="AG282" s="98"/>
      <c r="AH282" s="102">
        <f t="shared" si="132"/>
        <v>7200</v>
      </c>
      <c r="AI282" s="99">
        <v>800</v>
      </c>
      <c r="AJ282" s="98"/>
      <c r="AK282" s="102">
        <f t="shared" si="133"/>
        <v>8000</v>
      </c>
      <c r="AL282" s="99">
        <v>800</v>
      </c>
      <c r="AM282" s="98"/>
      <c r="AN282" s="102">
        <f t="shared" si="134"/>
        <v>8800</v>
      </c>
      <c r="AO282" s="99">
        <v>800</v>
      </c>
      <c r="AP282" s="114"/>
      <c r="AQ282" s="102">
        <f t="shared" si="135"/>
        <v>9600</v>
      </c>
      <c r="AR282" s="99">
        <v>800</v>
      </c>
      <c r="AS282" s="114"/>
      <c r="AT282" s="102">
        <f t="shared" si="136"/>
        <v>10400</v>
      </c>
    </row>
    <row r="283" spans="1:46">
      <c r="A283" s="41" t="e">
        <f>VLOOKUP(B283,справочник!$B$2:$E$322,4,FALSE)</f>
        <v>#N/A</v>
      </c>
      <c r="B283" t="str">
        <f t="shared" si="120"/>
        <v>29Устинов Федор Валентинович</v>
      </c>
      <c r="C283" s="1">
        <v>29</v>
      </c>
      <c r="D283" s="46" t="s">
        <v>738</v>
      </c>
      <c r="E283" s="1"/>
      <c r="F283" s="16">
        <v>41130</v>
      </c>
      <c r="G283" s="16">
        <v>41122</v>
      </c>
      <c r="H283" s="17">
        <f t="shared" si="130"/>
        <v>41</v>
      </c>
      <c r="I283" s="1">
        <f t="shared" si="137"/>
        <v>41000</v>
      </c>
      <c r="J283" s="17">
        <v>32000</v>
      </c>
      <c r="K283" s="17"/>
      <c r="L283" s="18">
        <f t="shared" si="119"/>
        <v>9000</v>
      </c>
      <c r="M283" s="29">
        <v>9000</v>
      </c>
      <c r="N283" s="29">
        <v>1600</v>
      </c>
      <c r="O283" s="29">
        <v>800</v>
      </c>
      <c r="P283" s="29">
        <v>1600</v>
      </c>
      <c r="Q283" s="29"/>
      <c r="R283" s="29"/>
      <c r="S283" s="29">
        <v>2400</v>
      </c>
      <c r="T283" s="29"/>
      <c r="U283" s="29">
        <v>800</v>
      </c>
      <c r="V283" s="29">
        <v>1600</v>
      </c>
      <c r="W283" s="29"/>
      <c r="X283" s="29">
        <v>1600</v>
      </c>
      <c r="Y283" s="18">
        <f t="shared" si="121"/>
        <v>19400</v>
      </c>
      <c r="Z283" s="96">
        <v>12</v>
      </c>
      <c r="AA283" s="96">
        <f t="shared" si="122"/>
        <v>9600</v>
      </c>
      <c r="AB283" s="96">
        <f t="shared" si="123"/>
        <v>-800</v>
      </c>
      <c r="AC283" s="99">
        <v>800</v>
      </c>
      <c r="AD283" s="98"/>
      <c r="AE283" s="102">
        <f t="shared" si="124"/>
        <v>0</v>
      </c>
      <c r="AF283" s="99">
        <v>800</v>
      </c>
      <c r="AG283" s="98"/>
      <c r="AH283" s="102">
        <f t="shared" si="132"/>
        <v>800</v>
      </c>
      <c r="AI283" s="99">
        <v>800</v>
      </c>
      <c r="AJ283" s="98">
        <v>1600</v>
      </c>
      <c r="AK283" s="102">
        <f t="shared" si="133"/>
        <v>0</v>
      </c>
      <c r="AL283" s="99">
        <v>800</v>
      </c>
      <c r="AM283" s="98">
        <v>800</v>
      </c>
      <c r="AN283" s="102">
        <f t="shared" si="134"/>
        <v>0</v>
      </c>
      <c r="AO283" s="99">
        <v>800</v>
      </c>
      <c r="AP283" s="114">
        <v>800</v>
      </c>
      <c r="AQ283" s="102">
        <f t="shared" si="135"/>
        <v>0</v>
      </c>
      <c r="AR283" s="99">
        <v>800</v>
      </c>
      <c r="AS283" s="114">
        <v>800</v>
      </c>
      <c r="AT283" s="102">
        <f t="shared" si="136"/>
        <v>0</v>
      </c>
    </row>
    <row r="284" spans="1:46">
      <c r="A284" s="41">
        <f>VLOOKUP(B284,справочник!$B$2:$E$322,4,FALSE)</f>
        <v>28</v>
      </c>
      <c r="B284" t="str">
        <f t="shared" si="120"/>
        <v>28Федорова Наталья Владимировна</v>
      </c>
      <c r="C284" s="1">
        <v>28</v>
      </c>
      <c r="D284" s="2" t="s">
        <v>271</v>
      </c>
      <c r="E284" s="1" t="s">
        <v>580</v>
      </c>
      <c r="F284" s="16">
        <v>41039</v>
      </c>
      <c r="G284" s="16">
        <v>41030</v>
      </c>
      <c r="H284" s="17">
        <f t="shared" si="130"/>
        <v>44</v>
      </c>
      <c r="I284" s="1">
        <f t="shared" si="137"/>
        <v>44000</v>
      </c>
      <c r="J284" s="17">
        <f>33000+8000</f>
        <v>41000</v>
      </c>
      <c r="K284" s="17"/>
      <c r="L284" s="18">
        <f t="shared" si="119"/>
        <v>3000</v>
      </c>
      <c r="M284" s="29"/>
      <c r="N284" s="29">
        <v>4000</v>
      </c>
      <c r="O284" s="29"/>
      <c r="P284" s="29">
        <v>2400</v>
      </c>
      <c r="Q284" s="29"/>
      <c r="R284" s="29"/>
      <c r="S284" s="29"/>
      <c r="T284" s="29"/>
      <c r="U284" s="29">
        <v>5600</v>
      </c>
      <c r="V284" s="29"/>
      <c r="W284" s="29"/>
      <c r="X284" s="29"/>
      <c r="Y284" s="18">
        <f t="shared" si="121"/>
        <v>12000</v>
      </c>
      <c r="Z284" s="96">
        <v>12</v>
      </c>
      <c r="AA284" s="96">
        <f t="shared" si="122"/>
        <v>9600</v>
      </c>
      <c r="AB284" s="96">
        <f t="shared" si="123"/>
        <v>600</v>
      </c>
      <c r="AC284" s="99">
        <v>800</v>
      </c>
      <c r="AD284" s="98"/>
      <c r="AE284" s="102">
        <f t="shared" si="124"/>
        <v>1400</v>
      </c>
      <c r="AF284" s="99">
        <v>800</v>
      </c>
      <c r="AG284" s="98"/>
      <c r="AH284" s="102">
        <f t="shared" si="132"/>
        <v>2200</v>
      </c>
      <c r="AI284" s="99">
        <v>800</v>
      </c>
      <c r="AJ284" s="98"/>
      <c r="AK284" s="102">
        <f t="shared" si="133"/>
        <v>3000</v>
      </c>
      <c r="AL284" s="99">
        <v>800</v>
      </c>
      <c r="AM284" s="98">
        <v>4800</v>
      </c>
      <c r="AN284" s="102">
        <f t="shared" si="134"/>
        <v>-1000</v>
      </c>
      <c r="AO284" s="99">
        <v>800</v>
      </c>
      <c r="AP284" s="114"/>
      <c r="AQ284" s="102">
        <f t="shared" si="135"/>
        <v>-200</v>
      </c>
      <c r="AR284" s="99">
        <v>800</v>
      </c>
      <c r="AS284" s="114"/>
      <c r="AT284" s="102">
        <f t="shared" si="136"/>
        <v>600</v>
      </c>
    </row>
    <row r="285" spans="1:46">
      <c r="A285" s="41">
        <f>VLOOKUP(B285,справочник!$B$2:$E$322,4,FALSE)</f>
        <v>27</v>
      </c>
      <c r="B285" t="str">
        <f t="shared" si="120"/>
        <v>27Федорова Юлия Владимировна</v>
      </c>
      <c r="C285" s="1">
        <v>27</v>
      </c>
      <c r="D285" s="2" t="s">
        <v>272</v>
      </c>
      <c r="E285" s="1" t="s">
        <v>581</v>
      </c>
      <c r="F285" s="16">
        <v>41260</v>
      </c>
      <c r="G285" s="16">
        <v>41275</v>
      </c>
      <c r="H285" s="17">
        <f t="shared" si="130"/>
        <v>36</v>
      </c>
      <c r="I285" s="1">
        <f t="shared" si="137"/>
        <v>36000</v>
      </c>
      <c r="J285" s="17">
        <v>24000</v>
      </c>
      <c r="K285" s="17"/>
      <c r="L285" s="18">
        <f t="shared" si="119"/>
        <v>12000</v>
      </c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18">
        <f t="shared" si="121"/>
        <v>0</v>
      </c>
      <c r="Z285" s="96">
        <v>12</v>
      </c>
      <c r="AA285" s="96">
        <f t="shared" si="122"/>
        <v>9600</v>
      </c>
      <c r="AB285" s="96">
        <f t="shared" si="123"/>
        <v>21600</v>
      </c>
      <c r="AC285" s="99">
        <v>800</v>
      </c>
      <c r="AD285" s="98"/>
      <c r="AE285" s="102">
        <f t="shared" si="124"/>
        <v>22400</v>
      </c>
      <c r="AF285" s="99">
        <v>800</v>
      </c>
      <c r="AG285" s="98"/>
      <c r="AH285" s="102">
        <f t="shared" si="132"/>
        <v>23200</v>
      </c>
      <c r="AI285" s="99">
        <v>800</v>
      </c>
      <c r="AJ285" s="98"/>
      <c r="AK285" s="102">
        <f t="shared" si="133"/>
        <v>24000</v>
      </c>
      <c r="AL285" s="99">
        <v>800</v>
      </c>
      <c r="AM285" s="98"/>
      <c r="AN285" s="102">
        <f t="shared" si="134"/>
        <v>24800</v>
      </c>
      <c r="AO285" s="99">
        <v>800</v>
      </c>
      <c r="AP285" s="114"/>
      <c r="AQ285" s="102">
        <f t="shared" si="135"/>
        <v>25600</v>
      </c>
      <c r="AR285" s="99">
        <v>800</v>
      </c>
      <c r="AS285" s="114"/>
      <c r="AT285" s="102">
        <f t="shared" si="136"/>
        <v>26400</v>
      </c>
    </row>
    <row r="286" spans="1:46" s="80" customFormat="1">
      <c r="A286" s="103">
        <f>VLOOKUP(B286,справочник!$B$2:$E$322,4,FALSE)</f>
        <v>135</v>
      </c>
      <c r="B286" s="80" t="str">
        <f t="shared" si="120"/>
        <v>142-143Финогин Сергей Александрович</v>
      </c>
      <c r="C286" s="5" t="s">
        <v>274</v>
      </c>
      <c r="D286" s="7" t="s">
        <v>273</v>
      </c>
      <c r="E286" s="5" t="s">
        <v>582</v>
      </c>
      <c r="F286" s="19">
        <v>40834</v>
      </c>
      <c r="G286" s="19">
        <v>40817</v>
      </c>
      <c r="H286" s="20">
        <v>11</v>
      </c>
      <c r="I286" s="5">
        <f t="shared" si="137"/>
        <v>11000</v>
      </c>
      <c r="J286" s="20">
        <v>1000</v>
      </c>
      <c r="K286" s="20"/>
      <c r="L286" s="21">
        <f t="shared" si="119"/>
        <v>10000</v>
      </c>
      <c r="M286" s="109"/>
      <c r="N286" s="109"/>
      <c r="O286" s="109">
        <v>8000</v>
      </c>
      <c r="P286" s="109"/>
      <c r="Q286" s="109"/>
      <c r="R286" s="109">
        <v>21000</v>
      </c>
      <c r="S286" s="109"/>
      <c r="T286" s="109"/>
      <c r="U286" s="109"/>
      <c r="V286" s="109"/>
      <c r="W286" s="109"/>
      <c r="X286" s="109"/>
      <c r="Y286" s="21">
        <f t="shared" si="121"/>
        <v>29000</v>
      </c>
      <c r="Z286" s="104">
        <v>12</v>
      </c>
      <c r="AA286" s="104">
        <f t="shared" si="122"/>
        <v>9600</v>
      </c>
      <c r="AB286" s="104">
        <f t="shared" si="123"/>
        <v>-9400</v>
      </c>
      <c r="AC286" s="104">
        <v>800</v>
      </c>
      <c r="AD286" s="105"/>
      <c r="AE286" s="127">
        <f>SUM(AB286:AB288)+SUM(AC286:AC288)-SUM(AD286:AD288)</f>
        <v>1400</v>
      </c>
      <c r="AF286" s="104">
        <v>800</v>
      </c>
      <c r="AG286" s="105"/>
      <c r="AH286" s="127">
        <f>SUM(AE286:AE288)+SUM(AF286:AF288)-SUM(AG286:AG288)</f>
        <v>2200</v>
      </c>
      <c r="AI286" s="104">
        <v>800</v>
      </c>
      <c r="AJ286" s="105"/>
      <c r="AK286" s="127">
        <f>SUM(AH286:AH288)+SUM(AI286:AI288)-SUM(AJ286:AJ288)</f>
        <v>3000</v>
      </c>
      <c r="AL286" s="104">
        <v>800</v>
      </c>
      <c r="AM286" s="105"/>
      <c r="AN286" s="127">
        <f>SUM(AK286:AK288)+SUM(AL286:AL288)-SUM(AM286:AM288)</f>
        <v>3800</v>
      </c>
      <c r="AO286" s="104">
        <v>800</v>
      </c>
      <c r="AP286" s="105"/>
      <c r="AQ286" s="127">
        <f>SUM(AN286:AN288)+SUM(AO286:AO288)-SUM(AP286:AP288)</f>
        <v>4600</v>
      </c>
      <c r="AR286" s="104">
        <v>800</v>
      </c>
      <c r="AS286" s="105"/>
      <c r="AT286" s="127">
        <f>SUM(AQ286:AQ288)+SUM(AR286:AR288)-SUM(AS286:AS288)</f>
        <v>5400</v>
      </c>
    </row>
    <row r="287" spans="1:46" s="80" customFormat="1">
      <c r="A287" s="103">
        <f>VLOOKUP(B287,справочник!$B$2:$E$322,4,FALSE)</f>
        <v>135</v>
      </c>
      <c r="B287" s="80" t="str">
        <f t="shared" si="120"/>
        <v>142-143Финогин Сергей Александрович</v>
      </c>
      <c r="C287" s="5" t="s">
        <v>274</v>
      </c>
      <c r="D287" s="7" t="s">
        <v>273</v>
      </c>
      <c r="E287" s="5"/>
      <c r="F287" s="19">
        <v>40834</v>
      </c>
      <c r="G287" s="19">
        <v>40817</v>
      </c>
      <c r="H287" s="20">
        <v>11</v>
      </c>
      <c r="I287" s="5">
        <f t="shared" si="137"/>
        <v>11000</v>
      </c>
      <c r="J287" s="20">
        <v>1000</v>
      </c>
      <c r="K287" s="20"/>
      <c r="L287" s="21">
        <f t="shared" si="119"/>
        <v>10000</v>
      </c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21">
        <f t="shared" si="121"/>
        <v>0</v>
      </c>
      <c r="Z287" s="104">
        <v>0</v>
      </c>
      <c r="AA287" s="104">
        <f t="shared" si="122"/>
        <v>0</v>
      </c>
      <c r="AB287" s="104">
        <f t="shared" si="123"/>
        <v>10000</v>
      </c>
      <c r="AC287" s="104">
        <v>0</v>
      </c>
      <c r="AD287" s="105"/>
      <c r="AE287" s="128"/>
      <c r="AF287" s="104">
        <v>0</v>
      </c>
      <c r="AG287" s="105"/>
      <c r="AH287" s="128"/>
      <c r="AI287" s="104">
        <v>0</v>
      </c>
      <c r="AJ287" s="105"/>
      <c r="AK287" s="128"/>
      <c r="AL287" s="104">
        <v>0</v>
      </c>
      <c r="AM287" s="105"/>
      <c r="AN287" s="128"/>
      <c r="AO287" s="104">
        <v>0</v>
      </c>
      <c r="AP287" s="105"/>
      <c r="AQ287" s="128"/>
      <c r="AR287" s="104">
        <v>0</v>
      </c>
      <c r="AS287" s="105"/>
      <c r="AT287" s="128"/>
    </row>
    <row r="288" spans="1:46" s="80" customFormat="1">
      <c r="A288" s="103">
        <f>VLOOKUP(B288,справочник!$B$2:$E$322,4,FALSE)</f>
        <v>135</v>
      </c>
      <c r="B288" s="80" t="str">
        <f t="shared" si="120"/>
        <v>142-143Финогин Сергей Александрович</v>
      </c>
      <c r="C288" s="5" t="s">
        <v>274</v>
      </c>
      <c r="D288" s="7" t="s">
        <v>273</v>
      </c>
      <c r="E288" s="5"/>
      <c r="F288" s="19">
        <v>41183</v>
      </c>
      <c r="G288" s="19">
        <v>41183</v>
      </c>
      <c r="H288" s="20"/>
      <c r="I288" s="5">
        <f t="shared" si="137"/>
        <v>0</v>
      </c>
      <c r="J288" s="20"/>
      <c r="K288" s="20"/>
      <c r="L288" s="21">
        <f t="shared" si="119"/>
        <v>0</v>
      </c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21">
        <f t="shared" si="121"/>
        <v>0</v>
      </c>
      <c r="Z288" s="104">
        <v>0</v>
      </c>
      <c r="AA288" s="104">
        <f t="shared" si="122"/>
        <v>0</v>
      </c>
      <c r="AB288" s="104">
        <f t="shared" si="123"/>
        <v>0</v>
      </c>
      <c r="AC288" s="104">
        <v>0</v>
      </c>
      <c r="AD288" s="105"/>
      <c r="AE288" s="129"/>
      <c r="AF288" s="104">
        <v>0</v>
      </c>
      <c r="AG288" s="105"/>
      <c r="AH288" s="129"/>
      <c r="AI288" s="104">
        <v>0</v>
      </c>
      <c r="AJ288" s="105"/>
      <c r="AK288" s="129"/>
      <c r="AL288" s="104">
        <v>0</v>
      </c>
      <c r="AM288" s="105"/>
      <c r="AN288" s="129"/>
      <c r="AO288" s="104">
        <v>0</v>
      </c>
      <c r="AP288" s="105"/>
      <c r="AQ288" s="129"/>
      <c r="AR288" s="104">
        <v>0</v>
      </c>
      <c r="AS288" s="105"/>
      <c r="AT288" s="129"/>
    </row>
    <row r="289" spans="1:46">
      <c r="A289" s="41">
        <f>VLOOKUP(B289,справочник!$B$2:$E$322,4,FALSE)</f>
        <v>59</v>
      </c>
      <c r="B289" t="str">
        <f t="shared" si="120"/>
        <v>61Фисенко Вадим Петрович</v>
      </c>
      <c r="C289" s="1">
        <v>61</v>
      </c>
      <c r="D289" s="2" t="s">
        <v>275</v>
      </c>
      <c r="E289" s="1" t="s">
        <v>583</v>
      </c>
      <c r="F289" s="16">
        <v>40868</v>
      </c>
      <c r="G289" s="16">
        <v>40848</v>
      </c>
      <c r="H289" s="17">
        <f t="shared" ref="H289:H319" si="138">INT(($H$325-G289)/30)</f>
        <v>50</v>
      </c>
      <c r="I289" s="1">
        <f t="shared" si="137"/>
        <v>50000</v>
      </c>
      <c r="J289" s="17">
        <f>1000+49000</f>
        <v>50000</v>
      </c>
      <c r="K289" s="17"/>
      <c r="L289" s="18">
        <f t="shared" si="119"/>
        <v>0</v>
      </c>
      <c r="M289" s="29">
        <v>2400</v>
      </c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18">
        <f t="shared" si="121"/>
        <v>2400</v>
      </c>
      <c r="Z289" s="96">
        <v>12</v>
      </c>
      <c r="AA289" s="96">
        <f t="shared" si="122"/>
        <v>9600</v>
      </c>
      <c r="AB289" s="96">
        <f t="shared" si="123"/>
        <v>7200</v>
      </c>
      <c r="AC289" s="99">
        <v>800</v>
      </c>
      <c r="AD289" s="98"/>
      <c r="AE289" s="102">
        <f t="shared" si="124"/>
        <v>8000</v>
      </c>
      <c r="AF289" s="99">
        <v>800</v>
      </c>
      <c r="AG289" s="98"/>
      <c r="AH289" s="102">
        <f t="shared" ref="AH289:AH299" si="139">AE289+AF289-AG289</f>
        <v>8800</v>
      </c>
      <c r="AI289" s="99">
        <v>800</v>
      </c>
      <c r="AJ289" s="98"/>
      <c r="AK289" s="102">
        <f t="shared" ref="AK289:AK299" si="140">AH289+AI289-AJ289</f>
        <v>9600</v>
      </c>
      <c r="AL289" s="99">
        <v>800</v>
      </c>
      <c r="AM289" s="98">
        <v>16800</v>
      </c>
      <c r="AN289" s="102">
        <f t="shared" ref="AN289:AN299" si="141">AK289+AL289-AM289</f>
        <v>-6400</v>
      </c>
      <c r="AO289" s="99">
        <v>800</v>
      </c>
      <c r="AP289" s="114"/>
      <c r="AQ289" s="102">
        <f t="shared" ref="AQ289:AQ299" si="142">AN289+AO289-AP289</f>
        <v>-5600</v>
      </c>
      <c r="AR289" s="99">
        <v>800</v>
      </c>
      <c r="AS289" s="114"/>
      <c r="AT289" s="102">
        <f t="shared" ref="AT289:AT299" si="143">AQ289+AR289-AS289</f>
        <v>-4800</v>
      </c>
    </row>
    <row r="290" spans="1:46">
      <c r="A290" s="41">
        <f>VLOOKUP(B290,справочник!$B$2:$E$322,4,FALSE)</f>
        <v>60</v>
      </c>
      <c r="B290" t="str">
        <f t="shared" si="120"/>
        <v>62Фисенко Дмитрий Петрович</v>
      </c>
      <c r="C290" s="1">
        <v>62</v>
      </c>
      <c r="D290" s="2" t="s">
        <v>276</v>
      </c>
      <c r="E290" s="1" t="s">
        <v>584</v>
      </c>
      <c r="F290" s="16">
        <v>40885</v>
      </c>
      <c r="G290" s="16">
        <v>40878</v>
      </c>
      <c r="H290" s="17">
        <f t="shared" si="138"/>
        <v>49</v>
      </c>
      <c r="I290" s="1">
        <f t="shared" si="137"/>
        <v>49000</v>
      </c>
      <c r="J290" s="17">
        <f>8000+54000</f>
        <v>62000</v>
      </c>
      <c r="K290" s="17"/>
      <c r="L290" s="18">
        <f t="shared" si="119"/>
        <v>-13000</v>
      </c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18">
        <f t="shared" si="121"/>
        <v>0</v>
      </c>
      <c r="Z290" s="96">
        <v>12</v>
      </c>
      <c r="AA290" s="96">
        <f t="shared" si="122"/>
        <v>9600</v>
      </c>
      <c r="AB290" s="96">
        <f t="shared" si="123"/>
        <v>-3400</v>
      </c>
      <c r="AC290" s="99">
        <v>800</v>
      </c>
      <c r="AD290" s="98"/>
      <c r="AE290" s="102">
        <f t="shared" si="124"/>
        <v>-2600</v>
      </c>
      <c r="AF290" s="99">
        <v>800</v>
      </c>
      <c r="AG290" s="98"/>
      <c r="AH290" s="102">
        <f t="shared" si="139"/>
        <v>-1800</v>
      </c>
      <c r="AI290" s="99">
        <v>800</v>
      </c>
      <c r="AJ290" s="98"/>
      <c r="AK290" s="102">
        <f t="shared" si="140"/>
        <v>-1000</v>
      </c>
      <c r="AL290" s="99">
        <v>800</v>
      </c>
      <c r="AM290" s="98"/>
      <c r="AN290" s="102">
        <f t="shared" si="141"/>
        <v>-200</v>
      </c>
      <c r="AO290" s="99">
        <v>800</v>
      </c>
      <c r="AP290" s="114"/>
      <c r="AQ290" s="102">
        <f t="shared" si="142"/>
        <v>600</v>
      </c>
      <c r="AR290" s="99">
        <v>800</v>
      </c>
      <c r="AS290" s="114"/>
      <c r="AT290" s="102">
        <f t="shared" si="143"/>
        <v>1400</v>
      </c>
    </row>
    <row r="291" spans="1:46">
      <c r="A291" s="41">
        <f>VLOOKUP(B291,справочник!$B$2:$E$322,4,FALSE)</f>
        <v>248</v>
      </c>
      <c r="B291" t="str">
        <f t="shared" si="120"/>
        <v>259Фомин Андрей Анатольевич</v>
      </c>
      <c r="C291" s="1">
        <v>259</v>
      </c>
      <c r="D291" s="2" t="s">
        <v>277</v>
      </c>
      <c r="E291" s="1" t="s">
        <v>585</v>
      </c>
      <c r="F291" s="16">
        <v>41628</v>
      </c>
      <c r="G291" s="16">
        <v>41640</v>
      </c>
      <c r="H291" s="17">
        <f t="shared" si="138"/>
        <v>24</v>
      </c>
      <c r="I291" s="1">
        <f t="shared" si="137"/>
        <v>24000</v>
      </c>
      <c r="J291" s="17">
        <v>21300</v>
      </c>
      <c r="K291" s="17"/>
      <c r="L291" s="18">
        <f t="shared" si="119"/>
        <v>2700</v>
      </c>
      <c r="M291" s="29"/>
      <c r="N291" s="29"/>
      <c r="O291" s="29"/>
      <c r="P291" s="29"/>
      <c r="Q291" s="29"/>
      <c r="R291" s="29">
        <v>1700</v>
      </c>
      <c r="S291" s="29">
        <v>1000</v>
      </c>
      <c r="T291" s="29"/>
      <c r="U291" s="29">
        <v>1600</v>
      </c>
      <c r="V291" s="29"/>
      <c r="W291" s="84">
        <v>8000</v>
      </c>
      <c r="X291" s="29"/>
      <c r="Y291" s="18">
        <f t="shared" si="121"/>
        <v>12300</v>
      </c>
      <c r="Z291" s="96">
        <v>12</v>
      </c>
      <c r="AA291" s="96">
        <f t="shared" si="122"/>
        <v>9600</v>
      </c>
      <c r="AB291" s="96">
        <f t="shared" si="123"/>
        <v>0</v>
      </c>
      <c r="AC291" s="99">
        <v>800</v>
      </c>
      <c r="AD291" s="98"/>
      <c r="AE291" s="102">
        <f t="shared" si="124"/>
        <v>800</v>
      </c>
      <c r="AF291" s="99">
        <v>800</v>
      </c>
      <c r="AG291" s="98"/>
      <c r="AH291" s="102">
        <f t="shared" si="139"/>
        <v>1600</v>
      </c>
      <c r="AI291" s="99">
        <v>800</v>
      </c>
      <c r="AJ291" s="98"/>
      <c r="AK291" s="102">
        <f t="shared" si="140"/>
        <v>2400</v>
      </c>
      <c r="AL291" s="99">
        <v>800</v>
      </c>
      <c r="AM291" s="98"/>
      <c r="AN291" s="102">
        <f t="shared" si="141"/>
        <v>3200</v>
      </c>
      <c r="AO291" s="99">
        <v>800</v>
      </c>
      <c r="AP291" s="114"/>
      <c r="AQ291" s="102">
        <f t="shared" si="142"/>
        <v>4000</v>
      </c>
      <c r="AR291" s="99">
        <v>800</v>
      </c>
      <c r="AS291" s="114"/>
      <c r="AT291" s="102">
        <f t="shared" si="143"/>
        <v>4800</v>
      </c>
    </row>
    <row r="292" spans="1:46">
      <c r="A292" s="41">
        <f>VLOOKUP(B292,справочник!$B$2:$E$322,4,FALSE)</f>
        <v>247</v>
      </c>
      <c r="B292" t="str">
        <f t="shared" si="120"/>
        <v>258Фомин Игорь Анатольевич</v>
      </c>
      <c r="C292" s="1">
        <v>258</v>
      </c>
      <c r="D292" s="2" t="s">
        <v>278</v>
      </c>
      <c r="E292" s="1" t="s">
        <v>586</v>
      </c>
      <c r="F292" s="16">
        <v>41628</v>
      </c>
      <c r="G292" s="16">
        <v>41640</v>
      </c>
      <c r="H292" s="17">
        <f t="shared" si="138"/>
        <v>24</v>
      </c>
      <c r="I292" s="1">
        <f t="shared" si="137"/>
        <v>24000</v>
      </c>
      <c r="J292" s="17">
        <v>13000</v>
      </c>
      <c r="K292" s="17"/>
      <c r="L292" s="18">
        <f t="shared" si="119"/>
        <v>11000</v>
      </c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84">
        <v>20000</v>
      </c>
      <c r="X292" s="29"/>
      <c r="Y292" s="18">
        <f t="shared" si="121"/>
        <v>20000</v>
      </c>
      <c r="Z292" s="96">
        <v>12</v>
      </c>
      <c r="AA292" s="96">
        <f t="shared" si="122"/>
        <v>9600</v>
      </c>
      <c r="AB292" s="96">
        <f t="shared" si="123"/>
        <v>600</v>
      </c>
      <c r="AC292" s="99">
        <v>800</v>
      </c>
      <c r="AD292" s="98"/>
      <c r="AE292" s="102">
        <f t="shared" si="124"/>
        <v>1400</v>
      </c>
      <c r="AF292" s="99">
        <v>800</v>
      </c>
      <c r="AG292" s="98"/>
      <c r="AH292" s="102">
        <f t="shared" si="139"/>
        <v>2200</v>
      </c>
      <c r="AI292" s="99">
        <v>800</v>
      </c>
      <c r="AJ292" s="98"/>
      <c r="AK292" s="102">
        <f t="shared" si="140"/>
        <v>3000</v>
      </c>
      <c r="AL292" s="99">
        <v>800</v>
      </c>
      <c r="AM292" s="98"/>
      <c r="AN292" s="102">
        <f t="shared" si="141"/>
        <v>3800</v>
      </c>
      <c r="AO292" s="99">
        <v>800</v>
      </c>
      <c r="AP292" s="114"/>
      <c r="AQ292" s="102">
        <f t="shared" si="142"/>
        <v>4600</v>
      </c>
      <c r="AR292" s="99">
        <v>800</v>
      </c>
      <c r="AS292" s="114"/>
      <c r="AT292" s="102">
        <f t="shared" si="143"/>
        <v>5400</v>
      </c>
    </row>
    <row r="293" spans="1:46">
      <c r="A293" s="41">
        <f>VLOOKUP(B293,справочник!$B$2:$E$322,4,FALSE)</f>
        <v>103</v>
      </c>
      <c r="B293" t="str">
        <f t="shared" si="120"/>
        <v>108Фомичев Александр Петрович</v>
      </c>
      <c r="C293" s="1">
        <v>108</v>
      </c>
      <c r="D293" s="2" t="s">
        <v>279</v>
      </c>
      <c r="E293" s="1" t="s">
        <v>587</v>
      </c>
      <c r="F293" s="16">
        <v>40715</v>
      </c>
      <c r="G293" s="16">
        <v>40725</v>
      </c>
      <c r="H293" s="17">
        <f t="shared" si="138"/>
        <v>54</v>
      </c>
      <c r="I293" s="1">
        <f t="shared" si="137"/>
        <v>54000</v>
      </c>
      <c r="J293" s="17">
        <f>2000+45000</f>
        <v>47000</v>
      </c>
      <c r="K293" s="17"/>
      <c r="L293" s="18">
        <f t="shared" si="119"/>
        <v>7000</v>
      </c>
      <c r="M293" s="29">
        <v>6000</v>
      </c>
      <c r="N293" s="29"/>
      <c r="O293" s="29">
        <v>6000</v>
      </c>
      <c r="P293" s="29"/>
      <c r="Q293" s="29"/>
      <c r="R293" s="29"/>
      <c r="S293" s="29"/>
      <c r="T293" s="29"/>
      <c r="U293" s="29"/>
      <c r="V293" s="29"/>
      <c r="W293" s="84">
        <v>6000</v>
      </c>
      <c r="X293" s="29"/>
      <c r="Y293" s="18">
        <f t="shared" si="121"/>
        <v>18000</v>
      </c>
      <c r="Z293" s="96">
        <v>12</v>
      </c>
      <c r="AA293" s="96">
        <f t="shared" si="122"/>
        <v>9600</v>
      </c>
      <c r="AB293" s="96">
        <f t="shared" si="123"/>
        <v>-1400</v>
      </c>
      <c r="AC293" s="99">
        <v>800</v>
      </c>
      <c r="AD293" s="98"/>
      <c r="AE293" s="102">
        <f t="shared" si="124"/>
        <v>-600</v>
      </c>
      <c r="AF293" s="99">
        <v>800</v>
      </c>
      <c r="AG293" s="98"/>
      <c r="AH293" s="102">
        <f t="shared" si="139"/>
        <v>200</v>
      </c>
      <c r="AI293" s="99">
        <v>800</v>
      </c>
      <c r="AJ293" s="98"/>
      <c r="AK293" s="102">
        <f t="shared" si="140"/>
        <v>1000</v>
      </c>
      <c r="AL293" s="99">
        <v>800</v>
      </c>
      <c r="AM293" s="98"/>
      <c r="AN293" s="102">
        <f t="shared" si="141"/>
        <v>1800</v>
      </c>
      <c r="AO293" s="99">
        <v>800</v>
      </c>
      <c r="AP293" s="114">
        <v>775.55</v>
      </c>
      <c r="AQ293" s="102">
        <f t="shared" si="142"/>
        <v>1824.45</v>
      </c>
      <c r="AR293" s="99">
        <v>800</v>
      </c>
      <c r="AS293" s="114">
        <v>2400</v>
      </c>
      <c r="AT293" s="102">
        <f t="shared" si="143"/>
        <v>224.44999999999982</v>
      </c>
    </row>
    <row r="294" spans="1:46" ht="25.5" customHeight="1">
      <c r="A294" s="41">
        <f>VLOOKUP(B294,справочник!$B$2:$E$322,4,FALSE)</f>
        <v>275</v>
      </c>
      <c r="B294" t="str">
        <f t="shared" si="120"/>
        <v>288Хайлов Алексей Анатольевич</v>
      </c>
      <c r="C294" s="1">
        <v>288</v>
      </c>
      <c r="D294" s="2" t="s">
        <v>280</v>
      </c>
      <c r="E294" s="1" t="s">
        <v>588</v>
      </c>
      <c r="F294" s="16">
        <v>41999</v>
      </c>
      <c r="G294" s="16">
        <v>42005</v>
      </c>
      <c r="H294" s="17">
        <f t="shared" si="138"/>
        <v>12</v>
      </c>
      <c r="I294" s="1">
        <f t="shared" si="137"/>
        <v>12000</v>
      </c>
      <c r="J294" s="17"/>
      <c r="K294" s="17"/>
      <c r="L294" s="18">
        <f t="shared" si="119"/>
        <v>12000</v>
      </c>
      <c r="M294" s="29"/>
      <c r="N294" s="29"/>
      <c r="O294" s="29"/>
      <c r="P294" s="29"/>
      <c r="Q294" s="29"/>
      <c r="R294" s="29">
        <v>16000</v>
      </c>
      <c r="S294" s="29">
        <v>800</v>
      </c>
      <c r="T294">
        <v>800</v>
      </c>
      <c r="U294" s="29">
        <v>800</v>
      </c>
      <c r="V294" s="29">
        <v>800</v>
      </c>
      <c r="W294" s="84">
        <v>800</v>
      </c>
      <c r="X294" s="29"/>
      <c r="Y294" s="18">
        <f t="shared" si="121"/>
        <v>20000</v>
      </c>
      <c r="Z294" s="96">
        <v>12</v>
      </c>
      <c r="AA294" s="96">
        <f t="shared" si="122"/>
        <v>9600</v>
      </c>
      <c r="AB294" s="96">
        <f t="shared" si="123"/>
        <v>1600</v>
      </c>
      <c r="AC294" s="99">
        <v>800</v>
      </c>
      <c r="AD294" s="97">
        <v>1600</v>
      </c>
      <c r="AE294" s="102">
        <f t="shared" si="124"/>
        <v>800</v>
      </c>
      <c r="AF294" s="99">
        <v>800</v>
      </c>
      <c r="AG294" s="97">
        <v>800</v>
      </c>
      <c r="AH294" s="102">
        <f t="shared" si="139"/>
        <v>800</v>
      </c>
      <c r="AI294" s="99">
        <v>800</v>
      </c>
      <c r="AJ294" s="97">
        <v>800</v>
      </c>
      <c r="AK294" s="102">
        <f t="shared" si="140"/>
        <v>800</v>
      </c>
      <c r="AL294" s="99">
        <v>800</v>
      </c>
      <c r="AM294" s="97">
        <v>800</v>
      </c>
      <c r="AN294" s="102">
        <f t="shared" si="141"/>
        <v>800</v>
      </c>
      <c r="AO294" s="99">
        <v>800</v>
      </c>
      <c r="AP294" s="97">
        <v>800</v>
      </c>
      <c r="AQ294" s="102">
        <f t="shared" si="142"/>
        <v>800</v>
      </c>
      <c r="AR294" s="99">
        <v>800</v>
      </c>
      <c r="AS294" s="97"/>
      <c r="AT294" s="102">
        <f t="shared" si="143"/>
        <v>1600</v>
      </c>
    </row>
    <row r="295" spans="1:46">
      <c r="A295" s="41">
        <f>VLOOKUP(B295,справочник!$B$2:$E$322,4,FALSE)</f>
        <v>22</v>
      </c>
      <c r="B295" t="str">
        <f t="shared" si="120"/>
        <v>22Хан Виталий Борисович</v>
      </c>
      <c r="C295" s="1">
        <v>22</v>
      </c>
      <c r="D295" s="2" t="s">
        <v>281</v>
      </c>
      <c r="E295" s="1" t="s">
        <v>589</v>
      </c>
      <c r="F295" s="16">
        <v>41107</v>
      </c>
      <c r="G295" s="16">
        <v>41091</v>
      </c>
      <c r="H295" s="17">
        <f t="shared" si="138"/>
        <v>42</v>
      </c>
      <c r="I295" s="1">
        <f t="shared" si="137"/>
        <v>42000</v>
      </c>
      <c r="J295" s="17">
        <f>34000+6000</f>
        <v>40000</v>
      </c>
      <c r="K295" s="17"/>
      <c r="L295" s="18">
        <f t="shared" si="119"/>
        <v>2000</v>
      </c>
      <c r="M295" s="29"/>
      <c r="N295" s="29"/>
      <c r="O295" s="29"/>
      <c r="P295" s="29"/>
      <c r="Q295" s="29"/>
      <c r="R295" s="29"/>
      <c r="S295" s="29"/>
      <c r="T295" s="29"/>
      <c r="U295" s="29">
        <v>10000</v>
      </c>
      <c r="V295" s="29"/>
      <c r="W295" s="29"/>
      <c r="X295" s="29"/>
      <c r="Y295" s="18">
        <f t="shared" si="121"/>
        <v>10000</v>
      </c>
      <c r="Z295" s="96">
        <v>12</v>
      </c>
      <c r="AA295" s="96">
        <f t="shared" si="122"/>
        <v>9600</v>
      </c>
      <c r="AB295" s="96">
        <f t="shared" si="123"/>
        <v>1600</v>
      </c>
      <c r="AC295" s="99">
        <v>800</v>
      </c>
      <c r="AD295" s="98">
        <v>4000</v>
      </c>
      <c r="AE295" s="102">
        <f t="shared" si="124"/>
        <v>-1600</v>
      </c>
      <c r="AF295" s="99">
        <v>800</v>
      </c>
      <c r="AG295" s="98"/>
      <c r="AH295" s="102">
        <f t="shared" si="139"/>
        <v>-800</v>
      </c>
      <c r="AI295" s="99">
        <v>800</v>
      </c>
      <c r="AJ295" s="98"/>
      <c r="AK295" s="102">
        <f t="shared" si="140"/>
        <v>0</v>
      </c>
      <c r="AL295" s="99">
        <v>800</v>
      </c>
      <c r="AM295" s="98"/>
      <c r="AN295" s="102">
        <f t="shared" si="141"/>
        <v>800</v>
      </c>
      <c r="AO295" s="99">
        <v>800</v>
      </c>
      <c r="AP295" s="114"/>
      <c r="AQ295" s="102">
        <f t="shared" si="142"/>
        <v>1600</v>
      </c>
      <c r="AR295" s="99">
        <v>800</v>
      </c>
      <c r="AS295" s="114">
        <v>5000</v>
      </c>
      <c r="AT295" s="102">
        <f t="shared" si="143"/>
        <v>-2600</v>
      </c>
    </row>
    <row r="296" spans="1:46">
      <c r="A296" s="41">
        <f>VLOOKUP(B296,справочник!$B$2:$E$322,4,FALSE)</f>
        <v>20</v>
      </c>
      <c r="B296" t="str">
        <f t="shared" si="120"/>
        <v>20Харинкина Танзиля Гарафутдиновна</v>
      </c>
      <c r="C296" s="1">
        <v>20</v>
      </c>
      <c r="D296" s="2" t="s">
        <v>282</v>
      </c>
      <c r="E296" s="1" t="s">
        <v>590</v>
      </c>
      <c r="F296" s="16">
        <v>41443</v>
      </c>
      <c r="G296" s="16">
        <v>41487</v>
      </c>
      <c r="H296" s="17">
        <f t="shared" si="138"/>
        <v>29</v>
      </c>
      <c r="I296" s="1">
        <f t="shared" si="137"/>
        <v>29000</v>
      </c>
      <c r="J296" s="17">
        <v>12000</v>
      </c>
      <c r="K296" s="17"/>
      <c r="L296" s="18">
        <f t="shared" si="119"/>
        <v>17000</v>
      </c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18">
        <f t="shared" si="121"/>
        <v>0</v>
      </c>
      <c r="Z296" s="96">
        <v>12</v>
      </c>
      <c r="AA296" s="96">
        <f t="shared" si="122"/>
        <v>9600</v>
      </c>
      <c r="AB296" s="96">
        <f t="shared" si="123"/>
        <v>26600</v>
      </c>
      <c r="AC296" s="99">
        <v>800</v>
      </c>
      <c r="AD296" s="98"/>
      <c r="AE296" s="102">
        <f t="shared" si="124"/>
        <v>27400</v>
      </c>
      <c r="AF296" s="99">
        <v>800</v>
      </c>
      <c r="AG296" s="98"/>
      <c r="AH296" s="102">
        <f t="shared" si="139"/>
        <v>28200</v>
      </c>
      <c r="AI296" s="99">
        <v>800</v>
      </c>
      <c r="AJ296" s="98"/>
      <c r="AK296" s="102">
        <f t="shared" si="140"/>
        <v>29000</v>
      </c>
      <c r="AL296" s="99">
        <v>800</v>
      </c>
      <c r="AM296" s="98"/>
      <c r="AN296" s="102">
        <f t="shared" si="141"/>
        <v>29800</v>
      </c>
      <c r="AO296" s="99">
        <v>800</v>
      </c>
      <c r="AP296" s="114"/>
      <c r="AQ296" s="102">
        <f t="shared" si="142"/>
        <v>30600</v>
      </c>
      <c r="AR296" s="99">
        <v>800</v>
      </c>
      <c r="AS296" s="114"/>
      <c r="AT296" s="102">
        <f t="shared" si="143"/>
        <v>31400</v>
      </c>
    </row>
    <row r="297" spans="1:46">
      <c r="A297" s="41">
        <f>VLOOKUP(B297,справочник!$B$2:$E$322,4,FALSE)</f>
        <v>233</v>
      </c>
      <c r="B297" t="str">
        <f t="shared" si="120"/>
        <v>242Хаустова Люция Егоровна</v>
      </c>
      <c r="C297" s="1">
        <v>242</v>
      </c>
      <c r="D297" s="2" t="s">
        <v>283</v>
      </c>
      <c r="E297" s="1" t="s">
        <v>591</v>
      </c>
      <c r="F297" s="16">
        <v>41382</v>
      </c>
      <c r="G297" s="16">
        <v>41395</v>
      </c>
      <c r="H297" s="17">
        <f t="shared" si="138"/>
        <v>32</v>
      </c>
      <c r="I297" s="1">
        <f t="shared" si="137"/>
        <v>32000</v>
      </c>
      <c r="J297" s="17">
        <v>29000</v>
      </c>
      <c r="K297" s="17"/>
      <c r="L297" s="18">
        <f t="shared" si="119"/>
        <v>3000</v>
      </c>
      <c r="M297" s="29"/>
      <c r="N297" s="29"/>
      <c r="O297" s="29"/>
      <c r="P297" s="29"/>
      <c r="Q297" s="29"/>
      <c r="R297" s="29">
        <v>7000</v>
      </c>
      <c r="S297" s="29"/>
      <c r="T297" s="29"/>
      <c r="U297" s="29"/>
      <c r="V297" s="29"/>
      <c r="W297" s="84">
        <v>4000</v>
      </c>
      <c r="X297" s="29"/>
      <c r="Y297" s="18">
        <f t="shared" si="121"/>
        <v>11000</v>
      </c>
      <c r="Z297" s="96">
        <v>12</v>
      </c>
      <c r="AA297" s="96">
        <f t="shared" si="122"/>
        <v>9600</v>
      </c>
      <c r="AB297" s="96">
        <f t="shared" si="123"/>
        <v>1600</v>
      </c>
      <c r="AC297" s="99">
        <v>800</v>
      </c>
      <c r="AD297" s="98"/>
      <c r="AE297" s="102">
        <f t="shared" si="124"/>
        <v>2400</v>
      </c>
      <c r="AF297" s="99">
        <v>800</v>
      </c>
      <c r="AG297" s="98"/>
      <c r="AH297" s="102">
        <f t="shared" si="139"/>
        <v>3200</v>
      </c>
      <c r="AI297" s="99">
        <v>800</v>
      </c>
      <c r="AJ297" s="98">
        <v>4000</v>
      </c>
      <c r="AK297" s="102">
        <f t="shared" si="140"/>
        <v>0</v>
      </c>
      <c r="AL297" s="99">
        <v>800</v>
      </c>
      <c r="AM297" s="98"/>
      <c r="AN297" s="102">
        <f t="shared" si="141"/>
        <v>800</v>
      </c>
      <c r="AO297" s="99">
        <v>800</v>
      </c>
      <c r="AP297" s="114"/>
      <c r="AQ297" s="102">
        <f t="shared" si="142"/>
        <v>1600</v>
      </c>
      <c r="AR297" s="99">
        <v>800</v>
      </c>
      <c r="AS297" s="114"/>
      <c r="AT297" s="102">
        <f t="shared" si="143"/>
        <v>2400</v>
      </c>
    </row>
    <row r="298" spans="1:46">
      <c r="A298" s="41">
        <f>VLOOKUP(B298,справочник!$B$2:$E$322,4,FALSE)</f>
        <v>256</v>
      </c>
      <c r="B298" t="str">
        <f t="shared" si="120"/>
        <v>269Хачатрян Алла Самвеловна</v>
      </c>
      <c r="C298" s="1">
        <v>269</v>
      </c>
      <c r="D298" s="2" t="s">
        <v>284</v>
      </c>
      <c r="E298" s="1" t="s">
        <v>592</v>
      </c>
      <c r="F298" s="16">
        <v>41012</v>
      </c>
      <c r="G298" s="16">
        <v>41000</v>
      </c>
      <c r="H298" s="17">
        <f t="shared" si="138"/>
        <v>45</v>
      </c>
      <c r="I298" s="1">
        <f t="shared" si="137"/>
        <v>45000</v>
      </c>
      <c r="J298" s="17">
        <f>32000+7000</f>
        <v>39000</v>
      </c>
      <c r="K298" s="17">
        <v>8000</v>
      </c>
      <c r="L298" s="18">
        <f t="shared" si="119"/>
        <v>-2000</v>
      </c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18">
        <f t="shared" si="121"/>
        <v>0</v>
      </c>
      <c r="Z298" s="96">
        <v>12</v>
      </c>
      <c r="AA298" s="96">
        <f t="shared" si="122"/>
        <v>9600</v>
      </c>
      <c r="AB298" s="96">
        <f t="shared" si="123"/>
        <v>7600</v>
      </c>
      <c r="AC298" s="99">
        <v>800</v>
      </c>
      <c r="AD298" s="98"/>
      <c r="AE298" s="102">
        <f t="shared" si="124"/>
        <v>8400</v>
      </c>
      <c r="AF298" s="99">
        <v>800</v>
      </c>
      <c r="AG298" s="98"/>
      <c r="AH298" s="102">
        <f t="shared" si="139"/>
        <v>9200</v>
      </c>
      <c r="AI298" s="99">
        <v>800</v>
      </c>
      <c r="AJ298" s="98"/>
      <c r="AK298" s="102">
        <f t="shared" si="140"/>
        <v>10000</v>
      </c>
      <c r="AL298" s="99">
        <v>800</v>
      </c>
      <c r="AM298" s="98"/>
      <c r="AN298" s="102">
        <f t="shared" si="141"/>
        <v>10800</v>
      </c>
      <c r="AO298" s="99">
        <v>800</v>
      </c>
      <c r="AP298" s="114"/>
      <c r="AQ298" s="102">
        <f t="shared" si="142"/>
        <v>11600</v>
      </c>
      <c r="AR298" s="99">
        <v>800</v>
      </c>
      <c r="AS298" s="114"/>
      <c r="AT298" s="102">
        <f t="shared" si="143"/>
        <v>12400</v>
      </c>
    </row>
    <row r="299" spans="1:46" s="80" customFormat="1" ht="25.5" customHeight="1">
      <c r="A299" s="103">
        <f>VLOOKUP(B299,справочник!$B$2:$E$322,4,FALSE)</f>
        <v>113</v>
      </c>
      <c r="B299" s="80" t="str">
        <f t="shared" si="120"/>
        <v>116+118+120Хрупало Николай Алексеевич</v>
      </c>
      <c r="C299" s="5" t="s">
        <v>705</v>
      </c>
      <c r="D299" s="7" t="s">
        <v>285</v>
      </c>
      <c r="E299" s="5" t="s">
        <v>593</v>
      </c>
      <c r="F299" s="19">
        <v>41107</v>
      </c>
      <c r="G299" s="19">
        <v>41122</v>
      </c>
      <c r="H299" s="20">
        <f t="shared" si="138"/>
        <v>41</v>
      </c>
      <c r="I299" s="5">
        <f t="shared" si="137"/>
        <v>41000</v>
      </c>
      <c r="J299" s="20">
        <v>41000</v>
      </c>
      <c r="K299" s="20"/>
      <c r="L299" s="21">
        <f t="shared" si="119"/>
        <v>0</v>
      </c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X299" s="109"/>
      <c r="Y299" s="21">
        <f>SUM(M299:X299)</f>
        <v>0</v>
      </c>
      <c r="Z299" s="104">
        <v>0</v>
      </c>
      <c r="AA299" s="104">
        <f t="shared" si="122"/>
        <v>0</v>
      </c>
      <c r="AB299" s="104">
        <f t="shared" si="123"/>
        <v>0</v>
      </c>
      <c r="AC299" s="104">
        <v>0</v>
      </c>
      <c r="AD299" s="105"/>
      <c r="AE299" s="106">
        <v>0</v>
      </c>
      <c r="AF299" s="104">
        <v>0</v>
      </c>
      <c r="AG299" s="105"/>
      <c r="AH299" s="106">
        <f t="shared" si="139"/>
        <v>0</v>
      </c>
      <c r="AI299" s="104">
        <v>0</v>
      </c>
      <c r="AJ299" s="105"/>
      <c r="AK299" s="106">
        <f t="shared" si="140"/>
        <v>0</v>
      </c>
      <c r="AL299" s="104">
        <v>0</v>
      </c>
      <c r="AM299" s="105"/>
      <c r="AN299" s="106">
        <f t="shared" si="141"/>
        <v>0</v>
      </c>
      <c r="AO299" s="104">
        <v>0</v>
      </c>
      <c r="AP299" s="105"/>
      <c r="AQ299" s="106">
        <f t="shared" si="142"/>
        <v>0</v>
      </c>
      <c r="AR299" s="104">
        <v>0</v>
      </c>
      <c r="AS299" s="105"/>
      <c r="AT299" s="106">
        <f t="shared" si="143"/>
        <v>0</v>
      </c>
    </row>
    <row r="300" spans="1:46" s="80" customFormat="1" ht="25.5">
      <c r="A300" s="103">
        <f>VLOOKUP(B300,справочник!$B$2:$E$322,4,FALSE)</f>
        <v>113</v>
      </c>
      <c r="B300" s="80" t="str">
        <f t="shared" si="120"/>
        <v>116+118+120Хрупало Николай Алексеевич</v>
      </c>
      <c r="C300" s="5" t="s">
        <v>705</v>
      </c>
      <c r="D300" s="7" t="s">
        <v>285</v>
      </c>
      <c r="E300" s="5" t="s">
        <v>593</v>
      </c>
      <c r="F300" s="19">
        <v>41107</v>
      </c>
      <c r="G300" s="19">
        <v>41122</v>
      </c>
      <c r="H300" s="20">
        <f t="shared" si="138"/>
        <v>41</v>
      </c>
      <c r="I300" s="5">
        <f t="shared" si="137"/>
        <v>41000</v>
      </c>
      <c r="J300" s="20">
        <v>20000</v>
      </c>
      <c r="K300" s="20"/>
      <c r="L300" s="21">
        <f t="shared" si="119"/>
        <v>21000</v>
      </c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21">
        <f t="shared" si="121"/>
        <v>0</v>
      </c>
      <c r="Z300" s="104">
        <v>0</v>
      </c>
      <c r="AA300" s="104">
        <f t="shared" si="122"/>
        <v>0</v>
      </c>
      <c r="AB300" s="104">
        <f t="shared" si="123"/>
        <v>21000</v>
      </c>
      <c r="AC300" s="104">
        <v>0</v>
      </c>
      <c r="AD300" s="105"/>
      <c r="AE300" s="123">
        <f>SUM(AB300:AB301)+SUM(AC300:AC301)-SUM(AD300:AD301)</f>
        <v>57400</v>
      </c>
      <c r="AF300" s="104">
        <v>0</v>
      </c>
      <c r="AG300" s="105"/>
      <c r="AH300" s="123">
        <f>SUM(AE300:AE301)+SUM(AF300:AF301)-SUM(AG300:AG301)</f>
        <v>55200</v>
      </c>
      <c r="AI300" s="104">
        <v>0</v>
      </c>
      <c r="AJ300" s="105"/>
      <c r="AK300" s="123">
        <f>SUM(AH300:AH301)+SUM(AI300:AI301)-SUM(AJ300:AJ301)</f>
        <v>56000</v>
      </c>
      <c r="AL300" s="104">
        <v>0</v>
      </c>
      <c r="AM300" s="105"/>
      <c r="AN300" s="123">
        <f>SUM(AK300:AK301)+SUM(AL300:AL301)-SUM(AM300:AM301)</f>
        <v>53800</v>
      </c>
      <c r="AO300" s="104">
        <v>0</v>
      </c>
      <c r="AP300" s="105"/>
      <c r="AQ300" s="123">
        <f>SUM(AN300:AN301)+SUM(AO300:AO301)-SUM(AP300:AP301)</f>
        <v>54600</v>
      </c>
      <c r="AR300" s="104">
        <v>0</v>
      </c>
      <c r="AS300" s="105"/>
      <c r="AT300" s="123">
        <f>SUM(AQ300:AQ301)+SUM(AR300:AR301)-SUM(AS300:AS301)</f>
        <v>55400</v>
      </c>
    </row>
    <row r="301" spans="1:46" s="80" customFormat="1" ht="25.5">
      <c r="A301" s="103">
        <f>VLOOKUP(B301,справочник!$B$2:$E$322,4,FALSE)</f>
        <v>113</v>
      </c>
      <c r="B301" s="80" t="str">
        <f t="shared" si="120"/>
        <v>116+118+120Хрупало Николай Алексеевич</v>
      </c>
      <c r="C301" s="5" t="s">
        <v>705</v>
      </c>
      <c r="D301" s="7" t="s">
        <v>285</v>
      </c>
      <c r="E301" s="5" t="s">
        <v>593</v>
      </c>
      <c r="F301" s="19">
        <v>41107</v>
      </c>
      <c r="G301" s="19">
        <v>41122</v>
      </c>
      <c r="H301" s="20">
        <f t="shared" si="138"/>
        <v>41</v>
      </c>
      <c r="I301" s="5">
        <f t="shared" si="137"/>
        <v>41000</v>
      </c>
      <c r="J301" s="20"/>
      <c r="K301" s="20"/>
      <c r="L301" s="21">
        <f t="shared" si="119"/>
        <v>41000</v>
      </c>
      <c r="M301" s="109">
        <v>6000</v>
      </c>
      <c r="N301" s="109"/>
      <c r="O301" s="109"/>
      <c r="P301" s="109">
        <v>3000</v>
      </c>
      <c r="Q301" s="109"/>
      <c r="R301" s="109">
        <v>3000</v>
      </c>
      <c r="S301" s="109"/>
      <c r="T301" s="109"/>
      <c r="U301" s="109"/>
      <c r="V301" s="109"/>
      <c r="W301" s="80">
        <v>3000</v>
      </c>
      <c r="X301" s="109"/>
      <c r="Y301" s="21">
        <f>SUM(M301:X301)</f>
        <v>15000</v>
      </c>
      <c r="Z301" s="104">
        <v>12</v>
      </c>
      <c r="AA301" s="104">
        <f>Z301*800</f>
        <v>9600</v>
      </c>
      <c r="AB301" s="104">
        <f>L301+AA301-Y301</f>
        <v>35600</v>
      </c>
      <c r="AC301" s="104">
        <v>800</v>
      </c>
      <c r="AD301" s="105"/>
      <c r="AE301" s="124"/>
      <c r="AF301" s="104">
        <v>800</v>
      </c>
      <c r="AG301" s="105">
        <v>3000</v>
      </c>
      <c r="AH301" s="124"/>
      <c r="AI301" s="104">
        <v>800</v>
      </c>
      <c r="AJ301" s="105"/>
      <c r="AK301" s="124"/>
      <c r="AL301" s="104">
        <v>800</v>
      </c>
      <c r="AM301" s="105">
        <v>3000</v>
      </c>
      <c r="AN301" s="124"/>
      <c r="AO301" s="104">
        <v>800</v>
      </c>
      <c r="AP301" s="105"/>
      <c r="AQ301" s="124"/>
      <c r="AR301" s="104">
        <v>800</v>
      </c>
      <c r="AS301" s="105"/>
      <c r="AT301" s="124"/>
    </row>
    <row r="302" spans="1:46" ht="25.5" customHeight="1">
      <c r="A302" s="41">
        <f>VLOOKUP(B302,справочник!$B$2:$E$322,4,FALSE)</f>
        <v>180</v>
      </c>
      <c r="B302" t="str">
        <f t="shared" si="120"/>
        <v>188Черешнева Виктория Викторовна</v>
      </c>
      <c r="C302" s="1">
        <v>188</v>
      </c>
      <c r="D302" s="2" t="s">
        <v>287</v>
      </c>
      <c r="E302" s="1" t="s">
        <v>594</v>
      </c>
      <c r="F302" s="16">
        <v>41786</v>
      </c>
      <c r="G302" s="16">
        <v>41791</v>
      </c>
      <c r="H302" s="17">
        <f t="shared" si="138"/>
        <v>19</v>
      </c>
      <c r="I302" s="1">
        <f t="shared" si="137"/>
        <v>19000</v>
      </c>
      <c r="J302" s="17">
        <v>19000</v>
      </c>
      <c r="K302" s="17"/>
      <c r="L302" s="18">
        <f t="shared" si="119"/>
        <v>0</v>
      </c>
      <c r="M302" s="29"/>
      <c r="N302" s="29"/>
      <c r="O302" s="29"/>
      <c r="P302" s="29"/>
      <c r="Q302" s="29">
        <v>4800</v>
      </c>
      <c r="R302" s="29"/>
      <c r="S302" s="29"/>
      <c r="T302" s="29"/>
      <c r="U302" s="29"/>
      <c r="V302" s="29"/>
      <c r="W302" s="29"/>
      <c r="X302" s="29"/>
      <c r="Y302" s="18">
        <f t="shared" si="121"/>
        <v>4800</v>
      </c>
      <c r="Z302" s="96">
        <v>12</v>
      </c>
      <c r="AA302" s="96">
        <f t="shared" si="122"/>
        <v>9600</v>
      </c>
      <c r="AB302" s="96">
        <f t="shared" si="123"/>
        <v>4800</v>
      </c>
      <c r="AC302" s="99">
        <v>800</v>
      </c>
      <c r="AD302" s="98"/>
      <c r="AE302" s="102">
        <f t="shared" si="124"/>
        <v>5600</v>
      </c>
      <c r="AF302" s="99">
        <v>800</v>
      </c>
      <c r="AG302" s="98"/>
      <c r="AH302" s="102">
        <f t="shared" ref="AH302:AH306" si="144">AE302+AF302-AG302</f>
        <v>6400</v>
      </c>
      <c r="AI302" s="99">
        <v>800</v>
      </c>
      <c r="AJ302" s="98"/>
      <c r="AK302" s="102">
        <f t="shared" ref="AK302:AK306" si="145">AH302+AI302-AJ302</f>
        <v>7200</v>
      </c>
      <c r="AL302" s="99">
        <v>800</v>
      </c>
      <c r="AM302" s="98"/>
      <c r="AN302" s="102">
        <f t="shared" ref="AN302:AN306" si="146">AK302+AL302-AM302</f>
        <v>8000</v>
      </c>
      <c r="AO302" s="99">
        <v>800</v>
      </c>
      <c r="AP302" s="114">
        <v>14400</v>
      </c>
      <c r="AQ302" s="102">
        <f t="shared" ref="AQ302:AQ306" si="147">AN302+AO302-AP302</f>
        <v>-5600</v>
      </c>
      <c r="AR302" s="99">
        <v>800</v>
      </c>
      <c r="AS302" s="114"/>
      <c r="AT302" s="102">
        <f t="shared" ref="AT302:AT306" si="148">AQ302+AR302-AS302</f>
        <v>-4800</v>
      </c>
    </row>
    <row r="303" spans="1:46">
      <c r="A303" s="41">
        <f>VLOOKUP(B303,справочник!$B$2:$E$322,4,FALSE)</f>
        <v>2</v>
      </c>
      <c r="B303" t="str">
        <f t="shared" si="120"/>
        <v xml:space="preserve">2Чернявская Оксана Юрьевна        </v>
      </c>
      <c r="C303" s="1">
        <v>2</v>
      </c>
      <c r="D303" s="2" t="s">
        <v>288</v>
      </c>
      <c r="E303" s="1" t="s">
        <v>595</v>
      </c>
      <c r="F303" s="16">
        <v>41737</v>
      </c>
      <c r="G303" s="16">
        <v>41760</v>
      </c>
      <c r="H303" s="17">
        <f t="shared" si="138"/>
        <v>20</v>
      </c>
      <c r="I303" s="1">
        <f t="shared" si="137"/>
        <v>20000</v>
      </c>
      <c r="J303" s="17">
        <v>11000</v>
      </c>
      <c r="K303" s="17"/>
      <c r="L303" s="18">
        <f t="shared" si="119"/>
        <v>9000</v>
      </c>
      <c r="M303" s="29"/>
      <c r="N303" s="29"/>
      <c r="O303" s="29"/>
      <c r="P303" s="29"/>
      <c r="Q303" s="29"/>
      <c r="R303" s="29"/>
      <c r="S303" s="29"/>
      <c r="T303" s="29"/>
      <c r="U303" s="29"/>
      <c r="V303" s="29">
        <v>1000</v>
      </c>
      <c r="W303" s="29"/>
      <c r="X303" s="29"/>
      <c r="Y303" s="18">
        <f t="shared" si="121"/>
        <v>1000</v>
      </c>
      <c r="Z303" s="96">
        <v>12</v>
      </c>
      <c r="AA303" s="96">
        <f t="shared" si="122"/>
        <v>9600</v>
      </c>
      <c r="AB303" s="96">
        <f t="shared" si="123"/>
        <v>17600</v>
      </c>
      <c r="AC303" s="99">
        <v>800</v>
      </c>
      <c r="AD303" s="98"/>
      <c r="AE303" s="102">
        <f t="shared" si="124"/>
        <v>18400</v>
      </c>
      <c r="AF303" s="99">
        <v>800</v>
      </c>
      <c r="AG303" s="98"/>
      <c r="AH303" s="102">
        <f t="shared" si="144"/>
        <v>19200</v>
      </c>
      <c r="AI303" s="99">
        <v>800</v>
      </c>
      <c r="AJ303" s="98"/>
      <c r="AK303" s="102">
        <f t="shared" si="145"/>
        <v>20000</v>
      </c>
      <c r="AL303" s="99">
        <v>800</v>
      </c>
      <c r="AM303" s="98"/>
      <c r="AN303" s="102">
        <f t="shared" si="146"/>
        <v>20800</v>
      </c>
      <c r="AO303" s="99">
        <v>800</v>
      </c>
      <c r="AP303" s="114"/>
      <c r="AQ303" s="102">
        <f t="shared" si="147"/>
        <v>21600</v>
      </c>
      <c r="AR303" s="99">
        <v>800</v>
      </c>
      <c r="AS303" s="114"/>
      <c r="AT303" s="102">
        <f t="shared" si="148"/>
        <v>22400</v>
      </c>
    </row>
    <row r="304" spans="1:46" ht="25.5">
      <c r="A304" s="41">
        <f>VLOOKUP(B304,справочник!$B$2:$E$322,4,FALSE)</f>
        <v>23</v>
      </c>
      <c r="B304" t="str">
        <f t="shared" si="120"/>
        <v>23Чигрины Анна Анатольевна и Геннадий Иванович</v>
      </c>
      <c r="C304" s="1">
        <v>23</v>
      </c>
      <c r="D304" s="2" t="s">
        <v>289</v>
      </c>
      <c r="E304" s="1" t="s">
        <v>596</v>
      </c>
      <c r="F304" s="16">
        <v>41422</v>
      </c>
      <c r="G304" s="16">
        <v>41456</v>
      </c>
      <c r="H304" s="17">
        <f t="shared" si="138"/>
        <v>30</v>
      </c>
      <c r="I304" s="1">
        <f t="shared" si="137"/>
        <v>30000</v>
      </c>
      <c r="J304" s="17">
        <v>30000</v>
      </c>
      <c r="K304" s="17"/>
      <c r="L304" s="18">
        <f t="shared" si="119"/>
        <v>0</v>
      </c>
      <c r="M304" s="29">
        <v>11600</v>
      </c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>
        <v>9600</v>
      </c>
      <c r="Y304" s="18">
        <f t="shared" si="121"/>
        <v>21200</v>
      </c>
      <c r="Z304" s="96">
        <v>12</v>
      </c>
      <c r="AA304" s="96">
        <f t="shared" si="122"/>
        <v>9600</v>
      </c>
      <c r="AB304" s="96">
        <f>L304+AA304-Y304</f>
        <v>-11600</v>
      </c>
      <c r="AC304" s="99">
        <v>800</v>
      </c>
      <c r="AD304" s="98"/>
      <c r="AE304" s="102">
        <f t="shared" si="124"/>
        <v>-10800</v>
      </c>
      <c r="AF304" s="99">
        <v>800</v>
      </c>
      <c r="AG304" s="98"/>
      <c r="AH304" s="102">
        <f t="shared" si="144"/>
        <v>-10000</v>
      </c>
      <c r="AI304" s="99">
        <v>800</v>
      </c>
      <c r="AJ304" s="98"/>
      <c r="AK304" s="102">
        <f t="shared" si="145"/>
        <v>-9200</v>
      </c>
      <c r="AL304" s="99">
        <v>800</v>
      </c>
      <c r="AM304" s="98"/>
      <c r="AN304" s="102">
        <f t="shared" si="146"/>
        <v>-8400</v>
      </c>
      <c r="AO304" s="99">
        <v>800</v>
      </c>
      <c r="AP304" s="114"/>
      <c r="AQ304" s="102">
        <f t="shared" si="147"/>
        <v>-7600</v>
      </c>
      <c r="AR304" s="99">
        <v>800</v>
      </c>
      <c r="AS304" s="114"/>
      <c r="AT304" s="102">
        <f t="shared" si="148"/>
        <v>-6800</v>
      </c>
    </row>
    <row r="305" spans="1:46">
      <c r="A305" s="41">
        <f>VLOOKUP(B305,справочник!$B$2:$E$322,4,FALSE)</f>
        <v>168</v>
      </c>
      <c r="B305" t="str">
        <f t="shared" si="120"/>
        <v>176Чикачёв Сергей Иванович</v>
      </c>
      <c r="C305" s="1">
        <v>176</v>
      </c>
      <c r="D305" s="2" t="s">
        <v>290</v>
      </c>
      <c r="E305" s="1" t="s">
        <v>597</v>
      </c>
      <c r="F305" s="16">
        <v>41939</v>
      </c>
      <c r="G305" s="16">
        <v>41974</v>
      </c>
      <c r="H305" s="17">
        <f t="shared" si="138"/>
        <v>13</v>
      </c>
      <c r="I305" s="1">
        <f t="shared" si="137"/>
        <v>13000</v>
      </c>
      <c r="J305" s="17">
        <v>11000</v>
      </c>
      <c r="K305" s="17">
        <v>2000</v>
      </c>
      <c r="L305" s="18">
        <f t="shared" si="119"/>
        <v>0</v>
      </c>
      <c r="M305" s="29"/>
      <c r="N305" s="29">
        <v>2000</v>
      </c>
      <c r="O305" s="29"/>
      <c r="P305" s="29">
        <v>2000</v>
      </c>
      <c r="Q305" s="29">
        <v>2000</v>
      </c>
      <c r="R305" s="29"/>
      <c r="S305" s="29">
        <v>2000</v>
      </c>
      <c r="T305" s="29"/>
      <c r="U305" s="29">
        <v>2000</v>
      </c>
      <c r="V305" s="29"/>
      <c r="W305" s="29">
        <v>2000</v>
      </c>
      <c r="X305" s="29"/>
      <c r="Y305" s="18">
        <f t="shared" si="121"/>
        <v>12000</v>
      </c>
      <c r="Z305" s="96">
        <v>12</v>
      </c>
      <c r="AA305" s="96">
        <f t="shared" si="122"/>
        <v>9600</v>
      </c>
      <c r="AB305" s="96">
        <f t="shared" si="123"/>
        <v>-2400</v>
      </c>
      <c r="AC305" s="99">
        <v>800</v>
      </c>
      <c r="AD305" s="98"/>
      <c r="AE305" s="102">
        <f t="shared" si="124"/>
        <v>-1600</v>
      </c>
      <c r="AF305" s="99">
        <v>800</v>
      </c>
      <c r="AG305" s="98">
        <v>2000</v>
      </c>
      <c r="AH305" s="102">
        <f t="shared" si="144"/>
        <v>-2800</v>
      </c>
      <c r="AI305" s="99">
        <v>800</v>
      </c>
      <c r="AJ305" s="98"/>
      <c r="AK305" s="102">
        <f t="shared" si="145"/>
        <v>-2000</v>
      </c>
      <c r="AL305" s="99">
        <v>800</v>
      </c>
      <c r="AM305" s="98">
        <v>2000</v>
      </c>
      <c r="AN305" s="102">
        <f t="shared" si="146"/>
        <v>-3200</v>
      </c>
      <c r="AO305" s="99">
        <v>800</v>
      </c>
      <c r="AP305" s="114"/>
      <c r="AQ305" s="102">
        <f t="shared" si="147"/>
        <v>-2400</v>
      </c>
      <c r="AR305" s="99">
        <v>800</v>
      </c>
      <c r="AS305" s="114">
        <v>2000</v>
      </c>
      <c r="AT305" s="102">
        <f t="shared" si="148"/>
        <v>-3600</v>
      </c>
    </row>
    <row r="306" spans="1:46" ht="25.5" customHeight="1">
      <c r="A306" s="41">
        <f>VLOOKUP(B306,справочник!$B$2:$E$322,4,FALSE)</f>
        <v>84</v>
      </c>
      <c r="B306" t="str">
        <f t="shared" si="120"/>
        <v>89Шабунина Светлана Николаевна</v>
      </c>
      <c r="C306" s="1">
        <v>89</v>
      </c>
      <c r="D306" s="2" t="s">
        <v>291</v>
      </c>
      <c r="E306" s="1" t="s">
        <v>598</v>
      </c>
      <c r="F306" s="16">
        <v>40785</v>
      </c>
      <c r="G306" s="16">
        <v>40787</v>
      </c>
      <c r="H306" s="17">
        <f t="shared" si="138"/>
        <v>52</v>
      </c>
      <c r="I306" s="1">
        <f t="shared" si="137"/>
        <v>52000</v>
      </c>
      <c r="J306" s="17">
        <f>1000+51000</f>
        <v>52000</v>
      </c>
      <c r="K306" s="17"/>
      <c r="L306" s="18">
        <f t="shared" si="119"/>
        <v>0</v>
      </c>
      <c r="M306" s="29"/>
      <c r="N306" s="29"/>
      <c r="O306" s="29"/>
      <c r="P306" s="29"/>
      <c r="Q306" s="29"/>
      <c r="R306" s="29">
        <v>4800</v>
      </c>
      <c r="S306" s="29"/>
      <c r="T306" s="29"/>
      <c r="U306" s="29"/>
      <c r="V306" s="29"/>
      <c r="W306" s="84">
        <v>4800</v>
      </c>
      <c r="X306" s="29"/>
      <c r="Y306" s="18">
        <f t="shared" si="121"/>
        <v>9600</v>
      </c>
      <c r="Z306" s="96">
        <v>12</v>
      </c>
      <c r="AA306" s="96">
        <f t="shared" si="122"/>
        <v>9600</v>
      </c>
      <c r="AB306" s="96">
        <f t="shared" si="123"/>
        <v>0</v>
      </c>
      <c r="AC306" s="99">
        <v>800</v>
      </c>
      <c r="AD306" s="98"/>
      <c r="AE306" s="102">
        <f t="shared" si="124"/>
        <v>800</v>
      </c>
      <c r="AF306" s="99">
        <v>800</v>
      </c>
      <c r="AG306" s="98"/>
      <c r="AH306" s="102">
        <f t="shared" si="144"/>
        <v>1600</v>
      </c>
      <c r="AI306" s="99">
        <v>800</v>
      </c>
      <c r="AJ306" s="98">
        <v>4800</v>
      </c>
      <c r="AK306" s="102">
        <f t="shared" si="145"/>
        <v>-2400</v>
      </c>
      <c r="AL306" s="99">
        <v>800</v>
      </c>
      <c r="AM306" s="98"/>
      <c r="AN306" s="102">
        <f t="shared" si="146"/>
        <v>-1600</v>
      </c>
      <c r="AO306" s="99">
        <v>800</v>
      </c>
      <c r="AP306" s="114"/>
      <c r="AQ306" s="102">
        <f t="shared" si="147"/>
        <v>-800</v>
      </c>
      <c r="AR306" s="99">
        <v>800</v>
      </c>
      <c r="AS306" s="114"/>
      <c r="AT306" s="102">
        <f t="shared" si="148"/>
        <v>0</v>
      </c>
    </row>
    <row r="307" spans="1:46" s="80" customFormat="1">
      <c r="A307" s="103">
        <f>VLOOKUP(B307,справочник!$B$2:$E$322,4,FALSE)</f>
        <v>88</v>
      </c>
      <c r="B307" s="80" t="str">
        <f t="shared" si="120"/>
        <v>97+93Шалинов Андрей Вадимович</v>
      </c>
      <c r="C307" s="5" t="s">
        <v>706</v>
      </c>
      <c r="D307" s="7" t="s">
        <v>292</v>
      </c>
      <c r="E307" s="5" t="s">
        <v>599</v>
      </c>
      <c r="F307" s="19">
        <v>40925</v>
      </c>
      <c r="G307" s="19">
        <v>40909</v>
      </c>
      <c r="H307" s="20">
        <f t="shared" si="138"/>
        <v>48</v>
      </c>
      <c r="I307" s="5">
        <f t="shared" si="137"/>
        <v>48000</v>
      </c>
      <c r="J307" s="20">
        <v>44000</v>
      </c>
      <c r="K307" s="20"/>
      <c r="L307" s="21">
        <f t="shared" si="119"/>
        <v>4000</v>
      </c>
      <c r="M307" s="109">
        <v>8000</v>
      </c>
      <c r="N307" s="109"/>
      <c r="O307" s="109"/>
      <c r="P307" s="109"/>
      <c r="Q307" s="109"/>
      <c r="R307" s="109"/>
      <c r="S307" s="109">
        <v>9600</v>
      </c>
      <c r="T307" s="109"/>
      <c r="U307" s="109"/>
      <c r="V307" s="109"/>
      <c r="W307" s="109"/>
      <c r="X307" s="109"/>
      <c r="Y307" s="21">
        <f t="shared" si="121"/>
        <v>17600</v>
      </c>
      <c r="Z307" s="104">
        <v>12</v>
      </c>
      <c r="AA307" s="104">
        <f t="shared" si="122"/>
        <v>9600</v>
      </c>
      <c r="AB307" s="104">
        <f t="shared" si="123"/>
        <v>-4000</v>
      </c>
      <c r="AC307" s="104">
        <v>800</v>
      </c>
      <c r="AD307" s="105"/>
      <c r="AE307" s="123">
        <f>+SUM(AC307:AC308)</f>
        <v>800</v>
      </c>
      <c r="AF307" s="104">
        <v>800</v>
      </c>
      <c r="AG307" s="105"/>
      <c r="AH307" s="123">
        <f>+SUM(AF307:AF308)</f>
        <v>800</v>
      </c>
      <c r="AI307" s="104">
        <v>800</v>
      </c>
      <c r="AJ307" s="105"/>
      <c r="AK307" s="123">
        <f>+SUM(AI307:AI308)</f>
        <v>800</v>
      </c>
      <c r="AL307" s="104">
        <v>800</v>
      </c>
      <c r="AM307" s="105"/>
      <c r="AN307" s="123">
        <f>+SUM(AL307:AL308)</f>
        <v>800</v>
      </c>
      <c r="AO307" s="104">
        <v>800</v>
      </c>
      <c r="AP307" s="105"/>
      <c r="AQ307" s="123">
        <f>+SUM(AO307:AO308)</f>
        <v>800</v>
      </c>
      <c r="AR307" s="104">
        <v>800</v>
      </c>
      <c r="AS307" s="105"/>
      <c r="AT307" s="123">
        <f>+SUM(AR307:AR308)</f>
        <v>800</v>
      </c>
    </row>
    <row r="308" spans="1:46" s="80" customFormat="1">
      <c r="A308" s="103">
        <f>VLOOKUP(B308,справочник!$B$2:$E$322,4,FALSE)</f>
        <v>88</v>
      </c>
      <c r="B308" s="80" t="str">
        <f t="shared" si="120"/>
        <v>97+93Шалинов Андрей Вадимович</v>
      </c>
      <c r="C308" s="5" t="s">
        <v>706</v>
      </c>
      <c r="D308" s="7" t="s">
        <v>292</v>
      </c>
      <c r="E308" s="5" t="s">
        <v>600</v>
      </c>
      <c r="F308" s="19">
        <v>40925</v>
      </c>
      <c r="G308" s="19">
        <v>40909</v>
      </c>
      <c r="H308" s="20">
        <f t="shared" si="138"/>
        <v>48</v>
      </c>
      <c r="I308" s="5">
        <f t="shared" si="137"/>
        <v>48000</v>
      </c>
      <c r="J308" s="20">
        <v>44000</v>
      </c>
      <c r="K308" s="20"/>
      <c r="L308" s="21">
        <f t="shared" si="119"/>
        <v>4000</v>
      </c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21">
        <f t="shared" si="121"/>
        <v>0</v>
      </c>
      <c r="Z308" s="104">
        <v>0</v>
      </c>
      <c r="AA308" s="104">
        <f t="shared" si="122"/>
        <v>0</v>
      </c>
      <c r="AB308" s="104">
        <f t="shared" si="123"/>
        <v>4000</v>
      </c>
      <c r="AC308" s="104">
        <v>0</v>
      </c>
      <c r="AD308" s="105"/>
      <c r="AE308" s="124"/>
      <c r="AF308" s="104">
        <v>0</v>
      </c>
      <c r="AG308" s="105"/>
      <c r="AH308" s="124"/>
      <c r="AI308" s="104">
        <v>0</v>
      </c>
      <c r="AJ308" s="105">
        <v>4800</v>
      </c>
      <c r="AK308" s="124"/>
      <c r="AL308" s="104">
        <v>0</v>
      </c>
      <c r="AM308" s="105"/>
      <c r="AN308" s="124"/>
      <c r="AO308" s="104">
        <v>0</v>
      </c>
      <c r="AP308" s="105"/>
      <c r="AQ308" s="124"/>
      <c r="AR308" s="104">
        <v>0</v>
      </c>
      <c r="AS308" s="105">
        <v>4800</v>
      </c>
      <c r="AT308" s="124"/>
    </row>
    <row r="309" spans="1:46">
      <c r="A309" s="41">
        <f>VLOOKUP(B309,справочник!$B$2:$E$322,4,FALSE)</f>
        <v>78</v>
      </c>
      <c r="B309" t="str">
        <f t="shared" si="120"/>
        <v>83Шелухина Мария Сергеевна</v>
      </c>
      <c r="C309" s="1">
        <v>83</v>
      </c>
      <c r="D309" s="2" t="s">
        <v>294</v>
      </c>
      <c r="E309" s="1"/>
      <c r="F309" s="16">
        <v>41456</v>
      </c>
      <c r="G309" s="16">
        <v>41457</v>
      </c>
      <c r="H309" s="17">
        <f t="shared" si="138"/>
        <v>30</v>
      </c>
      <c r="I309" s="1">
        <v>30000</v>
      </c>
      <c r="J309" s="17">
        <v>0</v>
      </c>
      <c r="K309" s="17"/>
      <c r="L309" s="18">
        <v>30000</v>
      </c>
      <c r="M309" s="29"/>
      <c r="N309" s="29"/>
      <c r="O309" s="29"/>
      <c r="P309" s="29"/>
      <c r="Q309" s="29"/>
      <c r="R309" s="29"/>
      <c r="S309" s="29"/>
      <c r="T309" s="29"/>
      <c r="U309" s="29">
        <v>25000</v>
      </c>
      <c r="V309" s="29"/>
      <c r="W309" s="29"/>
      <c r="X309" s="29"/>
      <c r="Y309" s="18">
        <f t="shared" si="121"/>
        <v>25000</v>
      </c>
      <c r="Z309" s="96">
        <v>12</v>
      </c>
      <c r="AA309" s="96">
        <f t="shared" si="122"/>
        <v>9600</v>
      </c>
      <c r="AB309" s="96">
        <f t="shared" si="123"/>
        <v>14600</v>
      </c>
      <c r="AC309" s="99">
        <v>800</v>
      </c>
      <c r="AD309" s="98"/>
      <c r="AE309" s="102">
        <f t="shared" si="124"/>
        <v>15400</v>
      </c>
      <c r="AF309" s="99">
        <v>800</v>
      </c>
      <c r="AG309" s="98"/>
      <c r="AH309" s="102">
        <f t="shared" ref="AH309:AH324" si="149">AE309+AF309-AG309</f>
        <v>16200</v>
      </c>
      <c r="AI309" s="99">
        <v>800</v>
      </c>
      <c r="AJ309" s="98"/>
      <c r="AK309" s="102">
        <f t="shared" ref="AK309:AK324" si="150">AH309+AI309-AJ309</f>
        <v>17000</v>
      </c>
      <c r="AL309" s="99">
        <v>800</v>
      </c>
      <c r="AM309" s="98"/>
      <c r="AN309" s="102">
        <f t="shared" ref="AN309:AN324" si="151">AK309+AL309-AM309</f>
        <v>17800</v>
      </c>
      <c r="AO309" s="99">
        <v>800</v>
      </c>
      <c r="AP309" s="114"/>
      <c r="AQ309" s="102">
        <f t="shared" ref="AQ309:AQ324" si="152">AN309+AO309-AP309</f>
        <v>18600</v>
      </c>
      <c r="AR309" s="99">
        <v>800</v>
      </c>
      <c r="AS309" s="114"/>
      <c r="AT309" s="102">
        <f t="shared" ref="AT309:AT324" si="153">AQ309+AR309-AS309</f>
        <v>19400</v>
      </c>
    </row>
    <row r="310" spans="1:46">
      <c r="A310" s="41">
        <f>VLOOKUP(B310,справочник!$B$2:$E$322,4,FALSE)</f>
        <v>77</v>
      </c>
      <c r="B310" t="str">
        <f t="shared" si="120"/>
        <v>83Самородов</v>
      </c>
      <c r="C310" s="1">
        <v>83</v>
      </c>
      <c r="D310" s="2" t="s">
        <v>295</v>
      </c>
      <c r="E310" s="1" t="s">
        <v>601</v>
      </c>
      <c r="F310" s="16">
        <v>40932</v>
      </c>
      <c r="G310" s="16">
        <v>40909</v>
      </c>
      <c r="H310" s="17">
        <f t="shared" si="138"/>
        <v>48</v>
      </c>
      <c r="I310" s="1">
        <f t="shared" ref="I310:I324" si="154">H310*1000</f>
        <v>48000</v>
      </c>
      <c r="J310" s="17">
        <v>15000</v>
      </c>
      <c r="K310" s="17"/>
      <c r="L310" s="18">
        <f t="shared" ref="L310:L324" si="155">I310-J310-K310</f>
        <v>33000</v>
      </c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18">
        <f t="shared" si="121"/>
        <v>0</v>
      </c>
      <c r="Z310" s="96">
        <v>12</v>
      </c>
      <c r="AA310" s="96">
        <f t="shared" si="122"/>
        <v>9600</v>
      </c>
      <c r="AB310" s="96">
        <f t="shared" si="123"/>
        <v>42600</v>
      </c>
      <c r="AC310" s="99">
        <v>800</v>
      </c>
      <c r="AD310" s="98"/>
      <c r="AE310" s="102">
        <f t="shared" si="124"/>
        <v>43400</v>
      </c>
      <c r="AF310" s="99">
        <v>800</v>
      </c>
      <c r="AG310" s="98"/>
      <c r="AH310" s="102">
        <f t="shared" si="149"/>
        <v>44200</v>
      </c>
      <c r="AI310" s="99">
        <v>800</v>
      </c>
      <c r="AJ310" s="98"/>
      <c r="AK310" s="102">
        <f t="shared" si="150"/>
        <v>45000</v>
      </c>
      <c r="AL310" s="99">
        <v>800</v>
      </c>
      <c r="AM310" s="98"/>
      <c r="AN310" s="102">
        <f t="shared" si="151"/>
        <v>45800</v>
      </c>
      <c r="AO310" s="99">
        <v>800</v>
      </c>
      <c r="AP310" s="114"/>
      <c r="AQ310" s="102">
        <f t="shared" si="152"/>
        <v>46600</v>
      </c>
      <c r="AR310" s="99">
        <v>800</v>
      </c>
      <c r="AS310" s="114"/>
      <c r="AT310" s="102">
        <f t="shared" si="153"/>
        <v>47400</v>
      </c>
    </row>
    <row r="311" spans="1:46" ht="25.5" customHeight="1">
      <c r="A311" s="41">
        <f>VLOOKUP(B311,справочник!$B$2:$E$322,4,FALSE)</f>
        <v>306</v>
      </c>
      <c r="B311" t="str">
        <f t="shared" si="120"/>
        <v>321Шептухина Александра Борисовна</v>
      </c>
      <c r="C311" s="1">
        <v>321</v>
      </c>
      <c r="D311" s="2" t="s">
        <v>296</v>
      </c>
      <c r="E311" s="1" t="s">
        <v>602</v>
      </c>
      <c r="F311" s="16">
        <v>41093</v>
      </c>
      <c r="G311" s="16">
        <v>41091</v>
      </c>
      <c r="H311" s="17">
        <f t="shared" si="138"/>
        <v>42</v>
      </c>
      <c r="I311" s="1">
        <f t="shared" si="154"/>
        <v>42000</v>
      </c>
      <c r="J311" s="17">
        <v>11000</v>
      </c>
      <c r="K311" s="17"/>
      <c r="L311" s="18">
        <f t="shared" si="155"/>
        <v>31000</v>
      </c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18">
        <f t="shared" si="121"/>
        <v>0</v>
      </c>
      <c r="Z311" s="96">
        <v>12</v>
      </c>
      <c r="AA311" s="96">
        <f t="shared" si="122"/>
        <v>9600</v>
      </c>
      <c r="AB311" s="96">
        <f t="shared" si="123"/>
        <v>40600</v>
      </c>
      <c r="AC311" s="99">
        <v>800</v>
      </c>
      <c r="AD311" s="98"/>
      <c r="AE311" s="102">
        <f t="shared" si="124"/>
        <v>41400</v>
      </c>
      <c r="AF311" s="99">
        <v>800</v>
      </c>
      <c r="AG311" s="98"/>
      <c r="AH311" s="102">
        <f t="shared" si="149"/>
        <v>42200</v>
      </c>
      <c r="AI311" s="99">
        <v>800</v>
      </c>
      <c r="AJ311" s="98"/>
      <c r="AK311" s="102">
        <f t="shared" si="150"/>
        <v>43000</v>
      </c>
      <c r="AL311" s="99">
        <v>800</v>
      </c>
      <c r="AM311" s="98"/>
      <c r="AN311" s="102">
        <f t="shared" si="151"/>
        <v>43800</v>
      </c>
      <c r="AO311" s="99">
        <v>800</v>
      </c>
      <c r="AP311" s="114"/>
      <c r="AQ311" s="102">
        <f t="shared" si="152"/>
        <v>44600</v>
      </c>
      <c r="AR311" s="99">
        <v>800</v>
      </c>
      <c r="AS311" s="114"/>
      <c r="AT311" s="102">
        <f t="shared" si="153"/>
        <v>45400</v>
      </c>
    </row>
    <row r="312" spans="1:46" ht="25.5" customHeight="1">
      <c r="A312" s="41">
        <f>VLOOKUP(B312,справочник!$B$2:$E$322,4,FALSE)</f>
        <v>182</v>
      </c>
      <c r="B312" t="str">
        <f t="shared" si="120"/>
        <v>190Широков Евгений Александрович</v>
      </c>
      <c r="C312" s="1">
        <v>190</v>
      </c>
      <c r="D312" s="2" t="s">
        <v>297</v>
      </c>
      <c r="E312" s="1" t="s">
        <v>603</v>
      </c>
      <c r="F312" s="16">
        <v>41734</v>
      </c>
      <c r="G312" s="16">
        <v>41760</v>
      </c>
      <c r="H312" s="17">
        <f t="shared" si="138"/>
        <v>20</v>
      </c>
      <c r="I312" s="1">
        <f t="shared" si="154"/>
        <v>20000</v>
      </c>
      <c r="J312" s="17">
        <v>14000</v>
      </c>
      <c r="K312" s="17"/>
      <c r="L312" s="18">
        <f t="shared" si="155"/>
        <v>6000</v>
      </c>
      <c r="M312" s="29"/>
      <c r="N312" s="29"/>
      <c r="O312" s="29"/>
      <c r="P312" s="29"/>
      <c r="Q312" s="29">
        <v>9200</v>
      </c>
      <c r="R312" s="29"/>
      <c r="S312" s="29"/>
      <c r="T312" s="29"/>
      <c r="U312" s="29"/>
      <c r="V312" s="29"/>
      <c r="W312" s="29"/>
      <c r="X312" s="29"/>
      <c r="Y312" s="18">
        <f t="shared" si="121"/>
        <v>9200</v>
      </c>
      <c r="Z312" s="96">
        <v>12</v>
      </c>
      <c r="AA312" s="96">
        <f t="shared" si="122"/>
        <v>9600</v>
      </c>
      <c r="AB312" s="96">
        <f t="shared" si="123"/>
        <v>6400</v>
      </c>
      <c r="AC312" s="99">
        <v>800</v>
      </c>
      <c r="AD312" s="98"/>
      <c r="AE312" s="102">
        <f t="shared" si="124"/>
        <v>7200</v>
      </c>
      <c r="AF312" s="99">
        <v>800</v>
      </c>
      <c r="AG312" s="98"/>
      <c r="AH312" s="102">
        <f t="shared" si="149"/>
        <v>8000</v>
      </c>
      <c r="AI312" s="99">
        <v>800</v>
      </c>
      <c r="AJ312" s="98"/>
      <c r="AK312" s="102">
        <f t="shared" si="150"/>
        <v>8800</v>
      </c>
      <c r="AL312" s="99">
        <v>800</v>
      </c>
      <c r="AM312" s="98"/>
      <c r="AN312" s="102">
        <f t="shared" si="151"/>
        <v>9600</v>
      </c>
      <c r="AO312" s="99">
        <v>800</v>
      </c>
      <c r="AP312" s="114"/>
      <c r="AQ312" s="102">
        <f t="shared" si="152"/>
        <v>10400</v>
      </c>
      <c r="AR312" s="99">
        <v>800</v>
      </c>
      <c r="AS312" s="114"/>
      <c r="AT312" s="102">
        <f t="shared" si="153"/>
        <v>11200</v>
      </c>
    </row>
    <row r="313" spans="1:46">
      <c r="A313" s="41">
        <f>VLOOKUP(B313,справочник!$B$2:$E$322,4,FALSE)</f>
        <v>95</v>
      </c>
      <c r="B313" t="str">
        <f t="shared" si="120"/>
        <v>100Шорахматов Мухаммадхуджа Замшоевич</v>
      </c>
      <c r="C313" s="1">
        <v>100</v>
      </c>
      <c r="D313" s="2" t="s">
        <v>298</v>
      </c>
      <c r="E313" s="1" t="s">
        <v>604</v>
      </c>
      <c r="F313" s="16">
        <v>41401</v>
      </c>
      <c r="G313" s="16">
        <v>41609</v>
      </c>
      <c r="H313" s="17">
        <f t="shared" si="138"/>
        <v>25</v>
      </c>
      <c r="I313" s="1">
        <f t="shared" si="154"/>
        <v>25000</v>
      </c>
      <c r="J313" s="17">
        <v>20000</v>
      </c>
      <c r="K313" s="17"/>
      <c r="L313" s="18">
        <f t="shared" si="155"/>
        <v>5000</v>
      </c>
      <c r="M313" s="29"/>
      <c r="N313" s="29"/>
      <c r="O313" s="29"/>
      <c r="P313" s="29"/>
      <c r="Q313" s="29"/>
      <c r="R313" s="29">
        <v>9000</v>
      </c>
      <c r="S313" s="29"/>
      <c r="T313" s="29"/>
      <c r="U313" s="29"/>
      <c r="V313" s="29"/>
      <c r="W313" s="29"/>
      <c r="X313" s="29"/>
      <c r="Y313" s="18">
        <f t="shared" si="121"/>
        <v>9000</v>
      </c>
      <c r="Z313" s="96">
        <v>12</v>
      </c>
      <c r="AA313" s="96">
        <f t="shared" si="122"/>
        <v>9600</v>
      </c>
      <c r="AB313" s="96">
        <f t="shared" si="123"/>
        <v>5600</v>
      </c>
      <c r="AC313" s="99">
        <v>800</v>
      </c>
      <c r="AD313" s="98"/>
      <c r="AE313" s="102">
        <f t="shared" si="124"/>
        <v>6400</v>
      </c>
      <c r="AF313" s="99">
        <v>800</v>
      </c>
      <c r="AG313" s="98"/>
      <c r="AH313" s="102">
        <f t="shared" si="149"/>
        <v>7200</v>
      </c>
      <c r="AI313" s="99">
        <v>800</v>
      </c>
      <c r="AJ313" s="98"/>
      <c r="AK313" s="102">
        <f t="shared" si="150"/>
        <v>8000</v>
      </c>
      <c r="AL313" s="99">
        <v>800</v>
      </c>
      <c r="AM313" s="98"/>
      <c r="AN313" s="102">
        <f t="shared" si="151"/>
        <v>8800</v>
      </c>
      <c r="AO313" s="99">
        <v>800</v>
      </c>
      <c r="AP313" s="114"/>
      <c r="AQ313" s="102">
        <f t="shared" si="152"/>
        <v>9600</v>
      </c>
      <c r="AR313" s="99">
        <v>800</v>
      </c>
      <c r="AS313" s="114"/>
      <c r="AT313" s="102">
        <f t="shared" si="153"/>
        <v>10400</v>
      </c>
    </row>
    <row r="314" spans="1:46">
      <c r="A314" s="41">
        <f>VLOOKUP(B314,справочник!$B$2:$E$322,4,FALSE)</f>
        <v>108</v>
      </c>
      <c r="B314" t="str">
        <f t="shared" si="120"/>
        <v>113Шурдук Лариса Анатольевна (Игорь)</v>
      </c>
      <c r="C314" s="1">
        <v>113</v>
      </c>
      <c r="D314" s="2" t="s">
        <v>299</v>
      </c>
      <c r="E314" s="1" t="s">
        <v>605</v>
      </c>
      <c r="F314" s="16">
        <v>40938</v>
      </c>
      <c r="G314" s="16">
        <v>40940</v>
      </c>
      <c r="H314" s="17">
        <f t="shared" si="138"/>
        <v>47</v>
      </c>
      <c r="I314" s="1">
        <f t="shared" si="154"/>
        <v>47000</v>
      </c>
      <c r="J314" s="17">
        <f>24000+11000</f>
        <v>35000</v>
      </c>
      <c r="K314" s="17">
        <v>8000</v>
      </c>
      <c r="L314" s="18">
        <f t="shared" si="155"/>
        <v>4000</v>
      </c>
      <c r="M314" s="29"/>
      <c r="N314" s="29">
        <v>4000</v>
      </c>
      <c r="O314" s="29">
        <v>2400</v>
      </c>
      <c r="P314" s="29"/>
      <c r="Q314" s="29"/>
      <c r="R314" s="29">
        <v>2400</v>
      </c>
      <c r="S314" s="29"/>
      <c r="T314" s="29"/>
      <c r="U314" s="29">
        <v>2400</v>
      </c>
      <c r="V314" s="29"/>
      <c r="W314" s="29"/>
      <c r="X314" s="29">
        <v>2400</v>
      </c>
      <c r="Y314" s="18">
        <f t="shared" si="121"/>
        <v>13600</v>
      </c>
      <c r="Z314" s="96">
        <v>12</v>
      </c>
      <c r="AA314" s="96">
        <f t="shared" si="122"/>
        <v>9600</v>
      </c>
      <c r="AB314" s="96">
        <f t="shared" si="123"/>
        <v>0</v>
      </c>
      <c r="AC314" s="99">
        <v>800</v>
      </c>
      <c r="AD314" s="98"/>
      <c r="AE314" s="102">
        <f t="shared" si="124"/>
        <v>800</v>
      </c>
      <c r="AF314" s="99">
        <v>800</v>
      </c>
      <c r="AG314" s="98"/>
      <c r="AH314" s="102">
        <f t="shared" si="149"/>
        <v>1600</v>
      </c>
      <c r="AI314" s="99">
        <v>800</v>
      </c>
      <c r="AJ314" s="98"/>
      <c r="AK314" s="102">
        <f t="shared" si="150"/>
        <v>2400</v>
      </c>
      <c r="AL314" s="99">
        <v>800</v>
      </c>
      <c r="AM314" s="98">
        <v>2400</v>
      </c>
      <c r="AN314" s="102">
        <f t="shared" si="151"/>
        <v>800</v>
      </c>
      <c r="AO314" s="99">
        <v>800</v>
      </c>
      <c r="AP314" s="114"/>
      <c r="AQ314" s="102">
        <f t="shared" si="152"/>
        <v>1600</v>
      </c>
      <c r="AR314" s="99">
        <v>800</v>
      </c>
      <c r="AS314" s="114"/>
      <c r="AT314" s="102">
        <f t="shared" si="153"/>
        <v>2400</v>
      </c>
    </row>
    <row r="315" spans="1:46">
      <c r="A315" s="41">
        <f>VLOOKUP(B315,справочник!$B$2:$E$322,4,FALSE)</f>
        <v>41</v>
      </c>
      <c r="B315" t="str">
        <f t="shared" si="120"/>
        <v>41Шустов Василий Александрович</v>
      </c>
      <c r="C315" s="1">
        <v>41</v>
      </c>
      <c r="D315" s="2" t="s">
        <v>300</v>
      </c>
      <c r="E315" s="1" t="s">
        <v>606</v>
      </c>
      <c r="F315" s="16">
        <v>40772</v>
      </c>
      <c r="G315" s="16">
        <v>40756</v>
      </c>
      <c r="H315" s="17">
        <f t="shared" si="138"/>
        <v>53</v>
      </c>
      <c r="I315" s="1">
        <f t="shared" si="154"/>
        <v>53000</v>
      </c>
      <c r="J315" s="17">
        <f>1000+37000</f>
        <v>38000</v>
      </c>
      <c r="K315" s="17"/>
      <c r="L315" s="18">
        <f t="shared" si="155"/>
        <v>15000</v>
      </c>
      <c r="M315" s="29"/>
      <c r="N315" s="29"/>
      <c r="O315" s="29"/>
      <c r="P315" s="29"/>
      <c r="Q315" s="29"/>
      <c r="R315" s="29"/>
      <c r="S315" s="29"/>
      <c r="T315" s="29"/>
      <c r="U315" s="29">
        <v>21400</v>
      </c>
      <c r="V315" s="29"/>
      <c r="W315" s="29"/>
      <c r="X315" s="29"/>
      <c r="Y315" s="18">
        <f t="shared" si="121"/>
        <v>21400</v>
      </c>
      <c r="Z315" s="96">
        <v>12</v>
      </c>
      <c r="AA315" s="96">
        <f t="shared" si="122"/>
        <v>9600</v>
      </c>
      <c r="AB315" s="96">
        <f t="shared" si="123"/>
        <v>3200</v>
      </c>
      <c r="AC315" s="99">
        <v>800</v>
      </c>
      <c r="AD315" s="98"/>
      <c r="AE315" s="102">
        <f t="shared" si="124"/>
        <v>4000</v>
      </c>
      <c r="AF315" s="99">
        <v>800</v>
      </c>
      <c r="AG315" s="98"/>
      <c r="AH315" s="102">
        <f t="shared" si="149"/>
        <v>4800</v>
      </c>
      <c r="AI315" s="99">
        <v>800</v>
      </c>
      <c r="AJ315" s="98">
        <v>5600</v>
      </c>
      <c r="AK315" s="102">
        <f t="shared" si="150"/>
        <v>0</v>
      </c>
      <c r="AL315" s="99">
        <v>800</v>
      </c>
      <c r="AM315" s="98"/>
      <c r="AN315" s="102">
        <f t="shared" si="151"/>
        <v>800</v>
      </c>
      <c r="AO315" s="99">
        <v>800</v>
      </c>
      <c r="AP315" s="114"/>
      <c r="AQ315" s="102">
        <f t="shared" si="152"/>
        <v>1600</v>
      </c>
      <c r="AR315" s="99">
        <v>800</v>
      </c>
      <c r="AS315" s="114">
        <v>2400</v>
      </c>
      <c r="AT315" s="102">
        <f t="shared" si="153"/>
        <v>0</v>
      </c>
    </row>
    <row r="316" spans="1:46" ht="25.5" customHeight="1">
      <c r="A316" s="41">
        <f>VLOOKUP(B316,справочник!$B$2:$E$322,4,FALSE)</f>
        <v>152</v>
      </c>
      <c r="B316" t="str">
        <f t="shared" si="120"/>
        <v>160Щербаков Павел Евгеньевич</v>
      </c>
      <c r="C316" s="1">
        <v>160</v>
      </c>
      <c r="D316" s="2" t="s">
        <v>301</v>
      </c>
      <c r="E316" s="1" t="s">
        <v>607</v>
      </c>
      <c r="F316" s="16">
        <v>40850</v>
      </c>
      <c r="G316" s="16">
        <v>40848</v>
      </c>
      <c r="H316" s="17">
        <f t="shared" si="138"/>
        <v>50</v>
      </c>
      <c r="I316" s="1">
        <f t="shared" si="154"/>
        <v>50000</v>
      </c>
      <c r="J316" s="17">
        <f>46000+1000</f>
        <v>47000</v>
      </c>
      <c r="K316" s="17"/>
      <c r="L316" s="18">
        <f t="shared" si="155"/>
        <v>3000</v>
      </c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18">
        <f t="shared" si="121"/>
        <v>0</v>
      </c>
      <c r="Z316" s="96">
        <v>12</v>
      </c>
      <c r="AA316" s="96">
        <f t="shared" si="122"/>
        <v>9600</v>
      </c>
      <c r="AB316" s="96">
        <f t="shared" si="123"/>
        <v>12600</v>
      </c>
      <c r="AC316" s="99">
        <v>800</v>
      </c>
      <c r="AD316" s="98"/>
      <c r="AE316" s="102">
        <f t="shared" si="124"/>
        <v>13400</v>
      </c>
      <c r="AF316" s="99">
        <v>800</v>
      </c>
      <c r="AG316" s="98"/>
      <c r="AH316" s="102">
        <f t="shared" si="149"/>
        <v>14200</v>
      </c>
      <c r="AI316" s="99">
        <v>800</v>
      </c>
      <c r="AJ316" s="98"/>
      <c r="AK316" s="102">
        <f t="shared" si="150"/>
        <v>15000</v>
      </c>
      <c r="AL316" s="99">
        <v>800</v>
      </c>
      <c r="AM316" s="98"/>
      <c r="AN316" s="102">
        <f t="shared" si="151"/>
        <v>15800</v>
      </c>
      <c r="AO316" s="99">
        <v>800</v>
      </c>
      <c r="AP316" s="114"/>
      <c r="AQ316" s="102">
        <f t="shared" si="152"/>
        <v>16600</v>
      </c>
      <c r="AR316" s="99">
        <v>800</v>
      </c>
      <c r="AS316" s="114"/>
      <c r="AT316" s="102">
        <f t="shared" si="153"/>
        <v>17400</v>
      </c>
    </row>
    <row r="317" spans="1:46">
      <c r="A317" s="41">
        <f>VLOOKUP(B317,справочник!$B$2:$E$322,4,FALSE)</f>
        <v>227</v>
      </c>
      <c r="B317" t="str">
        <f t="shared" si="120"/>
        <v xml:space="preserve">236Щербакова Татьяна Дмитриевна      </v>
      </c>
      <c r="C317" s="1">
        <v>236</v>
      </c>
      <c r="D317" s="2" t="s">
        <v>302</v>
      </c>
      <c r="E317" s="1" t="s">
        <v>608</v>
      </c>
      <c r="F317" s="16">
        <v>41738</v>
      </c>
      <c r="G317" s="16">
        <v>41760</v>
      </c>
      <c r="H317" s="17">
        <f t="shared" si="138"/>
        <v>20</v>
      </c>
      <c r="I317" s="1">
        <f t="shared" si="154"/>
        <v>20000</v>
      </c>
      <c r="J317" s="17">
        <v>9000</v>
      </c>
      <c r="K317" s="17"/>
      <c r="L317" s="18">
        <f t="shared" si="155"/>
        <v>11000</v>
      </c>
      <c r="M317" s="29"/>
      <c r="N317" s="29">
        <v>3800</v>
      </c>
      <c r="O317" s="29">
        <v>4800</v>
      </c>
      <c r="P317" s="29"/>
      <c r="Q317" s="29"/>
      <c r="R317" s="29"/>
      <c r="S317" s="29"/>
      <c r="T317" s="29"/>
      <c r="U317" s="29"/>
      <c r="V317" s="29"/>
      <c r="W317" s="29"/>
      <c r="X317" s="29"/>
      <c r="Y317" s="18">
        <f t="shared" si="121"/>
        <v>8600</v>
      </c>
      <c r="Z317" s="96">
        <v>12</v>
      </c>
      <c r="AA317" s="96">
        <f t="shared" si="122"/>
        <v>9600</v>
      </c>
      <c r="AB317" s="96">
        <f t="shared" si="123"/>
        <v>12000</v>
      </c>
      <c r="AC317" s="99">
        <v>800</v>
      </c>
      <c r="AD317" s="98"/>
      <c r="AE317" s="102">
        <f t="shared" si="124"/>
        <v>12800</v>
      </c>
      <c r="AF317" s="99">
        <v>800</v>
      </c>
      <c r="AG317" s="98"/>
      <c r="AH317" s="102">
        <f t="shared" si="149"/>
        <v>13600</v>
      </c>
      <c r="AI317" s="99">
        <v>800</v>
      </c>
      <c r="AJ317" s="98"/>
      <c r="AK317" s="102">
        <f t="shared" si="150"/>
        <v>14400</v>
      </c>
      <c r="AL317" s="99">
        <v>800</v>
      </c>
      <c r="AM317" s="98"/>
      <c r="AN317" s="102">
        <f t="shared" si="151"/>
        <v>15200</v>
      </c>
      <c r="AO317" s="99">
        <v>800</v>
      </c>
      <c r="AP317" s="114"/>
      <c r="AQ317" s="102">
        <f t="shared" si="152"/>
        <v>16000</v>
      </c>
      <c r="AR317" s="99">
        <v>800</v>
      </c>
      <c r="AS317" s="114"/>
      <c r="AT317" s="102">
        <f t="shared" si="153"/>
        <v>16800</v>
      </c>
    </row>
    <row r="318" spans="1:46">
      <c r="A318" s="41">
        <f>VLOOKUP(B318,справочник!$B$2:$E$322,4,FALSE)</f>
        <v>15</v>
      </c>
      <c r="B318" t="str">
        <f t="shared" si="120"/>
        <v>15Элефтерова Евгения Викторовна (Михаил)</v>
      </c>
      <c r="C318" s="1">
        <v>15</v>
      </c>
      <c r="D318" s="2" t="s">
        <v>303</v>
      </c>
      <c r="E318" s="1" t="s">
        <v>609</v>
      </c>
      <c r="F318" s="16">
        <v>41261</v>
      </c>
      <c r="G318" s="16">
        <v>41275</v>
      </c>
      <c r="H318" s="17">
        <f t="shared" si="138"/>
        <v>36</v>
      </c>
      <c r="I318" s="1">
        <f t="shared" si="154"/>
        <v>36000</v>
      </c>
      <c r="J318" s="17">
        <v>32000</v>
      </c>
      <c r="K318" s="17"/>
      <c r="L318" s="18">
        <f t="shared" si="155"/>
        <v>4000</v>
      </c>
      <c r="M318" s="29"/>
      <c r="N318" s="29">
        <v>4000</v>
      </c>
      <c r="O318" s="29"/>
      <c r="P318" s="29"/>
      <c r="Q318" s="29"/>
      <c r="R318" s="29">
        <v>4800</v>
      </c>
      <c r="S318" s="29"/>
      <c r="T318" s="29"/>
      <c r="U318" s="29">
        <v>2400</v>
      </c>
      <c r="V318" s="29"/>
      <c r="W318" s="29"/>
      <c r="X318" s="29"/>
      <c r="Y318" s="18">
        <f t="shared" si="121"/>
        <v>11200</v>
      </c>
      <c r="Z318" s="96">
        <v>12</v>
      </c>
      <c r="AA318" s="96">
        <f t="shared" si="122"/>
        <v>9600</v>
      </c>
      <c r="AB318" s="96">
        <f t="shared" si="123"/>
        <v>2400</v>
      </c>
      <c r="AC318" s="99">
        <v>800</v>
      </c>
      <c r="AD318" s="98"/>
      <c r="AE318" s="102">
        <f t="shared" si="124"/>
        <v>3200</v>
      </c>
      <c r="AF318" s="99">
        <v>800</v>
      </c>
      <c r="AG318" s="98">
        <v>4000</v>
      </c>
      <c r="AH318" s="102">
        <f t="shared" si="149"/>
        <v>0</v>
      </c>
      <c r="AI318" s="99">
        <v>800</v>
      </c>
      <c r="AJ318" s="98"/>
      <c r="AK318" s="102">
        <f t="shared" si="150"/>
        <v>800</v>
      </c>
      <c r="AL318" s="99">
        <v>800</v>
      </c>
      <c r="AM318" s="98">
        <v>800</v>
      </c>
      <c r="AN318" s="102">
        <f t="shared" si="151"/>
        <v>800</v>
      </c>
      <c r="AO318" s="99">
        <v>800</v>
      </c>
      <c r="AP318" s="114"/>
      <c r="AQ318" s="102">
        <f t="shared" si="152"/>
        <v>1600</v>
      </c>
      <c r="AR318" s="99">
        <v>800</v>
      </c>
      <c r="AS318" s="114"/>
      <c r="AT318" s="102">
        <f t="shared" si="153"/>
        <v>2400</v>
      </c>
    </row>
    <row r="319" spans="1:46">
      <c r="A319" s="41">
        <f>VLOOKUP(B319,справочник!$B$2:$E$322,4,FALSE)</f>
        <v>240</v>
      </c>
      <c r="B319" t="str">
        <f t="shared" si="120"/>
        <v>251Якиманский Александр Александрович</v>
      </c>
      <c r="C319" s="1">
        <v>251</v>
      </c>
      <c r="D319" s="11" t="s">
        <v>304</v>
      </c>
      <c r="E319" s="1" t="s">
        <v>610</v>
      </c>
      <c r="F319" s="16">
        <v>40799</v>
      </c>
      <c r="G319" s="16">
        <v>40787</v>
      </c>
      <c r="H319" s="17">
        <f t="shared" si="138"/>
        <v>52</v>
      </c>
      <c r="I319" s="1">
        <f t="shared" si="154"/>
        <v>52000</v>
      </c>
      <c r="J319" s="17">
        <f>1000+49000</f>
        <v>50000</v>
      </c>
      <c r="K319" s="17">
        <v>3000</v>
      </c>
      <c r="L319" s="18">
        <f t="shared" si="155"/>
        <v>-1000</v>
      </c>
      <c r="M319" s="29"/>
      <c r="N319" s="29"/>
      <c r="O319" s="29"/>
      <c r="P319" s="29"/>
      <c r="Q319" s="29"/>
      <c r="R319" s="29"/>
      <c r="S319" s="29"/>
      <c r="T319" s="29"/>
      <c r="U319" s="29">
        <v>5000</v>
      </c>
      <c r="V319" s="29"/>
      <c r="W319" s="84">
        <v>1600</v>
      </c>
      <c r="X319" s="29"/>
      <c r="Y319" s="18">
        <f t="shared" si="121"/>
        <v>6600</v>
      </c>
      <c r="Z319" s="96">
        <v>12</v>
      </c>
      <c r="AA319" s="96">
        <f t="shared" si="122"/>
        <v>9600</v>
      </c>
      <c r="AB319" s="96">
        <f t="shared" si="123"/>
        <v>2000</v>
      </c>
      <c r="AC319" s="99">
        <v>800</v>
      </c>
      <c r="AD319" s="98">
        <v>2400</v>
      </c>
      <c r="AE319" s="102">
        <f t="shared" si="124"/>
        <v>400</v>
      </c>
      <c r="AF319" s="99">
        <v>800</v>
      </c>
      <c r="AG319" s="98"/>
      <c r="AH319" s="102">
        <f t="shared" si="149"/>
        <v>1200</v>
      </c>
      <c r="AI319" s="99">
        <v>800</v>
      </c>
      <c r="AJ319" s="98"/>
      <c r="AK319" s="102">
        <f t="shared" si="150"/>
        <v>2000</v>
      </c>
      <c r="AL319" s="99">
        <v>800</v>
      </c>
      <c r="AM319" s="98">
        <v>2800</v>
      </c>
      <c r="AN319" s="102">
        <f t="shared" si="151"/>
        <v>0</v>
      </c>
      <c r="AO319" s="99">
        <v>800</v>
      </c>
      <c r="AP319" s="114"/>
      <c r="AQ319" s="102">
        <f t="shared" si="152"/>
        <v>800</v>
      </c>
      <c r="AR319" s="99">
        <v>800</v>
      </c>
      <c r="AS319" s="114"/>
      <c r="AT319" s="102">
        <f t="shared" si="153"/>
        <v>1600</v>
      </c>
    </row>
    <row r="320" spans="1:46">
      <c r="A320" s="41">
        <f>VLOOKUP(B320,справочник!$B$2:$E$322,4,FALSE)</f>
        <v>10</v>
      </c>
      <c r="B320" t="str">
        <f t="shared" si="120"/>
        <v>10Якушина Любовь Викторовна</v>
      </c>
      <c r="C320" s="1">
        <v>10</v>
      </c>
      <c r="D320" s="2" t="s">
        <v>305</v>
      </c>
      <c r="E320" s="1" t="s">
        <v>611</v>
      </c>
      <c r="F320" s="16">
        <v>42023</v>
      </c>
      <c r="G320" s="1"/>
      <c r="H320" s="17">
        <v>0</v>
      </c>
      <c r="I320" s="1">
        <f t="shared" si="154"/>
        <v>0</v>
      </c>
      <c r="J320" s="17"/>
      <c r="K320" s="17"/>
      <c r="L320" s="18">
        <f t="shared" si="155"/>
        <v>0</v>
      </c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18">
        <f t="shared" si="121"/>
        <v>0</v>
      </c>
      <c r="Z320" s="96">
        <v>12</v>
      </c>
      <c r="AA320" s="96">
        <f t="shared" si="122"/>
        <v>9600</v>
      </c>
      <c r="AB320" s="96">
        <f t="shared" si="123"/>
        <v>9600</v>
      </c>
      <c r="AC320" s="99">
        <v>800</v>
      </c>
      <c r="AD320" s="98"/>
      <c r="AE320" s="102">
        <f t="shared" si="124"/>
        <v>10400</v>
      </c>
      <c r="AF320" s="99">
        <v>800</v>
      </c>
      <c r="AG320" s="98"/>
      <c r="AH320" s="102">
        <f t="shared" si="149"/>
        <v>11200</v>
      </c>
      <c r="AI320" s="99">
        <v>800</v>
      </c>
      <c r="AJ320" s="98"/>
      <c r="AK320" s="102">
        <f t="shared" si="150"/>
        <v>12000</v>
      </c>
      <c r="AL320" s="99">
        <v>800</v>
      </c>
      <c r="AM320" s="98"/>
      <c r="AN320" s="102">
        <f t="shared" si="151"/>
        <v>12800</v>
      </c>
      <c r="AO320" s="99">
        <v>800</v>
      </c>
      <c r="AP320" s="114"/>
      <c r="AQ320" s="102">
        <f t="shared" si="152"/>
        <v>13600</v>
      </c>
      <c r="AR320" s="99">
        <v>800</v>
      </c>
      <c r="AS320" s="114"/>
      <c r="AT320" s="102">
        <f t="shared" si="153"/>
        <v>14400</v>
      </c>
    </row>
    <row r="321" spans="1:46">
      <c r="A321" s="41">
        <f>VLOOKUP(B321,справочник!$B$2:$E$322,4,FALSE)</f>
        <v>55</v>
      </c>
      <c r="B321" t="str">
        <f t="shared" si="120"/>
        <v>57Янковская Елена Александровна</v>
      </c>
      <c r="C321" s="1">
        <v>57</v>
      </c>
      <c r="D321" s="2" t="s">
        <v>306</v>
      </c>
      <c r="E321" s="1" t="s">
        <v>612</v>
      </c>
      <c r="F321" s="16">
        <v>40772</v>
      </c>
      <c r="G321" s="16">
        <v>40756</v>
      </c>
      <c r="H321" s="17">
        <f>INT(($H$325-G321)/30)</f>
        <v>53</v>
      </c>
      <c r="I321" s="1">
        <f t="shared" si="154"/>
        <v>53000</v>
      </c>
      <c r="J321" s="17">
        <f>1000+53000</f>
        <v>54000</v>
      </c>
      <c r="K321" s="17">
        <v>3000</v>
      </c>
      <c r="L321" s="18">
        <f t="shared" si="155"/>
        <v>-4000</v>
      </c>
      <c r="M321" s="29"/>
      <c r="N321" s="29"/>
      <c r="O321" s="29">
        <v>3200</v>
      </c>
      <c r="P321" s="29"/>
      <c r="Q321" s="29"/>
      <c r="R321" s="29"/>
      <c r="S321" s="29">
        <v>3200</v>
      </c>
      <c r="T321" s="29"/>
      <c r="U321" s="29"/>
      <c r="V321" s="29"/>
      <c r="W321" s="84">
        <v>3200</v>
      </c>
      <c r="X321" s="29"/>
      <c r="Y321" s="18">
        <f t="shared" si="121"/>
        <v>9600</v>
      </c>
      <c r="Z321" s="96">
        <v>12</v>
      </c>
      <c r="AA321" s="96">
        <f t="shared" si="122"/>
        <v>9600</v>
      </c>
      <c r="AB321" s="96">
        <f t="shared" si="123"/>
        <v>-4000</v>
      </c>
      <c r="AC321" s="99">
        <v>800</v>
      </c>
      <c r="AD321" s="98"/>
      <c r="AE321" s="102">
        <f t="shared" si="124"/>
        <v>-3200</v>
      </c>
      <c r="AF321" s="99">
        <v>800</v>
      </c>
      <c r="AG321" s="98"/>
      <c r="AH321" s="102">
        <f t="shared" si="149"/>
        <v>-2400</v>
      </c>
      <c r="AI321" s="99">
        <v>800</v>
      </c>
      <c r="AJ321" s="98"/>
      <c r="AK321" s="102">
        <f t="shared" si="150"/>
        <v>-1600</v>
      </c>
      <c r="AL321" s="99">
        <v>800</v>
      </c>
      <c r="AM321" s="98"/>
      <c r="AN321" s="102">
        <f t="shared" si="151"/>
        <v>-800</v>
      </c>
      <c r="AO321" s="99">
        <v>800</v>
      </c>
      <c r="AP321" s="114"/>
      <c r="AQ321" s="102">
        <f t="shared" si="152"/>
        <v>0</v>
      </c>
      <c r="AR321" s="99">
        <v>800</v>
      </c>
      <c r="AS321" s="114">
        <v>4000</v>
      </c>
      <c r="AT321" s="102">
        <f t="shared" si="153"/>
        <v>-3200</v>
      </c>
    </row>
    <row r="322" spans="1:46">
      <c r="A322" s="41">
        <f>VLOOKUP(B322,справочник!$B$2:$E$322,4,FALSE)</f>
        <v>309</v>
      </c>
      <c r="B322" t="str">
        <f t="shared" si="120"/>
        <v>324Янковская Яна Валерьевна</v>
      </c>
      <c r="C322" s="1">
        <v>324</v>
      </c>
      <c r="D322" s="2" t="s">
        <v>307</v>
      </c>
      <c r="E322" s="1" t="s">
        <v>613</v>
      </c>
      <c r="F322" s="16">
        <v>41002</v>
      </c>
      <c r="G322" s="16">
        <v>41000</v>
      </c>
      <c r="H322" s="17">
        <f>INT(($H$325-G322)/30)</f>
        <v>45</v>
      </c>
      <c r="I322" s="1">
        <f t="shared" si="154"/>
        <v>45000</v>
      </c>
      <c r="J322" s="17">
        <f>17000+1000</f>
        <v>18000</v>
      </c>
      <c r="K322" s="17">
        <v>5000</v>
      </c>
      <c r="L322" s="18">
        <f t="shared" si="155"/>
        <v>22000</v>
      </c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18">
        <f t="shared" si="121"/>
        <v>0</v>
      </c>
      <c r="Z322" s="96">
        <v>12</v>
      </c>
      <c r="AA322" s="96">
        <f t="shared" si="122"/>
        <v>9600</v>
      </c>
      <c r="AB322" s="96">
        <f t="shared" si="123"/>
        <v>31600</v>
      </c>
      <c r="AC322" s="99">
        <v>800</v>
      </c>
      <c r="AD322" s="98"/>
      <c r="AE322" s="102">
        <f t="shared" si="124"/>
        <v>32400</v>
      </c>
      <c r="AF322" s="99">
        <v>800</v>
      </c>
      <c r="AG322" s="98"/>
      <c r="AH322" s="102">
        <f t="shared" si="149"/>
        <v>33200</v>
      </c>
      <c r="AI322" s="99">
        <v>800</v>
      </c>
      <c r="AJ322" s="98"/>
      <c r="AK322" s="102">
        <f t="shared" si="150"/>
        <v>34000</v>
      </c>
      <c r="AL322" s="99">
        <v>800</v>
      </c>
      <c r="AM322" s="98"/>
      <c r="AN322" s="102">
        <f t="shared" si="151"/>
        <v>34800</v>
      </c>
      <c r="AO322" s="99">
        <v>800</v>
      </c>
      <c r="AP322" s="114"/>
      <c r="AQ322" s="102">
        <f t="shared" si="152"/>
        <v>35600</v>
      </c>
      <c r="AR322" s="99">
        <v>800</v>
      </c>
      <c r="AS322" s="114"/>
      <c r="AT322" s="102">
        <f t="shared" si="153"/>
        <v>36400</v>
      </c>
    </row>
    <row r="323" spans="1:46">
      <c r="A323" s="41">
        <f>VLOOKUP(B323,справочник!$B$2:$E$322,4,FALSE)</f>
        <v>17</v>
      </c>
      <c r="B323" t="str">
        <f t="shared" si="120"/>
        <v>17Яструб Валерий Викторович</v>
      </c>
      <c r="C323" s="1">
        <v>17</v>
      </c>
      <c r="D323" s="2" t="s">
        <v>308</v>
      </c>
      <c r="E323" s="1" t="s">
        <v>614</v>
      </c>
      <c r="F323" s="16">
        <v>41254</v>
      </c>
      <c r="G323" s="16">
        <v>41275</v>
      </c>
      <c r="H323" s="17">
        <f>INT(($H$325-G323)/30)</f>
        <v>36</v>
      </c>
      <c r="I323" s="1">
        <f t="shared" si="154"/>
        <v>36000</v>
      </c>
      <c r="J323" s="17">
        <v>31000</v>
      </c>
      <c r="K323" s="17"/>
      <c r="L323" s="18">
        <f t="shared" si="155"/>
        <v>5000</v>
      </c>
      <c r="M323" s="29">
        <v>3000</v>
      </c>
      <c r="N323" s="29"/>
      <c r="O323" s="29">
        <v>2000</v>
      </c>
      <c r="P323" s="29"/>
      <c r="Q323" s="29"/>
      <c r="R323" s="29">
        <v>2000</v>
      </c>
      <c r="S323" s="29"/>
      <c r="T323">
        <v>3000</v>
      </c>
      <c r="U323" s="29"/>
      <c r="V323" s="29">
        <v>4600</v>
      </c>
      <c r="W323" s="29"/>
      <c r="X323" s="29"/>
      <c r="Y323" s="18">
        <f t="shared" si="121"/>
        <v>14600</v>
      </c>
      <c r="Z323" s="96">
        <v>12</v>
      </c>
      <c r="AA323" s="96">
        <f t="shared" si="122"/>
        <v>9600</v>
      </c>
      <c r="AB323" s="96">
        <f t="shared" si="123"/>
        <v>0</v>
      </c>
      <c r="AC323" s="99">
        <v>800</v>
      </c>
      <c r="AD323" s="98"/>
      <c r="AE323" s="102">
        <f t="shared" si="124"/>
        <v>800</v>
      </c>
      <c r="AF323" s="99">
        <v>800</v>
      </c>
      <c r="AG323" s="98"/>
      <c r="AH323" s="102">
        <f t="shared" si="149"/>
        <v>1600</v>
      </c>
      <c r="AI323" s="99">
        <v>800</v>
      </c>
      <c r="AJ323" s="98">
        <v>4800</v>
      </c>
      <c r="AK323" s="102">
        <f t="shared" si="150"/>
        <v>-2400</v>
      </c>
      <c r="AL323" s="99">
        <v>800</v>
      </c>
      <c r="AM323" s="98"/>
      <c r="AN323" s="102">
        <f t="shared" si="151"/>
        <v>-1600</v>
      </c>
      <c r="AO323" s="99">
        <v>800</v>
      </c>
      <c r="AP323" s="114"/>
      <c r="AQ323" s="102">
        <f t="shared" si="152"/>
        <v>-800</v>
      </c>
      <c r="AR323" s="99">
        <v>800</v>
      </c>
      <c r="AS323" s="114"/>
      <c r="AT323" s="102">
        <f t="shared" si="153"/>
        <v>0</v>
      </c>
    </row>
    <row r="324" spans="1:46">
      <c r="A324" s="41">
        <f>VLOOKUP(B324,справочник!$B$2:$E$322,4,FALSE)</f>
        <v>40</v>
      </c>
      <c r="B324" t="str">
        <f t="shared" ref="B324" si="156">CONCATENATE(C324,D324)</f>
        <v>40Яшин Евгений Иванович</v>
      </c>
      <c r="C324" s="1">
        <v>40</v>
      </c>
      <c r="D324" s="2" t="s">
        <v>309</v>
      </c>
      <c r="E324" s="1" t="s">
        <v>615</v>
      </c>
      <c r="F324" s="16">
        <v>40772</v>
      </c>
      <c r="G324" s="16">
        <v>40756</v>
      </c>
      <c r="H324" s="17">
        <f>INT(($H$325-G324)/30)</f>
        <v>53</v>
      </c>
      <c r="I324" s="1">
        <f t="shared" si="154"/>
        <v>53000</v>
      </c>
      <c r="J324" s="17">
        <f>1000+37000</f>
        <v>38000</v>
      </c>
      <c r="K324" s="17"/>
      <c r="L324" s="18">
        <f t="shared" si="155"/>
        <v>15000</v>
      </c>
      <c r="M324" s="29"/>
      <c r="N324" s="29"/>
      <c r="O324" s="29"/>
      <c r="P324" s="29"/>
      <c r="Q324" s="29"/>
      <c r="R324" s="29"/>
      <c r="S324" s="29"/>
      <c r="T324" s="29"/>
      <c r="U324" s="29">
        <v>21400</v>
      </c>
      <c r="V324" s="29"/>
      <c r="W324" s="29"/>
      <c r="X324" s="29"/>
      <c r="Y324" s="18">
        <f t="shared" ref="Y324" si="157">SUM(M324:X324)</f>
        <v>21400</v>
      </c>
      <c r="Z324" s="96">
        <v>12</v>
      </c>
      <c r="AA324" s="96">
        <f t="shared" ref="AA324" si="158">Z324*800</f>
        <v>9600</v>
      </c>
      <c r="AB324" s="96">
        <f t="shared" ref="AB324" si="159">L324+AA324-Y324</f>
        <v>3200</v>
      </c>
      <c r="AC324" s="99">
        <v>800</v>
      </c>
      <c r="AD324" s="98"/>
      <c r="AE324" s="102">
        <f t="shared" ref="AE324" si="160">AB324+AC324-AD324</f>
        <v>4000</v>
      </c>
      <c r="AF324" s="99">
        <v>800</v>
      </c>
      <c r="AG324" s="98"/>
      <c r="AH324" s="102">
        <f t="shared" si="149"/>
        <v>4800</v>
      </c>
      <c r="AI324" s="99">
        <v>800</v>
      </c>
      <c r="AJ324" s="98">
        <v>5600</v>
      </c>
      <c r="AK324" s="102">
        <f t="shared" si="150"/>
        <v>0</v>
      </c>
      <c r="AL324" s="99">
        <v>800</v>
      </c>
      <c r="AM324" s="98"/>
      <c r="AN324" s="102">
        <f t="shared" si="151"/>
        <v>800</v>
      </c>
      <c r="AO324" s="99">
        <v>800</v>
      </c>
      <c r="AP324" s="114"/>
      <c r="AQ324" s="102">
        <f t="shared" si="152"/>
        <v>1600</v>
      </c>
      <c r="AR324" s="99">
        <v>800</v>
      </c>
      <c r="AS324" s="114"/>
      <c r="AT324" s="102">
        <f t="shared" si="153"/>
        <v>2400</v>
      </c>
    </row>
    <row r="325" spans="1:46">
      <c r="H325" s="26">
        <v>42369</v>
      </c>
      <c r="M325" s="27">
        <f>SUM(M5:M324)</f>
        <v>238250.3</v>
      </c>
      <c r="N325" s="27">
        <f t="shared" ref="N325:U325" si="161">SUM(N5:N324)</f>
        <v>183900</v>
      </c>
      <c r="O325" s="27">
        <f t="shared" si="161"/>
        <v>139200</v>
      </c>
      <c r="P325" s="27">
        <f t="shared" si="161"/>
        <v>119550</v>
      </c>
      <c r="Q325" s="27">
        <f t="shared" si="161"/>
        <v>192950</v>
      </c>
      <c r="R325" s="27">
        <f t="shared" si="161"/>
        <v>298900</v>
      </c>
      <c r="S325" s="27">
        <f t="shared" si="161"/>
        <v>326600</v>
      </c>
      <c r="T325" s="27">
        <f t="shared" si="161"/>
        <v>223068</v>
      </c>
      <c r="U325" s="27">
        <f t="shared" si="161"/>
        <v>316961.78000000003</v>
      </c>
      <c r="V325" s="27">
        <f>SUM(V5:V324)</f>
        <v>149238.22</v>
      </c>
      <c r="W325" s="94">
        <f>SUM(W5:W324)</f>
        <v>185400</v>
      </c>
      <c r="X325" s="27">
        <f>SUM(X5:X324)</f>
        <v>178900</v>
      </c>
      <c r="Y325" s="27">
        <f>SUM(Y5:Y324)</f>
        <v>2552918.2999999998</v>
      </c>
      <c r="AD325" s="27">
        <f>SUM(AD5:AD324)</f>
        <v>124800</v>
      </c>
      <c r="AG325" s="27">
        <f>SUM(AG5:AG324)</f>
        <v>116300</v>
      </c>
      <c r="AJ325" s="27">
        <f>SUM(AJ5:AJ324)</f>
        <v>232707</v>
      </c>
      <c r="AM325" s="27">
        <f>SUM(AM5:AM324)</f>
        <v>251133.38</v>
      </c>
      <c r="AP325" s="94">
        <f>SUM(AP5:AP324)</f>
        <v>126842.55</v>
      </c>
      <c r="AS325" s="94">
        <f>SUM(AS5:AS324)</f>
        <v>204100</v>
      </c>
    </row>
    <row r="327" spans="1:46">
      <c r="V327" s="27">
        <v>145638.22</v>
      </c>
    </row>
    <row r="328" spans="1:46">
      <c r="V328" s="27">
        <f>V327-V325</f>
        <v>-3600</v>
      </c>
    </row>
    <row r="329" spans="1:46">
      <c r="U329" s="90"/>
    </row>
  </sheetData>
  <autoFilter ref="A4:AE328"/>
  <mergeCells count="128">
    <mergeCell ref="AT286:AT288"/>
    <mergeCell ref="AT300:AT301"/>
    <mergeCell ref="AT307:AT308"/>
    <mergeCell ref="AT161:AT163"/>
    <mergeCell ref="AT164:AT165"/>
    <mergeCell ref="AT169:AT170"/>
    <mergeCell ref="AT181:AT182"/>
    <mergeCell ref="AT195:AT196"/>
    <mergeCell ref="AT230:AT231"/>
    <mergeCell ref="AT232:AT233"/>
    <mergeCell ref="AT260:AT261"/>
    <mergeCell ref="AT274:AT275"/>
    <mergeCell ref="AT16:AT17"/>
    <mergeCell ref="AT30:AT31"/>
    <mergeCell ref="AT38:AT39"/>
    <mergeCell ref="AT45:AT46"/>
    <mergeCell ref="AT47:AT48"/>
    <mergeCell ref="AT49:AT50"/>
    <mergeCell ref="AT101:AT102"/>
    <mergeCell ref="AT132:AT133"/>
    <mergeCell ref="AT153:AT154"/>
    <mergeCell ref="AK161:AK163"/>
    <mergeCell ref="AK164:AK165"/>
    <mergeCell ref="AK169:AK170"/>
    <mergeCell ref="AK181:AK182"/>
    <mergeCell ref="AK195:AK196"/>
    <mergeCell ref="AK230:AK231"/>
    <mergeCell ref="AK307:AK308"/>
    <mergeCell ref="AK232:AK233"/>
    <mergeCell ref="AK260:AK261"/>
    <mergeCell ref="AK274:AK275"/>
    <mergeCell ref="AK286:AK288"/>
    <mergeCell ref="AK300:AK301"/>
    <mergeCell ref="AK16:AK17"/>
    <mergeCell ref="AK30:AK31"/>
    <mergeCell ref="AK38:AK39"/>
    <mergeCell ref="AK45:AK46"/>
    <mergeCell ref="AK47:AK48"/>
    <mergeCell ref="AK49:AK50"/>
    <mergeCell ref="AK101:AK102"/>
    <mergeCell ref="AK132:AK133"/>
    <mergeCell ref="AK153:AK154"/>
    <mergeCell ref="AE161:AE163"/>
    <mergeCell ref="AE181:AE182"/>
    <mergeCell ref="AE195:AE196"/>
    <mergeCell ref="AE47:AE48"/>
    <mergeCell ref="AE49:AE50"/>
    <mergeCell ref="AE101:AE102"/>
    <mergeCell ref="AE132:AE133"/>
    <mergeCell ref="AE153:AE154"/>
    <mergeCell ref="E3:E4"/>
    <mergeCell ref="H3:L3"/>
    <mergeCell ref="AE16:AE17"/>
    <mergeCell ref="AE38:AE39"/>
    <mergeCell ref="AE45:AE46"/>
    <mergeCell ref="AB30:AB31"/>
    <mergeCell ref="AE300:AE301"/>
    <mergeCell ref="AE307:AE308"/>
    <mergeCell ref="AE230:AE231"/>
    <mergeCell ref="AE232:AE233"/>
    <mergeCell ref="AE260:AE261"/>
    <mergeCell ref="AE274:AE275"/>
    <mergeCell ref="AE286:AE288"/>
    <mergeCell ref="AE164:AE165"/>
    <mergeCell ref="AE169:AE170"/>
    <mergeCell ref="AH101:AH102"/>
    <mergeCell ref="AH132:AH133"/>
    <mergeCell ref="AH153:AH154"/>
    <mergeCell ref="AH161:AH163"/>
    <mergeCell ref="AH164:AH165"/>
    <mergeCell ref="AH16:AH17"/>
    <mergeCell ref="AH38:AH39"/>
    <mergeCell ref="AH45:AH46"/>
    <mergeCell ref="AH47:AH48"/>
    <mergeCell ref="AH49:AH50"/>
    <mergeCell ref="AH30:AH31"/>
    <mergeCell ref="AH260:AH261"/>
    <mergeCell ref="AH274:AH275"/>
    <mergeCell ref="AH286:AH288"/>
    <mergeCell ref="AH300:AH301"/>
    <mergeCell ref="AH307:AH308"/>
    <mergeCell ref="AH169:AH170"/>
    <mergeCell ref="AH181:AH182"/>
    <mergeCell ref="AH195:AH196"/>
    <mergeCell ref="AH230:AH231"/>
    <mergeCell ref="AH232:AH233"/>
    <mergeCell ref="AN49:AN50"/>
    <mergeCell ref="AN101:AN102"/>
    <mergeCell ref="AN132:AN133"/>
    <mergeCell ref="AN153:AN154"/>
    <mergeCell ref="AN161:AN163"/>
    <mergeCell ref="AN16:AN17"/>
    <mergeCell ref="AN30:AN31"/>
    <mergeCell ref="AN38:AN39"/>
    <mergeCell ref="AN45:AN46"/>
    <mergeCell ref="AN47:AN48"/>
    <mergeCell ref="AN307:AN308"/>
    <mergeCell ref="AN232:AN233"/>
    <mergeCell ref="AN260:AN261"/>
    <mergeCell ref="AN274:AN275"/>
    <mergeCell ref="AN286:AN288"/>
    <mergeCell ref="AN300:AN301"/>
    <mergeCell ref="AN164:AN165"/>
    <mergeCell ref="AN169:AN170"/>
    <mergeCell ref="AN181:AN182"/>
    <mergeCell ref="AN195:AN196"/>
    <mergeCell ref="AN230:AN231"/>
    <mergeCell ref="AQ49:AQ50"/>
    <mergeCell ref="AQ101:AQ102"/>
    <mergeCell ref="AQ132:AQ133"/>
    <mergeCell ref="AQ153:AQ154"/>
    <mergeCell ref="AQ161:AQ163"/>
    <mergeCell ref="AQ16:AQ17"/>
    <mergeCell ref="AQ30:AQ31"/>
    <mergeCell ref="AQ38:AQ39"/>
    <mergeCell ref="AQ45:AQ46"/>
    <mergeCell ref="AQ47:AQ48"/>
    <mergeCell ref="AQ307:AQ308"/>
    <mergeCell ref="AQ232:AQ233"/>
    <mergeCell ref="AQ260:AQ261"/>
    <mergeCell ref="AQ274:AQ275"/>
    <mergeCell ref="AQ286:AQ288"/>
    <mergeCell ref="AQ300:AQ301"/>
    <mergeCell ref="AQ164:AQ165"/>
    <mergeCell ref="AQ169:AQ170"/>
    <mergeCell ref="AQ181:AQ182"/>
    <mergeCell ref="AQ195:AQ196"/>
    <mergeCell ref="AQ230:AQ23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Y326"/>
  <sheetViews>
    <sheetView workbookViewId="0">
      <pane xSplit="5" ySplit="3" topLeftCell="O314" activePane="bottomRight" state="frozen"/>
      <selection pane="topRight" activeCell="F1" sqref="F1"/>
      <selection pane="bottomLeft" activeCell="A4" sqref="A4"/>
      <selection pane="bottomRight" activeCell="O320" sqref="O320"/>
    </sheetView>
  </sheetViews>
  <sheetFormatPr defaultRowHeight="15"/>
  <cols>
    <col min="1" max="1" width="9.140625" style="4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76.5">
      <c r="A3" s="57" t="s">
        <v>617</v>
      </c>
      <c r="B3" s="58" t="s">
        <v>622</v>
      </c>
      <c r="C3" s="56" t="s">
        <v>0</v>
      </c>
      <c r="D3" s="56" t="s">
        <v>1</v>
      </c>
      <c r="E3" s="1" t="s">
        <v>625</v>
      </c>
      <c r="F3" s="1" t="s">
        <v>314</v>
      </c>
      <c r="G3" s="1" t="s">
        <v>315</v>
      </c>
      <c r="H3" s="1" t="s">
        <v>316</v>
      </c>
      <c r="I3" s="1" t="s">
        <v>317</v>
      </c>
      <c r="J3" s="14" t="s">
        <v>318</v>
      </c>
      <c r="K3" s="14" t="s">
        <v>319</v>
      </c>
      <c r="L3" s="15" t="s">
        <v>320</v>
      </c>
      <c r="M3" s="28">
        <v>42370</v>
      </c>
      <c r="N3" s="28">
        <v>42401</v>
      </c>
      <c r="O3" s="28">
        <v>42430</v>
      </c>
      <c r="P3" s="28">
        <v>42461</v>
      </c>
      <c r="Q3" s="28">
        <v>42491</v>
      </c>
      <c r="R3" s="28">
        <v>42522</v>
      </c>
      <c r="S3" s="28">
        <v>42552</v>
      </c>
      <c r="T3" s="28">
        <v>42583</v>
      </c>
      <c r="U3" s="28">
        <v>42614</v>
      </c>
      <c r="V3" s="28">
        <v>42644</v>
      </c>
      <c r="W3" s="28">
        <v>42675</v>
      </c>
      <c r="X3" s="28">
        <v>42705</v>
      </c>
      <c r="Y3" s="15" t="s">
        <v>616</v>
      </c>
    </row>
    <row r="4" spans="1:25">
      <c r="A4" s="41">
        <f>VLOOKUP(B4,справочник!$B$2:$E$322,4,FALSE)</f>
        <v>79</v>
      </c>
      <c r="B4" t="str">
        <f>CONCATENATE(C4,D4)</f>
        <v>84Абу Махади Мохаммед Ибрагим</v>
      </c>
      <c r="C4" s="1">
        <v>84</v>
      </c>
      <c r="D4" s="2" t="s">
        <v>2</v>
      </c>
      <c r="E4" s="1" t="s">
        <v>321</v>
      </c>
      <c r="F4" s="16">
        <v>40716</v>
      </c>
      <c r="G4" s="16">
        <v>40725</v>
      </c>
      <c r="H4" s="17">
        <f t="shared" ref="H4:H16" si="0">INT(($H$326-G4)/30)</f>
        <v>54</v>
      </c>
      <c r="I4" s="1">
        <f t="shared" ref="I4:I66" si="1">H4*1000</f>
        <v>54000</v>
      </c>
      <c r="J4" s="17">
        <f>49000+1000</f>
        <v>50000</v>
      </c>
      <c r="K4" s="17"/>
      <c r="L4" s="18">
        <f t="shared" ref="L4:L28" si="2">I4-J4-K4</f>
        <v>4000</v>
      </c>
      <c r="M4" s="29">
        <f>SUM('план на 2016'!$L5:M5)-SUM('членские взносы'!$M5:'членские взносы'!M5)</f>
        <v>4800</v>
      </c>
      <c r="N4" s="29">
        <f>SUM('план на 2016'!$L5:N5)-SUM('членские взносы'!$M5:'членские взносы'!N5)</f>
        <v>1600</v>
      </c>
      <c r="O4" s="29">
        <f>SUM('план на 2016'!$L5:O5)-SUM('членские взносы'!$M5:'членские взносы'!O5)</f>
        <v>2400</v>
      </c>
      <c r="P4" s="29">
        <f>SUM('план на 2016'!$L5:P5)-SUM('членские взносы'!$M5:'членские взносы'!P5)</f>
        <v>800</v>
      </c>
      <c r="Q4" s="29">
        <f>SUM('план на 2016'!$L5:Q5)-SUM('членские взносы'!$M5:'членские взносы'!Q5)</f>
        <v>1600</v>
      </c>
      <c r="R4" s="29">
        <f>SUM('план на 2016'!$L5:R5)-SUM('членские взносы'!$M5:'членские взносы'!R5)</f>
        <v>2400</v>
      </c>
      <c r="S4" s="29">
        <f>SUM('план на 2016'!$L5:S5)-SUM('членские взносы'!$M5:'членские взносы'!S5)</f>
        <v>3200</v>
      </c>
      <c r="T4" s="29">
        <f>SUM('план на 2016'!$L5:T5)-SUM('членские взносы'!$M5:'членские взносы'!T5)</f>
        <v>4000</v>
      </c>
      <c r="U4" s="29">
        <f>SUM('план на 2016'!$L5:U5)-SUM('членские взносы'!$M5:'членские взносы'!U5)</f>
        <v>0</v>
      </c>
      <c r="V4" s="29">
        <f>SUM('план на 2016'!$L5:V5)-SUM('членские взносы'!$M5:'членские взносы'!V5)</f>
        <v>800</v>
      </c>
      <c r="W4" s="29">
        <f>SUM('план на 2016'!$L5:W5)-SUM('членские взносы'!$M5:'членские взносы'!W5)</f>
        <v>1600</v>
      </c>
      <c r="X4" s="29">
        <f>SUM('план на 2016'!$L5:X5)-SUM('членские взносы'!$M5:'членские взносы'!X5)</f>
        <v>2400</v>
      </c>
      <c r="Y4" s="18">
        <f>X4</f>
        <v>2400</v>
      </c>
    </row>
    <row r="5" spans="1:25">
      <c r="A5" s="41">
        <f>VLOOKUP(B5,справочник!$B$2:$E$322,4,FALSE)</f>
        <v>35</v>
      </c>
      <c r="B5" t="str">
        <f t="shared" ref="B5:B68" si="3">CONCATENATE(C5,D5)</f>
        <v>35Абушаев Роман Шамильевич</v>
      </c>
      <c r="C5" s="1">
        <v>35</v>
      </c>
      <c r="D5" s="2" t="s">
        <v>3</v>
      </c>
      <c r="E5" s="1" t="s">
        <v>322</v>
      </c>
      <c r="F5" s="16">
        <v>40970</v>
      </c>
      <c r="G5" s="16">
        <v>40969</v>
      </c>
      <c r="H5" s="17">
        <f t="shared" si="0"/>
        <v>46</v>
      </c>
      <c r="I5" s="1">
        <f t="shared" si="1"/>
        <v>46000</v>
      </c>
      <c r="J5" s="17">
        <v>30000</v>
      </c>
      <c r="K5" s="17"/>
      <c r="L5" s="18">
        <f t="shared" si="2"/>
        <v>16000</v>
      </c>
      <c r="M5" s="29">
        <f>SUM('план на 2016'!$L6:M6)-SUM('членские взносы'!$M6:'членские взносы'!M6)</f>
        <v>16800</v>
      </c>
      <c r="N5" s="29">
        <f>SUM('план на 2016'!$L6:N6)-SUM('членские взносы'!$M6:'членские взносы'!N6)</f>
        <v>17600</v>
      </c>
      <c r="O5" s="29">
        <f>SUM('план на 2016'!$L6:O6)-SUM('членские взносы'!$M6:'членские взносы'!O6)</f>
        <v>18400</v>
      </c>
      <c r="P5" s="29">
        <f>SUM('план на 2016'!$L6:P6)-SUM('членские взносы'!$M6:'членские взносы'!P6)</f>
        <v>19200</v>
      </c>
      <c r="Q5" s="29">
        <f>SUM('план на 2016'!$L6:Q6)-SUM('членские взносы'!$M6:'членские взносы'!Q6)</f>
        <v>20000</v>
      </c>
      <c r="R5" s="29">
        <f>SUM('план на 2016'!$L6:R6)-SUM('членские взносы'!$M6:'членские взносы'!R6)</f>
        <v>20800</v>
      </c>
      <c r="S5" s="29">
        <f>SUM('план на 2016'!$L6:S6)-SUM('членские взносы'!$M6:'членские взносы'!S6)</f>
        <v>21600</v>
      </c>
      <c r="T5" s="29">
        <f>SUM('план на 2016'!$L6:T6)-SUM('членские взносы'!$M6:'членские взносы'!T6)</f>
        <v>22400</v>
      </c>
      <c r="U5" s="29">
        <f>SUM('план на 2016'!$L6:U6)-SUM('членские взносы'!$M6:'членские взносы'!U6)</f>
        <v>23200</v>
      </c>
      <c r="V5" s="29">
        <f>SUM('план на 2016'!$L6:V6)-SUM('членские взносы'!$M6:'членские взносы'!V6)</f>
        <v>24000</v>
      </c>
      <c r="W5" s="29">
        <f>SUM('план на 2016'!$L6:W6)-SUM('членские взносы'!$M6:'членские взносы'!W6)</f>
        <v>24800</v>
      </c>
      <c r="X5" s="29">
        <f>SUM('план на 2016'!$L6:X6)-SUM('членские взносы'!$M6:'членские взносы'!X6)</f>
        <v>25600</v>
      </c>
      <c r="Y5" s="18">
        <f t="shared" ref="Y5:Y68" si="4">X5</f>
        <v>25600</v>
      </c>
    </row>
    <row r="6" spans="1:25">
      <c r="A6" s="41">
        <f>VLOOKUP(B6,справочник!$B$2:$E$322,4,FALSE)</f>
        <v>260</v>
      </c>
      <c r="B6" t="str">
        <f t="shared" si="3"/>
        <v>273Аксенов Дмитрий Викторович</v>
      </c>
      <c r="C6" s="1">
        <v>273</v>
      </c>
      <c r="D6" s="2" t="s">
        <v>4</v>
      </c>
      <c r="E6" s="1" t="s">
        <v>323</v>
      </c>
      <c r="F6" s="16">
        <v>41540</v>
      </c>
      <c r="G6" s="16">
        <v>41548</v>
      </c>
      <c r="H6" s="17">
        <f t="shared" si="0"/>
        <v>27</v>
      </c>
      <c r="I6" s="1">
        <f t="shared" si="1"/>
        <v>27000</v>
      </c>
      <c r="J6" s="17">
        <v>19000</v>
      </c>
      <c r="K6" s="17"/>
      <c r="L6" s="18">
        <f t="shared" si="2"/>
        <v>8000</v>
      </c>
      <c r="M6" s="29">
        <f>SUM('план на 2016'!$L7:M7)-SUM('членские взносы'!$M7:'членские взносы'!M7)</f>
        <v>8800</v>
      </c>
      <c r="N6" s="29">
        <f>SUM('план на 2016'!$L7:N7)-SUM('членские взносы'!$M7:'членские взносы'!N7)</f>
        <v>7600</v>
      </c>
      <c r="O6" s="29">
        <f>SUM('план на 2016'!$L7:O7)-SUM('членские взносы'!$M7:'членские взносы'!O7)</f>
        <v>8400</v>
      </c>
      <c r="P6" s="29">
        <f>SUM('план на 2016'!$L7:P7)-SUM('членские взносы'!$M7:'членские взносы'!P7)</f>
        <v>9200</v>
      </c>
      <c r="Q6" s="29">
        <f>SUM('план на 2016'!$L7:Q7)-SUM('членские взносы'!$M7:'членские взносы'!Q7)</f>
        <v>9000</v>
      </c>
      <c r="R6" s="29">
        <f>SUM('план на 2016'!$L7:R7)-SUM('членские взносы'!$M7:'членские взносы'!R7)</f>
        <v>7800</v>
      </c>
      <c r="S6" s="29">
        <f>SUM('план на 2016'!$L7:S7)-SUM('членские взносы'!$M7:'членские взносы'!S7)</f>
        <v>6600</v>
      </c>
      <c r="T6" s="29">
        <f>SUM('план на 2016'!$L7:T7)-SUM('членские взносы'!$M7:'членские взносы'!T7)</f>
        <v>4400</v>
      </c>
      <c r="U6" s="29">
        <f>SUM('план на 2016'!$L7:U7)-SUM('членские взносы'!$M7:'членские взносы'!U7)</f>
        <v>3200</v>
      </c>
      <c r="V6" s="29">
        <f>SUM('план на 2016'!$L7:V7)-SUM('членские взносы'!$M7:'членские взносы'!V7)</f>
        <v>2000</v>
      </c>
      <c r="W6" s="29">
        <f>SUM('план на 2016'!$L7:W7)-SUM('членские взносы'!$M7:'членские взносы'!W7)</f>
        <v>800</v>
      </c>
      <c r="X6" s="29">
        <f>SUM('план на 2016'!$L7:X7)-SUM('членские взносы'!$M7:'членские взносы'!X7)</f>
        <v>-400</v>
      </c>
      <c r="Y6" s="18">
        <f t="shared" si="4"/>
        <v>-400</v>
      </c>
    </row>
    <row r="7" spans="1:25">
      <c r="A7" s="41">
        <f>VLOOKUP(B7,справочник!$B$2:$E$322,4,FALSE)</f>
        <v>203</v>
      </c>
      <c r="B7" t="str">
        <f t="shared" si="3"/>
        <v>213Александров Владимир Александрович</v>
      </c>
      <c r="C7" s="1">
        <v>213</v>
      </c>
      <c r="D7" s="2" t="s">
        <v>5</v>
      </c>
      <c r="E7" s="1" t="s">
        <v>324</v>
      </c>
      <c r="F7" s="16">
        <v>41520</v>
      </c>
      <c r="G7" s="16">
        <v>41548</v>
      </c>
      <c r="H7" s="17">
        <f t="shared" si="0"/>
        <v>27</v>
      </c>
      <c r="I7" s="1">
        <f t="shared" si="1"/>
        <v>27000</v>
      </c>
      <c r="J7" s="17">
        <v>26000</v>
      </c>
      <c r="K7" s="17"/>
      <c r="L7" s="18">
        <f t="shared" si="2"/>
        <v>1000</v>
      </c>
      <c r="M7" s="29">
        <f>SUM('план на 2016'!$L8:M8)-SUM('членские взносы'!$M8:'членские взносы'!M8)</f>
        <v>-800</v>
      </c>
      <c r="N7" s="29">
        <f>SUM('план на 2016'!$L8:N8)-SUM('членские взносы'!$M8:'членские взносы'!N8)</f>
        <v>0</v>
      </c>
      <c r="O7" s="29">
        <f>SUM('план на 2016'!$L8:O8)-SUM('членские взносы'!$M8:'членские взносы'!O8)</f>
        <v>800</v>
      </c>
      <c r="P7" s="29">
        <f>SUM('план на 2016'!$L8:P8)-SUM('членские взносы'!$M8:'членские взносы'!P8)</f>
        <v>1600</v>
      </c>
      <c r="Q7" s="29">
        <f>SUM('план на 2016'!$L8:Q8)-SUM('членские взносы'!$M8:'членские взносы'!Q8)</f>
        <v>-1800</v>
      </c>
      <c r="R7" s="29">
        <f>SUM('план на 2016'!$L8:R8)-SUM('членские взносы'!$M8:'членские взносы'!R8)</f>
        <v>-1000</v>
      </c>
      <c r="S7" s="29">
        <f>SUM('план на 2016'!$L8:S8)-SUM('членские взносы'!$M8:'членские взносы'!S8)</f>
        <v>-3400</v>
      </c>
      <c r="T7" s="29">
        <f>SUM('план на 2016'!$L8:T8)-SUM('членские взносы'!$M8:'членские взносы'!T8)</f>
        <v>-2600</v>
      </c>
      <c r="U7" s="29">
        <f>SUM('план на 2016'!$L8:U8)-SUM('членские взносы'!$M8:'членские взносы'!U8)</f>
        <v>-1800</v>
      </c>
      <c r="V7" s="29">
        <f>SUM('план на 2016'!$L8:V8)-SUM('членские взносы'!$M8:'членские взносы'!V8)</f>
        <v>-1000</v>
      </c>
      <c r="W7" s="29">
        <f>SUM('план на 2016'!$L8:W8)-SUM('членские взносы'!$M8:'членские взносы'!W8)</f>
        <v>-200</v>
      </c>
      <c r="X7" s="29">
        <f>SUM('план на 2016'!$L8:X8)-SUM('членские взносы'!$M8:'членские взносы'!X8)</f>
        <v>600</v>
      </c>
      <c r="Y7" s="18">
        <f t="shared" si="4"/>
        <v>600</v>
      </c>
    </row>
    <row r="8" spans="1:25">
      <c r="A8" s="41">
        <f>VLOOKUP(B8,справочник!$B$2:$E$322,4,FALSE)</f>
        <v>316</v>
      </c>
      <c r="B8" t="str">
        <f t="shared" si="3"/>
        <v>306-307Алексеев Андрей Олегович</v>
      </c>
      <c r="C8" s="1" t="s">
        <v>6</v>
      </c>
      <c r="D8" s="2" t="s">
        <v>7</v>
      </c>
      <c r="E8" s="1" t="s">
        <v>325</v>
      </c>
      <c r="F8" s="19">
        <v>40893</v>
      </c>
      <c r="G8" s="19">
        <v>40878</v>
      </c>
      <c r="H8" s="20">
        <f t="shared" si="0"/>
        <v>49</v>
      </c>
      <c r="I8" s="5">
        <f t="shared" si="1"/>
        <v>49000</v>
      </c>
      <c r="J8" s="20">
        <f>30000+1000+1000</f>
        <v>32000</v>
      </c>
      <c r="K8" s="20"/>
      <c r="L8" s="21">
        <f t="shared" si="2"/>
        <v>17000</v>
      </c>
      <c r="M8" s="29">
        <f>SUM('план на 2016'!$L9:M9)-SUM('членские взносы'!$M9:'членские взносы'!M9)</f>
        <v>17000</v>
      </c>
      <c r="N8" s="29">
        <f>SUM('план на 2016'!$L9:N9)-SUM('членские взносы'!$M9:'членские взносы'!N9)</f>
        <v>17800</v>
      </c>
      <c r="O8" s="29">
        <f>SUM('план на 2016'!$L9:O9)-SUM('членские взносы'!$M9:'членские взносы'!O9)</f>
        <v>18600</v>
      </c>
      <c r="P8" s="29">
        <f>SUM('план на 2016'!$L9:P9)-SUM('членские взносы'!$M9:'членские взносы'!P9)</f>
        <v>19400</v>
      </c>
      <c r="Q8" s="29">
        <f>SUM('план на 2016'!$L9:Q9)-SUM('членские взносы'!$M9:'членские взносы'!Q9)</f>
        <v>20200</v>
      </c>
      <c r="R8" s="29">
        <f>SUM('план на 2016'!$L9:R9)-SUM('членские взносы'!$M9:'членские взносы'!R9)</f>
        <v>21000</v>
      </c>
      <c r="S8" s="29">
        <f>SUM('план на 2016'!$L9:S9)-SUM('членские взносы'!$M9:'членские взносы'!S9)</f>
        <v>21800</v>
      </c>
      <c r="T8" s="29">
        <f>SUM('план на 2016'!$L9:T9)-SUM('членские взносы'!$M9:'членские взносы'!T9)</f>
        <v>22600</v>
      </c>
      <c r="U8" s="29">
        <f>SUM('план на 2016'!$L9:U9)-SUM('членские взносы'!$M9:'членские взносы'!U9)</f>
        <v>23400</v>
      </c>
      <c r="V8" s="29">
        <f>SUM('план на 2016'!$L9:V9)-SUM('членские взносы'!$M9:'членские взносы'!V9)</f>
        <v>24200</v>
      </c>
      <c r="W8" s="29">
        <f>SUM('план на 2016'!$L9:W9)-SUM('членские взносы'!$M9:'членские взносы'!W9)</f>
        <v>25000</v>
      </c>
      <c r="X8" s="29">
        <f>SUM('план на 2016'!$L9:X9)-SUM('членские взносы'!$M9:'членские взносы'!X9)</f>
        <v>25800</v>
      </c>
      <c r="Y8" s="18">
        <f t="shared" si="4"/>
        <v>25800</v>
      </c>
    </row>
    <row r="9" spans="1:25">
      <c r="A9" s="41">
        <f>VLOOKUP(B9,справочник!$B$2:$E$322,4,FALSE)</f>
        <v>232</v>
      </c>
      <c r="B9" t="str">
        <f t="shared" si="3"/>
        <v xml:space="preserve">241Амплеева Мария Александровна </v>
      </c>
      <c r="C9" s="1">
        <v>241</v>
      </c>
      <c r="D9" s="2" t="s">
        <v>8</v>
      </c>
      <c r="E9" s="1" t="s">
        <v>326</v>
      </c>
      <c r="F9" s="16">
        <v>41429</v>
      </c>
      <c r="G9" s="16">
        <v>41456</v>
      </c>
      <c r="H9" s="17">
        <f t="shared" si="0"/>
        <v>30</v>
      </c>
      <c r="I9" s="1">
        <f t="shared" si="1"/>
        <v>30000</v>
      </c>
      <c r="J9" s="17">
        <v>6000</v>
      </c>
      <c r="K9" s="17"/>
      <c r="L9" s="18">
        <f t="shared" si="2"/>
        <v>24000</v>
      </c>
      <c r="M9" s="29">
        <f>SUM('план на 2016'!$L10:M10)-SUM('членские взносы'!$M10:'членские взносы'!M10)</f>
        <v>24800</v>
      </c>
      <c r="N9" s="29">
        <f>SUM('план на 2016'!$L10:N10)-SUM('членские взносы'!$M10:'членские взносы'!N10)</f>
        <v>25600</v>
      </c>
      <c r="O9" s="29">
        <f>SUM('план на 2016'!$L10:O10)-SUM('членские взносы'!$M10:'членские взносы'!O10)</f>
        <v>26400</v>
      </c>
      <c r="P9" s="29">
        <f>SUM('план на 2016'!$L10:P10)-SUM('членские взносы'!$M10:'членские взносы'!P10)</f>
        <v>27200</v>
      </c>
      <c r="Q9" s="29">
        <f>SUM('план на 2016'!$L10:Q10)-SUM('членские взносы'!$M10:'членские взносы'!Q10)</f>
        <v>28000</v>
      </c>
      <c r="R9" s="29">
        <f>SUM('план на 2016'!$L10:R10)-SUM('членские взносы'!$M10:'членские взносы'!R10)</f>
        <v>28800</v>
      </c>
      <c r="S9" s="29">
        <f>SUM('план на 2016'!$L10:S10)-SUM('членские взносы'!$M10:'членские взносы'!S10)</f>
        <v>29600</v>
      </c>
      <c r="T9" s="29">
        <f>SUM('план на 2016'!$L10:T10)-SUM('членские взносы'!$M10:'членские взносы'!T10)</f>
        <v>30400</v>
      </c>
      <c r="U9" s="29">
        <f>SUM('план на 2016'!$L10:U10)-SUM('членские взносы'!$M10:'членские взносы'!U10)</f>
        <v>31200</v>
      </c>
      <c r="V9" s="29">
        <f>SUM('план на 2016'!$L10:V10)-SUM('членские взносы'!$M10:'членские взносы'!V10)</f>
        <v>32000</v>
      </c>
      <c r="W9" s="29">
        <f>SUM('план на 2016'!$L10:W10)-SUM('членские взносы'!$M10:'членские взносы'!W10)</f>
        <v>32800</v>
      </c>
      <c r="X9" s="29">
        <f>SUM('план на 2016'!$L10:X10)-SUM('членские взносы'!$M10:'членские взносы'!X10)</f>
        <v>33600</v>
      </c>
      <c r="Y9" s="18">
        <f t="shared" si="4"/>
        <v>33600</v>
      </c>
    </row>
    <row r="10" spans="1:25" ht="25.5">
      <c r="A10" s="41">
        <f>VLOOKUP(B10,справочник!$B$2:$E$322,4,FALSE)</f>
        <v>277</v>
      </c>
      <c r="B10" t="str">
        <f t="shared" si="3"/>
        <v>290Андреева Любовь Ивановна(у Севастьянова)</v>
      </c>
      <c r="C10" s="1">
        <v>290</v>
      </c>
      <c r="D10" s="2" t="s">
        <v>9</v>
      </c>
      <c r="E10" s="1"/>
      <c r="F10" s="16">
        <v>41827</v>
      </c>
      <c r="G10" s="16">
        <v>41821</v>
      </c>
      <c r="H10" s="17">
        <f t="shared" si="0"/>
        <v>18</v>
      </c>
      <c r="I10" s="1">
        <f t="shared" si="1"/>
        <v>18000</v>
      </c>
      <c r="J10" s="17">
        <v>20000</v>
      </c>
      <c r="K10" s="17"/>
      <c r="L10" s="18">
        <f t="shared" si="2"/>
        <v>-2000</v>
      </c>
      <c r="M10" s="29">
        <f>SUM('план на 2016'!$L11:M11)-SUM('членские взносы'!$M11:'членские взносы'!M11)</f>
        <v>-1200</v>
      </c>
      <c r="N10" s="29">
        <f>SUM('план на 2016'!$L11:N11)-SUM('членские взносы'!$M11:'членские взносы'!N11)</f>
        <v>-400</v>
      </c>
      <c r="O10" s="29">
        <f>SUM('план на 2016'!$L11:O11)-SUM('членские взносы'!$M11:'членские взносы'!O11)</f>
        <v>400</v>
      </c>
      <c r="P10" s="29">
        <f>SUM('план на 2016'!$L11:P11)-SUM('членские взносы'!$M11:'членские взносы'!P11)</f>
        <v>1200</v>
      </c>
      <c r="Q10" s="29">
        <f>SUM('план на 2016'!$L11:Q11)-SUM('членские взносы'!$M11:'членские взносы'!Q11)</f>
        <v>2000</v>
      </c>
      <c r="R10" s="29">
        <f>SUM('план на 2016'!$L11:R11)-SUM('членские взносы'!$M11:'членские взносы'!R11)</f>
        <v>2800</v>
      </c>
      <c r="S10" s="29">
        <f>SUM('план на 2016'!$L11:S11)-SUM('членские взносы'!$M11:'членские взносы'!S11)</f>
        <v>2600</v>
      </c>
      <c r="T10" s="29">
        <f>SUM('план на 2016'!$L11:T11)-SUM('членские взносы'!$M11:'членские взносы'!T11)</f>
        <v>3400</v>
      </c>
      <c r="U10" s="29">
        <f>SUM('план на 2016'!$L11:U11)-SUM('членские взносы'!$M11:'членские взносы'!U11)</f>
        <v>2200</v>
      </c>
      <c r="V10" s="29">
        <f>SUM('план на 2016'!$L11:V11)-SUM('членские взносы'!$M11:'членские взносы'!V11)</f>
        <v>3000</v>
      </c>
      <c r="W10" s="29">
        <f>SUM('план на 2016'!$L11:W11)-SUM('членские взносы'!$M11:'членские взносы'!W11)</f>
        <v>3800</v>
      </c>
      <c r="X10" s="29">
        <f>SUM('план на 2016'!$L11:X11)-SUM('членские взносы'!$M11:'членские взносы'!X11)</f>
        <v>4600</v>
      </c>
      <c r="Y10" s="18">
        <f t="shared" si="4"/>
        <v>4600</v>
      </c>
    </row>
    <row r="11" spans="1:25">
      <c r="A11" s="41">
        <f>VLOOKUP(B11,справочник!$B$2:$E$322,4,FALSE)</f>
        <v>221</v>
      </c>
      <c r="B11" t="str">
        <f t="shared" si="3"/>
        <v>230Анисимова (Корнеева) Татьяна Николаевна</v>
      </c>
      <c r="C11" s="1">
        <v>230</v>
      </c>
      <c r="D11" s="2" t="s">
        <v>10</v>
      </c>
      <c r="E11" s="1"/>
      <c r="F11" s="16">
        <v>41912</v>
      </c>
      <c r="G11" s="16">
        <v>41913</v>
      </c>
      <c r="H11" s="17">
        <f t="shared" si="0"/>
        <v>15</v>
      </c>
      <c r="I11" s="1">
        <f t="shared" si="1"/>
        <v>15000</v>
      </c>
      <c r="J11" s="17">
        <v>1000</v>
      </c>
      <c r="K11" s="17"/>
      <c r="L11" s="18">
        <f t="shared" si="2"/>
        <v>14000</v>
      </c>
      <c r="M11" s="29">
        <f>SUM('план на 2016'!$L12:M12)-SUM('членские взносы'!$M12:'членские взносы'!M12)</f>
        <v>2800</v>
      </c>
      <c r="N11" s="29">
        <f>SUM('план на 2016'!$L12:N12)-SUM('членские взносы'!$M12:'членские взносы'!N12)</f>
        <v>3600</v>
      </c>
      <c r="O11" s="29">
        <f>SUM('план на 2016'!$L12:O12)-SUM('членские взносы'!$M12:'членские взносы'!O12)</f>
        <v>4400</v>
      </c>
      <c r="P11" s="29">
        <f>SUM('план на 2016'!$L12:P12)-SUM('членские взносы'!$M12:'членские взносы'!P12)</f>
        <v>5200</v>
      </c>
      <c r="Q11" s="29">
        <f>SUM('план на 2016'!$L12:Q12)-SUM('членские взносы'!$M12:'членские взносы'!Q12)</f>
        <v>6000</v>
      </c>
      <c r="R11" s="29">
        <f>SUM('план на 2016'!$L12:R12)-SUM('членские взносы'!$M12:'членские взносы'!R12)</f>
        <v>6800</v>
      </c>
      <c r="S11" s="29">
        <f>SUM('план на 2016'!$L12:S12)-SUM('членские взносы'!$M12:'членские взносы'!S12)</f>
        <v>7600</v>
      </c>
      <c r="T11" s="29">
        <f>SUM('план на 2016'!$L12:T12)-SUM('членские взносы'!$M12:'членские взносы'!T12)</f>
        <v>8400</v>
      </c>
      <c r="U11" s="29">
        <f>SUM('план на 2016'!$L12:U12)-SUM('членские взносы'!$M12:'членские взносы'!U12)</f>
        <v>9200</v>
      </c>
      <c r="V11" s="29">
        <f>SUM('план на 2016'!$L12:V12)-SUM('членские взносы'!$M12:'членские взносы'!V12)</f>
        <v>10000</v>
      </c>
      <c r="W11" s="29">
        <f>SUM('план на 2016'!$L12:W12)-SUM('членские взносы'!$M12:'членские взносы'!W12)</f>
        <v>10800</v>
      </c>
      <c r="X11" s="29">
        <f>SUM('план на 2016'!$L12:X12)-SUM('членские взносы'!$M12:'членские взносы'!X12)</f>
        <v>11600</v>
      </c>
      <c r="Y11" s="18">
        <f t="shared" si="4"/>
        <v>11600</v>
      </c>
    </row>
    <row r="12" spans="1:25">
      <c r="A12" s="41">
        <f>VLOOKUP(B12,справочник!$B$2:$E$322,4,FALSE)</f>
        <v>259</v>
      </c>
      <c r="B12" t="str">
        <f t="shared" si="3"/>
        <v>272Анисимова Елена Анатольевна</v>
      </c>
      <c r="C12" s="1">
        <v>272</v>
      </c>
      <c r="D12" s="2" t="s">
        <v>11</v>
      </c>
      <c r="E12" s="1" t="s">
        <v>327</v>
      </c>
      <c r="F12" s="16">
        <v>41457</v>
      </c>
      <c r="G12" s="16">
        <v>41487</v>
      </c>
      <c r="H12" s="17">
        <f t="shared" si="0"/>
        <v>29</v>
      </c>
      <c r="I12" s="1">
        <f t="shared" si="1"/>
        <v>29000</v>
      </c>
      <c r="J12" s="17">
        <v>25000</v>
      </c>
      <c r="K12" s="17"/>
      <c r="L12" s="18">
        <f t="shared" si="2"/>
        <v>4000</v>
      </c>
      <c r="M12" s="29">
        <f>SUM('план на 2016'!$L13:M13)-SUM('членские взносы'!$M13:'членские взносы'!M13)</f>
        <v>4800</v>
      </c>
      <c r="N12" s="29">
        <f>SUM('план на 2016'!$L13:N13)-SUM('членские взносы'!$M13:'членские взносы'!N13)</f>
        <v>5600</v>
      </c>
      <c r="O12" s="29">
        <f>SUM('план на 2016'!$L13:O13)-SUM('членские взносы'!$M13:'членские взносы'!O13)</f>
        <v>6400</v>
      </c>
      <c r="P12" s="29">
        <f>SUM('план на 2016'!$L13:P13)-SUM('членские взносы'!$M13:'членские взносы'!P13)</f>
        <v>7200</v>
      </c>
      <c r="Q12" s="29">
        <f>SUM('план на 2016'!$L13:Q13)-SUM('членские взносы'!$M13:'членские взносы'!Q13)</f>
        <v>8000</v>
      </c>
      <c r="R12" s="29">
        <f>SUM('план на 2016'!$L13:R13)-SUM('членские взносы'!$M13:'членские взносы'!R13)</f>
        <v>8800</v>
      </c>
      <c r="S12" s="29">
        <f>SUM('план на 2016'!$L13:S13)-SUM('членские взносы'!$M13:'членские взносы'!S13)</f>
        <v>6600</v>
      </c>
      <c r="T12" s="29">
        <f>SUM('план на 2016'!$L13:T13)-SUM('членские взносы'!$M13:'членские взносы'!T13)</f>
        <v>7400</v>
      </c>
      <c r="U12" s="29">
        <f>SUM('план на 2016'!$L13:U13)-SUM('членские взносы'!$M13:'членские взносы'!U13)</f>
        <v>3200</v>
      </c>
      <c r="V12" s="29">
        <f>SUM('план на 2016'!$L13:V13)-SUM('членские взносы'!$M13:'членские взносы'!V13)</f>
        <v>1600</v>
      </c>
      <c r="W12" s="29">
        <f>SUM('план на 2016'!$L13:W13)-SUM('членские взносы'!$M13:'членские взносы'!W13)</f>
        <v>2400</v>
      </c>
      <c r="X12" s="29">
        <f>SUM('план на 2016'!$L13:X13)-SUM('членские взносы'!$M13:'членские взносы'!X13)</f>
        <v>3200</v>
      </c>
      <c r="Y12" s="18">
        <f t="shared" si="4"/>
        <v>3200</v>
      </c>
    </row>
    <row r="13" spans="1:25">
      <c r="A13" s="41">
        <f>VLOOKUP(B13,справочник!$B$2:$E$322,4,FALSE)</f>
        <v>109</v>
      </c>
      <c r="B13" t="str">
        <f t="shared" si="3"/>
        <v>114Антипова Жанна Михайловна</v>
      </c>
      <c r="C13" s="1">
        <v>114</v>
      </c>
      <c r="D13" s="2" t="s">
        <v>12</v>
      </c>
      <c r="E13" s="1" t="s">
        <v>328</v>
      </c>
      <c r="F13" s="16">
        <v>41414</v>
      </c>
      <c r="G13" s="16">
        <v>41426</v>
      </c>
      <c r="H13" s="17">
        <f t="shared" si="0"/>
        <v>31</v>
      </c>
      <c r="I13" s="1">
        <f t="shared" si="1"/>
        <v>31000</v>
      </c>
      <c r="J13" s="17">
        <v>10000</v>
      </c>
      <c r="K13" s="17"/>
      <c r="L13" s="18">
        <f t="shared" si="2"/>
        <v>21000</v>
      </c>
      <c r="M13" s="29">
        <f>SUM('план на 2016'!$L14:M14)-SUM('членские взносы'!$M14:'членские взносы'!M14)</f>
        <v>21800</v>
      </c>
      <c r="N13" s="29">
        <f>SUM('план на 2016'!$L14:N14)-SUM('членские взносы'!$M14:'членские взносы'!N14)</f>
        <v>21600</v>
      </c>
      <c r="O13" s="29">
        <f>SUM('план на 2016'!$L14:O14)-SUM('членские взносы'!$M14:'членские взносы'!O14)</f>
        <v>21400</v>
      </c>
      <c r="P13" s="29">
        <f>SUM('план на 2016'!$L14:P14)-SUM('членские взносы'!$M14:'членские взносы'!P14)</f>
        <v>22200</v>
      </c>
      <c r="Q13" s="29">
        <f>SUM('план на 2016'!$L14:Q14)-SUM('членские взносы'!$M14:'членские взносы'!Q14)</f>
        <v>23000</v>
      </c>
      <c r="R13" s="29">
        <f>SUM('план на 2016'!$L14:R14)-SUM('членские взносы'!$M14:'членские взносы'!R14)</f>
        <v>23800</v>
      </c>
      <c r="S13" s="29">
        <f>SUM('план на 2016'!$L14:S14)-SUM('членские взносы'!$M14:'членские взносы'!S14)</f>
        <v>24600</v>
      </c>
      <c r="T13" s="29">
        <f>SUM('план на 2016'!$L14:T14)-SUM('членские взносы'!$M14:'членские взносы'!T14)</f>
        <v>25400</v>
      </c>
      <c r="U13" s="29">
        <f>SUM('план на 2016'!$L14:U14)-SUM('членские взносы'!$M14:'членские взносы'!U14)</f>
        <v>26200</v>
      </c>
      <c r="V13" s="29">
        <f>SUM('план на 2016'!$L14:V14)-SUM('членские взносы'!$M14:'членские взносы'!V14)</f>
        <v>27000</v>
      </c>
      <c r="W13" s="29">
        <f>SUM('план на 2016'!$L14:W14)-SUM('членские взносы'!$M14:'членские взносы'!W14)</f>
        <v>27800</v>
      </c>
      <c r="X13" s="29">
        <f>SUM('план на 2016'!$L14:X14)-SUM('членские взносы'!$M14:'членские взносы'!X14)</f>
        <v>28600</v>
      </c>
      <c r="Y13" s="18">
        <f t="shared" si="4"/>
        <v>28600</v>
      </c>
    </row>
    <row r="14" spans="1:25">
      <c r="A14" s="41">
        <f>VLOOKUP(B14,справочник!$B$2:$E$322,4,FALSE)</f>
        <v>130</v>
      </c>
      <c r="B14" t="str">
        <f t="shared" si="3"/>
        <v>137Анциферов Алексей Сергеевич</v>
      </c>
      <c r="C14" s="1">
        <v>137</v>
      </c>
      <c r="D14" s="2" t="s">
        <v>13</v>
      </c>
      <c r="E14" s="1" t="s">
        <v>329</v>
      </c>
      <c r="F14" s="16">
        <v>40841</v>
      </c>
      <c r="G14" s="16">
        <v>40848</v>
      </c>
      <c r="H14" s="17">
        <f t="shared" si="0"/>
        <v>50</v>
      </c>
      <c r="I14" s="1">
        <f t="shared" si="1"/>
        <v>50000</v>
      </c>
      <c r="J14" s="17">
        <f>44000+1000</f>
        <v>45000</v>
      </c>
      <c r="K14" s="17">
        <v>5000</v>
      </c>
      <c r="L14" s="18">
        <f t="shared" si="2"/>
        <v>0</v>
      </c>
      <c r="M14" s="29">
        <f>SUM('план на 2016'!$L15:M15)-SUM('членские взносы'!$M15:'членские взносы'!M15)</f>
        <v>800</v>
      </c>
      <c r="N14" s="29">
        <f>SUM('план на 2016'!$L15:N15)-SUM('членские взносы'!$M15:'членские взносы'!N15)</f>
        <v>800</v>
      </c>
      <c r="O14" s="29">
        <f>SUM('план на 2016'!$L15:O15)-SUM('членские взносы'!$M15:'членские взносы'!O15)</f>
        <v>1600</v>
      </c>
      <c r="P14" s="29">
        <f>SUM('план на 2016'!$L15:P15)-SUM('членские взносы'!$M15:'членские взносы'!P15)</f>
        <v>2400</v>
      </c>
      <c r="Q14" s="29">
        <f>SUM('план на 2016'!$L15:Q15)-SUM('членские взносы'!$M15:'членские взносы'!Q15)</f>
        <v>3200</v>
      </c>
      <c r="R14" s="29">
        <f>SUM('план на 2016'!$L15:R15)-SUM('членские взносы'!$M15:'членские взносы'!R15)</f>
        <v>800</v>
      </c>
      <c r="S14" s="29">
        <f>SUM('план на 2016'!$L15:S15)-SUM('членские взносы'!$M15:'членские взносы'!S15)</f>
        <v>1600</v>
      </c>
      <c r="T14" s="29">
        <f>SUM('план на 2016'!$L15:T15)-SUM('членские взносы'!$M15:'членские взносы'!T15)</f>
        <v>2400</v>
      </c>
      <c r="U14" s="29">
        <f>SUM('план на 2016'!$L15:U15)-SUM('членские взносы'!$M15:'членские взносы'!U15)</f>
        <v>-4800</v>
      </c>
      <c r="V14" s="29">
        <f>SUM('план на 2016'!$L15:V15)-SUM('членские взносы'!$M15:'членские взносы'!V15)</f>
        <v>-4000</v>
      </c>
      <c r="W14" s="29">
        <f>SUM('план на 2016'!$L15:W15)-SUM('членские взносы'!$M15:'членские взносы'!W15)</f>
        <v>-3200</v>
      </c>
      <c r="X14" s="29">
        <f>SUM('план на 2016'!$L15:X15)-SUM('членские взносы'!$M15:'членские взносы'!X15)</f>
        <v>-2400</v>
      </c>
      <c r="Y14" s="18">
        <f t="shared" si="4"/>
        <v>-2400</v>
      </c>
    </row>
    <row r="15" spans="1:25">
      <c r="A15" s="41">
        <f>VLOOKUP(B15,справочник!$B$2:$E$322,4,FALSE)</f>
        <v>7</v>
      </c>
      <c r="B15" t="str">
        <f t="shared" si="3"/>
        <v>7Артемьев Сергей Иванович</v>
      </c>
      <c r="C15" s="1">
        <v>7</v>
      </c>
      <c r="D15" s="2" t="s">
        <v>14</v>
      </c>
      <c r="E15" s="1" t="s">
        <v>330</v>
      </c>
      <c r="F15" s="16">
        <v>41467</v>
      </c>
      <c r="G15" s="16">
        <v>41518</v>
      </c>
      <c r="H15" s="17">
        <f t="shared" si="0"/>
        <v>28</v>
      </c>
      <c r="I15" s="1">
        <f t="shared" si="1"/>
        <v>28000</v>
      </c>
      <c r="J15" s="17"/>
      <c r="K15" s="17"/>
      <c r="L15" s="18">
        <f t="shared" si="2"/>
        <v>28000</v>
      </c>
      <c r="M15" s="29">
        <f>SUM('план на 2016'!$L16:M16)-SUM('членские взносы'!$M16:'членские взносы'!M16)</f>
        <v>28800</v>
      </c>
      <c r="N15" s="29">
        <f>SUM('план на 2016'!$L16:N16)-SUM('членские взносы'!$M16:'членские взносы'!N16)</f>
        <v>29600</v>
      </c>
      <c r="O15" s="29">
        <f>SUM('план на 2016'!$L16:O16)-SUM('членские взносы'!$M16:'членские взносы'!O16)</f>
        <v>30400</v>
      </c>
      <c r="P15" s="29">
        <f>SUM('план на 2016'!$L16:P16)-SUM('членские взносы'!$M16:'членские взносы'!P16)</f>
        <v>31200</v>
      </c>
      <c r="Q15" s="29">
        <f>SUM('план на 2016'!$L16:Q16)-SUM('членские взносы'!$M16:'членские взносы'!Q16)</f>
        <v>32000</v>
      </c>
      <c r="R15" s="29">
        <f>SUM('план на 2016'!$L16:R16)-SUM('членские взносы'!$M16:'членские взносы'!R16)</f>
        <v>32800</v>
      </c>
      <c r="S15" s="29">
        <f>SUM('план на 2016'!$L16:S16)-SUM('членские взносы'!$M16:'членские взносы'!S16)</f>
        <v>33600</v>
      </c>
      <c r="T15" s="29">
        <f>SUM('план на 2016'!$L16:T16)-SUM('членские взносы'!$M16:'членские взносы'!T16)</f>
        <v>34400</v>
      </c>
      <c r="U15" s="29">
        <f>SUM('план на 2016'!$L16:U16)-SUM('членские взносы'!$M16:'членские взносы'!U16)</f>
        <v>35200</v>
      </c>
      <c r="V15" s="29">
        <f>SUM('план на 2016'!$L16:V16)-SUM('членские взносы'!$M16:'членские взносы'!V16)</f>
        <v>36000</v>
      </c>
      <c r="W15" s="29">
        <f>SUM('план на 2016'!$L16:W16)-SUM('членские взносы'!$M16:'членские взносы'!W16)</f>
        <v>36800</v>
      </c>
      <c r="X15" s="29">
        <f>SUM('план на 2016'!$L16:X16)-SUM('членские взносы'!$M16:'членские взносы'!X16)</f>
        <v>37600</v>
      </c>
      <c r="Y15" s="18">
        <f t="shared" si="4"/>
        <v>37600</v>
      </c>
    </row>
    <row r="16" spans="1:25">
      <c r="A16" s="41">
        <f>VLOOKUP(B16,справочник!$B$2:$E$322,4,FALSE)</f>
        <v>7</v>
      </c>
      <c r="B16" t="str">
        <f t="shared" si="3"/>
        <v>14Артемьев Сергей Иванович</v>
      </c>
      <c r="C16" s="1">
        <v>14</v>
      </c>
      <c r="D16" s="2" t="s">
        <v>14</v>
      </c>
      <c r="E16" s="1" t="s">
        <v>331</v>
      </c>
      <c r="F16" s="16">
        <v>41204</v>
      </c>
      <c r="G16" s="16">
        <v>41214</v>
      </c>
      <c r="H16" s="17">
        <f t="shared" si="0"/>
        <v>38</v>
      </c>
      <c r="I16" s="1">
        <f t="shared" si="1"/>
        <v>38000</v>
      </c>
      <c r="J16" s="17">
        <v>27000</v>
      </c>
      <c r="K16" s="17"/>
      <c r="L16" s="18">
        <f t="shared" si="2"/>
        <v>11000</v>
      </c>
      <c r="M16" s="29">
        <f>SUM('план на 2016'!$L17:M17)-SUM('членские взносы'!$M17:'членские взносы'!M17)</f>
        <v>11000</v>
      </c>
      <c r="N16" s="29">
        <f>SUM('план на 2016'!$L17:N17)-SUM('членские взносы'!$M17:'членские взносы'!N17)</f>
        <v>11000</v>
      </c>
      <c r="O16" s="29">
        <f>SUM('план на 2016'!$L17:O17)-SUM('членские взносы'!$M17:'членские взносы'!O17)</f>
        <v>11000</v>
      </c>
      <c r="P16" s="29">
        <f>SUM('план на 2016'!$L17:P17)-SUM('членские взносы'!$M17:'членские взносы'!P17)</f>
        <v>11000</v>
      </c>
      <c r="Q16" s="29">
        <f>SUM('план на 2016'!$L17:Q17)-SUM('членские взносы'!$M17:'членские взносы'!Q17)</f>
        <v>11000</v>
      </c>
      <c r="R16" s="29">
        <f>SUM('план на 2016'!$L17:R17)-SUM('членские взносы'!$M17:'членские взносы'!R17)</f>
        <v>11000</v>
      </c>
      <c r="S16" s="29">
        <f>SUM('план на 2016'!$L17:S17)-SUM('членские взносы'!$M17:'членские взносы'!S17)</f>
        <v>11000</v>
      </c>
      <c r="T16" s="29">
        <f>SUM('план на 2016'!$L17:T17)-SUM('членские взносы'!$M17:'членские взносы'!T17)</f>
        <v>11000</v>
      </c>
      <c r="U16" s="29">
        <f>SUM('план на 2016'!$L17:U17)-SUM('членские взносы'!$M17:'членские взносы'!U17)</f>
        <v>11000</v>
      </c>
      <c r="V16" s="29">
        <f>SUM('план на 2016'!$L17:V17)-SUM('членские взносы'!$M17:'членские взносы'!V17)</f>
        <v>11000</v>
      </c>
      <c r="W16" s="29">
        <f>SUM('план на 2016'!$L17:W17)-SUM('членские взносы'!$M17:'членские взносы'!W17)</f>
        <v>11000</v>
      </c>
      <c r="X16" s="29">
        <f>SUM('план на 2016'!$L17:X17)-SUM('членские взносы'!$M17:'членские взносы'!X17)</f>
        <v>11000</v>
      </c>
      <c r="Y16" s="18">
        <f t="shared" si="4"/>
        <v>11000</v>
      </c>
    </row>
    <row r="17" spans="1:25">
      <c r="A17" s="41">
        <f>VLOOKUP(B17,справочник!$B$2:$E$322,4,FALSE)</f>
        <v>193</v>
      </c>
      <c r="B17" t="str">
        <f t="shared" si="3"/>
        <v>201Асташкин Павел Александрович(продал???)</v>
      </c>
      <c r="C17" s="1">
        <v>201</v>
      </c>
      <c r="D17" s="2" t="s">
        <v>15</v>
      </c>
      <c r="E17" s="1" t="s">
        <v>332</v>
      </c>
      <c r="F17" s="1"/>
      <c r="G17" s="1"/>
      <c r="H17" s="17"/>
      <c r="I17" s="1">
        <f t="shared" si="1"/>
        <v>0</v>
      </c>
      <c r="J17" s="17"/>
      <c r="K17" s="17"/>
      <c r="L17" s="18">
        <f t="shared" si="2"/>
        <v>0</v>
      </c>
      <c r="M17" s="29">
        <f>SUM('план на 2016'!$L18:M18)-SUM('членские взносы'!$M18:'членские взносы'!M18)</f>
        <v>800</v>
      </c>
      <c r="N17" s="29">
        <f>SUM('план на 2016'!$L18:N18)-SUM('членские взносы'!$M18:'членские взносы'!N18)</f>
        <v>1600</v>
      </c>
      <c r="O17" s="29">
        <f>SUM('план на 2016'!$L18:O18)-SUM('членские взносы'!$M18:'членские взносы'!O18)</f>
        <v>2400</v>
      </c>
      <c r="P17" s="29">
        <f>SUM('план на 2016'!$L18:P18)-SUM('членские взносы'!$M18:'членские взносы'!P18)</f>
        <v>3200</v>
      </c>
      <c r="Q17" s="29">
        <f>SUM('план на 2016'!$L18:Q18)-SUM('членские взносы'!$M18:'членские взносы'!Q18)</f>
        <v>4000</v>
      </c>
      <c r="R17" s="29">
        <f>SUM('план на 2016'!$L18:R18)-SUM('членские взносы'!$M18:'членские взносы'!R18)</f>
        <v>4800</v>
      </c>
      <c r="S17" s="29">
        <f>SUM('план на 2016'!$L18:S18)-SUM('членские взносы'!$M18:'членские взносы'!S18)</f>
        <v>5600</v>
      </c>
      <c r="T17" s="29">
        <f>SUM('план на 2016'!$L18:T18)-SUM('членские взносы'!$M18:'членские взносы'!T18)</f>
        <v>6400</v>
      </c>
      <c r="U17" s="29">
        <f>SUM('план на 2016'!$L18:U18)-SUM('членские взносы'!$M18:'членские взносы'!U18)</f>
        <v>7200</v>
      </c>
      <c r="V17" s="29">
        <f>SUM('план на 2016'!$L18:V18)-SUM('членские взносы'!$M18:'членские взносы'!V18)</f>
        <v>8000</v>
      </c>
      <c r="W17" s="29">
        <f>SUM('план на 2016'!$L18:W18)-SUM('членские взносы'!$M18:'членские взносы'!W18)</f>
        <v>8800</v>
      </c>
      <c r="X17" s="29">
        <f>SUM('план на 2016'!$L18:X18)-SUM('членские взносы'!$M18:'членские взносы'!X18)</f>
        <v>9600</v>
      </c>
      <c r="Y17" s="18">
        <f t="shared" si="4"/>
        <v>9600</v>
      </c>
    </row>
    <row r="18" spans="1:25">
      <c r="A18" s="41">
        <f>VLOOKUP(B18,справочник!$B$2:$E$322,4,FALSE)</f>
        <v>178</v>
      </c>
      <c r="B18" t="str">
        <f t="shared" si="3"/>
        <v>186Афанасьева Злата Сергеевна</v>
      </c>
      <c r="C18" s="1">
        <v>186</v>
      </c>
      <c r="D18" s="2" t="s">
        <v>16</v>
      </c>
      <c r="E18" s="1" t="s">
        <v>333</v>
      </c>
      <c r="F18" s="16">
        <v>41898</v>
      </c>
      <c r="G18" s="16">
        <v>41944</v>
      </c>
      <c r="H18" s="17">
        <f>INT(($H$326-G18)/30)</f>
        <v>14</v>
      </c>
      <c r="I18" s="1">
        <f t="shared" si="1"/>
        <v>14000</v>
      </c>
      <c r="J18" s="17">
        <v>1000</v>
      </c>
      <c r="K18" s="17"/>
      <c r="L18" s="18">
        <f t="shared" si="2"/>
        <v>13000</v>
      </c>
      <c r="M18" s="29">
        <f>SUM('план на 2016'!$L19:M19)-SUM('членские взносы'!$M19:'членские взносы'!M19)</f>
        <v>13800</v>
      </c>
      <c r="N18" s="29">
        <f>SUM('план на 2016'!$L19:N19)-SUM('членские взносы'!$M19:'членские взносы'!N19)</f>
        <v>14600</v>
      </c>
      <c r="O18" s="29">
        <f>SUM('план на 2016'!$L19:O19)-SUM('членские взносы'!$M19:'членские взносы'!O19)</f>
        <v>15400</v>
      </c>
      <c r="P18" s="29">
        <f>SUM('план на 2016'!$L19:P19)-SUM('членские взносы'!$M19:'членские взносы'!P19)</f>
        <v>16200</v>
      </c>
      <c r="Q18" s="29">
        <f>SUM('план на 2016'!$L19:Q19)-SUM('членские взносы'!$M19:'членские взносы'!Q19)</f>
        <v>17000</v>
      </c>
      <c r="R18" s="29">
        <f>SUM('план на 2016'!$L19:R19)-SUM('членские взносы'!$M19:'членские взносы'!R19)</f>
        <v>17800</v>
      </c>
      <c r="S18" s="29">
        <f>SUM('план на 2016'!$L19:S19)-SUM('членские взносы'!$M19:'членские взносы'!S19)</f>
        <v>18600</v>
      </c>
      <c r="T18" s="29">
        <f>SUM('план на 2016'!$L19:T19)-SUM('членские взносы'!$M19:'членские взносы'!T19)</f>
        <v>19400</v>
      </c>
      <c r="U18" s="29">
        <f>SUM('план на 2016'!$L19:U19)-SUM('членские взносы'!$M19:'членские взносы'!U19)</f>
        <v>20200</v>
      </c>
      <c r="V18" s="29">
        <f>SUM('план на 2016'!$L19:V19)-SUM('членские взносы'!$M19:'членские взносы'!V19)</f>
        <v>21000</v>
      </c>
      <c r="W18" s="29">
        <f>SUM('план на 2016'!$L19:W19)-SUM('членские взносы'!$M19:'членские взносы'!W19)</f>
        <v>11800</v>
      </c>
      <c r="X18" s="29">
        <f>SUM('план на 2016'!$L19:X19)-SUM('членские взносы'!$M19:'членские взносы'!X19)</f>
        <v>12600</v>
      </c>
      <c r="Y18" s="18">
        <f t="shared" si="4"/>
        <v>12600</v>
      </c>
    </row>
    <row r="19" spans="1:25">
      <c r="A19" s="41">
        <f>VLOOKUP(B19,справочник!$B$2:$E$322,4,FALSE)</f>
        <v>119</v>
      </c>
      <c r="B19" t="str">
        <f t="shared" si="3"/>
        <v>124Афян Сасун Аркадиевич</v>
      </c>
      <c r="C19" s="1">
        <v>124</v>
      </c>
      <c r="D19" s="2" t="s">
        <v>17</v>
      </c>
      <c r="E19" s="1" t="s">
        <v>334</v>
      </c>
      <c r="F19" s="16">
        <v>41401</v>
      </c>
      <c r="G19" s="16">
        <v>41426</v>
      </c>
      <c r="H19" s="17">
        <f>INT(($H$326-G19)/30)</f>
        <v>31</v>
      </c>
      <c r="I19" s="1">
        <f t="shared" si="1"/>
        <v>31000</v>
      </c>
      <c r="J19" s="17">
        <v>11000</v>
      </c>
      <c r="K19" s="17"/>
      <c r="L19" s="18">
        <f t="shared" si="2"/>
        <v>20000</v>
      </c>
      <c r="M19" s="29">
        <f>SUM('план на 2016'!$L20:M20)-SUM('членские взносы'!$M20:'членские взносы'!M20)</f>
        <v>20800</v>
      </c>
      <c r="N19" s="29">
        <f>SUM('план на 2016'!$L20:N20)-SUM('членские взносы'!$M20:'членские взносы'!N20)</f>
        <v>21600</v>
      </c>
      <c r="O19" s="29">
        <f>SUM('план на 2016'!$L20:O20)-SUM('членские взносы'!$M20:'членские взносы'!O20)</f>
        <v>19400</v>
      </c>
      <c r="P19" s="29">
        <f>SUM('план на 2016'!$L20:P20)-SUM('членские взносы'!$M20:'членские взносы'!P20)</f>
        <v>20200</v>
      </c>
      <c r="Q19" s="29">
        <f>SUM('план на 2016'!$L20:Q20)-SUM('членские взносы'!$M20:'членские взносы'!Q20)</f>
        <v>21000</v>
      </c>
      <c r="R19" s="29">
        <f>SUM('план на 2016'!$L20:R20)-SUM('членские взносы'!$M20:'членские взносы'!R20)</f>
        <v>21800</v>
      </c>
      <c r="S19" s="29">
        <f>SUM('план на 2016'!$L20:S20)-SUM('членские взносы'!$M20:'членские взносы'!S20)</f>
        <v>22600</v>
      </c>
      <c r="T19" s="29">
        <f>SUM('план на 2016'!$L20:T20)-SUM('членские взносы'!$M20:'членские взносы'!T20)</f>
        <v>23400</v>
      </c>
      <c r="U19" s="29">
        <f>SUM('план на 2016'!$L20:U20)-SUM('членские взносы'!$M20:'членские взносы'!U20)</f>
        <v>24200</v>
      </c>
      <c r="V19" s="29">
        <f>SUM('план на 2016'!$L20:V20)-SUM('членские взносы'!$M20:'членские взносы'!V20)</f>
        <v>25000</v>
      </c>
      <c r="W19" s="29">
        <f>SUM('план на 2016'!$L20:W20)-SUM('членские взносы'!$M20:'членские взносы'!W20)</f>
        <v>25800</v>
      </c>
      <c r="X19" s="29">
        <f>SUM('план на 2016'!$L20:X20)-SUM('членские взносы'!$M20:'членские взносы'!X20)</f>
        <v>26600</v>
      </c>
      <c r="Y19" s="18">
        <f t="shared" si="4"/>
        <v>26600</v>
      </c>
    </row>
    <row r="20" spans="1:25">
      <c r="A20" s="41">
        <f>VLOOKUP(B20,справочник!$B$2:$E$322,4,FALSE)</f>
        <v>293</v>
      </c>
      <c r="B20" t="str">
        <f t="shared" si="3"/>
        <v>308Ахромеев Андрей Владимирович</v>
      </c>
      <c r="C20" s="1">
        <v>308</v>
      </c>
      <c r="D20" s="2" t="s">
        <v>18</v>
      </c>
      <c r="E20" s="1" t="s">
        <v>335</v>
      </c>
      <c r="F20" s="16">
        <v>40928</v>
      </c>
      <c r="G20" s="16">
        <v>40909</v>
      </c>
      <c r="H20" s="17">
        <f>INT(($H$326-G20)/30)</f>
        <v>48</v>
      </c>
      <c r="I20" s="1">
        <f t="shared" si="1"/>
        <v>48000</v>
      </c>
      <c r="J20" s="17">
        <f>11500+24500</f>
        <v>36000</v>
      </c>
      <c r="K20" s="17"/>
      <c r="L20" s="18">
        <f t="shared" si="2"/>
        <v>12000</v>
      </c>
      <c r="M20" s="29">
        <f>SUM('план на 2016'!$L21:M21)-SUM('членские взносы'!$M21:'членские взносы'!M21)</f>
        <v>12800</v>
      </c>
      <c r="N20" s="29">
        <f>SUM('план на 2016'!$L21:N21)-SUM('членские взносы'!$M21:'членские взносы'!N21)</f>
        <v>13600</v>
      </c>
      <c r="O20" s="29">
        <f>SUM('план на 2016'!$L21:O21)-SUM('членские взносы'!$M21:'членские взносы'!O21)</f>
        <v>14400</v>
      </c>
      <c r="P20" s="29">
        <f>SUM('план на 2016'!$L21:P21)-SUM('членские взносы'!$M21:'членские взносы'!P21)</f>
        <v>15200</v>
      </c>
      <c r="Q20" s="29">
        <f>SUM('план на 2016'!$L21:Q21)-SUM('членские взносы'!$M21:'членские взносы'!Q21)</f>
        <v>16000</v>
      </c>
      <c r="R20" s="29">
        <f>SUM('план на 2016'!$L21:R21)-SUM('членские взносы'!$M21:'членские взносы'!R21)</f>
        <v>16800</v>
      </c>
      <c r="S20" s="29">
        <f>SUM('план на 2016'!$L21:S21)-SUM('членские взносы'!$M21:'членские взносы'!S21)</f>
        <v>17600</v>
      </c>
      <c r="T20" s="29">
        <f>SUM('план на 2016'!$L21:T21)-SUM('членские взносы'!$M21:'членские взносы'!T21)</f>
        <v>18400</v>
      </c>
      <c r="U20" s="29">
        <f>SUM('план на 2016'!$L21:U21)-SUM('членские взносы'!$M21:'членские взносы'!U21)</f>
        <v>19200</v>
      </c>
      <c r="V20" s="29">
        <f>SUM('план на 2016'!$L21:V21)-SUM('членские взносы'!$M21:'членские взносы'!V21)</f>
        <v>20000</v>
      </c>
      <c r="W20" s="29">
        <f>SUM('план на 2016'!$L21:W21)-SUM('членские взносы'!$M21:'членские взносы'!W21)</f>
        <v>20800</v>
      </c>
      <c r="X20" s="29">
        <f>SUM('план на 2016'!$L21:X21)-SUM('членские взносы'!$M21:'членские взносы'!X21)</f>
        <v>21600</v>
      </c>
      <c r="Y20" s="18">
        <f t="shared" si="4"/>
        <v>21600</v>
      </c>
    </row>
    <row r="21" spans="1:25">
      <c r="A21" s="41">
        <f>VLOOKUP(B21,справочник!$B$2:$E$322,4,FALSE)</f>
        <v>191</v>
      </c>
      <c r="B21" t="str">
        <f t="shared" si="3"/>
        <v>199Бадирьян Тамара Викторовна</v>
      </c>
      <c r="C21" s="1">
        <v>199</v>
      </c>
      <c r="D21" s="2" t="s">
        <v>19</v>
      </c>
      <c r="E21" s="1" t="s">
        <v>336</v>
      </c>
      <c r="F21" s="1"/>
      <c r="G21" s="1"/>
      <c r="H21" s="17"/>
      <c r="I21" s="1">
        <f t="shared" si="1"/>
        <v>0</v>
      </c>
      <c r="J21" s="17"/>
      <c r="K21" s="17"/>
      <c r="L21" s="18">
        <f t="shared" si="2"/>
        <v>0</v>
      </c>
      <c r="M21" s="29">
        <f>SUM('план на 2016'!$L22:M22)-SUM('членские взносы'!$M22:'членские взносы'!M22)</f>
        <v>800</v>
      </c>
      <c r="N21" s="29">
        <f>SUM('план на 2016'!$L22:N22)-SUM('членские взносы'!$M22:'членские взносы'!N22)</f>
        <v>1600</v>
      </c>
      <c r="O21" s="29">
        <f>SUM('план на 2016'!$L22:O22)-SUM('членские взносы'!$M22:'членские взносы'!O22)</f>
        <v>2400</v>
      </c>
      <c r="P21" s="29">
        <f>SUM('план на 2016'!$L22:P22)-SUM('членские взносы'!$M22:'членские взносы'!P22)</f>
        <v>3200</v>
      </c>
      <c r="Q21" s="29">
        <f>SUM('план на 2016'!$L22:Q22)-SUM('членские взносы'!$M22:'членские взносы'!Q22)</f>
        <v>4000</v>
      </c>
      <c r="R21" s="29">
        <f>SUM('план на 2016'!$L22:R22)-SUM('членские взносы'!$M22:'членские взносы'!R22)</f>
        <v>4800</v>
      </c>
      <c r="S21" s="29">
        <f>SUM('план на 2016'!$L22:S22)-SUM('членские взносы'!$M22:'членские взносы'!S22)</f>
        <v>5600</v>
      </c>
      <c r="T21" s="29">
        <f>SUM('план на 2016'!$L22:T22)-SUM('членские взносы'!$M22:'членские взносы'!T22)</f>
        <v>6400</v>
      </c>
      <c r="U21" s="29">
        <f>SUM('план на 2016'!$L22:U22)-SUM('членские взносы'!$M22:'членские взносы'!U22)</f>
        <v>7200</v>
      </c>
      <c r="V21" s="29">
        <f>SUM('план на 2016'!$L22:V22)-SUM('членские взносы'!$M22:'членские взносы'!V22)</f>
        <v>8000</v>
      </c>
      <c r="W21" s="29">
        <f>SUM('план на 2016'!$L22:W22)-SUM('членские взносы'!$M22:'членские взносы'!W22)</f>
        <v>8800</v>
      </c>
      <c r="X21" s="29">
        <f>SUM('план на 2016'!$L22:X22)-SUM('членские взносы'!$M22:'членские взносы'!X22)</f>
        <v>9600</v>
      </c>
      <c r="Y21" s="18">
        <f t="shared" si="4"/>
        <v>9600</v>
      </c>
    </row>
    <row r="22" spans="1:25" ht="25.5">
      <c r="A22" s="41">
        <f>VLOOKUP(B22,справочник!$B$2:$E$322,4,FALSE)</f>
        <v>249</v>
      </c>
      <c r="B22" t="str">
        <f t="shared" si="3"/>
        <v>260Байбикова Рузалия Равилевна / Байбикова Руфия Равилевна</v>
      </c>
      <c r="C22" s="1">
        <v>260</v>
      </c>
      <c r="D22" s="2" t="s">
        <v>20</v>
      </c>
      <c r="E22" s="1" t="s">
        <v>337</v>
      </c>
      <c r="F22" s="16">
        <v>41604</v>
      </c>
      <c r="G22" s="16">
        <v>41609</v>
      </c>
      <c r="H22" s="17">
        <f t="shared" ref="H22:H73" si="5">INT(($H$326-G22)/30)</f>
        <v>25</v>
      </c>
      <c r="I22" s="1">
        <f t="shared" si="1"/>
        <v>25000</v>
      </c>
      <c r="J22" s="17">
        <f>1000</f>
        <v>1000</v>
      </c>
      <c r="K22" s="17"/>
      <c r="L22" s="18">
        <f t="shared" si="2"/>
        <v>24000</v>
      </c>
      <c r="M22" s="29">
        <f>SUM('план на 2016'!$L23:M23)-SUM('членские взносы'!$M23:'членские взносы'!M23)</f>
        <v>24800</v>
      </c>
      <c r="N22" s="29">
        <f>SUM('план на 2016'!$L23:N23)-SUM('членские взносы'!$M23:'членские взносы'!N23)</f>
        <v>25600</v>
      </c>
      <c r="O22" s="29">
        <f>SUM('план на 2016'!$L23:O23)-SUM('членские взносы'!$M23:'членские взносы'!O23)</f>
        <v>26400</v>
      </c>
      <c r="P22" s="29">
        <f>SUM('план на 2016'!$L23:P23)-SUM('членские взносы'!$M23:'членские взносы'!P23)</f>
        <v>27200</v>
      </c>
      <c r="Q22" s="29">
        <f>SUM('план на 2016'!$L23:Q23)-SUM('членские взносы'!$M23:'членские взносы'!Q23)</f>
        <v>28000</v>
      </c>
      <c r="R22" s="29">
        <f>SUM('план на 2016'!$L23:R23)-SUM('членские взносы'!$M23:'членские взносы'!R23)</f>
        <v>28800</v>
      </c>
      <c r="S22" s="29">
        <f>SUM('план на 2016'!$L23:S23)-SUM('членские взносы'!$M23:'членские взносы'!S23)</f>
        <v>29600</v>
      </c>
      <c r="T22" s="29">
        <f>SUM('план на 2016'!$L23:T23)-SUM('членские взносы'!$M23:'членские взносы'!T23)</f>
        <v>30400</v>
      </c>
      <c r="U22" s="29">
        <f>SUM('план на 2016'!$L23:U23)-SUM('членские взносы'!$M23:'членские взносы'!U23)</f>
        <v>31200</v>
      </c>
      <c r="V22" s="29">
        <f>SUM('план на 2016'!$L23:V23)-SUM('членские взносы'!$M23:'членские взносы'!V23)</f>
        <v>32000</v>
      </c>
      <c r="W22" s="29">
        <f>SUM('план на 2016'!$L23:W23)-SUM('членские взносы'!$M23:'членские взносы'!W23)</f>
        <v>32800</v>
      </c>
      <c r="X22" s="29">
        <f>SUM('план на 2016'!$L23:X23)-SUM('членские взносы'!$M23:'членские взносы'!X23)</f>
        <v>33600</v>
      </c>
      <c r="Y22" s="18">
        <f t="shared" si="4"/>
        <v>33600</v>
      </c>
    </row>
    <row r="23" spans="1:25">
      <c r="A23" s="41">
        <f>VLOOKUP(B23,справочник!$B$2:$E$322,4,FALSE)</f>
        <v>72</v>
      </c>
      <c r="B23" t="str">
        <f t="shared" si="3"/>
        <v>78Лещёва Ольга Владимировна</v>
      </c>
      <c r="C23" s="1">
        <v>78</v>
      </c>
      <c r="D23" s="2" t="s">
        <v>21</v>
      </c>
      <c r="E23" s="1" t="s">
        <v>338</v>
      </c>
      <c r="F23" s="16">
        <v>40793</v>
      </c>
      <c r="G23" s="16">
        <v>40787</v>
      </c>
      <c r="H23" s="17">
        <f t="shared" si="5"/>
        <v>52</v>
      </c>
      <c r="I23" s="1">
        <f t="shared" si="1"/>
        <v>52000</v>
      </c>
      <c r="J23" s="17">
        <f>19000+1500+2500+23000</f>
        <v>46000</v>
      </c>
      <c r="K23" s="17"/>
      <c r="L23" s="18">
        <f t="shared" si="2"/>
        <v>6000</v>
      </c>
      <c r="M23" s="29">
        <f>SUM('план на 2016'!$L24:M24)-SUM('членские взносы'!$M24:'членские взносы'!M24)</f>
        <v>6800</v>
      </c>
      <c r="N23" s="29">
        <f>SUM('план на 2016'!$L24:N24)-SUM('членские взносы'!$M24:'членские взносы'!N24)</f>
        <v>7600</v>
      </c>
      <c r="O23" s="29">
        <f>SUM('план на 2016'!$L24:O24)-SUM('членские взносы'!$M24:'членские взносы'!O24)</f>
        <v>8400</v>
      </c>
      <c r="P23" s="29">
        <f>SUM('план на 2016'!$L24:P24)-SUM('членские взносы'!$M24:'членские взносы'!P24)</f>
        <v>9200</v>
      </c>
      <c r="Q23" s="29">
        <f>SUM('план на 2016'!$L24:Q24)-SUM('членские взносы'!$M24:'членские взносы'!Q24)</f>
        <v>10000</v>
      </c>
      <c r="R23" s="29">
        <f>SUM('план на 2016'!$L24:R24)-SUM('членские взносы'!$M24:'членские взносы'!R24)</f>
        <v>10800</v>
      </c>
      <c r="S23" s="29">
        <f>SUM('план на 2016'!$L24:S24)-SUM('членские взносы'!$M24:'членские взносы'!S24)</f>
        <v>11600</v>
      </c>
      <c r="T23" s="29">
        <f>SUM('план на 2016'!$L24:T24)-SUM('членские взносы'!$M24:'членские взносы'!T24)</f>
        <v>12400</v>
      </c>
      <c r="U23" s="29">
        <f>SUM('план на 2016'!$L24:U24)-SUM('членские взносы'!$M24:'членские взносы'!U24)</f>
        <v>13200</v>
      </c>
      <c r="V23" s="29">
        <f>SUM('план на 2016'!$L24:V24)-SUM('членские взносы'!$M24:'членские взносы'!V24)</f>
        <v>14000</v>
      </c>
      <c r="W23" s="29">
        <f>SUM('план на 2016'!$L24:W24)-SUM('членские взносы'!$M24:'членские взносы'!W24)</f>
        <v>14800</v>
      </c>
      <c r="X23" s="29">
        <f>SUM('план на 2016'!$L24:X24)-SUM('членские взносы'!$M24:'членские взносы'!X24)</f>
        <v>15600</v>
      </c>
      <c r="Y23" s="18">
        <f t="shared" si="4"/>
        <v>15600</v>
      </c>
    </row>
    <row r="24" spans="1:25">
      <c r="A24" s="41">
        <f>VLOOKUP(B24,справочник!$B$2:$E$322,4,FALSE)</f>
        <v>125</v>
      </c>
      <c r="B24" t="str">
        <f t="shared" si="3"/>
        <v>130Безбородова Людмила Михайловна</v>
      </c>
      <c r="C24" s="1">
        <v>130</v>
      </c>
      <c r="D24" s="2" t="s">
        <v>22</v>
      </c>
      <c r="E24" s="1" t="s">
        <v>339</v>
      </c>
      <c r="F24" s="16">
        <v>41948</v>
      </c>
      <c r="G24" s="16">
        <v>41974</v>
      </c>
      <c r="H24" s="17">
        <f t="shared" si="5"/>
        <v>13</v>
      </c>
      <c r="I24" s="1">
        <f t="shared" si="1"/>
        <v>13000</v>
      </c>
      <c r="J24" s="17">
        <v>8000</v>
      </c>
      <c r="K24" s="17"/>
      <c r="L24" s="18">
        <f t="shared" si="2"/>
        <v>5000</v>
      </c>
      <c r="M24" s="29">
        <f>SUM('план на 2016'!$L25:M25)-SUM('членские взносы'!$M25:'членские взносы'!M25)</f>
        <v>5800</v>
      </c>
      <c r="N24" s="29">
        <f>SUM('план на 2016'!$L25:N25)-SUM('членские взносы'!$M25:'членские взносы'!N25)</f>
        <v>6600</v>
      </c>
      <c r="O24" s="29">
        <f>SUM('план на 2016'!$L25:O25)-SUM('членские взносы'!$M25:'членские взносы'!O25)</f>
        <v>7400</v>
      </c>
      <c r="P24" s="29">
        <f>SUM('план на 2016'!$L25:P25)-SUM('членские взносы'!$M25:'членские взносы'!P25)</f>
        <v>8200</v>
      </c>
      <c r="Q24" s="29">
        <f>SUM('план на 2016'!$L25:Q25)-SUM('членские взносы'!$M25:'членские взносы'!Q25)</f>
        <v>9000</v>
      </c>
      <c r="R24" s="29">
        <f>SUM('план на 2016'!$L25:R25)-SUM('членские взносы'!$M25:'членские взносы'!R25)</f>
        <v>6800</v>
      </c>
      <c r="S24" s="29">
        <f>SUM('план на 2016'!$L25:S25)-SUM('членские взносы'!$M25:'членские взносы'!S25)</f>
        <v>7600</v>
      </c>
      <c r="T24" s="29">
        <f>SUM('план на 2016'!$L25:T25)-SUM('членские взносы'!$M25:'членские взносы'!T25)</f>
        <v>8400</v>
      </c>
      <c r="U24" s="29">
        <f>SUM('план на 2016'!$L25:U25)-SUM('членские взносы'!$M25:'членские взносы'!U25)</f>
        <v>6200</v>
      </c>
      <c r="V24" s="29">
        <f>SUM('план на 2016'!$L25:V25)-SUM('членские взносы'!$M25:'членские взносы'!V25)</f>
        <v>7000</v>
      </c>
      <c r="W24" s="29">
        <f>SUM('план на 2016'!$L25:W25)-SUM('членские взносы'!$M25:'членские взносы'!W25)</f>
        <v>4800</v>
      </c>
      <c r="X24" s="29">
        <f>SUM('план на 2016'!$L25:X25)-SUM('членские взносы'!$M25:'членские взносы'!X25)</f>
        <v>5600</v>
      </c>
      <c r="Y24" s="18">
        <f t="shared" si="4"/>
        <v>5600</v>
      </c>
    </row>
    <row r="25" spans="1:25">
      <c r="A25" s="41">
        <f>VLOOKUP(B25,справочник!$B$2:$E$322,4,FALSE)</f>
        <v>229</v>
      </c>
      <c r="B25" t="str">
        <f t="shared" si="3"/>
        <v>238Безменова Татьяна Игоревна</v>
      </c>
      <c r="C25" s="1">
        <v>238</v>
      </c>
      <c r="D25" s="2" t="s">
        <v>23</v>
      </c>
      <c r="E25" s="1" t="s">
        <v>340</v>
      </c>
      <c r="F25" s="16">
        <v>41373</v>
      </c>
      <c r="G25" s="16">
        <v>41395</v>
      </c>
      <c r="H25" s="17">
        <f t="shared" si="5"/>
        <v>32</v>
      </c>
      <c r="I25" s="1">
        <f t="shared" si="1"/>
        <v>32000</v>
      </c>
      <c r="J25" s="17">
        <v>9000</v>
      </c>
      <c r="K25" s="17"/>
      <c r="L25" s="18">
        <f t="shared" si="2"/>
        <v>23000</v>
      </c>
      <c r="M25" s="29">
        <f>SUM('план на 2016'!$L26:M26)-SUM('членские взносы'!$M26:'членские взносы'!M26)</f>
        <v>23800</v>
      </c>
      <c r="N25" s="29">
        <f>SUM('план на 2016'!$L26:N26)-SUM('членские взносы'!$M26:'членские взносы'!N26)</f>
        <v>24600</v>
      </c>
      <c r="O25" s="29">
        <f>SUM('план на 2016'!$L26:O26)-SUM('членские взносы'!$M26:'членские взносы'!O26)</f>
        <v>25400</v>
      </c>
      <c r="P25" s="29">
        <f>SUM('план на 2016'!$L26:P26)-SUM('членские взносы'!$M26:'членские взносы'!P26)</f>
        <v>26200</v>
      </c>
      <c r="Q25" s="29">
        <f>SUM('план на 2016'!$L26:Q26)-SUM('членские взносы'!$M26:'членские взносы'!Q26)</f>
        <v>27000</v>
      </c>
      <c r="R25" s="29">
        <f>SUM('план на 2016'!$L26:R26)-SUM('членские взносы'!$M26:'членские взносы'!R26)</f>
        <v>27800</v>
      </c>
      <c r="S25" s="29">
        <f>SUM('план на 2016'!$L26:S26)-SUM('членские взносы'!$M26:'членские взносы'!S26)</f>
        <v>28600</v>
      </c>
      <c r="T25" s="29">
        <f>SUM('план на 2016'!$L26:T26)-SUM('членские взносы'!$M26:'членские взносы'!T26)</f>
        <v>29400</v>
      </c>
      <c r="U25" s="29">
        <f>SUM('план на 2016'!$L26:U26)-SUM('членские взносы'!$M26:'членские взносы'!U26)</f>
        <v>30200</v>
      </c>
      <c r="V25" s="29">
        <f>SUM('план на 2016'!$L26:V26)-SUM('членские взносы'!$M26:'членские взносы'!V26)</f>
        <v>31000</v>
      </c>
      <c r="W25" s="29">
        <f>SUM('план на 2016'!$L26:W26)-SUM('членские взносы'!$M26:'членские взносы'!W26)</f>
        <v>31800</v>
      </c>
      <c r="X25" s="29">
        <f>SUM('план на 2016'!$L26:X26)-SUM('членские взносы'!$M26:'членские взносы'!X26)</f>
        <v>32600</v>
      </c>
      <c r="Y25" s="18">
        <f t="shared" si="4"/>
        <v>32600</v>
      </c>
    </row>
    <row r="26" spans="1:25">
      <c r="A26" s="41">
        <f>VLOOKUP(B26,справочник!$B$2:$E$322,4,FALSE)</f>
        <v>296</v>
      </c>
      <c r="B26" t="str">
        <f t="shared" si="3"/>
        <v>311Бекмансурова Динара Василевна</v>
      </c>
      <c r="C26" s="1">
        <v>311</v>
      </c>
      <c r="D26" s="2" t="s">
        <v>24</v>
      </c>
      <c r="E26" s="1" t="s">
        <v>341</v>
      </c>
      <c r="F26" s="16">
        <v>41008</v>
      </c>
      <c r="G26" s="16">
        <v>41000</v>
      </c>
      <c r="H26" s="17">
        <f t="shared" si="5"/>
        <v>45</v>
      </c>
      <c r="I26" s="1">
        <f t="shared" si="1"/>
        <v>45000</v>
      </c>
      <c r="J26" s="17">
        <v>1000</v>
      </c>
      <c r="K26" s="17"/>
      <c r="L26" s="18">
        <f t="shared" si="2"/>
        <v>44000</v>
      </c>
      <c r="M26" s="29">
        <f>SUM('план на 2016'!$L27:M27)-SUM('членские взносы'!$M27:'членские взносы'!M27)</f>
        <v>44800</v>
      </c>
      <c r="N26" s="29">
        <f>SUM('план на 2016'!$L27:N27)-SUM('членские взносы'!$M27:'членские взносы'!N27)</f>
        <v>45600</v>
      </c>
      <c r="O26" s="29">
        <f>SUM('план на 2016'!$L27:O27)-SUM('членские взносы'!$M27:'членские взносы'!O27)</f>
        <v>46400</v>
      </c>
      <c r="P26" s="29">
        <f>SUM('план на 2016'!$L27:P27)-SUM('членские взносы'!$M27:'членские взносы'!P27)</f>
        <v>47200</v>
      </c>
      <c r="Q26" s="29">
        <f>SUM('план на 2016'!$L27:Q27)-SUM('членские взносы'!$M27:'членские взносы'!Q27)</f>
        <v>48000</v>
      </c>
      <c r="R26" s="29">
        <f>SUM('план на 2016'!$L27:R27)-SUM('членские взносы'!$M27:'членские взносы'!R27)</f>
        <v>48800</v>
      </c>
      <c r="S26" s="29">
        <f>SUM('план на 2016'!$L27:S27)-SUM('членские взносы'!$M27:'членские взносы'!S27)</f>
        <v>49600</v>
      </c>
      <c r="T26" s="29">
        <f>SUM('план на 2016'!$L27:T27)-SUM('членские взносы'!$M27:'членские взносы'!T27)</f>
        <v>50400</v>
      </c>
      <c r="U26" s="29">
        <f>SUM('план на 2016'!$L27:U27)-SUM('членские взносы'!$M27:'членские взносы'!U27)</f>
        <v>51200</v>
      </c>
      <c r="V26" s="29">
        <f>SUM('план на 2016'!$L27:V27)-SUM('членские взносы'!$M27:'членские взносы'!V27)</f>
        <v>52000</v>
      </c>
      <c r="W26" s="29">
        <f>SUM('план на 2016'!$L27:W27)-SUM('членские взносы'!$M27:'членские взносы'!W27)</f>
        <v>52800</v>
      </c>
      <c r="X26" s="29">
        <f>SUM('план на 2016'!$L27:X27)-SUM('членские взносы'!$M27:'членские взносы'!X27)</f>
        <v>53600</v>
      </c>
      <c r="Y26" s="18">
        <f t="shared" si="4"/>
        <v>53600</v>
      </c>
    </row>
    <row r="27" spans="1:25">
      <c r="A27" s="41">
        <f>VLOOKUP(B27,справочник!$B$2:$E$322,4,FALSE)</f>
        <v>281</v>
      </c>
      <c r="B27" t="str">
        <f t="shared" si="3"/>
        <v xml:space="preserve">293Белов Семён Иванович          </v>
      </c>
      <c r="C27" s="1">
        <v>293</v>
      </c>
      <c r="D27" s="2" t="s">
        <v>25</v>
      </c>
      <c r="E27" s="1" t="s">
        <v>342</v>
      </c>
      <c r="F27" s="16">
        <v>41766</v>
      </c>
      <c r="G27" s="16">
        <v>41791</v>
      </c>
      <c r="H27" s="17">
        <f t="shared" si="5"/>
        <v>19</v>
      </c>
      <c r="I27" s="1">
        <f t="shared" si="1"/>
        <v>19000</v>
      </c>
      <c r="J27" s="17">
        <v>1000</v>
      </c>
      <c r="K27" s="17"/>
      <c r="L27" s="18">
        <f t="shared" si="2"/>
        <v>18000</v>
      </c>
      <c r="M27" s="29">
        <f>SUM('план на 2016'!$L28:M28)-SUM('членские взносы'!$M28:'членские взносы'!M28)</f>
        <v>18800</v>
      </c>
      <c r="N27" s="29">
        <f>SUM('план на 2016'!$L28:N28)-SUM('членские взносы'!$M28:'членские взносы'!N28)</f>
        <v>19600</v>
      </c>
      <c r="O27" s="29">
        <f>SUM('план на 2016'!$L28:O28)-SUM('членские взносы'!$M28:'членские взносы'!O28)</f>
        <v>20400</v>
      </c>
      <c r="P27" s="29">
        <f>SUM('план на 2016'!$L28:P28)-SUM('членские взносы'!$M28:'членские взносы'!P28)</f>
        <v>21200</v>
      </c>
      <c r="Q27" s="29">
        <f>SUM('план на 2016'!$L28:Q28)-SUM('членские взносы'!$M28:'членские взносы'!Q28)</f>
        <v>22000</v>
      </c>
      <c r="R27" s="29">
        <f>SUM('план на 2016'!$L28:R28)-SUM('членские взносы'!$M28:'членские взносы'!R28)</f>
        <v>22800</v>
      </c>
      <c r="S27" s="29">
        <f>SUM('план на 2016'!$L28:S28)-SUM('членские взносы'!$M28:'членские взносы'!S28)</f>
        <v>23600</v>
      </c>
      <c r="T27" s="29">
        <f>SUM('план на 2016'!$L28:T28)-SUM('членские взносы'!$M28:'членские взносы'!T28)</f>
        <v>24400</v>
      </c>
      <c r="U27" s="29">
        <f>SUM('план на 2016'!$L28:U28)-SUM('членские взносы'!$M28:'членские взносы'!U28)</f>
        <v>15200</v>
      </c>
      <c r="V27" s="29">
        <f>SUM('план на 2016'!$L28:V28)-SUM('членские взносы'!$M28:'членские взносы'!V28)</f>
        <v>16000</v>
      </c>
      <c r="W27" s="29">
        <f>SUM('план на 2016'!$L28:W28)-SUM('членские взносы'!$M28:'членские взносы'!W28)</f>
        <v>16800</v>
      </c>
      <c r="X27" s="29">
        <f>SUM('план на 2016'!$L28:X28)-SUM('членские взносы'!$M28:'членские взносы'!X28)</f>
        <v>17600</v>
      </c>
      <c r="Y27" s="18">
        <f t="shared" si="4"/>
        <v>17600</v>
      </c>
    </row>
    <row r="28" spans="1:25">
      <c r="A28" s="41">
        <f>VLOOKUP(B28,справочник!$B$2:$E$322,4,FALSE)</f>
        <v>198</v>
      </c>
      <c r="B28" t="str">
        <f t="shared" si="3"/>
        <v>206Белоглазова Людмила Ивановна</v>
      </c>
      <c r="C28" s="1">
        <v>206</v>
      </c>
      <c r="D28" s="2" t="s">
        <v>26</v>
      </c>
      <c r="E28" s="1" t="s">
        <v>343</v>
      </c>
      <c r="F28" s="16">
        <v>40816</v>
      </c>
      <c r="G28" s="16">
        <v>40787</v>
      </c>
      <c r="H28" s="17">
        <f t="shared" si="5"/>
        <v>52</v>
      </c>
      <c r="I28" s="1">
        <f t="shared" si="1"/>
        <v>52000</v>
      </c>
      <c r="J28" s="17">
        <f>50000+1000</f>
        <v>51000</v>
      </c>
      <c r="K28" s="17">
        <v>1000</v>
      </c>
      <c r="L28" s="18">
        <f t="shared" si="2"/>
        <v>0</v>
      </c>
      <c r="M28" s="29">
        <f>SUM('план на 2016'!$L29:M29)-SUM('членские взносы'!$M29:'членские взносы'!M29)</f>
        <v>800</v>
      </c>
      <c r="N28" s="29">
        <f>SUM('план на 2016'!$L29:N29)-SUM('членские взносы'!$M29:'членские взносы'!N29)</f>
        <v>1600</v>
      </c>
      <c r="O28" s="29">
        <f>SUM('план на 2016'!$L29:O29)-SUM('членские взносы'!$M29:'членские взносы'!O29)</f>
        <v>-800</v>
      </c>
      <c r="P28" s="29">
        <f>SUM('план на 2016'!$L29:P29)-SUM('членские взносы'!$M29:'членские взносы'!P29)</f>
        <v>0</v>
      </c>
      <c r="Q28" s="29">
        <f>SUM('план на 2016'!$L29:Q29)-SUM('членские взносы'!$M29:'членские взносы'!Q29)</f>
        <v>0</v>
      </c>
      <c r="R28" s="29">
        <f>SUM('план на 2016'!$L29:R29)-SUM('членские взносы'!$M29:'членские взносы'!R29)</f>
        <v>800</v>
      </c>
      <c r="S28" s="29">
        <f>SUM('план на 2016'!$L29:S29)-SUM('членские взносы'!$M29:'членские взносы'!S29)</f>
        <v>1600</v>
      </c>
      <c r="T28" s="29">
        <f>SUM('план на 2016'!$L29:T29)-SUM('членские взносы'!$M29:'членские взносы'!T29)</f>
        <v>-800</v>
      </c>
      <c r="U28" s="29">
        <f>SUM('план на 2016'!$L29:U29)-SUM('членские взносы'!$M29:'членские взносы'!U29)</f>
        <v>0</v>
      </c>
      <c r="V28" s="29">
        <f>SUM('план на 2016'!$L29:V29)-SUM('членские взносы'!$M29:'членские взносы'!V29)</f>
        <v>0</v>
      </c>
      <c r="W28" s="29">
        <f>SUM('план на 2016'!$L29:W29)-SUM('членские взносы'!$M29:'членские взносы'!W29)</f>
        <v>-800</v>
      </c>
      <c r="X28" s="29">
        <f>SUM('план на 2016'!$L29:X29)-SUM('членские взносы'!$M29:'членские взносы'!X29)</f>
        <v>0</v>
      </c>
      <c r="Y28" s="18">
        <f t="shared" si="4"/>
        <v>0</v>
      </c>
    </row>
    <row r="29" spans="1:25" ht="25.5">
      <c r="A29" s="41">
        <f>VLOOKUP(B29,справочник!$B$2:$E$322,4,FALSE)</f>
        <v>52</v>
      </c>
      <c r="B29" t="str">
        <f t="shared" si="3"/>
        <v>54Бельская Светлана Александровна (Владимир)</v>
      </c>
      <c r="C29" s="1">
        <v>54</v>
      </c>
      <c r="D29" s="2" t="s">
        <v>27</v>
      </c>
      <c r="E29" s="1" t="s">
        <v>344</v>
      </c>
      <c r="F29" s="16">
        <v>41016</v>
      </c>
      <c r="G29" s="16">
        <v>41000</v>
      </c>
      <c r="H29" s="17">
        <f t="shared" si="5"/>
        <v>45</v>
      </c>
      <c r="I29" s="1">
        <f t="shared" si="1"/>
        <v>45000</v>
      </c>
      <c r="J29" s="17">
        <v>40000</v>
      </c>
      <c r="K29" s="17">
        <v>5000</v>
      </c>
      <c r="L29" s="18">
        <v>5000</v>
      </c>
      <c r="M29" s="29">
        <f>SUM('план на 2016'!$L30:M30)-SUM('членские взносы'!$M30:'членские взносы'!M30)</f>
        <v>2800</v>
      </c>
      <c r="N29" s="29">
        <f>SUM('план на 2016'!$L30:N30)-SUM('членские взносы'!$M30:'членские взносы'!N30)</f>
        <v>1600</v>
      </c>
      <c r="O29" s="29">
        <f>SUM('план на 2016'!$L30:O30)-SUM('членские взносы'!$M30:'членские взносы'!O30)</f>
        <v>1600</v>
      </c>
      <c r="P29" s="29">
        <f>SUM('план на 2016'!$L30:P30)-SUM('членские взносы'!$M30:'членские взносы'!P30)</f>
        <v>2400</v>
      </c>
      <c r="Q29" s="29">
        <f>SUM('план на 2016'!$L30:Q30)-SUM('членские взносы'!$M30:'членские взносы'!Q30)</f>
        <v>1600</v>
      </c>
      <c r="R29" s="29">
        <f>SUM('план на 2016'!$L30:R30)-SUM('членские взносы'!$M30:'членские взносы'!R30)</f>
        <v>2400</v>
      </c>
      <c r="S29" s="29">
        <f>SUM('план на 2016'!$L30:S30)-SUM('членские взносы'!$M30:'членские взносы'!S30)</f>
        <v>3200</v>
      </c>
      <c r="T29" s="29">
        <f>SUM('план на 2016'!$L30:T30)-SUM('членские взносы'!$M30:'членские взносы'!T30)</f>
        <v>2400</v>
      </c>
      <c r="U29" s="29">
        <f>SUM('план на 2016'!$L30:U30)-SUM('членские взносы'!$M30:'членские взносы'!U30)</f>
        <v>3200</v>
      </c>
      <c r="V29" s="29">
        <f>SUM('план на 2016'!$L30:V30)-SUM('членские взносы'!$M30:'членские взносы'!V30)</f>
        <v>3200</v>
      </c>
      <c r="W29" s="29">
        <f>SUM('план на 2016'!$L30:W30)-SUM('членские взносы'!$M30:'членские взносы'!W30)</f>
        <v>3200</v>
      </c>
      <c r="X29" s="29">
        <f>SUM('план на 2016'!$L30:X30)-SUM('членские взносы'!$M30:'членские взносы'!X30)</f>
        <v>4000</v>
      </c>
      <c r="Y29" s="18">
        <f t="shared" si="4"/>
        <v>4000</v>
      </c>
    </row>
    <row r="30" spans="1:25" ht="25.5">
      <c r="A30" s="41">
        <f>VLOOKUP(B30,справочник!$B$2:$E$322,4,FALSE)</f>
        <v>51</v>
      </c>
      <c r="B30" t="str">
        <f t="shared" si="3"/>
        <v>53Бельский Владимир Владимирович (Светлана)</v>
      </c>
      <c r="C30" s="1">
        <v>53</v>
      </c>
      <c r="D30" s="2" t="s">
        <v>28</v>
      </c>
      <c r="E30" s="1" t="s">
        <v>345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28000</v>
      </c>
      <c r="K30" s="17">
        <v>7000</v>
      </c>
      <c r="L30" s="18">
        <v>5000</v>
      </c>
      <c r="M30" s="29">
        <f>SUM('план на 2016'!$L31:M31)-SUM('членские взносы'!$M31:'членские взносы'!M31)</f>
        <v>2800</v>
      </c>
      <c r="N30" s="29">
        <f>SUM('план на 2016'!$L31:N31)-SUM('членские взносы'!$M31:'членские взносы'!N31)</f>
        <v>1600</v>
      </c>
      <c r="O30" s="29">
        <f>SUM('план на 2016'!$L31:O31)-SUM('членские взносы'!$M31:'членские взносы'!O31)</f>
        <v>1600</v>
      </c>
      <c r="P30" s="29">
        <f>SUM('план на 2016'!$L31:P31)-SUM('членские взносы'!$M31:'членские взносы'!P31)</f>
        <v>2400</v>
      </c>
      <c r="Q30" s="29">
        <f>SUM('план на 2016'!$L31:Q31)-SUM('членские взносы'!$M31:'членские взносы'!Q31)</f>
        <v>1600</v>
      </c>
      <c r="R30" s="29">
        <f>SUM('план на 2016'!$L31:R31)-SUM('членские взносы'!$M31:'членские взносы'!R31)</f>
        <v>2400</v>
      </c>
      <c r="S30" s="29">
        <f>SUM('план на 2016'!$L31:S31)-SUM('членские взносы'!$M31:'членские взносы'!S31)</f>
        <v>3200</v>
      </c>
      <c r="T30" s="29">
        <f>SUM('план на 2016'!$L31:T31)-SUM('членские взносы'!$M31:'членские взносы'!T31)</f>
        <v>2400</v>
      </c>
      <c r="U30" s="29">
        <f>SUM('план на 2016'!$L31:U31)-SUM('членские взносы'!$M31:'членские взносы'!U31)</f>
        <v>2400</v>
      </c>
      <c r="V30" s="29">
        <f>SUM('план на 2016'!$L31:V31)-SUM('членские взносы'!$M31:'членские взносы'!V31)</f>
        <v>3200</v>
      </c>
      <c r="W30" s="29">
        <f>SUM('план на 2016'!$L31:W31)-SUM('членские взносы'!$M31:'членские взносы'!W31)</f>
        <v>3200</v>
      </c>
      <c r="X30" s="29">
        <f>SUM('план на 2016'!$L31:X31)-SUM('членские взносы'!$M31:'членские взносы'!X31)</f>
        <v>4000</v>
      </c>
      <c r="Y30" s="18">
        <f t="shared" si="4"/>
        <v>4000</v>
      </c>
    </row>
    <row r="31" spans="1:25">
      <c r="A31" s="41">
        <f>VLOOKUP(B31,справочник!$B$2:$E$322,4,FALSE)</f>
        <v>136</v>
      </c>
      <c r="B31" t="str">
        <f t="shared" si="3"/>
        <v>144Беляков Виктор Михайлович</v>
      </c>
      <c r="C31" s="1">
        <v>144</v>
      </c>
      <c r="D31" s="2" t="s">
        <v>29</v>
      </c>
      <c r="E31" s="1" t="s">
        <v>346</v>
      </c>
      <c r="F31" s="16">
        <v>41204</v>
      </c>
      <c r="G31" s="16">
        <v>41214</v>
      </c>
      <c r="H31" s="17">
        <f t="shared" si="5"/>
        <v>38</v>
      </c>
      <c r="I31" s="1">
        <f t="shared" si="1"/>
        <v>38000</v>
      </c>
      <c r="J31" s="17">
        <v>28000</v>
      </c>
      <c r="K31" s="17"/>
      <c r="L31" s="18">
        <f t="shared" ref="L31:L94" si="6">I31-J31-K31</f>
        <v>10000</v>
      </c>
      <c r="M31" s="29">
        <f>SUM('план на 2016'!$L32:M32)-SUM('членские взносы'!$M32:'членские взносы'!M32)</f>
        <v>10800</v>
      </c>
      <c r="N31" s="29">
        <f>SUM('план на 2016'!$L32:N32)-SUM('членские взносы'!$M32:'членские взносы'!N32)</f>
        <v>11600</v>
      </c>
      <c r="O31" s="29">
        <f>SUM('план на 2016'!$L32:O32)-SUM('членские взносы'!$M32:'членские взносы'!O32)</f>
        <v>12400</v>
      </c>
      <c r="P31" s="29">
        <f>SUM('план на 2016'!$L32:P32)-SUM('членские взносы'!$M32:'членские взносы'!P32)</f>
        <v>13200</v>
      </c>
      <c r="Q31" s="29">
        <f>SUM('план на 2016'!$L32:Q32)-SUM('членские взносы'!$M32:'членские взносы'!Q32)</f>
        <v>14000</v>
      </c>
      <c r="R31" s="29">
        <f>SUM('план на 2016'!$L32:R32)-SUM('членские взносы'!$M32:'членские взносы'!R32)</f>
        <v>14800</v>
      </c>
      <c r="S31" s="29">
        <f>SUM('план на 2016'!$L32:S32)-SUM('членские взносы'!$M32:'членские взносы'!S32)</f>
        <v>9600</v>
      </c>
      <c r="T31" s="29">
        <f>SUM('план на 2016'!$L32:T32)-SUM('членские взносы'!$M32:'членские взносы'!T32)</f>
        <v>5600</v>
      </c>
      <c r="U31" s="29">
        <f>SUM('план на 2016'!$L32:U32)-SUM('членские взносы'!$M32:'членские взносы'!U32)</f>
        <v>6400</v>
      </c>
      <c r="V31" s="29">
        <f>SUM('план на 2016'!$L32:V32)-SUM('членские взносы'!$M32:'членские взносы'!V32)</f>
        <v>7200</v>
      </c>
      <c r="W31" s="29">
        <f>SUM('план на 2016'!$L32:W32)-SUM('членские взносы'!$M32:'членские взносы'!W32)</f>
        <v>8000</v>
      </c>
      <c r="X31" s="29">
        <f>SUM('план на 2016'!$L32:X32)-SUM('членские взносы'!$M32:'членские взносы'!X32)</f>
        <v>4000</v>
      </c>
      <c r="Y31" s="18">
        <f t="shared" si="4"/>
        <v>4000</v>
      </c>
    </row>
    <row r="32" spans="1:25">
      <c r="A32" s="41">
        <f>VLOOKUP(B32,справочник!$B$2:$E$322,4,FALSE)</f>
        <v>11</v>
      </c>
      <c r="B32" t="str">
        <f t="shared" si="3"/>
        <v>11Бенгя Владимир Михайлович (Диана)</v>
      </c>
      <c r="C32" s="1">
        <v>11</v>
      </c>
      <c r="D32" s="2" t="s">
        <v>30</v>
      </c>
      <c r="E32" s="1" t="s">
        <v>347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26000</v>
      </c>
      <c r="K32" s="17"/>
      <c r="L32" s="18">
        <f t="shared" si="6"/>
        <v>12000</v>
      </c>
      <c r="M32" s="29">
        <f>SUM('план на 2016'!$L33:M33)-SUM('членские взносы'!$M33:'членские взносы'!M33)</f>
        <v>12800</v>
      </c>
      <c r="N32" s="29">
        <f>SUM('план на 2016'!$L33:N33)-SUM('членские взносы'!$M33:'членские взносы'!N33)</f>
        <v>13600</v>
      </c>
      <c r="O32" s="29">
        <f>SUM('план на 2016'!$L33:O33)-SUM('членские взносы'!$M33:'членские взносы'!O33)</f>
        <v>14400</v>
      </c>
      <c r="P32" s="29">
        <f>SUM('план на 2016'!$L33:P33)-SUM('членские взносы'!$M33:'членские взносы'!P33)</f>
        <v>15200</v>
      </c>
      <c r="Q32" s="29">
        <f>SUM('план на 2016'!$L33:Q33)-SUM('членские взносы'!$M33:'членские взносы'!Q33)</f>
        <v>16000</v>
      </c>
      <c r="R32" s="29">
        <f>SUM('план на 2016'!$L33:R33)-SUM('членские взносы'!$M33:'членские взносы'!R33)</f>
        <v>16800</v>
      </c>
      <c r="S32" s="29">
        <f>SUM('план на 2016'!$L33:S33)-SUM('членские взносы'!$M33:'членские взносы'!S33)</f>
        <v>17600</v>
      </c>
      <c r="T32" s="29">
        <f>SUM('план на 2016'!$L33:T33)-SUM('членские взносы'!$M33:'членские взносы'!T33)</f>
        <v>18400</v>
      </c>
      <c r="U32" s="29">
        <f>SUM('план на 2016'!$L33:U33)-SUM('членские взносы'!$M33:'членские взносы'!U33)</f>
        <v>19200</v>
      </c>
      <c r="V32" s="29">
        <f>SUM('план на 2016'!$L33:V33)-SUM('членские взносы'!$M33:'членские взносы'!V33)</f>
        <v>20000</v>
      </c>
      <c r="W32" s="29">
        <f>SUM('план на 2016'!$L33:W33)-SUM('членские взносы'!$M33:'членские взносы'!W33)</f>
        <v>20800</v>
      </c>
      <c r="X32" s="29">
        <f>SUM('план на 2016'!$L33:X33)-SUM('членские взносы'!$M33:'членские взносы'!X33)</f>
        <v>21600</v>
      </c>
      <c r="Y32" s="18">
        <f t="shared" si="4"/>
        <v>21600</v>
      </c>
    </row>
    <row r="33" spans="1:25">
      <c r="A33" s="41">
        <f>VLOOKUP(B33,справочник!$B$2:$E$322,4,FALSE)</f>
        <v>114</v>
      </c>
      <c r="B33" t="str">
        <f t="shared" si="3"/>
        <v>119Беспаленко Зинаида Александровна</v>
      </c>
      <c r="C33" s="1">
        <v>119</v>
      </c>
      <c r="D33" s="2" t="s">
        <v>31</v>
      </c>
      <c r="E33" s="1" t="s">
        <v>348</v>
      </c>
      <c r="F33" s="16">
        <v>41262</v>
      </c>
      <c r="G33" s="16">
        <v>41275</v>
      </c>
      <c r="H33" s="17">
        <f t="shared" si="5"/>
        <v>36</v>
      </c>
      <c r="I33" s="1">
        <f t="shared" si="1"/>
        <v>36000</v>
      </c>
      <c r="J33" s="17">
        <v>1000</v>
      </c>
      <c r="K33" s="17"/>
      <c r="L33" s="18">
        <f t="shared" si="6"/>
        <v>35000</v>
      </c>
      <c r="M33" s="29">
        <f>SUM('план на 2016'!$L34:M34)-SUM('членские взносы'!$M34:'членские взносы'!M34)</f>
        <v>35800</v>
      </c>
      <c r="N33" s="29">
        <f>SUM('план на 2016'!$L34:N34)-SUM('членские взносы'!$M34:'членские взносы'!N34)</f>
        <v>36600</v>
      </c>
      <c r="O33" s="29">
        <f>SUM('план на 2016'!$L34:O34)-SUM('членские взносы'!$M34:'членские взносы'!O34)</f>
        <v>37400</v>
      </c>
      <c r="P33" s="29">
        <f>SUM('план на 2016'!$L34:P34)-SUM('членские взносы'!$M34:'членские взносы'!P34)</f>
        <v>38200</v>
      </c>
      <c r="Q33" s="29">
        <f>SUM('план на 2016'!$L34:Q34)-SUM('членские взносы'!$M34:'членские взносы'!Q34)</f>
        <v>39000</v>
      </c>
      <c r="R33" s="29">
        <f>SUM('план на 2016'!$L34:R34)-SUM('членские взносы'!$M34:'членские взносы'!R34)</f>
        <v>39800</v>
      </c>
      <c r="S33" s="29">
        <f>SUM('план на 2016'!$L34:S34)-SUM('членские взносы'!$M34:'членские взносы'!S34)</f>
        <v>40600</v>
      </c>
      <c r="T33" s="29">
        <f>SUM('план на 2016'!$L34:T34)-SUM('членские взносы'!$M34:'членские взносы'!T34)</f>
        <v>41400</v>
      </c>
      <c r="U33" s="29">
        <f>SUM('план на 2016'!$L34:U34)-SUM('членские взносы'!$M34:'членские взносы'!U34)</f>
        <v>42200</v>
      </c>
      <c r="V33" s="29">
        <f>SUM('план на 2016'!$L34:V34)-SUM('членские взносы'!$M34:'членские взносы'!V34)</f>
        <v>43000</v>
      </c>
      <c r="W33" s="29">
        <f>SUM('план на 2016'!$L34:W34)-SUM('членские взносы'!$M34:'членские взносы'!W34)</f>
        <v>43800</v>
      </c>
      <c r="X33" s="29">
        <f>SUM('план на 2016'!$L34:X34)-SUM('членские взносы'!$M34:'членские взносы'!X34)</f>
        <v>44600</v>
      </c>
      <c r="Y33" s="18">
        <f t="shared" si="4"/>
        <v>44600</v>
      </c>
    </row>
    <row r="34" spans="1:25">
      <c r="A34" s="41">
        <f>VLOOKUP(B34,справочник!$B$2:$E$322,4,FALSE)</f>
        <v>151</v>
      </c>
      <c r="B34" t="str">
        <f t="shared" si="3"/>
        <v>159Бирюков Александр Сергеевич</v>
      </c>
      <c r="C34" s="1">
        <v>159</v>
      </c>
      <c r="D34" s="2" t="s">
        <v>32</v>
      </c>
      <c r="E34" s="1" t="s">
        <v>349</v>
      </c>
      <c r="F34" s="16">
        <v>41121</v>
      </c>
      <c r="G34" s="16">
        <v>41122</v>
      </c>
      <c r="H34" s="17">
        <f t="shared" si="5"/>
        <v>41</v>
      </c>
      <c r="I34" s="1">
        <f t="shared" si="1"/>
        <v>41000</v>
      </c>
      <c r="J34" s="17">
        <v>17000</v>
      </c>
      <c r="K34" s="17"/>
      <c r="L34" s="18">
        <f t="shared" si="6"/>
        <v>24000</v>
      </c>
      <c r="M34" s="29">
        <f>SUM('план на 2016'!$L35:M35)-SUM('членские взносы'!$M35:'членские взносы'!M35)</f>
        <v>24800</v>
      </c>
      <c r="N34" s="29">
        <f>SUM('план на 2016'!$L35:N35)-SUM('членские взносы'!$M35:'членские взносы'!N35)</f>
        <v>25600</v>
      </c>
      <c r="O34" s="29">
        <f>SUM('план на 2016'!$L35:O35)-SUM('членские взносы'!$M35:'членские взносы'!O35)</f>
        <v>26400</v>
      </c>
      <c r="P34" s="29">
        <f>SUM('план на 2016'!$L35:P35)-SUM('членские взносы'!$M35:'членские взносы'!P35)</f>
        <v>27200</v>
      </c>
      <c r="Q34" s="29">
        <f>SUM('план на 2016'!$L35:Q35)-SUM('членские взносы'!$M35:'членские взносы'!Q35)</f>
        <v>28000</v>
      </c>
      <c r="R34" s="29">
        <f>SUM('план на 2016'!$L35:R35)-SUM('членские взносы'!$M35:'членские взносы'!R35)</f>
        <v>28800</v>
      </c>
      <c r="S34" s="29">
        <f>SUM('план на 2016'!$L35:S35)-SUM('членские взносы'!$M35:'членские взносы'!S35)</f>
        <v>29600</v>
      </c>
      <c r="T34" s="29">
        <f>SUM('план на 2016'!$L35:T35)-SUM('членские взносы'!$M35:'членские взносы'!T35)</f>
        <v>30400</v>
      </c>
      <c r="U34" s="29">
        <f>SUM('план на 2016'!$L35:U35)-SUM('членские взносы'!$M35:'членские взносы'!U35)</f>
        <v>31200</v>
      </c>
      <c r="V34" s="29">
        <f>SUM('план на 2016'!$L35:V35)-SUM('членские взносы'!$M35:'членские взносы'!V35)</f>
        <v>32000</v>
      </c>
      <c r="W34" s="29">
        <f>SUM('план на 2016'!$L35:W35)-SUM('членские взносы'!$M35:'членские взносы'!W35)</f>
        <v>32800</v>
      </c>
      <c r="X34" s="29">
        <f>SUM('план на 2016'!$L35:X35)-SUM('членские взносы'!$M35:'членские взносы'!X35)</f>
        <v>33600</v>
      </c>
      <c r="Y34" s="18">
        <f t="shared" si="4"/>
        <v>33600</v>
      </c>
    </row>
    <row r="35" spans="1:25">
      <c r="A35" s="41">
        <f>VLOOKUP(B35,справочник!$B$2:$E$322,4,FALSE)</f>
        <v>142</v>
      </c>
      <c r="B35" t="str">
        <f t="shared" si="3"/>
        <v>150Блинков Анатолий Сергеевич</v>
      </c>
      <c r="C35" s="1">
        <v>150</v>
      </c>
      <c r="D35" s="2" t="s">
        <v>33</v>
      </c>
      <c r="E35" s="1" t="s">
        <v>350</v>
      </c>
      <c r="F35" s="16">
        <v>40771</v>
      </c>
      <c r="G35" s="16">
        <v>40787</v>
      </c>
      <c r="H35" s="17">
        <f t="shared" si="5"/>
        <v>52</v>
      </c>
      <c r="I35" s="1">
        <f t="shared" si="1"/>
        <v>52000</v>
      </c>
      <c r="J35" s="17">
        <f>32000+1000</f>
        <v>33000</v>
      </c>
      <c r="K35" s="17">
        <v>19000</v>
      </c>
      <c r="L35" s="18">
        <f t="shared" si="6"/>
        <v>0</v>
      </c>
      <c r="M35" s="29">
        <f>SUM('план на 2016'!$L36:M36)-SUM('членские взносы'!$M36:'членские взносы'!M36)</f>
        <v>800</v>
      </c>
      <c r="N35" s="29">
        <f>SUM('план на 2016'!$L36:N36)-SUM('членские взносы'!$M36:'членские взносы'!N36)</f>
        <v>1600</v>
      </c>
      <c r="O35" s="29">
        <f>SUM('план на 2016'!$L36:O36)-SUM('членские взносы'!$M36:'членские взносы'!O36)</f>
        <v>2400</v>
      </c>
      <c r="P35" s="29">
        <f>SUM('план на 2016'!$L36:P36)-SUM('членские взносы'!$M36:'членские взносы'!P36)</f>
        <v>3200</v>
      </c>
      <c r="Q35" s="29">
        <f>SUM('план на 2016'!$L36:Q36)-SUM('членские взносы'!$M36:'членские взносы'!Q36)</f>
        <v>4000</v>
      </c>
      <c r="R35" s="29">
        <f>SUM('план на 2016'!$L36:R36)-SUM('членские взносы'!$M36:'членские взносы'!R36)</f>
        <v>4800</v>
      </c>
      <c r="S35" s="29">
        <f>SUM('план на 2016'!$L36:S36)-SUM('членские взносы'!$M36:'членские взносы'!S36)</f>
        <v>-800</v>
      </c>
      <c r="T35" s="29">
        <f>SUM('план на 2016'!$L36:T36)-SUM('членские взносы'!$M36:'членские взносы'!T36)</f>
        <v>0</v>
      </c>
      <c r="U35" s="29">
        <f>SUM('план на 2016'!$L36:U36)-SUM('членские взносы'!$M36:'членские взносы'!U36)</f>
        <v>800</v>
      </c>
      <c r="V35" s="29">
        <f>SUM('план на 2016'!$L36:V36)-SUM('членские взносы'!$M36:'членские взносы'!V36)</f>
        <v>1600</v>
      </c>
      <c r="W35" s="29">
        <f>SUM('план на 2016'!$L36:W36)-SUM('членские взносы'!$M36:'членские взносы'!W36)</f>
        <v>2400</v>
      </c>
      <c r="X35" s="29">
        <f>SUM('план на 2016'!$L36:X36)-SUM('членские взносы'!$M36:'членские взносы'!X36)</f>
        <v>3200</v>
      </c>
      <c r="Y35" s="18">
        <f t="shared" si="4"/>
        <v>3200</v>
      </c>
    </row>
    <row r="36" spans="1:25">
      <c r="A36" s="41">
        <f>VLOOKUP(B36,справочник!$B$2:$E$322,4,FALSE)</f>
        <v>245</v>
      </c>
      <c r="B36" t="str">
        <f t="shared" si="3"/>
        <v>256Бондарев Станислав Дмитриевич</v>
      </c>
      <c r="C36" s="1">
        <v>256</v>
      </c>
      <c r="D36" s="2" t="s">
        <v>34</v>
      </c>
      <c r="E36" s="1" t="s">
        <v>351</v>
      </c>
      <c r="F36" s="16">
        <v>41930</v>
      </c>
      <c r="G36" s="16">
        <v>41944</v>
      </c>
      <c r="H36" s="17">
        <f t="shared" si="5"/>
        <v>14</v>
      </c>
      <c r="I36" s="1">
        <f t="shared" si="1"/>
        <v>14000</v>
      </c>
      <c r="J36" s="17">
        <v>9000</v>
      </c>
      <c r="K36" s="17"/>
      <c r="L36" s="18">
        <f t="shared" si="6"/>
        <v>5000</v>
      </c>
      <c r="M36" s="29">
        <f>SUM('план на 2016'!$L37:M37)-SUM('членские взносы'!$M37:'членские взносы'!M37)</f>
        <v>5800</v>
      </c>
      <c r="N36" s="29">
        <f>SUM('план на 2016'!$L37:N37)-SUM('членские взносы'!$M37:'членские взносы'!N37)</f>
        <v>6600</v>
      </c>
      <c r="O36" s="29">
        <f>SUM('план на 2016'!$L37:O37)-SUM('членские взносы'!$M37:'членские взносы'!O37)</f>
        <v>7400</v>
      </c>
      <c r="P36" s="29">
        <f>SUM('план на 2016'!$L37:P37)-SUM('членские взносы'!$M37:'членские взносы'!P37)</f>
        <v>8200</v>
      </c>
      <c r="Q36" s="29">
        <f>SUM('план на 2016'!$L37:Q37)-SUM('членские взносы'!$M37:'членские взносы'!Q37)</f>
        <v>9000</v>
      </c>
      <c r="R36" s="29">
        <f>SUM('план на 2016'!$L37:R37)-SUM('членские взносы'!$M37:'членские взносы'!R37)</f>
        <v>800</v>
      </c>
      <c r="S36" s="29">
        <f>SUM('план на 2016'!$L37:S37)-SUM('членские взносы'!$M37:'членские взносы'!S37)</f>
        <v>1600</v>
      </c>
      <c r="T36" s="29">
        <f>SUM('план на 2016'!$L37:T37)-SUM('членские взносы'!$M37:'членские взносы'!T37)</f>
        <v>2400</v>
      </c>
      <c r="U36" s="29">
        <f>SUM('план на 2016'!$L37:U37)-SUM('членские взносы'!$M37:'членские взносы'!U37)</f>
        <v>3200</v>
      </c>
      <c r="V36" s="29">
        <f>SUM('план на 2016'!$L37:V37)-SUM('членские взносы'!$M37:'членские взносы'!V37)</f>
        <v>4000</v>
      </c>
      <c r="W36" s="29">
        <f>SUM('план на 2016'!$L37:W37)-SUM('членские взносы'!$M37:'членские взносы'!W37)</f>
        <v>4800</v>
      </c>
      <c r="X36" s="29">
        <f>SUM('план на 2016'!$L37:X37)-SUM('членские взносы'!$M37:'членские взносы'!X37)</f>
        <v>5600</v>
      </c>
      <c r="Y36" s="18">
        <f t="shared" si="4"/>
        <v>5600</v>
      </c>
    </row>
    <row r="37" spans="1:25">
      <c r="A37" s="41">
        <f>VLOOKUP(B37,справочник!$B$2:$E$322,4,FALSE)</f>
        <v>188</v>
      </c>
      <c r="B37" t="str">
        <f t="shared" si="3"/>
        <v>196Бондаренко Владимир Иванович</v>
      </c>
      <c r="C37" s="1">
        <v>196</v>
      </c>
      <c r="D37" s="2" t="s">
        <v>35</v>
      </c>
      <c r="E37" s="1" t="s">
        <v>352</v>
      </c>
      <c r="F37" s="19">
        <v>41674</v>
      </c>
      <c r="G37" s="19">
        <v>41699</v>
      </c>
      <c r="H37" s="20">
        <f t="shared" si="5"/>
        <v>22</v>
      </c>
      <c r="I37" s="5">
        <f t="shared" si="1"/>
        <v>22000</v>
      </c>
      <c r="J37" s="20">
        <v>10000</v>
      </c>
      <c r="K37" s="20"/>
      <c r="L37" s="21">
        <f t="shared" si="6"/>
        <v>12000</v>
      </c>
      <c r="M37" s="29">
        <f>SUM('план на 2016'!$L38:M38)-SUM('членские взносы'!$M38:'членские взносы'!M38)</f>
        <v>12800</v>
      </c>
      <c r="N37" s="29">
        <f>SUM('план на 2016'!$L38:N38)-SUM('членские взносы'!$M38:'членские взносы'!N38)</f>
        <v>13600</v>
      </c>
      <c r="O37" s="29">
        <f>SUM('план на 2016'!$L38:O38)-SUM('членские взносы'!$M38:'членские взносы'!O38)</f>
        <v>14400</v>
      </c>
      <c r="P37" s="29">
        <f>SUM('план на 2016'!$L38:P38)-SUM('членские взносы'!$M38:'членские взносы'!P38)</f>
        <v>15200</v>
      </c>
      <c r="Q37" s="29">
        <f>SUM('план на 2016'!$L38:Q38)-SUM('членские взносы'!$M38:'членские взносы'!Q38)</f>
        <v>16000</v>
      </c>
      <c r="R37" s="29">
        <f>SUM('план на 2016'!$L38:R38)-SUM('членские взносы'!$M38:'членские взносы'!R38)</f>
        <v>16800</v>
      </c>
      <c r="S37" s="29">
        <f>SUM('план на 2016'!$L38:S38)-SUM('членские взносы'!$M38:'членские взносы'!S38)</f>
        <v>17600</v>
      </c>
      <c r="T37" s="29">
        <f>SUM('план на 2016'!$L38:T38)-SUM('членские взносы'!$M38:'членские взносы'!T38)</f>
        <v>18400</v>
      </c>
      <c r="U37" s="29">
        <f>SUM('план на 2016'!$L38:U38)-SUM('членские взносы'!$M38:'членские взносы'!U38)</f>
        <v>19200</v>
      </c>
      <c r="V37" s="29">
        <f>SUM('план на 2016'!$L38:V38)-SUM('членские взносы'!$M38:'членские взносы'!V38)</f>
        <v>20000</v>
      </c>
      <c r="W37" s="29">
        <f>SUM('план на 2016'!$L38:W38)-SUM('членские взносы'!$M38:'членские взносы'!W38)</f>
        <v>20800</v>
      </c>
      <c r="X37" s="29">
        <f>SUM('план на 2016'!$L38:X38)-SUM('членские взносы'!$M38:'членские взносы'!X38)</f>
        <v>21600</v>
      </c>
      <c r="Y37" s="18">
        <f t="shared" si="4"/>
        <v>21600</v>
      </c>
    </row>
    <row r="38" spans="1:25">
      <c r="A38" s="41">
        <f>VLOOKUP(B38,справочник!$B$2:$E$322,4,FALSE)</f>
        <v>188</v>
      </c>
      <c r="B38" t="str">
        <f t="shared" si="3"/>
        <v>197Бондаренко Владимир Иванович</v>
      </c>
      <c r="C38" s="1">
        <v>197</v>
      </c>
      <c r="D38" s="2" t="s">
        <v>35</v>
      </c>
      <c r="E38" s="1"/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/>
      <c r="K38" s="20"/>
      <c r="L38" s="21">
        <f t="shared" si="6"/>
        <v>22000</v>
      </c>
      <c r="M38" s="29">
        <f>SUM('план на 2016'!$L39:M39)-SUM('членские взносы'!$M39:'членские взносы'!M39)</f>
        <v>22000</v>
      </c>
      <c r="N38" s="29">
        <f>SUM('план на 2016'!$L39:N39)-SUM('членские взносы'!$M39:'членские взносы'!N39)</f>
        <v>22000</v>
      </c>
      <c r="O38" s="29">
        <f>SUM('план на 2016'!$L39:O39)-SUM('членские взносы'!$M39:'членские взносы'!O39)</f>
        <v>22000</v>
      </c>
      <c r="P38" s="29">
        <f>SUM('план на 2016'!$L39:P39)-SUM('членские взносы'!$M39:'членские взносы'!P39)</f>
        <v>22000</v>
      </c>
      <c r="Q38" s="29">
        <f>SUM('план на 2016'!$L39:Q39)-SUM('членские взносы'!$M39:'членские взносы'!Q39)</f>
        <v>22000</v>
      </c>
      <c r="R38" s="29">
        <f>SUM('план на 2016'!$L39:R39)-SUM('членские взносы'!$M39:'членские взносы'!R39)</f>
        <v>22000</v>
      </c>
      <c r="S38" s="29">
        <f>SUM('план на 2016'!$L39:S39)-SUM('членские взносы'!$M39:'членские взносы'!S39)</f>
        <v>22000</v>
      </c>
      <c r="T38" s="29">
        <f>SUM('план на 2016'!$L39:T39)-SUM('членские взносы'!$M39:'членские взносы'!T39)</f>
        <v>22000</v>
      </c>
      <c r="U38" s="29">
        <f>SUM('план на 2016'!$L39:U39)-SUM('членские взносы'!$M39:'членские взносы'!U39)</f>
        <v>22000</v>
      </c>
      <c r="V38" s="29">
        <f>SUM('план на 2016'!$L39:V39)-SUM('членские взносы'!$M39:'членские взносы'!V39)</f>
        <v>22000</v>
      </c>
      <c r="W38" s="29">
        <f>SUM('план на 2016'!$L39:W39)-SUM('членские взносы'!$M39:'членские взносы'!W39)</f>
        <v>22000</v>
      </c>
      <c r="X38" s="29">
        <f>SUM('план на 2016'!$L39:X39)-SUM('членские взносы'!$M39:'членские взносы'!X39)</f>
        <v>22000</v>
      </c>
      <c r="Y38" s="18">
        <f t="shared" si="4"/>
        <v>22000</v>
      </c>
    </row>
    <row r="39" spans="1:25">
      <c r="A39" s="41">
        <f>VLOOKUP(B39,справочник!$B$2:$E$322,4,FALSE)</f>
        <v>219</v>
      </c>
      <c r="B39" t="str">
        <f t="shared" si="3"/>
        <v>228Бондарь Василий Дмитриевич</v>
      </c>
      <c r="C39" s="1">
        <v>228</v>
      </c>
      <c r="D39" s="2" t="s">
        <v>36</v>
      </c>
      <c r="E39" s="1" t="s">
        <v>353</v>
      </c>
      <c r="F39" s="16">
        <v>41848</v>
      </c>
      <c r="G39" s="16">
        <v>41883</v>
      </c>
      <c r="H39" s="17">
        <f t="shared" si="5"/>
        <v>16</v>
      </c>
      <c r="I39" s="1">
        <f t="shared" si="1"/>
        <v>16000</v>
      </c>
      <c r="J39" s="17">
        <v>13000</v>
      </c>
      <c r="K39" s="17">
        <v>3000</v>
      </c>
      <c r="L39" s="18">
        <f t="shared" si="6"/>
        <v>0</v>
      </c>
      <c r="M39" s="29">
        <f>SUM('план на 2016'!$L40:M40)-SUM('членские взносы'!$M40:'членские взносы'!M40)</f>
        <v>800</v>
      </c>
      <c r="N39" s="29">
        <f>SUM('план на 2016'!$L40:N40)-SUM('членские взносы'!$M40:'членские взносы'!N40)</f>
        <v>1600</v>
      </c>
      <c r="O39" s="29">
        <f>SUM('план на 2016'!$L40:O40)-SUM('членские взносы'!$M40:'членские взносы'!O40)</f>
        <v>-600</v>
      </c>
      <c r="P39" s="29">
        <f>SUM('план на 2016'!$L40:P40)-SUM('членские взносы'!$M40:'членские взносы'!P40)</f>
        <v>200</v>
      </c>
      <c r="Q39" s="29">
        <f>SUM('план на 2016'!$L40:Q40)-SUM('членские взносы'!$M40:'членские взносы'!Q40)</f>
        <v>1000</v>
      </c>
      <c r="R39" s="29">
        <f>SUM('план на 2016'!$L40:R40)-SUM('членские взносы'!$M40:'членские взносы'!R40)</f>
        <v>-1200</v>
      </c>
      <c r="S39" s="29">
        <f>SUM('план на 2016'!$L40:S40)-SUM('членские взносы'!$M40:'членские взносы'!S40)</f>
        <v>-400</v>
      </c>
      <c r="T39" s="29">
        <f>SUM('план на 2016'!$L40:T40)-SUM('членские взносы'!$M40:'членские взносы'!T40)</f>
        <v>400</v>
      </c>
      <c r="U39" s="29">
        <f>SUM('план на 2016'!$L40:U40)-SUM('членские взносы'!$M40:'членские взносы'!U40)</f>
        <v>-1800</v>
      </c>
      <c r="V39" s="29">
        <f>SUM('план на 2016'!$L40:V40)-SUM('членские взносы'!$M40:'членские взносы'!V40)</f>
        <v>-1600</v>
      </c>
      <c r="W39" s="29">
        <f>SUM('план на 2016'!$L40:W40)-SUM('членские взносы'!$M40:'членские взносы'!W40)</f>
        <v>-800</v>
      </c>
      <c r="X39" s="29">
        <f>SUM('план на 2016'!$L40:X40)-SUM('членские взносы'!$M40:'членские взносы'!X40)</f>
        <v>0</v>
      </c>
      <c r="Y39" s="18">
        <f t="shared" si="4"/>
        <v>0</v>
      </c>
    </row>
    <row r="40" spans="1:25">
      <c r="A40" s="41">
        <f>VLOOKUP(B40,справочник!$B$2:$E$322,4,FALSE)</f>
        <v>223</v>
      </c>
      <c r="B40" t="str">
        <f t="shared" si="3"/>
        <v>232Борисов Олег Александрович</v>
      </c>
      <c r="C40" s="1">
        <v>232</v>
      </c>
      <c r="D40" s="2" t="s">
        <v>37</v>
      </c>
      <c r="E40" s="1" t="s">
        <v>354</v>
      </c>
      <c r="F40" s="16">
        <v>40955</v>
      </c>
      <c r="G40" s="16">
        <v>40940</v>
      </c>
      <c r="H40" s="17">
        <f t="shared" si="5"/>
        <v>47</v>
      </c>
      <c r="I40" s="1">
        <f t="shared" si="1"/>
        <v>47000</v>
      </c>
      <c r="J40" s="17">
        <v>1000</v>
      </c>
      <c r="K40" s="17"/>
      <c r="L40" s="18">
        <f t="shared" si="6"/>
        <v>46000</v>
      </c>
      <c r="M40" s="29">
        <f>SUM('план на 2016'!$L41:M41)-SUM('членские взносы'!$M41:'членские взносы'!M41)</f>
        <v>1800</v>
      </c>
      <c r="N40" s="29">
        <f>SUM('план на 2016'!$L41:N41)-SUM('членские взносы'!$M41:'членские взносы'!N41)</f>
        <v>2600</v>
      </c>
      <c r="O40" s="29">
        <f>SUM('план на 2016'!$L41:O41)-SUM('членские взносы'!$M41:'членские взносы'!O41)</f>
        <v>3400</v>
      </c>
      <c r="P40" s="29">
        <f>SUM('план на 2016'!$L41:P41)-SUM('членские взносы'!$M41:'членские взносы'!P41)</f>
        <v>4200</v>
      </c>
      <c r="Q40" s="29">
        <f>SUM('план на 2016'!$L41:Q41)-SUM('членские взносы'!$M41:'членские взносы'!Q41)</f>
        <v>5000</v>
      </c>
      <c r="R40" s="29">
        <f>SUM('план на 2016'!$L41:R41)-SUM('членские взносы'!$M41:'членские взносы'!R41)</f>
        <v>5800</v>
      </c>
      <c r="S40" s="29">
        <f>SUM('план на 2016'!$L41:S41)-SUM('членские взносы'!$M41:'членские взносы'!S41)</f>
        <v>6600</v>
      </c>
      <c r="T40" s="29">
        <f>SUM('план на 2016'!$L41:T41)-SUM('членские взносы'!$M41:'членские взносы'!T41)</f>
        <v>7400</v>
      </c>
      <c r="U40" s="29">
        <f>SUM('план на 2016'!$L41:U41)-SUM('членские взносы'!$M41:'членские взносы'!U41)</f>
        <v>-1800</v>
      </c>
      <c r="V40" s="29">
        <f>SUM('план на 2016'!$L41:V41)-SUM('членские взносы'!$M41:'членские взносы'!V41)</f>
        <v>-1000</v>
      </c>
      <c r="W40" s="29">
        <f>SUM('план на 2016'!$L41:W41)-SUM('членские взносы'!$M41:'членские взносы'!W41)</f>
        <v>-200</v>
      </c>
      <c r="X40" s="29">
        <f>SUM('план на 2016'!$L41:X41)-SUM('членские взносы'!$M41:'членские взносы'!X41)</f>
        <v>600</v>
      </c>
      <c r="Y40" s="18">
        <f t="shared" si="4"/>
        <v>600</v>
      </c>
    </row>
    <row r="41" spans="1:25">
      <c r="A41" s="41">
        <f>VLOOKUP(B41,справочник!$B$2:$E$322,4,FALSE)</f>
        <v>137</v>
      </c>
      <c r="B41" t="str">
        <f t="shared" si="3"/>
        <v>145Бранцова Татьяна Валерьевна</v>
      </c>
      <c r="C41" s="1">
        <v>145</v>
      </c>
      <c r="D41" s="2" t="s">
        <v>38</v>
      </c>
      <c r="E41" s="1" t="s">
        <v>355</v>
      </c>
      <c r="F41" s="16">
        <v>41030</v>
      </c>
      <c r="G41" s="16">
        <v>41030</v>
      </c>
      <c r="H41" s="17">
        <f t="shared" si="5"/>
        <v>44</v>
      </c>
      <c r="I41" s="1">
        <f t="shared" si="1"/>
        <v>44000</v>
      </c>
      <c r="J41" s="17">
        <v>44000</v>
      </c>
      <c r="K41" s="17"/>
      <c r="L41" s="18">
        <f t="shared" si="6"/>
        <v>0</v>
      </c>
      <c r="M41" s="29">
        <f>SUM('план на 2016'!$L42:M42)-SUM('членские взносы'!$M42:'членские взносы'!M42)</f>
        <v>800</v>
      </c>
      <c r="N41" s="29">
        <f>SUM('план на 2016'!$L42:N42)-SUM('членские взносы'!$M42:'членские взносы'!N42)</f>
        <v>0</v>
      </c>
      <c r="O41" s="29">
        <f>SUM('план на 2016'!$L42:O42)-SUM('членские взносы'!$M42:'членские взносы'!O42)</f>
        <v>800</v>
      </c>
      <c r="P41" s="29">
        <f>SUM('план на 2016'!$L42:P42)-SUM('членские взносы'!$M42:'членские взносы'!P42)</f>
        <v>1600</v>
      </c>
      <c r="Q41" s="29">
        <f>SUM('план на 2016'!$L42:Q42)-SUM('членские взносы'!$M42:'членские взносы'!Q42)</f>
        <v>2400</v>
      </c>
      <c r="R41" s="29">
        <f>SUM('план на 2016'!$L42:R42)-SUM('членские взносы'!$M42:'членские взносы'!R42)</f>
        <v>2400</v>
      </c>
      <c r="S41" s="29">
        <f>SUM('план на 2016'!$L42:S42)-SUM('членские взносы'!$M42:'членские взносы'!S42)</f>
        <v>3200</v>
      </c>
      <c r="T41" s="29">
        <f>SUM('план на 2016'!$L42:T42)-SUM('членские взносы'!$M42:'членские взносы'!T42)</f>
        <v>4000</v>
      </c>
      <c r="U41" s="29">
        <f>SUM('план на 2016'!$L42:U42)-SUM('членские взносы'!$M42:'членские взносы'!U42)</f>
        <v>4800</v>
      </c>
      <c r="V41" s="29">
        <f>SUM('план на 2016'!$L42:V42)-SUM('членские взносы'!$M42:'членские взносы'!V42)</f>
        <v>5600</v>
      </c>
      <c r="W41" s="29">
        <f>SUM('план на 2016'!$L42:W42)-SUM('членские взносы'!$M42:'членские взносы'!W42)</f>
        <v>6400</v>
      </c>
      <c r="X41" s="29">
        <f>SUM('план на 2016'!$L42:X42)-SUM('членские взносы'!$M42:'членские взносы'!X42)</f>
        <v>7200</v>
      </c>
      <c r="Y41" s="18">
        <f t="shared" si="4"/>
        <v>7200</v>
      </c>
    </row>
    <row r="42" spans="1:25">
      <c r="A42" s="41">
        <f>VLOOKUP(B42,справочник!$B$2:$E$322,4,FALSE)</f>
        <v>105</v>
      </c>
      <c r="B42" t="str">
        <f t="shared" si="3"/>
        <v>110Брылёв Андрей Вячеславович</v>
      </c>
      <c r="C42" s="1">
        <v>110</v>
      </c>
      <c r="D42" s="2" t="s">
        <v>39</v>
      </c>
      <c r="E42" s="1" t="s">
        <v>356</v>
      </c>
      <c r="F42" s="16">
        <v>40925</v>
      </c>
      <c r="G42" s="16">
        <v>40909</v>
      </c>
      <c r="H42" s="17">
        <f t="shared" si="5"/>
        <v>48</v>
      </c>
      <c r="I42" s="1">
        <f t="shared" si="1"/>
        <v>48000</v>
      </c>
      <c r="J42" s="17">
        <v>28000</v>
      </c>
      <c r="K42" s="17"/>
      <c r="L42" s="18">
        <f t="shared" si="6"/>
        <v>20000</v>
      </c>
      <c r="M42" s="29">
        <f>SUM('план на 2016'!$L43:M43)-SUM('членские взносы'!$M43:'членские взносы'!M43)</f>
        <v>17800</v>
      </c>
      <c r="N42" s="29">
        <f>SUM('план на 2016'!$L43:N43)-SUM('членские взносы'!$M43:'членские взносы'!N43)</f>
        <v>18600</v>
      </c>
      <c r="O42" s="29">
        <f>SUM('план на 2016'!$L43:O43)-SUM('членские взносы'!$M43:'членские взносы'!O43)</f>
        <v>19400</v>
      </c>
      <c r="P42" s="29">
        <f>SUM('план на 2016'!$L43:P43)-SUM('членские взносы'!$M43:'членские взносы'!P43)</f>
        <v>20200</v>
      </c>
      <c r="Q42" s="29">
        <f>SUM('план на 2016'!$L43:Q43)-SUM('членские взносы'!$M43:'членские взносы'!Q43)</f>
        <v>21000</v>
      </c>
      <c r="R42" s="29">
        <f>SUM('план на 2016'!$L43:R43)-SUM('членские взносы'!$M43:'членские взносы'!R43)</f>
        <v>21000</v>
      </c>
      <c r="S42" s="29">
        <f>SUM('план на 2016'!$L43:S43)-SUM('членские взносы'!$M43:'членские взносы'!S43)</f>
        <v>21800</v>
      </c>
      <c r="T42" s="29">
        <f>SUM('план на 2016'!$L43:T43)-SUM('членские взносы'!$M43:'членские взносы'!T43)</f>
        <v>22600</v>
      </c>
      <c r="U42" s="29">
        <f>SUM('план на 2016'!$L43:U43)-SUM('членские взносы'!$M43:'членские взносы'!U43)</f>
        <v>21800</v>
      </c>
      <c r="V42" s="29">
        <f>SUM('план на 2016'!$L43:V43)-SUM('членские взносы'!$M43:'членские взносы'!V43)</f>
        <v>22600</v>
      </c>
      <c r="W42" s="29">
        <f>SUM('план на 2016'!$L43:W43)-SUM('членские взносы'!$M43:'членские взносы'!W43)</f>
        <v>23400</v>
      </c>
      <c r="X42" s="29">
        <f>SUM('план на 2016'!$L43:X43)-SUM('членские взносы'!$M43:'членские взносы'!X43)</f>
        <v>23400</v>
      </c>
      <c r="Y42" s="18">
        <f t="shared" si="4"/>
        <v>23400</v>
      </c>
    </row>
    <row r="43" spans="1:25">
      <c r="A43" s="41">
        <f>VLOOKUP(B43,справочник!$B$2:$E$322,4,FALSE)</f>
        <v>98</v>
      </c>
      <c r="B43" t="str">
        <f t="shared" si="3"/>
        <v>103Бугрова Вероника Артуровна</v>
      </c>
      <c r="C43" s="1">
        <v>103</v>
      </c>
      <c r="D43" s="2" t="s">
        <v>40</v>
      </c>
      <c r="E43" s="1" t="s">
        <v>357</v>
      </c>
      <c r="F43" s="16">
        <v>40897</v>
      </c>
      <c r="G43" s="16">
        <v>40878</v>
      </c>
      <c r="H43" s="17">
        <f t="shared" si="5"/>
        <v>49</v>
      </c>
      <c r="I43" s="1">
        <f t="shared" si="1"/>
        <v>49000</v>
      </c>
      <c r="J43" s="17">
        <f>29000+1000</f>
        <v>30000</v>
      </c>
      <c r="K43" s="17"/>
      <c r="L43" s="18">
        <f t="shared" si="6"/>
        <v>19000</v>
      </c>
      <c r="M43" s="29">
        <f>SUM('план на 2016'!$L44:M44)-SUM('членские взносы'!$M44:'членские взносы'!M44)</f>
        <v>19800</v>
      </c>
      <c r="N43" s="29">
        <f>SUM('план на 2016'!$L44:N44)-SUM('членские взносы'!$M44:'членские взносы'!N44)</f>
        <v>20600</v>
      </c>
      <c r="O43" s="29">
        <f>SUM('план на 2016'!$L44:O44)-SUM('членские взносы'!$M44:'членские взносы'!O44)</f>
        <v>21400</v>
      </c>
      <c r="P43" s="29">
        <f>SUM('план на 2016'!$L44:P44)-SUM('членские взносы'!$M44:'членские взносы'!P44)</f>
        <v>22200</v>
      </c>
      <c r="Q43" s="29">
        <f>SUM('план на 2016'!$L44:Q44)-SUM('членские взносы'!$M44:'членские взносы'!Q44)</f>
        <v>23000</v>
      </c>
      <c r="R43" s="29">
        <f>SUM('план на 2016'!$L44:R44)-SUM('членские взносы'!$M44:'членские взносы'!R44)</f>
        <v>23800</v>
      </c>
      <c r="S43" s="29">
        <f>SUM('план на 2016'!$L44:S44)-SUM('членские взносы'!$M44:'членские взносы'!S44)</f>
        <v>24600</v>
      </c>
      <c r="T43" s="29">
        <f>SUM('план на 2016'!$L44:T44)-SUM('членские взносы'!$M44:'членские взносы'!T44)</f>
        <v>21400</v>
      </c>
      <c r="U43" s="29">
        <f>SUM('план на 2016'!$L44:U44)-SUM('членские взносы'!$M44:'членские взносы'!U44)</f>
        <v>22200</v>
      </c>
      <c r="V43" s="29">
        <f>SUM('план на 2016'!$L44:V44)-SUM('членские взносы'!$M44:'членские взносы'!V44)</f>
        <v>23000</v>
      </c>
      <c r="W43" s="29">
        <f>SUM('план на 2016'!$L44:W44)-SUM('членские взносы'!$M44:'членские взносы'!W44)</f>
        <v>23800</v>
      </c>
      <c r="X43" s="29">
        <f>SUM('план на 2016'!$L44:X44)-SUM('членские взносы'!$M44:'членские взносы'!X44)</f>
        <v>24600</v>
      </c>
      <c r="Y43" s="18">
        <f t="shared" si="4"/>
        <v>24600</v>
      </c>
    </row>
    <row r="44" spans="1:25">
      <c r="A44" s="41">
        <f>VLOOKUP(B44,справочник!$B$2:$E$322,4,FALSE)</f>
        <v>274</v>
      </c>
      <c r="B44" t="str">
        <f t="shared" si="3"/>
        <v>287Будаев Андрей Анатольевич</v>
      </c>
      <c r="C44" s="1">
        <v>287</v>
      </c>
      <c r="D44" s="2" t="s">
        <v>41</v>
      </c>
      <c r="E44" s="5"/>
      <c r="F44" s="19">
        <v>42023</v>
      </c>
      <c r="G44" s="19">
        <v>42036</v>
      </c>
      <c r="H44" s="20">
        <f t="shared" si="5"/>
        <v>11</v>
      </c>
      <c r="I44" s="5">
        <f t="shared" si="1"/>
        <v>11000</v>
      </c>
      <c r="J44" s="20">
        <v>2000</v>
      </c>
      <c r="K44" s="20"/>
      <c r="L44" s="21">
        <f t="shared" si="6"/>
        <v>9000</v>
      </c>
      <c r="M44" s="29">
        <f>SUM('план на 2016'!$L45:M45)-SUM('членские взносы'!$M45:'членские взносы'!M45)</f>
        <v>9800</v>
      </c>
      <c r="N44" s="29">
        <f>SUM('план на 2016'!$L45:N45)-SUM('членские взносы'!$M45:'членские взносы'!N45)</f>
        <v>10600</v>
      </c>
      <c r="O44" s="29">
        <f>SUM('план на 2016'!$L45:O45)-SUM('членские взносы'!$M45:'членские взносы'!O45)</f>
        <v>9800</v>
      </c>
      <c r="P44" s="29">
        <f>SUM('план на 2016'!$L45:P45)-SUM('членские взносы'!$M45:'членские взносы'!P45)</f>
        <v>10600</v>
      </c>
      <c r="Q44" s="29">
        <f>SUM('план на 2016'!$L45:Q45)-SUM('членские взносы'!$M45:'членские взносы'!Q45)</f>
        <v>11400</v>
      </c>
      <c r="R44" s="29">
        <f>SUM('план на 2016'!$L45:R45)-SUM('членские взносы'!$M45:'членские взносы'!R45)</f>
        <v>-14600</v>
      </c>
      <c r="S44" s="29">
        <f>SUM('план на 2016'!$L45:S45)-SUM('членские взносы'!$M45:'членские взносы'!S45)</f>
        <v>-14600</v>
      </c>
      <c r="T44" s="29">
        <f>SUM('план на 2016'!$L45:T45)-SUM('членские взносы'!$M45:'членские взносы'!T45)</f>
        <v>-13800</v>
      </c>
      <c r="U44" s="29">
        <f>SUM('план на 2016'!$L45:U45)-SUM('членские взносы'!$M45:'членские взносы'!U45)</f>
        <v>-13000</v>
      </c>
      <c r="V44" s="29">
        <f>SUM('план на 2016'!$L45:V45)-SUM('членские взносы'!$M45:'членские взносы'!V45)</f>
        <v>-12200</v>
      </c>
      <c r="W44" s="29">
        <f>SUM('план на 2016'!$L45:W45)-SUM('членские взносы'!$M45:'членские взносы'!W45)</f>
        <v>-11400</v>
      </c>
      <c r="X44" s="29">
        <f>SUM('план на 2016'!$L45:X45)-SUM('членские взносы'!$M45:'членские взносы'!X45)</f>
        <v>-10600</v>
      </c>
      <c r="Y44" s="18">
        <f t="shared" si="4"/>
        <v>-10600</v>
      </c>
    </row>
    <row r="45" spans="1:25">
      <c r="A45" s="41">
        <f>VLOOKUP(B45,справочник!$B$2:$E$322,4,FALSE)</f>
        <v>274</v>
      </c>
      <c r="B45" t="str">
        <f t="shared" si="3"/>
        <v>295Будаев Андрей Анатольевич</v>
      </c>
      <c r="C45" s="1">
        <v>295</v>
      </c>
      <c r="D45" s="2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/>
      <c r="K45" s="20"/>
      <c r="L45" s="21">
        <f t="shared" si="6"/>
        <v>11000</v>
      </c>
      <c r="M45" s="29">
        <f>SUM('план на 2016'!$L46:M46)-SUM('членские взносы'!$M46:'членские взносы'!M46)</f>
        <v>11000</v>
      </c>
      <c r="N45" s="29">
        <f>SUM('план на 2016'!$L46:N46)-SUM('членские взносы'!$M46:'членские взносы'!N46)</f>
        <v>11000</v>
      </c>
      <c r="O45" s="29">
        <f>SUM('план на 2016'!$L46:O46)-SUM('членские взносы'!$M46:'членские взносы'!O46)</f>
        <v>11000</v>
      </c>
      <c r="P45" s="29">
        <f>SUM('план на 2016'!$L46:P46)-SUM('членские взносы'!$M46:'членские взносы'!P46)</f>
        <v>11000</v>
      </c>
      <c r="Q45" s="29">
        <f>SUM('план на 2016'!$L46:Q46)-SUM('членские взносы'!$M46:'членские взносы'!Q46)</f>
        <v>11000</v>
      </c>
      <c r="R45" s="29">
        <f>SUM('план на 2016'!$L46:R46)-SUM('членские взносы'!$M46:'членские взносы'!R46)</f>
        <v>11000</v>
      </c>
      <c r="S45" s="29">
        <f>SUM('план на 2016'!$L46:S46)-SUM('членские взносы'!$M46:'членские взносы'!S46)</f>
        <v>11000</v>
      </c>
      <c r="T45" s="29">
        <f>SUM('план на 2016'!$L46:T46)-SUM('членские взносы'!$M46:'членские взносы'!T46)</f>
        <v>11000</v>
      </c>
      <c r="U45" s="29">
        <f>SUM('план на 2016'!$L46:U46)-SUM('членские взносы'!$M46:'членские взносы'!U46)</f>
        <v>9400</v>
      </c>
      <c r="V45" s="29">
        <f>SUM('план на 2016'!$L46:V46)-SUM('членские взносы'!$M46:'членские взносы'!V46)</f>
        <v>8600</v>
      </c>
      <c r="W45" s="29">
        <f>SUM('план на 2016'!$L46:W46)-SUM('членские взносы'!$M46:'членские взносы'!W46)</f>
        <v>7800</v>
      </c>
      <c r="X45" s="29">
        <f>SUM('план на 2016'!$L46:X46)-SUM('членские взносы'!$M46:'членские взносы'!X46)</f>
        <v>7000</v>
      </c>
      <c r="Y45" s="18">
        <f t="shared" si="4"/>
        <v>7000</v>
      </c>
    </row>
    <row r="46" spans="1:25">
      <c r="A46" s="41">
        <f>VLOOKUP(B46,справочник!$B$2:$E$322,4,FALSE)</f>
        <v>175</v>
      </c>
      <c r="B46" t="str">
        <f t="shared" si="3"/>
        <v>183Буланова Лилия Михайловна</v>
      </c>
      <c r="C46" s="1">
        <v>183</v>
      </c>
      <c r="D46" s="2" t="s">
        <v>42</v>
      </c>
      <c r="E46" s="1" t="s">
        <v>358</v>
      </c>
      <c r="F46" s="19">
        <v>41865</v>
      </c>
      <c r="G46" s="19">
        <v>41883</v>
      </c>
      <c r="H46" s="20">
        <f t="shared" si="5"/>
        <v>16</v>
      </c>
      <c r="I46" s="5">
        <f t="shared" si="1"/>
        <v>16000</v>
      </c>
      <c r="J46" s="20"/>
      <c r="K46" s="20"/>
      <c r="L46" s="21">
        <f t="shared" si="6"/>
        <v>16000</v>
      </c>
      <c r="M46" s="29">
        <f>SUM('план на 2016'!$L47:M47)-SUM('членские взносы'!$M47:'членские взносы'!M47)</f>
        <v>16800</v>
      </c>
      <c r="N46" s="29">
        <f>SUM('план на 2016'!$L47:N47)-SUM('членские взносы'!$M47:'членские взносы'!N47)</f>
        <v>17600</v>
      </c>
      <c r="O46" s="29">
        <f>SUM('план на 2016'!$L47:O47)-SUM('членские взносы'!$M47:'членские взносы'!O47)</f>
        <v>18400</v>
      </c>
      <c r="P46" s="29">
        <f>SUM('план на 2016'!$L47:P47)-SUM('членские взносы'!$M47:'членские взносы'!P47)</f>
        <v>19200</v>
      </c>
      <c r="Q46" s="29">
        <f>SUM('план на 2016'!$L47:Q47)-SUM('членские взносы'!$M47:'членские взносы'!Q47)</f>
        <v>-1600</v>
      </c>
      <c r="R46" s="29">
        <f>SUM('план на 2016'!$L47:R47)-SUM('членские взносы'!$M47:'членские взносы'!R47)</f>
        <v>-800</v>
      </c>
      <c r="S46" s="29">
        <f>SUM('план на 2016'!$L47:S47)-SUM('членские взносы'!$M47:'членские взносы'!S47)</f>
        <v>0</v>
      </c>
      <c r="T46" s="29">
        <f>SUM('план на 2016'!$L47:T47)-SUM('членские взносы'!$M47:'членские взносы'!T47)</f>
        <v>800</v>
      </c>
      <c r="U46" s="29">
        <f>SUM('план на 2016'!$L47:U47)-SUM('членские взносы'!$M47:'членские взносы'!U47)</f>
        <v>-18400</v>
      </c>
      <c r="V46" s="29">
        <f>SUM('план на 2016'!$L47:V47)-SUM('членские взносы'!$M47:'членские взносы'!V47)</f>
        <v>-17600</v>
      </c>
      <c r="W46" s="29">
        <f>SUM('план на 2016'!$L47:W47)-SUM('членские взносы'!$M47:'членские взносы'!W47)</f>
        <v>-16800</v>
      </c>
      <c r="X46" s="29">
        <f>SUM('план на 2016'!$L47:X47)-SUM('членские взносы'!$M47:'членские взносы'!X47)</f>
        <v>-16000</v>
      </c>
      <c r="Y46" s="18">
        <f t="shared" si="4"/>
        <v>-16000</v>
      </c>
    </row>
    <row r="47" spans="1:25">
      <c r="A47" s="41">
        <f>VLOOKUP(B47,справочник!$B$2:$E$322,4,FALSE)</f>
        <v>175</v>
      </c>
      <c r="B47" t="str">
        <f t="shared" si="3"/>
        <v>187Буланова Лилия Михайловна</v>
      </c>
      <c r="C47" s="1">
        <v>187</v>
      </c>
      <c r="D47" s="2" t="s">
        <v>42</v>
      </c>
      <c r="E47" s="1" t="s">
        <v>359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9">
        <f>SUM('план на 2016'!$L48:M48)-SUM('членские взносы'!$M48:'членские взносы'!M48)</f>
        <v>16000</v>
      </c>
      <c r="N47" s="29">
        <f>SUM('план на 2016'!$L48:N48)-SUM('членские взносы'!$M48:'членские взносы'!N48)</f>
        <v>16000</v>
      </c>
      <c r="O47" s="29">
        <f>SUM('план на 2016'!$L48:O48)-SUM('членские взносы'!$M48:'членские взносы'!O48)</f>
        <v>16000</v>
      </c>
      <c r="P47" s="29">
        <f>SUM('план на 2016'!$L48:P48)-SUM('членские взносы'!$M48:'членские взносы'!P48)</f>
        <v>16000</v>
      </c>
      <c r="Q47" s="29">
        <f>SUM('план на 2016'!$L48:Q48)-SUM('членские взносы'!$M48:'членские взносы'!Q48)</f>
        <v>16000</v>
      </c>
      <c r="R47" s="29">
        <f>SUM('план на 2016'!$L48:R48)-SUM('членские взносы'!$M48:'членские взносы'!R48)</f>
        <v>16000</v>
      </c>
      <c r="S47" s="29">
        <f>SUM('план на 2016'!$L48:S48)-SUM('членские взносы'!$M48:'членские взносы'!S48)</f>
        <v>16000</v>
      </c>
      <c r="T47" s="29">
        <f>SUM('план на 2016'!$L48:T48)-SUM('членские взносы'!$M48:'членские взносы'!T48)</f>
        <v>16000</v>
      </c>
      <c r="U47" s="29">
        <f>SUM('план на 2016'!$L48:U48)-SUM('членские взносы'!$M48:'членские взносы'!U48)</f>
        <v>16000</v>
      </c>
      <c r="V47" s="29">
        <f>SUM('план на 2016'!$L48:V48)-SUM('членские взносы'!$M48:'членские взносы'!V48)</f>
        <v>16000</v>
      </c>
      <c r="W47" s="29">
        <f>SUM('план на 2016'!$L48:W48)-SUM('членские взносы'!$M48:'членские взносы'!W48)</f>
        <v>16000</v>
      </c>
      <c r="X47" s="29">
        <f>SUM('план на 2016'!$L48:X48)-SUM('членские взносы'!$M48:'членские взносы'!X48)</f>
        <v>16000</v>
      </c>
      <c r="Y47" s="18">
        <f t="shared" si="4"/>
        <v>16000</v>
      </c>
    </row>
    <row r="48" spans="1:25">
      <c r="A48" s="41">
        <f>VLOOKUP(B48,справочник!$B$2:$E$322,4,FALSE)</f>
        <v>303</v>
      </c>
      <c r="B48" t="str">
        <f t="shared" si="3"/>
        <v>318Бурдух Юрие</v>
      </c>
      <c r="C48" s="1">
        <v>318</v>
      </c>
      <c r="D48" s="2" t="s">
        <v>43</v>
      </c>
      <c r="E48" s="1" t="s">
        <v>360</v>
      </c>
      <c r="F48" s="19">
        <v>42002</v>
      </c>
      <c r="G48" s="19">
        <v>42005</v>
      </c>
      <c r="H48" s="20">
        <f t="shared" si="5"/>
        <v>12</v>
      </c>
      <c r="I48" s="5">
        <f t="shared" si="1"/>
        <v>12000</v>
      </c>
      <c r="J48" s="20"/>
      <c r="K48" s="20"/>
      <c r="L48" s="21">
        <f t="shared" si="6"/>
        <v>12000</v>
      </c>
      <c r="M48" s="29">
        <f>SUM('план на 2016'!$L49:M49)-SUM('членские взносы'!$M49:'членские взносы'!M49)</f>
        <v>12800</v>
      </c>
      <c r="N48" s="29">
        <f>SUM('план на 2016'!$L49:N49)-SUM('членские взносы'!$M49:'членские взносы'!N49)</f>
        <v>13600</v>
      </c>
      <c r="O48" s="29">
        <f>SUM('план на 2016'!$L49:O49)-SUM('членские взносы'!$M49:'членские взносы'!O49)</f>
        <v>14400</v>
      </c>
      <c r="P48" s="29">
        <f>SUM('план на 2016'!$L49:P49)-SUM('членские взносы'!$M49:'членские взносы'!P49)</f>
        <v>15200</v>
      </c>
      <c r="Q48" s="29">
        <f>SUM('план на 2016'!$L49:Q49)-SUM('членские взносы'!$M49:'членские взносы'!Q49)</f>
        <v>16000</v>
      </c>
      <c r="R48" s="29">
        <f>SUM('план на 2016'!$L49:R49)-SUM('членские взносы'!$M49:'членские взносы'!R49)</f>
        <v>16800</v>
      </c>
      <c r="S48" s="29">
        <f>SUM('план на 2016'!$L49:S49)-SUM('членские взносы'!$M49:'членские взносы'!S49)</f>
        <v>17600</v>
      </c>
      <c r="T48" s="29">
        <f>SUM('план на 2016'!$L49:T49)-SUM('членские взносы'!$M49:'членские взносы'!T49)</f>
        <v>18400</v>
      </c>
      <c r="U48" s="29">
        <f>SUM('план на 2016'!$L49:U49)-SUM('членские взносы'!$M49:'членские взносы'!U49)</f>
        <v>19200</v>
      </c>
      <c r="V48" s="29">
        <f>SUM('план на 2016'!$L49:V49)-SUM('членские взносы'!$M49:'членские взносы'!V49)</f>
        <v>20000</v>
      </c>
      <c r="W48" s="29">
        <f>SUM('план на 2016'!$L49:W49)-SUM('членские взносы'!$M49:'членские взносы'!W49)</f>
        <v>20800</v>
      </c>
      <c r="X48" s="29">
        <f>SUM('план на 2016'!$L49:X49)-SUM('членские взносы'!$M49:'членские взносы'!X49)</f>
        <v>21600</v>
      </c>
      <c r="Y48" s="18">
        <f t="shared" si="4"/>
        <v>21600</v>
      </c>
    </row>
    <row r="49" spans="1:25">
      <c r="A49" s="41">
        <f>VLOOKUP(B49,справочник!$B$2:$E$322,4,FALSE)</f>
        <v>303</v>
      </c>
      <c r="B49" t="str">
        <f t="shared" si="3"/>
        <v>319Бурдух Юрие</v>
      </c>
      <c r="C49" s="1">
        <v>319</v>
      </c>
      <c r="D49" s="2" t="s">
        <v>43</v>
      </c>
      <c r="E49" s="1" t="s">
        <v>361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9">
        <f>SUM('план на 2016'!$L50:M50)-SUM('членские взносы'!$M50:'членские взносы'!M50)</f>
        <v>12000</v>
      </c>
      <c r="N49" s="29">
        <f>SUM('план на 2016'!$L50:N50)-SUM('членские взносы'!$M50:'членские взносы'!N50)</f>
        <v>12000</v>
      </c>
      <c r="O49" s="29">
        <f>SUM('план на 2016'!$L50:O50)-SUM('членские взносы'!$M50:'членские взносы'!O50)</f>
        <v>12000</v>
      </c>
      <c r="P49" s="29">
        <f>SUM('план на 2016'!$L50:P50)-SUM('членские взносы'!$M50:'членские взносы'!P50)</f>
        <v>12000</v>
      </c>
      <c r="Q49" s="29">
        <f>SUM('план на 2016'!$L50:Q50)-SUM('членские взносы'!$M50:'членские взносы'!Q50)</f>
        <v>12000</v>
      </c>
      <c r="R49" s="29">
        <f>SUM('план на 2016'!$L50:R50)-SUM('членские взносы'!$M50:'членские взносы'!R50)</f>
        <v>12000</v>
      </c>
      <c r="S49" s="29">
        <f>SUM('план на 2016'!$L50:S50)-SUM('членские взносы'!$M50:'членские взносы'!S50)</f>
        <v>12000</v>
      </c>
      <c r="T49" s="29">
        <f>SUM('план на 2016'!$L50:T50)-SUM('членские взносы'!$M50:'членские взносы'!T50)</f>
        <v>12000</v>
      </c>
      <c r="U49" s="29">
        <f>SUM('план на 2016'!$L50:U50)-SUM('членские взносы'!$M50:'членские взносы'!U50)</f>
        <v>12000</v>
      </c>
      <c r="V49" s="29">
        <f>SUM('план на 2016'!$L50:V50)-SUM('членские взносы'!$M50:'членские взносы'!V50)</f>
        <v>12000</v>
      </c>
      <c r="W49" s="29">
        <f>SUM('план на 2016'!$L50:W50)-SUM('членские взносы'!$M50:'членские взносы'!W50)</f>
        <v>12000</v>
      </c>
      <c r="X49" s="29">
        <f>SUM('план на 2016'!$L50:X50)-SUM('членские взносы'!$M50:'членские взносы'!X50)</f>
        <v>12000</v>
      </c>
      <c r="Y49" s="18">
        <f t="shared" si="4"/>
        <v>12000</v>
      </c>
    </row>
    <row r="50" spans="1:25">
      <c r="A50" s="41">
        <f>VLOOKUP(B50,справочник!$B$2:$E$322,4,FALSE)</f>
        <v>90</v>
      </c>
      <c r="B50" t="str">
        <f t="shared" si="3"/>
        <v>95Быданцева Нина Юрьевна</v>
      </c>
      <c r="C50" s="1">
        <v>95</v>
      </c>
      <c r="D50" s="2" t="s">
        <v>44</v>
      </c>
      <c r="E50" s="1" t="s">
        <v>362</v>
      </c>
      <c r="F50" s="16">
        <v>40795</v>
      </c>
      <c r="G50" s="16">
        <v>40787</v>
      </c>
      <c r="H50" s="17">
        <f t="shared" si="5"/>
        <v>52</v>
      </c>
      <c r="I50" s="1">
        <f t="shared" si="1"/>
        <v>52000</v>
      </c>
      <c r="J50" s="17">
        <f>36000+4000+12000</f>
        <v>52000</v>
      </c>
      <c r="K50" s="17"/>
      <c r="L50" s="18">
        <f t="shared" si="6"/>
        <v>0</v>
      </c>
      <c r="M50" s="29">
        <f>SUM('план на 2016'!$L51:M51)-SUM('членские взносы'!$M51:'членские взносы'!M51)</f>
        <v>800</v>
      </c>
      <c r="N50" s="29">
        <f>SUM('план на 2016'!$L51:N51)-SUM('членские взносы'!$M51:'членские взносы'!N51)</f>
        <v>1600</v>
      </c>
      <c r="O50" s="29">
        <f>SUM('план на 2016'!$L51:O51)-SUM('членские взносы'!$M51:'членские взносы'!O51)</f>
        <v>2400</v>
      </c>
      <c r="P50" s="29">
        <f>SUM('план на 2016'!$L51:P51)-SUM('членские взносы'!$M51:'членские взносы'!P51)</f>
        <v>-1600</v>
      </c>
      <c r="Q50" s="29">
        <f>SUM('план на 2016'!$L51:Q51)-SUM('членские взносы'!$M51:'членские взносы'!Q51)</f>
        <v>-800</v>
      </c>
      <c r="R50" s="29">
        <f>SUM('план на 2016'!$L51:R51)-SUM('членские взносы'!$M51:'членские взносы'!R51)</f>
        <v>0</v>
      </c>
      <c r="S50" s="29">
        <f>SUM('план на 2016'!$L51:S51)-SUM('членские взносы'!$M51:'членские взносы'!S51)</f>
        <v>800</v>
      </c>
      <c r="T50" s="29">
        <f>SUM('план на 2016'!$L51:T51)-SUM('членские взносы'!$M51:'членские взносы'!T51)</f>
        <v>1600</v>
      </c>
      <c r="U50" s="29">
        <f>SUM('план на 2016'!$L51:U51)-SUM('членские взносы'!$M51:'членские взносы'!U51)</f>
        <v>-2400</v>
      </c>
      <c r="V50" s="29">
        <f>SUM('план на 2016'!$L51:V51)-SUM('членские взносы'!$M51:'членские взносы'!V51)</f>
        <v>-1600</v>
      </c>
      <c r="W50" s="29">
        <f>SUM('план на 2016'!$L51:W51)-SUM('членские взносы'!$M51:'членские взносы'!W51)</f>
        <v>-800</v>
      </c>
      <c r="X50" s="29">
        <f>SUM('план на 2016'!$L51:X51)-SUM('членские взносы'!$M51:'членские взносы'!X51)</f>
        <v>0</v>
      </c>
      <c r="Y50" s="18">
        <f t="shared" si="4"/>
        <v>0</v>
      </c>
    </row>
    <row r="51" spans="1:25">
      <c r="A51" s="41">
        <f>VLOOKUP(B51,справочник!$B$2:$E$322,4,FALSE)</f>
        <v>206</v>
      </c>
      <c r="B51" t="str">
        <f t="shared" si="3"/>
        <v>216Валеев Артур Рашидович</v>
      </c>
      <c r="C51" s="1">
        <v>216</v>
      </c>
      <c r="D51" s="2" t="s">
        <v>45</v>
      </c>
      <c r="E51" s="1" t="s">
        <v>363</v>
      </c>
      <c r="F51" s="16">
        <v>40953</v>
      </c>
      <c r="G51" s="16">
        <v>40940</v>
      </c>
      <c r="H51" s="17">
        <f t="shared" si="5"/>
        <v>47</v>
      </c>
      <c r="I51" s="1">
        <f t="shared" si="1"/>
        <v>47000</v>
      </c>
      <c r="J51" s="17">
        <v>38000</v>
      </c>
      <c r="K51" s="17"/>
      <c r="L51" s="18">
        <f t="shared" si="6"/>
        <v>9000</v>
      </c>
      <c r="M51" s="29">
        <f>SUM('план на 2016'!$L52:M52)-SUM('членские взносы'!$M52:'членские взносы'!M52)</f>
        <v>9800</v>
      </c>
      <c r="N51" s="29">
        <f>SUM('план на 2016'!$L52:N52)-SUM('членские взносы'!$M52:'членские взносы'!N52)</f>
        <v>10600</v>
      </c>
      <c r="O51" s="29">
        <f>SUM('план на 2016'!$L52:O52)-SUM('членские взносы'!$M52:'членские взносы'!O52)</f>
        <v>11400</v>
      </c>
      <c r="P51" s="29">
        <f>SUM('план на 2016'!$L52:P52)-SUM('членские взносы'!$M52:'членские взносы'!P52)</f>
        <v>12200</v>
      </c>
      <c r="Q51" s="29">
        <f>SUM('план на 2016'!$L52:Q52)-SUM('членские взносы'!$M52:'членские взносы'!Q52)</f>
        <v>13000</v>
      </c>
      <c r="R51" s="29">
        <f>SUM('план на 2016'!$L52:R52)-SUM('членские взносы'!$M52:'членские взносы'!R52)</f>
        <v>13800</v>
      </c>
      <c r="S51" s="29">
        <f>SUM('план на 2016'!$L52:S52)-SUM('членские взносы'!$M52:'членские взносы'!S52)</f>
        <v>14600</v>
      </c>
      <c r="T51" s="29">
        <f>SUM('план на 2016'!$L52:T52)-SUM('членские взносы'!$M52:'членские взносы'!T52)</f>
        <v>15400</v>
      </c>
      <c r="U51" s="29">
        <f>SUM('план на 2016'!$L52:U52)-SUM('членские взносы'!$M52:'членские взносы'!U52)</f>
        <v>16200</v>
      </c>
      <c r="V51" s="29">
        <f>SUM('план на 2016'!$L52:V52)-SUM('членские взносы'!$M52:'членские взносы'!V52)</f>
        <v>17000</v>
      </c>
      <c r="W51" s="29">
        <f>SUM('план на 2016'!$L52:W52)-SUM('членские взносы'!$M52:'членские взносы'!W52)</f>
        <v>17800</v>
      </c>
      <c r="X51" s="29">
        <f>SUM('план на 2016'!$L52:X52)-SUM('членские взносы'!$M52:'членские взносы'!X52)</f>
        <v>8600</v>
      </c>
      <c r="Y51" s="18">
        <f t="shared" si="4"/>
        <v>8600</v>
      </c>
    </row>
    <row r="52" spans="1:25">
      <c r="A52" s="41">
        <f>VLOOKUP(B52,справочник!$B$2:$E$322,4,FALSE)</f>
        <v>101</v>
      </c>
      <c r="B52" t="str">
        <f t="shared" si="3"/>
        <v>106Васильев Николай Владимирович</v>
      </c>
      <c r="C52" s="1">
        <v>106</v>
      </c>
      <c r="D52" s="2" t="s">
        <v>46</v>
      </c>
      <c r="E52" s="1" t="s">
        <v>364</v>
      </c>
      <c r="F52" s="16">
        <v>40816</v>
      </c>
      <c r="G52" s="16">
        <v>40787</v>
      </c>
      <c r="H52" s="17">
        <f t="shared" si="5"/>
        <v>52</v>
      </c>
      <c r="I52" s="1">
        <f t="shared" si="1"/>
        <v>52000</v>
      </c>
      <c r="J52" s="17">
        <f>42000+1000</f>
        <v>43000</v>
      </c>
      <c r="K52" s="17"/>
      <c r="L52" s="18">
        <f t="shared" si="6"/>
        <v>9000</v>
      </c>
      <c r="M52" s="29">
        <f>SUM('план на 2016'!$L53:M53)-SUM('членские взносы'!$M53:'членские взносы'!M53)</f>
        <v>2800</v>
      </c>
      <c r="N52" s="29">
        <f>SUM('план на 2016'!$L53:N53)-SUM('членские взносы'!$M53:'членские взносы'!N53)</f>
        <v>3600</v>
      </c>
      <c r="O52" s="29">
        <f>SUM('план на 2016'!$L53:O53)-SUM('членские взносы'!$M53:'членские взносы'!O53)</f>
        <v>4400</v>
      </c>
      <c r="P52" s="29">
        <f>SUM('план на 2016'!$L53:P53)-SUM('членские взносы'!$M53:'членские взносы'!P53)</f>
        <v>5200</v>
      </c>
      <c r="Q52" s="29">
        <f>SUM('план на 2016'!$L53:Q53)-SUM('членские взносы'!$M53:'членские взносы'!Q53)</f>
        <v>6000</v>
      </c>
      <c r="R52" s="29">
        <f>SUM('план на 2016'!$L53:R53)-SUM('членские взносы'!$M53:'членские взносы'!R53)</f>
        <v>6800</v>
      </c>
      <c r="S52" s="29">
        <f>SUM('план на 2016'!$L53:S53)-SUM('членские взносы'!$M53:'членские взносы'!S53)</f>
        <v>7600</v>
      </c>
      <c r="T52" s="29">
        <f>SUM('план на 2016'!$L53:T53)-SUM('членские взносы'!$M53:'членские взносы'!T53)</f>
        <v>8400</v>
      </c>
      <c r="U52" s="29">
        <f>SUM('план на 2016'!$L53:U53)-SUM('членские взносы'!$M53:'членские взносы'!U53)</f>
        <v>9200</v>
      </c>
      <c r="V52" s="29">
        <f>SUM('план на 2016'!$L53:V53)-SUM('членские взносы'!$M53:'членские взносы'!V53)</f>
        <v>10000</v>
      </c>
      <c r="W52" s="29">
        <f>SUM('план на 2016'!$L53:W53)-SUM('членские взносы'!$M53:'членские взносы'!W53)</f>
        <v>10800</v>
      </c>
      <c r="X52" s="29">
        <f>SUM('план на 2016'!$L53:X53)-SUM('членские взносы'!$M53:'членские взносы'!X53)</f>
        <v>11600</v>
      </c>
      <c r="Y52" s="18">
        <f t="shared" si="4"/>
        <v>11600</v>
      </c>
    </row>
    <row r="53" spans="1:25">
      <c r="A53" s="41">
        <f>VLOOKUP(B53,справочник!$B$2:$E$322,4,FALSE)</f>
        <v>86</v>
      </c>
      <c r="B53" t="str">
        <f t="shared" si="3"/>
        <v>91Васильева Ольга Александровна</v>
      </c>
      <c r="C53" s="1">
        <v>91</v>
      </c>
      <c r="D53" s="2" t="s">
        <v>47</v>
      </c>
      <c r="E53" s="1" t="s">
        <v>365</v>
      </c>
      <c r="F53" s="16">
        <v>40847</v>
      </c>
      <c r="G53" s="16">
        <v>40817</v>
      </c>
      <c r="H53" s="17">
        <f t="shared" si="5"/>
        <v>51</v>
      </c>
      <c r="I53" s="1">
        <f t="shared" si="1"/>
        <v>51000</v>
      </c>
      <c r="J53" s="17">
        <f>34000+13000</f>
        <v>47000</v>
      </c>
      <c r="K53" s="17">
        <v>4000</v>
      </c>
      <c r="L53" s="18">
        <f t="shared" si="6"/>
        <v>0</v>
      </c>
      <c r="M53" s="29">
        <f>SUM('план на 2016'!$L54:M54)-SUM('членские взносы'!$M54:'членские взносы'!M54)</f>
        <v>-200</v>
      </c>
      <c r="N53" s="29">
        <f>SUM('план на 2016'!$L54:N54)-SUM('членские взносы'!$M54:'членские взносы'!N54)</f>
        <v>-1400</v>
      </c>
      <c r="O53" s="29">
        <f>SUM('план на 2016'!$L54:O54)-SUM('членские взносы'!$M54:'членские взносы'!O54)</f>
        <v>-600</v>
      </c>
      <c r="P53" s="29">
        <f>SUM('план на 2016'!$L54:P54)-SUM('членские взносы'!$M54:'членские взносы'!P54)</f>
        <v>-800</v>
      </c>
      <c r="Q53" s="29">
        <f>SUM('план на 2016'!$L54:Q54)-SUM('членские взносы'!$M54:'членские взносы'!Q54)</f>
        <v>0</v>
      </c>
      <c r="R53" s="29">
        <f>SUM('план на 2016'!$L54:R54)-SUM('членские взносы'!$M54:'членские взносы'!R54)</f>
        <v>-800</v>
      </c>
      <c r="S53" s="29">
        <f>SUM('план на 2016'!$L54:S54)-SUM('членские взносы'!$M54:'членские взносы'!S54)</f>
        <v>0</v>
      </c>
      <c r="T53" s="29">
        <f>SUM('план на 2016'!$L54:T54)-SUM('членские взносы'!$M54:'членские взносы'!T54)</f>
        <v>0</v>
      </c>
      <c r="U53" s="29">
        <f>SUM('план на 2016'!$L54:U54)-SUM('членские взносы'!$M54:'членские взносы'!U54)</f>
        <v>0</v>
      </c>
      <c r="V53" s="29">
        <f>SUM('план на 2016'!$L54:V54)-SUM('членские взносы'!$M54:'членские взносы'!V54)</f>
        <v>800</v>
      </c>
      <c r="W53" s="29">
        <f>SUM('план на 2016'!$L54:W54)-SUM('членские взносы'!$M54:'членские взносы'!W54)</f>
        <v>-800</v>
      </c>
      <c r="X53" s="29">
        <f>SUM('план на 2016'!$L54:X54)-SUM('членские взносы'!$M54:'членские взносы'!X54)</f>
        <v>0</v>
      </c>
      <c r="Y53" s="18">
        <f t="shared" si="4"/>
        <v>0</v>
      </c>
    </row>
    <row r="54" spans="1:25">
      <c r="A54" s="41">
        <f>VLOOKUP(B54,справочник!$B$2:$E$322,4,FALSE)</f>
        <v>43</v>
      </c>
      <c r="B54" t="str">
        <f t="shared" si="3"/>
        <v>43Васильцова Елена Владимировна</v>
      </c>
      <c r="C54" s="1">
        <v>43</v>
      </c>
      <c r="D54" s="2" t="s">
        <v>48</v>
      </c>
      <c r="E54" s="1" t="s">
        <v>366</v>
      </c>
      <c r="F54" s="16">
        <v>40786</v>
      </c>
      <c r="G54" s="16">
        <v>40787</v>
      </c>
      <c r="H54" s="17">
        <f t="shared" si="5"/>
        <v>52</v>
      </c>
      <c r="I54" s="1">
        <f t="shared" si="1"/>
        <v>52000</v>
      </c>
      <c r="J54" s="17">
        <f>27000+2000</f>
        <v>29000</v>
      </c>
      <c r="K54" s="17"/>
      <c r="L54" s="18">
        <f t="shared" si="6"/>
        <v>23000</v>
      </c>
      <c r="M54" s="29">
        <f>SUM('план на 2016'!$L55:M55)-SUM('членские взносы'!$M55:'членские взносы'!M55)</f>
        <v>23800</v>
      </c>
      <c r="N54" s="29">
        <f>SUM('план на 2016'!$L55:N55)-SUM('членские взносы'!$M55:'членские взносы'!N55)</f>
        <v>24600</v>
      </c>
      <c r="O54" s="29">
        <f>SUM('план на 2016'!$L55:O55)-SUM('членские взносы'!$M55:'членские взносы'!O55)</f>
        <v>25400</v>
      </c>
      <c r="P54" s="29">
        <f>SUM('план на 2016'!$L55:P55)-SUM('членские взносы'!$M55:'членские взносы'!P55)</f>
        <v>26200</v>
      </c>
      <c r="Q54" s="29">
        <f>SUM('план на 2016'!$L55:Q55)-SUM('членские взносы'!$M55:'членские взносы'!Q55)</f>
        <v>27000</v>
      </c>
      <c r="R54" s="29">
        <f>SUM('план на 2016'!$L55:R55)-SUM('членские взносы'!$M55:'членские взносы'!R55)</f>
        <v>25800</v>
      </c>
      <c r="S54" s="29">
        <f>SUM('план на 2016'!$L55:S55)-SUM('членские взносы'!$M55:'членские взносы'!S55)</f>
        <v>26600</v>
      </c>
      <c r="T54" s="29">
        <f>SUM('план на 2016'!$L55:T55)-SUM('членские взносы'!$M55:'членские взносы'!T55)</f>
        <v>25400</v>
      </c>
      <c r="U54" s="29">
        <f>SUM('план на 2016'!$L55:U55)-SUM('членские взносы'!$M55:'членские взносы'!U55)</f>
        <v>24200</v>
      </c>
      <c r="V54" s="29">
        <f>SUM('план на 2016'!$L55:V55)-SUM('членские взносы'!$M55:'членские взносы'!V55)</f>
        <v>25000</v>
      </c>
      <c r="W54" s="29">
        <f>SUM('план на 2016'!$L55:W55)-SUM('членские взносы'!$M55:'членские взносы'!W55)</f>
        <v>25800</v>
      </c>
      <c r="X54" s="29">
        <f>SUM('план на 2016'!$L55:X55)-SUM('членские взносы'!$M55:'членские взносы'!X55)</f>
        <v>26600</v>
      </c>
      <c r="Y54" s="18">
        <f t="shared" si="4"/>
        <v>26600</v>
      </c>
    </row>
    <row r="55" spans="1:25">
      <c r="A55" s="41">
        <f>VLOOKUP(B55,справочник!$B$2:$E$322,4,FALSE)</f>
        <v>25</v>
      </c>
      <c r="B55" t="str">
        <f t="shared" si="3"/>
        <v>25Вершинина Елена Анатольевна</v>
      </c>
      <c r="C55" s="1">
        <v>25</v>
      </c>
      <c r="D55" s="2" t="s">
        <v>49</v>
      </c>
      <c r="E55" s="1" t="s">
        <v>367</v>
      </c>
      <c r="F55" s="16">
        <v>40955</v>
      </c>
      <c r="G55" s="16">
        <v>40940</v>
      </c>
      <c r="H55" s="17">
        <f t="shared" si="5"/>
        <v>47</v>
      </c>
      <c r="I55" s="1">
        <f t="shared" si="1"/>
        <v>47000</v>
      </c>
      <c r="J55" s="17">
        <f>33000+11000</f>
        <v>44000</v>
      </c>
      <c r="K55" s="17">
        <v>3000</v>
      </c>
      <c r="L55" s="18">
        <f t="shared" si="6"/>
        <v>0</v>
      </c>
      <c r="M55" s="29">
        <f>SUM('план на 2016'!$L56:M56)-SUM('членские взносы'!$M56:'членские взносы'!M56)</f>
        <v>800</v>
      </c>
      <c r="N55" s="29">
        <f>SUM('план на 2016'!$L56:N56)-SUM('членские взносы'!$M56:'членские взносы'!N56)</f>
        <v>1600</v>
      </c>
      <c r="O55" s="29">
        <f>SUM('план на 2016'!$L56:O56)-SUM('членские взносы'!$M56:'членские взносы'!O56)</f>
        <v>-600</v>
      </c>
      <c r="P55" s="29">
        <f>SUM('план на 2016'!$L56:P56)-SUM('членские взносы'!$M56:'членские взносы'!P56)</f>
        <v>200</v>
      </c>
      <c r="Q55" s="29">
        <f>SUM('план на 2016'!$L56:Q56)-SUM('членские взносы'!$M56:'членские взносы'!Q56)</f>
        <v>-2000</v>
      </c>
      <c r="R55" s="29">
        <f>SUM('план на 2016'!$L56:R56)-SUM('членские взносы'!$M56:'членские взносы'!R56)</f>
        <v>-2000</v>
      </c>
      <c r="S55" s="29">
        <f>SUM('план на 2016'!$L56:S56)-SUM('членские взносы'!$M56:'членские взносы'!S56)</f>
        <v>-1200</v>
      </c>
      <c r="T55" s="29">
        <f>SUM('план на 2016'!$L56:T56)-SUM('членские взносы'!$M56:'членские взносы'!T56)</f>
        <v>-3400</v>
      </c>
      <c r="U55" s="29">
        <f>SUM('план на 2016'!$L56:U56)-SUM('членские взносы'!$M56:'членские взносы'!U56)</f>
        <v>-2600</v>
      </c>
      <c r="V55" s="29">
        <f>SUM('план на 2016'!$L56:V56)-SUM('членские взносы'!$M56:'членские взносы'!V56)</f>
        <v>-4800</v>
      </c>
      <c r="W55" s="29">
        <f>SUM('план на 2016'!$L56:W56)-SUM('членские взносы'!$M56:'членские взносы'!W56)</f>
        <v>-4000</v>
      </c>
      <c r="X55" s="29">
        <f>SUM('план на 2016'!$L56:X56)-SUM('членские взносы'!$M56:'членские взносы'!X56)</f>
        <v>-3200</v>
      </c>
      <c r="Y55" s="18">
        <f t="shared" si="4"/>
        <v>-3200</v>
      </c>
    </row>
    <row r="56" spans="1:25">
      <c r="A56" s="41">
        <f>VLOOKUP(B56,справочник!$B$2:$E$322,4,FALSE)</f>
        <v>138</v>
      </c>
      <c r="B56" t="str">
        <f t="shared" si="3"/>
        <v>146Виноградова Наталья Дмитриевна (Николай)</v>
      </c>
      <c r="C56" s="1">
        <v>146</v>
      </c>
      <c r="D56" s="2" t="s">
        <v>50</v>
      </c>
      <c r="E56" s="1" t="s">
        <v>368</v>
      </c>
      <c r="F56" s="16">
        <v>40784</v>
      </c>
      <c r="G56" s="16">
        <v>40756</v>
      </c>
      <c r="H56" s="17">
        <f t="shared" si="5"/>
        <v>53</v>
      </c>
      <c r="I56" s="1">
        <f t="shared" si="1"/>
        <v>53000</v>
      </c>
      <c r="J56" s="17">
        <f>53000</f>
        <v>53000</v>
      </c>
      <c r="K56" s="17"/>
      <c r="L56" s="18">
        <f t="shared" si="6"/>
        <v>0</v>
      </c>
      <c r="M56" s="29">
        <f>SUM('план на 2016'!$L57:M57)-SUM('членские взносы'!$M57:'членские взносы'!M57)</f>
        <v>800</v>
      </c>
      <c r="N56" s="29">
        <f>SUM('план на 2016'!$L57:N57)-SUM('членские взносы'!$M57:'членские взносы'!N57)</f>
        <v>-1400</v>
      </c>
      <c r="O56" s="29">
        <f>SUM('план на 2016'!$L57:O57)-SUM('членские взносы'!$M57:'членские взносы'!O57)</f>
        <v>-600</v>
      </c>
      <c r="P56" s="29">
        <f>SUM('план на 2016'!$L57:P57)-SUM('членские взносы'!$M57:'членские взносы'!P57)</f>
        <v>200</v>
      </c>
      <c r="Q56" s="29">
        <f>SUM('план на 2016'!$L57:Q57)-SUM('членские взносы'!$M57:'членские взносы'!Q57)</f>
        <v>1000</v>
      </c>
      <c r="R56" s="29">
        <f>SUM('план на 2016'!$L57:R57)-SUM('членские взносы'!$M57:'членские взносы'!R57)</f>
        <v>-1100</v>
      </c>
      <c r="S56" s="29">
        <f>SUM('план на 2016'!$L57:S57)-SUM('членские взносы'!$M57:'членские взносы'!S57)</f>
        <v>-300</v>
      </c>
      <c r="T56" s="29">
        <f>SUM('план на 2016'!$L57:T57)-SUM('членские взносы'!$M57:'членские взносы'!T57)</f>
        <v>500</v>
      </c>
      <c r="U56" s="29">
        <f>SUM('план на 2016'!$L57:U57)-SUM('членские взносы'!$M57:'членские взносы'!U57)</f>
        <v>1300</v>
      </c>
      <c r="V56" s="29">
        <f>SUM('план на 2016'!$L57:V57)-SUM('членские взносы'!$M57:'членские взносы'!V57)</f>
        <v>2100</v>
      </c>
      <c r="W56" s="29">
        <f>SUM('план на 2016'!$L57:W57)-SUM('членские взносы'!$M57:'членские взносы'!W57)</f>
        <v>-2100</v>
      </c>
      <c r="X56" s="29">
        <f>SUM('план на 2016'!$L57:X57)-SUM('членские взносы'!$M57:'членские взносы'!X57)</f>
        <v>-1300</v>
      </c>
      <c r="Y56" s="18">
        <f t="shared" si="4"/>
        <v>-1300</v>
      </c>
    </row>
    <row r="57" spans="1:25">
      <c r="A57" s="41">
        <f>VLOOKUP(B57,справочник!$B$2:$E$322,4,FALSE)</f>
        <v>228</v>
      </c>
      <c r="B57" t="str">
        <f t="shared" si="3"/>
        <v>237Виртилецкий Денис Вячеславович</v>
      </c>
      <c r="C57" s="1">
        <v>237</v>
      </c>
      <c r="D57" s="2" t="s">
        <v>51</v>
      </c>
      <c r="E57" s="1" t="s">
        <v>369</v>
      </c>
      <c r="F57" s="16">
        <v>41703</v>
      </c>
      <c r="G57" s="16">
        <v>41730</v>
      </c>
      <c r="H57" s="17">
        <f t="shared" si="5"/>
        <v>21</v>
      </c>
      <c r="I57" s="1">
        <f t="shared" si="1"/>
        <v>21000</v>
      </c>
      <c r="J57" s="17"/>
      <c r="K57" s="17"/>
      <c r="L57" s="18">
        <f t="shared" si="6"/>
        <v>21000</v>
      </c>
      <c r="M57" s="29">
        <f>SUM('план на 2016'!$L58:M58)-SUM('членские взносы'!$M58:'членские взносы'!M58)</f>
        <v>21800</v>
      </c>
      <c r="N57" s="29">
        <f>SUM('план на 2016'!$L58:N58)-SUM('членские взносы'!$M58:'членские взносы'!N58)</f>
        <v>22600</v>
      </c>
      <c r="O57" s="29">
        <f>SUM('план на 2016'!$L58:O58)-SUM('членские взносы'!$M58:'членские взносы'!O58)</f>
        <v>23400</v>
      </c>
      <c r="P57" s="29">
        <f>SUM('план на 2016'!$L58:P58)-SUM('членские взносы'!$M58:'членские взносы'!P58)</f>
        <v>24200</v>
      </c>
      <c r="Q57" s="29">
        <f>SUM('план на 2016'!$L58:Q58)-SUM('членские взносы'!$M58:'членские взносы'!Q58)</f>
        <v>25000</v>
      </c>
      <c r="R57" s="29">
        <f>SUM('план на 2016'!$L58:R58)-SUM('членские взносы'!$M58:'членские взносы'!R58)</f>
        <v>25800</v>
      </c>
      <c r="S57" s="29">
        <f>SUM('план на 2016'!$L58:S58)-SUM('членские взносы'!$M58:'членские взносы'!S58)</f>
        <v>800</v>
      </c>
      <c r="T57" s="29">
        <f>SUM('план на 2016'!$L58:T58)-SUM('членские взносы'!$M58:'членские взносы'!T58)</f>
        <v>1600</v>
      </c>
      <c r="U57" s="29">
        <f>SUM('план на 2016'!$L58:U58)-SUM('членские взносы'!$M58:'членские взносы'!U58)</f>
        <v>2400</v>
      </c>
      <c r="V57" s="29">
        <f>SUM('план на 2016'!$L58:V58)-SUM('членские взносы'!$M58:'членские взносы'!V58)</f>
        <v>3200</v>
      </c>
      <c r="W57" s="29">
        <f>SUM('план на 2016'!$L58:W58)-SUM('членские взносы'!$M58:'членские взносы'!W58)</f>
        <v>4000</v>
      </c>
      <c r="X57" s="29">
        <f>SUM('план на 2016'!$L58:X58)-SUM('членские взносы'!$M58:'членские взносы'!X58)</f>
        <v>4800</v>
      </c>
      <c r="Y57" s="18">
        <f t="shared" si="4"/>
        <v>4800</v>
      </c>
    </row>
    <row r="58" spans="1:25">
      <c r="A58" s="41">
        <f>VLOOKUP(B58,справочник!$B$2:$E$322,4,FALSE)</f>
        <v>37</v>
      </c>
      <c r="B58" t="str">
        <f t="shared" si="3"/>
        <v>37Водянова Ольга Александровна</v>
      </c>
      <c r="C58" s="1">
        <v>37</v>
      </c>
      <c r="D58" s="2" t="s">
        <v>52</v>
      </c>
      <c r="E58" s="1" t="s">
        <v>370</v>
      </c>
      <c r="F58" s="16">
        <v>40795</v>
      </c>
      <c r="G58" s="16">
        <v>40787</v>
      </c>
      <c r="H58" s="17">
        <f t="shared" si="5"/>
        <v>52</v>
      </c>
      <c r="I58" s="1">
        <f t="shared" si="1"/>
        <v>52000</v>
      </c>
      <c r="J58" s="17">
        <f>48000+4000</f>
        <v>52000</v>
      </c>
      <c r="K58" s="17"/>
      <c r="L58" s="18">
        <f t="shared" si="6"/>
        <v>0</v>
      </c>
      <c r="M58" s="29">
        <f>SUM('план на 2016'!$L59:M59)-SUM('членские взносы'!$M59:'членские взносы'!M59)</f>
        <v>800</v>
      </c>
      <c r="N58" s="29">
        <f>SUM('план на 2016'!$L59:N59)-SUM('членские взносы'!$M59:'членские взносы'!N59)</f>
        <v>1600</v>
      </c>
      <c r="O58" s="29">
        <f>SUM('план на 2016'!$L59:O59)-SUM('членские взносы'!$M59:'членские взносы'!O59)</f>
        <v>2400</v>
      </c>
      <c r="P58" s="29">
        <f>SUM('план на 2016'!$L59:P59)-SUM('членские взносы'!$M59:'членские взносы'!P59)</f>
        <v>3200</v>
      </c>
      <c r="Q58" s="29">
        <f>SUM('план на 2016'!$L59:Q59)-SUM('членские взносы'!$M59:'членские взносы'!Q59)</f>
        <v>4000</v>
      </c>
      <c r="R58" s="29">
        <f>SUM('план на 2016'!$L59:R59)-SUM('членские взносы'!$M59:'членские взносы'!R59)</f>
        <v>4800</v>
      </c>
      <c r="S58" s="29">
        <f>SUM('план на 2016'!$L59:S59)-SUM('членские взносы'!$M59:'членские взносы'!S59)</f>
        <v>0</v>
      </c>
      <c r="T58" s="29">
        <f>SUM('план на 2016'!$L59:T59)-SUM('членские взносы'!$M59:'членские взносы'!T59)</f>
        <v>800</v>
      </c>
      <c r="U58" s="29">
        <f>SUM('план на 2016'!$L59:U59)-SUM('членские взносы'!$M59:'членские взносы'!U59)</f>
        <v>-2400</v>
      </c>
      <c r="V58" s="29">
        <f>SUM('план на 2016'!$L59:V59)-SUM('членские взносы'!$M59:'членские взносы'!V59)</f>
        <v>-1600</v>
      </c>
      <c r="W58" s="29">
        <f>SUM('план на 2016'!$L59:W59)-SUM('членские взносы'!$M59:'членские взносы'!W59)</f>
        <v>-800</v>
      </c>
      <c r="X58" s="29">
        <f>SUM('план на 2016'!$L59:X59)-SUM('членские взносы'!$M59:'членские взносы'!X59)</f>
        <v>0</v>
      </c>
      <c r="Y58" s="18">
        <f t="shared" si="4"/>
        <v>0</v>
      </c>
    </row>
    <row r="59" spans="1:25">
      <c r="A59" s="41">
        <f>VLOOKUP(B59,справочник!$B$2:$E$322,4,FALSE)</f>
        <v>126</v>
      </c>
      <c r="B59" t="str">
        <f t="shared" si="3"/>
        <v>131Волгушев Дмитрий Геннадиевич</v>
      </c>
      <c r="C59" s="1">
        <v>131</v>
      </c>
      <c r="D59" s="2" t="s">
        <v>53</v>
      </c>
      <c r="E59" s="1" t="s">
        <v>371</v>
      </c>
      <c r="F59" s="16">
        <v>41183</v>
      </c>
      <c r="G59" s="16">
        <v>41244</v>
      </c>
      <c r="H59" s="17">
        <f t="shared" si="5"/>
        <v>37</v>
      </c>
      <c r="I59" s="1">
        <f t="shared" si="1"/>
        <v>37000</v>
      </c>
      <c r="J59" s="17">
        <f>24000</f>
        <v>24000</v>
      </c>
      <c r="K59" s="17">
        <v>13000</v>
      </c>
      <c r="L59" s="18">
        <f t="shared" si="6"/>
        <v>0</v>
      </c>
      <c r="M59" s="29">
        <f>SUM('план на 2016'!$L60:M60)-SUM('членские взносы'!$M60:'членские взносы'!M60)</f>
        <v>800</v>
      </c>
      <c r="N59" s="29">
        <f>SUM('план на 2016'!$L60:N60)-SUM('членские взносы'!$M60:'членские взносы'!N60)</f>
        <v>1600</v>
      </c>
      <c r="O59" s="29">
        <f>SUM('план на 2016'!$L60:O60)-SUM('членские взносы'!$M60:'членские взносы'!O60)</f>
        <v>0</v>
      </c>
      <c r="P59" s="29">
        <f>SUM('план на 2016'!$L60:P60)-SUM('членские взносы'!$M60:'членские взносы'!P60)</f>
        <v>800</v>
      </c>
      <c r="Q59" s="29">
        <f>SUM('план на 2016'!$L60:Q60)-SUM('членские взносы'!$M60:'членские взносы'!Q60)</f>
        <v>1600</v>
      </c>
      <c r="R59" s="29">
        <f>SUM('план на 2016'!$L60:R60)-SUM('членские взносы'!$M60:'членские взносы'!R60)</f>
        <v>2400</v>
      </c>
      <c r="S59" s="29">
        <f>SUM('план на 2016'!$L60:S60)-SUM('членские взносы'!$M60:'членские взносы'!S60)</f>
        <v>3200</v>
      </c>
      <c r="T59" s="29">
        <f>SUM('план на 2016'!$L60:T60)-SUM('членские взносы'!$M60:'членские взносы'!T60)</f>
        <v>4000</v>
      </c>
      <c r="U59" s="29">
        <f>SUM('план на 2016'!$L60:U60)-SUM('членские взносы'!$M60:'членские взносы'!U60)</f>
        <v>4800</v>
      </c>
      <c r="V59" s="29">
        <f>SUM('план на 2016'!$L60:V60)-SUM('членские взносы'!$M60:'членские взносы'!V60)</f>
        <v>5600</v>
      </c>
      <c r="W59" s="29">
        <f>SUM('план на 2016'!$L60:W60)-SUM('членские взносы'!$M60:'членские взносы'!W60)</f>
        <v>6400</v>
      </c>
      <c r="X59" s="29">
        <f>SUM('план на 2016'!$L60:X60)-SUM('членские взносы'!$M60:'членские взносы'!X60)</f>
        <v>7200</v>
      </c>
      <c r="Y59" s="18">
        <f t="shared" si="4"/>
        <v>7200</v>
      </c>
    </row>
    <row r="60" spans="1:25">
      <c r="A60" s="41">
        <f>VLOOKUP(B60,справочник!$B$2:$E$322,4,FALSE)</f>
        <v>58</v>
      </c>
      <c r="B60" t="str">
        <f t="shared" si="3"/>
        <v>60Володина Инна Александровна</v>
      </c>
      <c r="C60" s="1">
        <v>60</v>
      </c>
      <c r="D60" s="2" t="s">
        <v>54</v>
      </c>
      <c r="E60" s="1" t="s">
        <v>372</v>
      </c>
      <c r="F60" s="16">
        <v>41303</v>
      </c>
      <c r="G60" s="16">
        <v>41306</v>
      </c>
      <c r="H60" s="17">
        <f t="shared" si="5"/>
        <v>35</v>
      </c>
      <c r="I60" s="1">
        <f t="shared" si="1"/>
        <v>35000</v>
      </c>
      <c r="J60" s="17">
        <f>31000</f>
        <v>31000</v>
      </c>
      <c r="K60" s="17"/>
      <c r="L60" s="18">
        <f t="shared" si="6"/>
        <v>4000</v>
      </c>
      <c r="M60" s="29">
        <f>SUM('план на 2016'!$L61:M61)-SUM('членские взносы'!$M61:'членские взносы'!M61)</f>
        <v>4800</v>
      </c>
      <c r="N60" s="29">
        <f>SUM('план на 2016'!$L61:N61)-SUM('членские взносы'!$M61:'членские взносы'!N61)</f>
        <v>5600</v>
      </c>
      <c r="O60" s="29">
        <f>SUM('план на 2016'!$L61:O61)-SUM('членские взносы'!$M61:'членские взносы'!O61)</f>
        <v>4000</v>
      </c>
      <c r="P60" s="29">
        <f>SUM('план на 2016'!$L61:P61)-SUM('членские взносы'!$M61:'членские взносы'!P61)</f>
        <v>4800</v>
      </c>
      <c r="Q60" s="29">
        <f>SUM('план на 2016'!$L61:Q61)-SUM('членские взносы'!$M61:'членские взносы'!Q61)</f>
        <v>5600</v>
      </c>
      <c r="R60" s="29">
        <f>SUM('план на 2016'!$L61:R61)-SUM('членские взносы'!$M61:'членские взносы'!R61)</f>
        <v>800</v>
      </c>
      <c r="S60" s="29">
        <f>SUM('план на 2016'!$L61:S61)-SUM('членские взносы'!$M61:'членские взносы'!S61)</f>
        <v>1600</v>
      </c>
      <c r="T60" s="29">
        <f>SUM('план на 2016'!$L61:T61)-SUM('членские взносы'!$M61:'членские взносы'!T61)</f>
        <v>2400</v>
      </c>
      <c r="U60" s="29">
        <f>SUM('план на 2016'!$L61:U61)-SUM('членские взносы'!$M61:'членские взносы'!U61)</f>
        <v>3200</v>
      </c>
      <c r="V60" s="29">
        <f>SUM('план на 2016'!$L61:V61)-SUM('членские взносы'!$M61:'членские взносы'!V61)</f>
        <v>4000</v>
      </c>
      <c r="W60" s="29">
        <f>SUM('план на 2016'!$L61:W61)-SUM('членские взносы'!$M61:'членские взносы'!W61)</f>
        <v>4800</v>
      </c>
      <c r="X60" s="29">
        <f>SUM('план на 2016'!$L61:X61)-SUM('членские взносы'!$M61:'членские взносы'!X61)</f>
        <v>5600</v>
      </c>
      <c r="Y60" s="18">
        <f t="shared" si="4"/>
        <v>5600</v>
      </c>
    </row>
    <row r="61" spans="1:25">
      <c r="A61" s="41">
        <f>VLOOKUP(B61,справочник!$B$2:$E$322,4,FALSE)</f>
        <v>117</v>
      </c>
      <c r="B61" t="str">
        <f t="shared" si="3"/>
        <v>122Вольский Андрей Юрьевич</v>
      </c>
      <c r="C61" s="1">
        <v>122</v>
      </c>
      <c r="D61" s="2" t="s">
        <v>55</v>
      </c>
      <c r="E61" s="1" t="s">
        <v>373</v>
      </c>
      <c r="F61" s="16">
        <v>41407</v>
      </c>
      <c r="G61" s="16">
        <v>41426</v>
      </c>
      <c r="H61" s="17">
        <f t="shared" si="5"/>
        <v>31</v>
      </c>
      <c r="I61" s="1">
        <f t="shared" si="1"/>
        <v>31000</v>
      </c>
      <c r="J61" s="17">
        <f>12000</f>
        <v>12000</v>
      </c>
      <c r="K61" s="17"/>
      <c r="L61" s="18">
        <f t="shared" si="6"/>
        <v>19000</v>
      </c>
      <c r="M61" s="29">
        <f>SUM('план на 2016'!$L62:M62)-SUM('членские взносы'!$M62:'членские взносы'!M62)</f>
        <v>19800</v>
      </c>
      <c r="N61" s="29">
        <f>SUM('план на 2016'!$L62:N62)-SUM('членские взносы'!$M62:'членские взносы'!N62)</f>
        <v>20600</v>
      </c>
      <c r="O61" s="29">
        <f>SUM('план на 2016'!$L62:O62)-SUM('членские взносы'!$M62:'членские взносы'!O62)</f>
        <v>21400</v>
      </c>
      <c r="P61" s="29">
        <f>SUM('план на 2016'!$L62:P62)-SUM('членские взносы'!$M62:'членские взносы'!P62)</f>
        <v>22200</v>
      </c>
      <c r="Q61" s="29">
        <f>SUM('план на 2016'!$L62:Q62)-SUM('членские взносы'!$M62:'членские взносы'!Q62)</f>
        <v>23000</v>
      </c>
      <c r="R61" s="29">
        <f>SUM('план на 2016'!$L62:R62)-SUM('членские взносы'!$M62:'членские взносы'!R62)</f>
        <v>23800</v>
      </c>
      <c r="S61" s="29">
        <f>SUM('план на 2016'!$L62:S62)-SUM('членские взносы'!$M62:'членские взносы'!S62)</f>
        <v>24600</v>
      </c>
      <c r="T61" s="29">
        <f>SUM('план на 2016'!$L62:T62)-SUM('членские взносы'!$M62:'членские взносы'!T62)</f>
        <v>25400</v>
      </c>
      <c r="U61" s="29">
        <f>SUM('план на 2016'!$L62:U62)-SUM('членские взносы'!$M62:'членские взносы'!U62)</f>
        <v>26200</v>
      </c>
      <c r="V61" s="29">
        <f>SUM('план на 2016'!$L62:V62)-SUM('членские взносы'!$M62:'членские взносы'!V62)</f>
        <v>27000</v>
      </c>
      <c r="W61" s="29">
        <f>SUM('план на 2016'!$L62:W62)-SUM('членские взносы'!$M62:'членские взносы'!W62)</f>
        <v>27800</v>
      </c>
      <c r="X61" s="29">
        <f>SUM('план на 2016'!$L62:X62)-SUM('членские взносы'!$M62:'членские взносы'!X62)</f>
        <v>28600</v>
      </c>
      <c r="Y61" s="18">
        <f t="shared" si="4"/>
        <v>28600</v>
      </c>
    </row>
    <row r="62" spans="1:25">
      <c r="A62" s="41">
        <f>VLOOKUP(B62,справочник!$B$2:$E$322,4,FALSE)</f>
        <v>61</v>
      </c>
      <c r="B62" t="str">
        <f t="shared" si="3"/>
        <v>63Высоких Антон Маркович</v>
      </c>
      <c r="C62" s="1">
        <v>63</v>
      </c>
      <c r="D62" s="2" t="s">
        <v>56</v>
      </c>
      <c r="E62" s="1" t="s">
        <v>374</v>
      </c>
      <c r="F62" s="16">
        <v>40921</v>
      </c>
      <c r="G62" s="16">
        <v>40909</v>
      </c>
      <c r="H62" s="17">
        <f t="shared" si="5"/>
        <v>48</v>
      </c>
      <c r="I62" s="1">
        <f t="shared" si="1"/>
        <v>48000</v>
      </c>
      <c r="J62" s="17">
        <f>27000</f>
        <v>27000</v>
      </c>
      <c r="K62" s="17"/>
      <c r="L62" s="18">
        <f t="shared" si="6"/>
        <v>21000</v>
      </c>
      <c r="M62" s="29">
        <f>SUM('план на 2016'!$L63:M63)-SUM('членские взносы'!$M63:'членские взносы'!M63)</f>
        <v>21800</v>
      </c>
      <c r="N62" s="29">
        <f>SUM('план на 2016'!$L63:N63)-SUM('членские взносы'!$M63:'членские взносы'!N63)</f>
        <v>22600</v>
      </c>
      <c r="O62" s="29">
        <f>SUM('план на 2016'!$L63:O63)-SUM('членские взносы'!$M63:'членские взносы'!O63)</f>
        <v>23400</v>
      </c>
      <c r="P62" s="29">
        <f>SUM('план на 2016'!$L63:P63)-SUM('членские взносы'!$M63:'членские взносы'!P63)</f>
        <v>24200</v>
      </c>
      <c r="Q62" s="29">
        <f>SUM('план на 2016'!$L63:Q63)-SUM('членские взносы'!$M63:'членские взносы'!Q63)</f>
        <v>25000</v>
      </c>
      <c r="R62" s="29">
        <f>SUM('план на 2016'!$L63:R63)-SUM('членские взносы'!$M63:'членские взносы'!R63)</f>
        <v>25800</v>
      </c>
      <c r="S62" s="29">
        <f>SUM('план на 2016'!$L63:S63)-SUM('членские взносы'!$M63:'членские взносы'!S63)</f>
        <v>26600</v>
      </c>
      <c r="T62" s="29">
        <f>SUM('план на 2016'!$L63:T63)-SUM('членские взносы'!$M63:'членские взносы'!T63)</f>
        <v>27400</v>
      </c>
      <c r="U62" s="29">
        <f>SUM('план на 2016'!$L63:U63)-SUM('членские взносы'!$M63:'членские взносы'!U63)</f>
        <v>28200</v>
      </c>
      <c r="V62" s="29">
        <f>SUM('план на 2016'!$L63:V63)-SUM('членские взносы'!$M63:'членские взносы'!V63)</f>
        <v>29000</v>
      </c>
      <c r="W62" s="29">
        <f>SUM('план на 2016'!$L63:W63)-SUM('членские взносы'!$M63:'членские взносы'!W63)</f>
        <v>29800</v>
      </c>
      <c r="X62" s="29">
        <f>SUM('план на 2016'!$L63:X63)-SUM('членские взносы'!$M63:'членские взносы'!X63)</f>
        <v>30600</v>
      </c>
      <c r="Y62" s="18">
        <f t="shared" si="4"/>
        <v>30600</v>
      </c>
    </row>
    <row r="63" spans="1:25">
      <c r="A63" s="41">
        <f>VLOOKUP(B63,справочник!$B$2:$E$322,4,FALSE)</f>
        <v>294</v>
      </c>
      <c r="B63" t="str">
        <f t="shared" si="3"/>
        <v>309Гайкова (Дьякова) Мария Викторовна</v>
      </c>
      <c r="C63" s="1">
        <v>309</v>
      </c>
      <c r="D63" s="2" t="s">
        <v>57</v>
      </c>
      <c r="E63" s="1" t="s">
        <v>375</v>
      </c>
      <c r="F63" s="16">
        <v>40953</v>
      </c>
      <c r="G63" s="16">
        <v>40940</v>
      </c>
      <c r="H63" s="17">
        <f t="shared" si="5"/>
        <v>47</v>
      </c>
      <c r="I63" s="1">
        <f t="shared" si="1"/>
        <v>47000</v>
      </c>
      <c r="J63" s="17">
        <v>47000</v>
      </c>
      <c r="K63" s="17"/>
      <c r="L63" s="18">
        <f t="shared" si="6"/>
        <v>0</v>
      </c>
      <c r="M63" s="29">
        <f>SUM('план на 2016'!$L64:M64)-SUM('членские взносы'!$M64:'членские взносы'!M64)</f>
        <v>-8800</v>
      </c>
      <c r="N63" s="29">
        <f>SUM('план на 2016'!$L64:N64)-SUM('членские взносы'!$M64:'членские взносы'!N64)</f>
        <v>-8000</v>
      </c>
      <c r="O63" s="29">
        <f>SUM('план на 2016'!$L64:O64)-SUM('членские взносы'!$M64:'членские взносы'!O64)</f>
        <v>-7200</v>
      </c>
      <c r="P63" s="29">
        <f>SUM('план на 2016'!$L64:P64)-SUM('членские взносы'!$M64:'членские взносы'!P64)</f>
        <v>-6400</v>
      </c>
      <c r="Q63" s="29">
        <f>SUM('план на 2016'!$L64:Q64)-SUM('членские взносы'!$M64:'членские взносы'!Q64)</f>
        <v>-5600</v>
      </c>
      <c r="R63" s="29">
        <f>SUM('план на 2016'!$L64:R64)-SUM('членские взносы'!$M64:'членские взносы'!R64)</f>
        <v>-4800</v>
      </c>
      <c r="S63" s="29">
        <f>SUM('план на 2016'!$L64:S64)-SUM('членские взносы'!$M64:'членские взносы'!S64)</f>
        <v>-4000</v>
      </c>
      <c r="T63" s="29">
        <f>SUM('план на 2016'!$L64:T64)-SUM('членские взносы'!$M64:'членские взносы'!T64)</f>
        <v>-3200</v>
      </c>
      <c r="U63" s="29">
        <f>SUM('план на 2016'!$L64:U64)-SUM('членские взносы'!$M64:'членские взносы'!U64)</f>
        <v>-2400</v>
      </c>
      <c r="V63" s="29">
        <f>SUM('план на 2016'!$L64:V64)-SUM('членские взносы'!$M64:'членские взносы'!V64)</f>
        <v>-1600</v>
      </c>
      <c r="W63" s="29">
        <f>SUM('план на 2016'!$L64:W64)-SUM('членские взносы'!$M64:'членские взносы'!W64)</f>
        <v>-800</v>
      </c>
      <c r="X63" s="29">
        <f>SUM('план на 2016'!$L64:X64)-SUM('членские взносы'!$M64:'членские взносы'!X64)</f>
        <v>0</v>
      </c>
      <c r="Y63" s="18">
        <f t="shared" si="4"/>
        <v>0</v>
      </c>
    </row>
    <row r="64" spans="1:25">
      <c r="A64" s="41">
        <f>VLOOKUP(B64,справочник!$B$2:$E$322,4,FALSE)</f>
        <v>286</v>
      </c>
      <c r="B64" t="str">
        <f t="shared" si="3"/>
        <v>298Ганин Александр Борисович</v>
      </c>
      <c r="C64" s="1">
        <v>298</v>
      </c>
      <c r="D64" s="2" t="s">
        <v>58</v>
      </c>
      <c r="E64" s="1" t="s">
        <v>376</v>
      </c>
      <c r="F64" s="16">
        <v>41791</v>
      </c>
      <c r="G64" s="16">
        <v>41791</v>
      </c>
      <c r="H64" s="17">
        <f t="shared" si="5"/>
        <v>19</v>
      </c>
      <c r="I64" s="1">
        <f t="shared" si="1"/>
        <v>19000</v>
      </c>
      <c r="J64" s="17">
        <v>19000</v>
      </c>
      <c r="K64" s="17"/>
      <c r="L64" s="18">
        <f t="shared" si="6"/>
        <v>0</v>
      </c>
      <c r="M64" s="29">
        <f>SUM('план на 2016'!$L65:M65)-SUM('членские взносы'!$M65:'членские взносы'!M65)</f>
        <v>800</v>
      </c>
      <c r="N64" s="29">
        <f>SUM('план на 2016'!$L65:N65)-SUM('членские взносы'!$M65:'членские взносы'!N65)</f>
        <v>-6400</v>
      </c>
      <c r="O64" s="29">
        <f>SUM('план на 2016'!$L65:O65)-SUM('членские взносы'!$M65:'членские взносы'!O65)</f>
        <v>-5600</v>
      </c>
      <c r="P64" s="29">
        <f>SUM('план на 2016'!$L65:P65)-SUM('членские взносы'!$M65:'членские взносы'!P65)</f>
        <v>-4800</v>
      </c>
      <c r="Q64" s="29">
        <f>SUM('план на 2016'!$L65:Q65)-SUM('членские взносы'!$M65:'членские взносы'!Q65)</f>
        <v>-4000</v>
      </c>
      <c r="R64" s="29">
        <f>SUM('план на 2016'!$L65:R65)-SUM('членские взносы'!$M65:'членские взносы'!R65)</f>
        <v>-7200</v>
      </c>
      <c r="S64" s="29">
        <f>SUM('план на 2016'!$L65:S65)-SUM('членские взносы'!$M65:'членские взносы'!S65)</f>
        <v>-9400</v>
      </c>
      <c r="T64" s="29">
        <f>SUM('план на 2016'!$L65:T65)-SUM('членские взносы'!$M65:'членские взносы'!T65)</f>
        <v>-8600</v>
      </c>
      <c r="U64" s="29">
        <f>SUM('план на 2016'!$L65:U65)-SUM('членские взносы'!$M65:'членские взносы'!U65)</f>
        <v>-7800</v>
      </c>
      <c r="V64" s="29">
        <f>SUM('план на 2016'!$L65:V65)-SUM('членские взносы'!$M65:'членские взносы'!V65)</f>
        <v>-7000</v>
      </c>
      <c r="W64" s="29">
        <f>SUM('план на 2016'!$L65:W65)-SUM('членские взносы'!$M65:'членские взносы'!W65)</f>
        <v>-6200</v>
      </c>
      <c r="X64" s="29">
        <f>SUM('план на 2016'!$L65:X65)-SUM('членские взносы'!$M65:'членские взносы'!X65)</f>
        <v>-11400</v>
      </c>
      <c r="Y64" s="18">
        <f t="shared" si="4"/>
        <v>-11400</v>
      </c>
    </row>
    <row r="65" spans="1:25">
      <c r="A65" s="41">
        <f>VLOOKUP(B65,справочник!$B$2:$E$322,4,FALSE)</f>
        <v>64</v>
      </c>
      <c r="B65" t="str">
        <f t="shared" si="3"/>
        <v>66Горбунов Владимир Александрович</v>
      </c>
      <c r="C65" s="1">
        <v>66</v>
      </c>
      <c r="D65" s="2" t="s">
        <v>59</v>
      </c>
      <c r="E65" s="1" t="s">
        <v>377</v>
      </c>
      <c r="F65" s="16">
        <v>40772</v>
      </c>
      <c r="G65" s="16">
        <v>40756</v>
      </c>
      <c r="H65" s="17">
        <f t="shared" si="5"/>
        <v>53</v>
      </c>
      <c r="I65" s="1">
        <f t="shared" si="1"/>
        <v>53000</v>
      </c>
      <c r="J65" s="17">
        <f>1000+45000</f>
        <v>46000</v>
      </c>
      <c r="K65" s="17"/>
      <c r="L65" s="18">
        <f t="shared" si="6"/>
        <v>7000</v>
      </c>
      <c r="M65" s="29">
        <f>SUM('план на 2016'!$L66:M66)-SUM('членские взносы'!$M66:'членские взносы'!M66)</f>
        <v>4800</v>
      </c>
      <c r="N65" s="29">
        <f>SUM('план на 2016'!$L66:N66)-SUM('членские взносы'!$M66:'членские взносы'!N66)</f>
        <v>5600</v>
      </c>
      <c r="O65" s="29">
        <f>SUM('план на 2016'!$L66:O66)-SUM('членские взносы'!$M66:'членские взносы'!O66)</f>
        <v>4800</v>
      </c>
      <c r="P65" s="29">
        <f>SUM('план на 2016'!$L66:P66)-SUM('членские взносы'!$M66:'членские взносы'!P66)</f>
        <v>5600</v>
      </c>
      <c r="Q65" s="29">
        <f>SUM('план на 2016'!$L66:Q66)-SUM('членские взносы'!$M66:'членские взносы'!Q66)</f>
        <v>6400</v>
      </c>
      <c r="R65" s="29">
        <f>SUM('план на 2016'!$L66:R66)-SUM('членские взносы'!$M66:'членские взносы'!R66)</f>
        <v>5600</v>
      </c>
      <c r="S65" s="29">
        <f>SUM('план на 2016'!$L66:S66)-SUM('членские взносы'!$M66:'членские взносы'!S66)</f>
        <v>2400</v>
      </c>
      <c r="T65" s="29">
        <f>SUM('план на 2016'!$L66:T66)-SUM('членские взносы'!$M66:'членские взносы'!T66)</f>
        <v>3200</v>
      </c>
      <c r="U65" s="29">
        <f>SUM('план на 2016'!$L66:U66)-SUM('членские взносы'!$M66:'членские взносы'!U66)</f>
        <v>3200</v>
      </c>
      <c r="V65" s="29">
        <f>SUM('план на 2016'!$L66:V66)-SUM('членские взносы'!$M66:'членские взносы'!V66)</f>
        <v>3200</v>
      </c>
      <c r="W65" s="29">
        <f>SUM('план на 2016'!$L66:W66)-SUM('членские взносы'!$M66:'членские взносы'!W66)</f>
        <v>3200</v>
      </c>
      <c r="X65" s="29">
        <f>SUM('план на 2016'!$L66:X66)-SUM('членские взносы'!$M66:'членские взносы'!X66)</f>
        <v>2400</v>
      </c>
      <c r="Y65" s="18">
        <f t="shared" si="4"/>
        <v>2400</v>
      </c>
    </row>
    <row r="66" spans="1:25">
      <c r="A66" s="41">
        <f>VLOOKUP(B66,справочник!$B$2:$E$322,4,FALSE)</f>
        <v>94</v>
      </c>
      <c r="B66" t="str">
        <f t="shared" si="3"/>
        <v>99Горбунов Максим Николаевич</v>
      </c>
      <c r="C66" s="1">
        <v>99</v>
      </c>
      <c r="D66" s="2" t="s">
        <v>60</v>
      </c>
      <c r="E66" s="1" t="s">
        <v>378</v>
      </c>
      <c r="F66" s="16">
        <v>40774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42000+5000</f>
        <v>47000</v>
      </c>
      <c r="K66" s="17"/>
      <c r="L66" s="18">
        <f t="shared" si="6"/>
        <v>6000</v>
      </c>
      <c r="M66" s="29">
        <f>SUM('план на 2016'!$L67:M67)-SUM('членские взносы'!$M67:'членские взносы'!M67)</f>
        <v>6800</v>
      </c>
      <c r="N66" s="29">
        <f>SUM('план на 2016'!$L67:N67)-SUM('членские взносы'!$M67:'членские взносы'!N67)</f>
        <v>7600</v>
      </c>
      <c r="O66" s="29">
        <f>SUM('план на 2016'!$L67:O67)-SUM('членские взносы'!$M67:'членские взносы'!O67)</f>
        <v>8400</v>
      </c>
      <c r="P66" s="29">
        <f>SUM('план на 2016'!$L67:P67)-SUM('членские взносы'!$M67:'членские взносы'!P67)</f>
        <v>9200</v>
      </c>
      <c r="Q66" s="29">
        <f>SUM('план на 2016'!$L67:Q67)-SUM('членские взносы'!$M67:'членские взносы'!Q67)</f>
        <v>10000</v>
      </c>
      <c r="R66" s="29">
        <f>SUM('план на 2016'!$L67:R67)-SUM('членские взносы'!$M67:'членские взносы'!R67)</f>
        <v>10800</v>
      </c>
      <c r="S66" s="29">
        <f>SUM('план на 2016'!$L67:S67)-SUM('членские взносы'!$M67:'членские взносы'!S67)</f>
        <v>11600</v>
      </c>
      <c r="T66" s="29">
        <f>SUM('план на 2016'!$L67:T67)-SUM('членские взносы'!$M67:'членские взносы'!T67)</f>
        <v>12400</v>
      </c>
      <c r="U66" s="29">
        <f>SUM('план на 2016'!$L67:U67)-SUM('членские взносы'!$M67:'членские взносы'!U67)</f>
        <v>13200</v>
      </c>
      <c r="V66" s="29">
        <f>SUM('план на 2016'!$L67:V67)-SUM('членские взносы'!$M67:'членские взносы'!V67)</f>
        <v>14000</v>
      </c>
      <c r="W66" s="29">
        <f>SUM('план на 2016'!$L67:W67)-SUM('членские взносы'!$M67:'членские взносы'!W67)</f>
        <v>14800</v>
      </c>
      <c r="X66" s="29">
        <f>SUM('план на 2016'!$L67:X67)-SUM('членские взносы'!$M67:'членские взносы'!X67)</f>
        <v>15600</v>
      </c>
      <c r="Y66" s="18">
        <f t="shared" si="4"/>
        <v>15600</v>
      </c>
    </row>
    <row r="67" spans="1:25">
      <c r="A67" s="41">
        <f>VLOOKUP(B67,справочник!$B$2:$E$322,4,FALSE)</f>
        <v>39</v>
      </c>
      <c r="B67" t="str">
        <f t="shared" si="3"/>
        <v>39Гордейчик Игорь Борисович</v>
      </c>
      <c r="C67" s="1">
        <v>39</v>
      </c>
      <c r="D67" s="2" t="s">
        <v>61</v>
      </c>
      <c r="E67" s="1" t="s">
        <v>379</v>
      </c>
      <c r="F67" s="16">
        <v>40698</v>
      </c>
      <c r="G67" s="16">
        <v>40695</v>
      </c>
      <c r="H67" s="17">
        <f t="shared" si="5"/>
        <v>55</v>
      </c>
      <c r="I67" s="1">
        <f>H67*1000</f>
        <v>55000</v>
      </c>
      <c r="J67" s="17">
        <f>1000+42000</f>
        <v>43000</v>
      </c>
      <c r="K67" s="17"/>
      <c r="L67" s="18">
        <f t="shared" si="6"/>
        <v>12000</v>
      </c>
      <c r="M67" s="29">
        <f>SUM('план на 2016'!$L68:M68)-SUM('членские взносы'!$M68:'членские взносы'!M68)</f>
        <v>12800</v>
      </c>
      <c r="N67" s="29">
        <f>SUM('план на 2016'!$L68:N68)-SUM('членские взносы'!$M68:'членские взносы'!N68)</f>
        <v>13600</v>
      </c>
      <c r="O67" s="29">
        <f>SUM('план на 2016'!$L68:O68)-SUM('членские взносы'!$M68:'членские взносы'!O68)</f>
        <v>14400</v>
      </c>
      <c r="P67" s="29">
        <f>SUM('план на 2016'!$L68:P68)-SUM('членские взносы'!$M68:'членские взносы'!P68)</f>
        <v>15200</v>
      </c>
      <c r="Q67" s="29">
        <f>SUM('план на 2016'!$L68:Q68)-SUM('членские взносы'!$M68:'членские взносы'!Q68)</f>
        <v>16000</v>
      </c>
      <c r="R67" s="29">
        <f>SUM('план на 2016'!$L68:R68)-SUM('членские взносы'!$M68:'членские взносы'!R68)</f>
        <v>16800</v>
      </c>
      <c r="S67" s="29">
        <f>SUM('план на 2016'!$L68:S68)-SUM('членские взносы'!$M68:'членские взносы'!S68)</f>
        <v>17600</v>
      </c>
      <c r="T67" s="29">
        <f>SUM('план на 2016'!$L68:T68)-SUM('членские взносы'!$M68:'членские взносы'!T68)</f>
        <v>18400</v>
      </c>
      <c r="U67" s="29">
        <f>SUM('план на 2016'!$L68:U68)-SUM('членские взносы'!$M68:'членские взносы'!U68)</f>
        <v>9600</v>
      </c>
      <c r="V67" s="29">
        <f>SUM('план на 2016'!$L68:V68)-SUM('членские взносы'!$M68:'членские взносы'!V68)</f>
        <v>10400</v>
      </c>
      <c r="W67" s="29">
        <f>SUM('план на 2016'!$L68:W68)-SUM('членские взносы'!$M68:'членские взносы'!W68)</f>
        <v>11200</v>
      </c>
      <c r="X67" s="29">
        <f>SUM('план на 2016'!$L68:X68)-SUM('членские взносы'!$M68:'членские взносы'!X68)</f>
        <v>12000</v>
      </c>
      <c r="Y67" s="18">
        <f t="shared" si="4"/>
        <v>12000</v>
      </c>
    </row>
    <row r="68" spans="1:25">
      <c r="A68" s="41">
        <f>VLOOKUP(B68,справочник!$B$2:$E$322,4,FALSE)</f>
        <v>276</v>
      </c>
      <c r="B68" t="str">
        <f t="shared" si="3"/>
        <v>289Горянов Михаил Андреевич</v>
      </c>
      <c r="C68" s="1">
        <v>289</v>
      </c>
      <c r="D68" s="2" t="s">
        <v>62</v>
      </c>
      <c r="E68" s="1" t="s">
        <v>380</v>
      </c>
      <c r="F68" s="16">
        <v>40890</v>
      </c>
      <c r="G68" s="16">
        <v>40878</v>
      </c>
      <c r="H68" s="17">
        <f t="shared" si="5"/>
        <v>49</v>
      </c>
      <c r="I68" s="1">
        <f>H68*1000</f>
        <v>49000</v>
      </c>
      <c r="J68" s="17">
        <f>1000+36000</f>
        <v>37000</v>
      </c>
      <c r="K68" s="17"/>
      <c r="L68" s="18">
        <f t="shared" si="6"/>
        <v>12000</v>
      </c>
      <c r="M68" s="29">
        <f>SUM('план на 2016'!$L69:M69)-SUM('членские взносы'!$M69:'членские взносы'!M69)</f>
        <v>12800</v>
      </c>
      <c r="N68" s="29">
        <f>SUM('план на 2016'!$L69:N69)-SUM('членские взносы'!$M69:'членские взносы'!N69)</f>
        <v>13600</v>
      </c>
      <c r="O68" s="29">
        <f>SUM('план на 2016'!$L69:O69)-SUM('членские взносы'!$M69:'членские взносы'!O69)</f>
        <v>14400</v>
      </c>
      <c r="P68" s="29">
        <f>SUM('план на 2016'!$L69:P69)-SUM('членские взносы'!$M69:'членские взносы'!P69)</f>
        <v>15200</v>
      </c>
      <c r="Q68" s="29">
        <f>SUM('план на 2016'!$L69:Q69)-SUM('членские взносы'!$M69:'членские взносы'!Q69)</f>
        <v>16000</v>
      </c>
      <c r="R68" s="29">
        <f>SUM('план на 2016'!$L69:R69)-SUM('членские взносы'!$M69:'членские взносы'!R69)</f>
        <v>-4800</v>
      </c>
      <c r="S68" s="29">
        <f>SUM('план на 2016'!$L69:S69)-SUM('членские взносы'!$M69:'членские взносы'!S69)</f>
        <v>-4000</v>
      </c>
      <c r="T68" s="29">
        <f>SUM('план на 2016'!$L69:T69)-SUM('членские взносы'!$M69:'членские взносы'!T69)</f>
        <v>-3200</v>
      </c>
      <c r="U68" s="29">
        <f>SUM('план на 2016'!$L69:U69)-SUM('членские взносы'!$M69:'членские взносы'!U69)</f>
        <v>-2400</v>
      </c>
      <c r="V68" s="29">
        <f>SUM('план на 2016'!$L69:V69)-SUM('членские взносы'!$M69:'членские взносы'!V69)</f>
        <v>-1600</v>
      </c>
      <c r="W68" s="29">
        <f>SUM('план на 2016'!$L69:W69)-SUM('членские взносы'!$M69:'членские взносы'!W69)</f>
        <v>-800</v>
      </c>
      <c r="X68" s="29">
        <f>SUM('план на 2016'!$L69:X69)-SUM('членские взносы'!$M69:'членские взносы'!X69)</f>
        <v>0</v>
      </c>
      <c r="Y68" s="18">
        <f t="shared" si="4"/>
        <v>0</v>
      </c>
    </row>
    <row r="69" spans="1:25">
      <c r="A69" s="41">
        <f>VLOOKUP(B69,справочник!$B$2:$E$322,4,FALSE)</f>
        <v>148</v>
      </c>
      <c r="B69" t="str">
        <f t="shared" ref="B69:B132" si="7">CONCATENATE(C69,D69)</f>
        <v>156Горячев Дмитрий Николаевич</v>
      </c>
      <c r="C69" s="1">
        <v>156</v>
      </c>
      <c r="D69" s="2" t="s">
        <v>63</v>
      </c>
      <c r="E69" s="1" t="s">
        <v>381</v>
      </c>
      <c r="F69" s="16">
        <v>41008</v>
      </c>
      <c r="G69" s="16">
        <v>41000</v>
      </c>
      <c r="H69" s="17">
        <f t="shared" si="5"/>
        <v>45</v>
      </c>
      <c r="I69" s="1">
        <f>H69*1000</f>
        <v>45000</v>
      </c>
      <c r="J69" s="17">
        <f>12000</f>
        <v>12000</v>
      </c>
      <c r="K69" s="17"/>
      <c r="L69" s="18">
        <f t="shared" si="6"/>
        <v>33000</v>
      </c>
      <c r="M69" s="29">
        <f>SUM('план на 2016'!$L70:M70)-SUM('членские взносы'!$M70:'членские взносы'!M70)</f>
        <v>33800</v>
      </c>
      <c r="N69" s="29">
        <f>SUM('план на 2016'!$L70:N70)-SUM('членские взносы'!$M70:'членские взносы'!N70)</f>
        <v>32800</v>
      </c>
      <c r="O69" s="29">
        <f>SUM('план на 2016'!$L70:O70)-SUM('членские взносы'!$M70:'членские взносы'!O70)</f>
        <v>31800</v>
      </c>
      <c r="P69" s="29">
        <f>SUM('план на 2016'!$L70:P70)-SUM('членские взносы'!$M70:'членские взносы'!P70)</f>
        <v>30800</v>
      </c>
      <c r="Q69" s="29">
        <f>SUM('план на 2016'!$L70:Q70)-SUM('членские взносы'!$M70:'членские взносы'!Q70)</f>
        <v>31600</v>
      </c>
      <c r="R69" s="29">
        <f>SUM('план на 2016'!$L70:R70)-SUM('членские взносы'!$M70:'членские взносы'!R70)</f>
        <v>32400</v>
      </c>
      <c r="S69" s="29">
        <f>SUM('план на 2016'!$L70:S70)-SUM('членские взносы'!$M70:'членские взносы'!S70)</f>
        <v>33200</v>
      </c>
      <c r="T69" s="29">
        <f>SUM('план на 2016'!$L70:T70)-SUM('членские взносы'!$M70:'членские взносы'!T70)</f>
        <v>34000</v>
      </c>
      <c r="U69" s="29">
        <f>SUM('план на 2016'!$L70:U70)-SUM('членские взносы'!$M70:'членские взносы'!U70)</f>
        <v>34800</v>
      </c>
      <c r="V69" s="29">
        <f>SUM('план на 2016'!$L70:V70)-SUM('членские взносы'!$M70:'членские взносы'!V70)</f>
        <v>35600</v>
      </c>
      <c r="W69" s="29">
        <f>SUM('план на 2016'!$L70:W70)-SUM('членские взносы'!$M70:'членские взносы'!W70)</f>
        <v>36400</v>
      </c>
      <c r="X69" s="29">
        <f>SUM('план на 2016'!$L70:X70)-SUM('членские взносы'!$M70:'членские взносы'!X70)</f>
        <v>37200</v>
      </c>
      <c r="Y69" s="18">
        <f t="shared" ref="Y69:Y132" si="8">X69</f>
        <v>37200</v>
      </c>
    </row>
    <row r="70" spans="1:25">
      <c r="A70" s="41">
        <f>VLOOKUP(B70,справочник!$B$2:$E$322,4,FALSE)</f>
        <v>308</v>
      </c>
      <c r="B70" t="str">
        <f t="shared" si="7"/>
        <v>323Губарева Татьяна Григорьевна</v>
      </c>
      <c r="C70" s="1">
        <v>323</v>
      </c>
      <c r="D70" s="2" t="s">
        <v>64</v>
      </c>
      <c r="E70" s="1" t="s">
        <v>382</v>
      </c>
      <c r="F70" s="16">
        <v>42025</v>
      </c>
      <c r="G70" s="16">
        <v>42036</v>
      </c>
      <c r="H70" s="17">
        <f t="shared" si="5"/>
        <v>11</v>
      </c>
      <c r="I70" s="1">
        <f>H70*1000</f>
        <v>11000</v>
      </c>
      <c r="J70" s="17">
        <v>3000</v>
      </c>
      <c r="K70" s="17"/>
      <c r="L70" s="18">
        <f t="shared" si="6"/>
        <v>8000</v>
      </c>
      <c r="M70" s="29">
        <f>SUM('план на 2016'!$L71:M71)-SUM('членские взносы'!$M71:'членские взносы'!M71)</f>
        <v>8800</v>
      </c>
      <c r="N70" s="29">
        <f>SUM('план на 2016'!$L71:N71)-SUM('членские взносы'!$M71:'членские взносы'!N71)</f>
        <v>9600</v>
      </c>
      <c r="O70" s="29">
        <f>SUM('план на 2016'!$L71:O71)-SUM('членские взносы'!$M71:'членские взносы'!O71)</f>
        <v>10400</v>
      </c>
      <c r="P70" s="29">
        <f>SUM('план на 2016'!$L71:P71)-SUM('членские взносы'!$M71:'членские взносы'!P71)</f>
        <v>11200</v>
      </c>
      <c r="Q70" s="29">
        <f>SUM('план на 2016'!$L71:Q71)-SUM('членские взносы'!$M71:'членские взносы'!Q71)</f>
        <v>12000</v>
      </c>
      <c r="R70" s="29">
        <f>SUM('план на 2016'!$L71:R71)-SUM('членские взносы'!$M71:'членские взносы'!R71)</f>
        <v>12800</v>
      </c>
      <c r="S70" s="29">
        <f>SUM('план на 2016'!$L71:S71)-SUM('членские взносы'!$M71:'членские взносы'!S71)</f>
        <v>8800</v>
      </c>
      <c r="T70" s="29">
        <f>SUM('план на 2016'!$L71:T71)-SUM('членские взносы'!$M71:'членские взносы'!T71)</f>
        <v>9600</v>
      </c>
      <c r="U70" s="29">
        <f>SUM('план на 2016'!$L71:U71)-SUM('членские взносы'!$M71:'членские взносы'!U71)</f>
        <v>10400</v>
      </c>
      <c r="V70" s="29">
        <f>SUM('план на 2016'!$L71:V71)-SUM('членские взносы'!$M71:'членские взносы'!V71)</f>
        <v>11200</v>
      </c>
      <c r="W70" s="29">
        <f>SUM('план на 2016'!$L71:W71)-SUM('членские взносы'!$M71:'членские взносы'!W71)</f>
        <v>12000</v>
      </c>
      <c r="X70" s="29">
        <f>SUM('план на 2016'!$L71:X71)-SUM('членские взносы'!$M71:'членские взносы'!X71)</f>
        <v>12800</v>
      </c>
      <c r="Y70" s="18">
        <f t="shared" si="8"/>
        <v>12800</v>
      </c>
    </row>
    <row r="71" spans="1:25">
      <c r="A71" s="41">
        <f>VLOOKUP(B71,справочник!$B$2:$E$322,4,FALSE)</f>
        <v>318</v>
      </c>
      <c r="B71" t="str">
        <f t="shared" si="7"/>
        <v>71-72Гусева Светлана Григорьевна</v>
      </c>
      <c r="C71" s="1" t="s">
        <v>65</v>
      </c>
      <c r="D71" s="2" t="s">
        <v>66</v>
      </c>
      <c r="E71" s="1" t="s">
        <v>383</v>
      </c>
      <c r="F71" s="16">
        <v>40694</v>
      </c>
      <c r="G71" s="16">
        <v>40725</v>
      </c>
      <c r="H71" s="17">
        <f t="shared" si="5"/>
        <v>54</v>
      </c>
      <c r="I71" s="1">
        <f>H71*1000*2</f>
        <v>108000</v>
      </c>
      <c r="J71" s="17">
        <f>2000+102000</f>
        <v>104000</v>
      </c>
      <c r="K71" s="17">
        <v>4000</v>
      </c>
      <c r="L71" s="22">
        <f t="shared" si="6"/>
        <v>0</v>
      </c>
      <c r="M71" s="29">
        <f>SUM('план на 2016'!$L72:M72)-SUM('членские взносы'!$M72:'членские взносы'!M72)</f>
        <v>800</v>
      </c>
      <c r="N71" s="29">
        <f>SUM('план на 2016'!$L72:N72)-SUM('членские взносы'!$M72:'членские взносы'!N72)</f>
        <v>-3200</v>
      </c>
      <c r="O71" s="29">
        <f>SUM('план на 2016'!$L72:O72)-SUM('членские взносы'!$M72:'членские взносы'!O72)</f>
        <v>-2400</v>
      </c>
      <c r="P71" s="29">
        <f>SUM('план на 2016'!$L72:P72)-SUM('членские взносы'!$M72:'членские взносы'!P72)</f>
        <v>-6400</v>
      </c>
      <c r="Q71" s="29">
        <f>SUM('план на 2016'!$L72:Q72)-SUM('членские взносы'!$M72:'членские взносы'!Q72)</f>
        <v>-5600</v>
      </c>
      <c r="R71" s="29">
        <f>SUM('план на 2016'!$L72:R72)-SUM('членские взносы'!$M72:'членские взносы'!R72)</f>
        <v>-4800</v>
      </c>
      <c r="S71" s="29">
        <f>SUM('план на 2016'!$L72:S72)-SUM('членские взносы'!$M72:'членские взносы'!S72)</f>
        <v>-8800</v>
      </c>
      <c r="T71" s="29">
        <f>SUM('план на 2016'!$L72:T72)-SUM('членские взносы'!$M72:'членские взносы'!T72)</f>
        <v>-8000</v>
      </c>
      <c r="U71" s="29">
        <f>SUM('план на 2016'!$L72:U72)-SUM('членские взносы'!$M72:'членские взносы'!U72)</f>
        <v>-7200</v>
      </c>
      <c r="V71" s="29">
        <f>SUM('план на 2016'!$L72:V72)-SUM('членские взносы'!$M72:'членские взносы'!V72)</f>
        <v>-11200</v>
      </c>
      <c r="W71" s="29">
        <f>SUM('план на 2016'!$L72:W72)-SUM('членские взносы'!$M72:'членские взносы'!W72)</f>
        <v>-10400</v>
      </c>
      <c r="X71" s="29">
        <f>SUM('план на 2016'!$L72:X72)-SUM('членские взносы'!$M72:'членские взносы'!X72)</f>
        <v>-9600</v>
      </c>
      <c r="Y71" s="18">
        <f t="shared" si="8"/>
        <v>-9600</v>
      </c>
    </row>
    <row r="72" spans="1:25">
      <c r="A72" s="41">
        <f>VLOOKUP(B72,справочник!$B$2:$E$322,4,FALSE)</f>
        <v>236</v>
      </c>
      <c r="B72" t="str">
        <f t="shared" si="7"/>
        <v>245Давыдова Анна Сергеевна</v>
      </c>
      <c r="C72" s="1">
        <v>245</v>
      </c>
      <c r="D72" s="2" t="s">
        <v>67</v>
      </c>
      <c r="E72" s="1" t="s">
        <v>384</v>
      </c>
      <c r="F72" s="16">
        <v>40945</v>
      </c>
      <c r="G72" s="16">
        <v>40940</v>
      </c>
      <c r="H72" s="17">
        <f t="shared" si="5"/>
        <v>47</v>
      </c>
      <c r="I72" s="1">
        <f>H72*1000</f>
        <v>47000</v>
      </c>
      <c r="J72" s="17">
        <f>18000+11000</f>
        <v>29000</v>
      </c>
      <c r="K72" s="17"/>
      <c r="L72" s="18">
        <f t="shared" si="6"/>
        <v>18000</v>
      </c>
      <c r="M72" s="29">
        <f>SUM('план на 2016'!$L73:M73)-SUM('членские взносы'!$M73:'членские взносы'!M73)</f>
        <v>18800</v>
      </c>
      <c r="N72" s="29">
        <f>SUM('план на 2016'!$L73:N73)-SUM('членские взносы'!$M73:'членские взносы'!N73)</f>
        <v>19600</v>
      </c>
      <c r="O72" s="29">
        <f>SUM('план на 2016'!$L73:O73)-SUM('членские взносы'!$M73:'членские взносы'!O73)</f>
        <v>20400</v>
      </c>
      <c r="P72" s="29">
        <f>SUM('план на 2016'!$L73:P73)-SUM('членские взносы'!$M73:'членские взносы'!P73)</f>
        <v>21200</v>
      </c>
      <c r="Q72" s="29">
        <f>SUM('план на 2016'!$L73:Q73)-SUM('членские взносы'!$M73:'членские взносы'!Q73)</f>
        <v>-3000</v>
      </c>
      <c r="R72" s="29">
        <f>SUM('план на 2016'!$L73:R73)-SUM('членские взносы'!$M73:'членские взносы'!R73)</f>
        <v>-2200</v>
      </c>
      <c r="S72" s="29">
        <f>SUM('план на 2016'!$L73:S73)-SUM('членские взносы'!$M73:'членские взносы'!S73)</f>
        <v>-1400</v>
      </c>
      <c r="T72" s="29">
        <f>SUM('план на 2016'!$L73:T73)-SUM('членские взносы'!$M73:'членские взносы'!T73)</f>
        <v>-600</v>
      </c>
      <c r="U72" s="29">
        <f>SUM('план на 2016'!$L73:U73)-SUM('членские взносы'!$M73:'членские взносы'!U73)</f>
        <v>200</v>
      </c>
      <c r="V72" s="29">
        <f>SUM('план на 2016'!$L73:V73)-SUM('членские взносы'!$M73:'членские взносы'!V73)</f>
        <v>-1600</v>
      </c>
      <c r="W72" s="29">
        <f>SUM('план на 2016'!$L73:W73)-SUM('членские взносы'!$M73:'членские взносы'!W73)</f>
        <v>-800</v>
      </c>
      <c r="X72" s="29">
        <f>SUM('план на 2016'!$L73:X73)-SUM('членские взносы'!$M73:'членские взносы'!X73)</f>
        <v>0</v>
      </c>
      <c r="Y72" s="18">
        <f t="shared" si="8"/>
        <v>0</v>
      </c>
    </row>
    <row r="73" spans="1:25">
      <c r="A73" s="41">
        <f>VLOOKUP(B73,справочник!$B$2:$E$322,4,FALSE)</f>
        <v>226</v>
      </c>
      <c r="B73" t="str">
        <f t="shared" si="7"/>
        <v xml:space="preserve">235Данильянц Юрий Константинович   </v>
      </c>
      <c r="C73" s="1">
        <v>235</v>
      </c>
      <c r="D73" s="2" t="s">
        <v>68</v>
      </c>
      <c r="E73" s="1" t="s">
        <v>385</v>
      </c>
      <c r="F73" s="16">
        <v>41739</v>
      </c>
      <c r="G73" s="16">
        <v>41760</v>
      </c>
      <c r="H73" s="17">
        <f t="shared" si="5"/>
        <v>20</v>
      </c>
      <c r="I73" s="1">
        <f>H73*1000</f>
        <v>20000</v>
      </c>
      <c r="J73" s="17"/>
      <c r="K73" s="17"/>
      <c r="L73" s="18">
        <f t="shared" si="6"/>
        <v>20000</v>
      </c>
      <c r="M73" s="29">
        <f>SUM('план на 2016'!$L74:M74)-SUM('членские взносы'!$M74:'членские взносы'!M74)</f>
        <v>20800</v>
      </c>
      <c r="N73" s="29">
        <f>SUM('план на 2016'!$L74:N74)-SUM('членские взносы'!$M74:'членские взносы'!N74)</f>
        <v>21600</v>
      </c>
      <c r="O73" s="29">
        <f>SUM('план на 2016'!$L74:O74)-SUM('членские взносы'!$M74:'членские взносы'!O74)</f>
        <v>22400</v>
      </c>
      <c r="P73" s="29">
        <f>SUM('план на 2016'!$L74:P74)-SUM('членские взносы'!$M74:'членские взносы'!P74)</f>
        <v>23200</v>
      </c>
      <c r="Q73" s="29">
        <f>SUM('план на 2016'!$L74:Q74)-SUM('членские взносы'!$M74:'членские взносы'!Q74)</f>
        <v>24000</v>
      </c>
      <c r="R73" s="29">
        <f>SUM('план на 2016'!$L74:R74)-SUM('членские взносы'!$M74:'членские взносы'!R74)</f>
        <v>24800</v>
      </c>
      <c r="S73" s="29">
        <f>SUM('план на 2016'!$L74:S74)-SUM('членские взносы'!$M74:'членские взносы'!S74)</f>
        <v>25600</v>
      </c>
      <c r="T73" s="29">
        <f>SUM('план на 2016'!$L74:T74)-SUM('членские взносы'!$M74:'членские взносы'!T74)</f>
        <v>26400</v>
      </c>
      <c r="U73" s="29">
        <f>SUM('план на 2016'!$L74:U74)-SUM('членские взносы'!$M74:'членские взносы'!U74)</f>
        <v>23200</v>
      </c>
      <c r="V73" s="29">
        <f>SUM('план на 2016'!$L74:V74)-SUM('членские взносы'!$M74:'членские взносы'!V74)</f>
        <v>24000</v>
      </c>
      <c r="W73" s="29">
        <f>SUM('план на 2016'!$L74:W74)-SUM('членские взносы'!$M74:'членские взносы'!W74)</f>
        <v>24800</v>
      </c>
      <c r="X73" s="29">
        <f>SUM('план на 2016'!$L74:X74)-SUM('членские взносы'!$M74:'членские взносы'!X74)</f>
        <v>25600</v>
      </c>
      <c r="Y73" s="18">
        <f t="shared" si="8"/>
        <v>25600</v>
      </c>
    </row>
    <row r="74" spans="1:25">
      <c r="A74" s="41">
        <f>VLOOKUP(B74,справочник!$B$2:$E$322,4,FALSE)</f>
        <v>285</v>
      </c>
      <c r="B74" t="str">
        <f t="shared" si="7"/>
        <v>297Даточный Алексей Валерьевич</v>
      </c>
      <c r="C74" s="1">
        <v>297</v>
      </c>
      <c r="D74" s="2" t="s">
        <v>69</v>
      </c>
      <c r="E74" s="1" t="s">
        <v>386</v>
      </c>
      <c r="F74" s="1"/>
      <c r="G74" s="1"/>
      <c r="H74" s="17"/>
      <c r="I74" s="1">
        <v>19000</v>
      </c>
      <c r="J74" s="17">
        <v>19000</v>
      </c>
      <c r="K74" s="17"/>
      <c r="L74" s="18">
        <f t="shared" si="6"/>
        <v>0</v>
      </c>
      <c r="M74" s="29">
        <f>SUM('план на 2016'!$L75:M75)-SUM('членские взносы'!$M75:'членские взносы'!M75)</f>
        <v>800</v>
      </c>
      <c r="N74" s="29">
        <f>SUM('план на 2016'!$L75:N75)-SUM('членские взносы'!$M75:'членские взносы'!N75)</f>
        <v>-6400</v>
      </c>
      <c r="O74" s="29">
        <f>SUM('план на 2016'!$L75:O75)-SUM('членские взносы'!$M75:'членские взносы'!O75)</f>
        <v>-5600</v>
      </c>
      <c r="P74" s="29">
        <f>SUM('план на 2016'!$L75:P75)-SUM('членские взносы'!$M75:'членские взносы'!P75)</f>
        <v>-4800</v>
      </c>
      <c r="Q74" s="29">
        <f>SUM('план на 2016'!$L75:Q75)-SUM('членские взносы'!$M75:'членские взносы'!Q75)</f>
        <v>-4000</v>
      </c>
      <c r="R74" s="29">
        <f>SUM('план на 2016'!$L75:R75)-SUM('членские взносы'!$M75:'членские взносы'!R75)</f>
        <v>-7200</v>
      </c>
      <c r="S74" s="29">
        <f>SUM('план на 2016'!$L75:S75)-SUM('членские взносы'!$M75:'членские взносы'!S75)</f>
        <v>-6400</v>
      </c>
      <c r="T74" s="29">
        <f>SUM('план на 2016'!$L75:T75)-SUM('членские взносы'!$M75:'членские взносы'!T75)</f>
        <v>-5600</v>
      </c>
      <c r="U74" s="29">
        <f>SUM('план на 2016'!$L75:U75)-SUM('членские взносы'!$M75:'членские взносы'!U75)</f>
        <v>-4800</v>
      </c>
      <c r="V74" s="29">
        <f>SUM('план на 2016'!$L75:V75)-SUM('членские взносы'!$M75:'членские взносы'!V75)</f>
        <v>-4000</v>
      </c>
      <c r="W74" s="29">
        <f>SUM('план на 2016'!$L75:W75)-SUM('членские взносы'!$M75:'членские взносы'!W75)</f>
        <v>-3200</v>
      </c>
      <c r="X74" s="29">
        <f>SUM('план на 2016'!$L75:X75)-SUM('членские взносы'!$M75:'членские взносы'!X75)</f>
        <v>-8400</v>
      </c>
      <c r="Y74" s="18">
        <f t="shared" si="8"/>
        <v>-8400</v>
      </c>
    </row>
    <row r="75" spans="1:25">
      <c r="A75" s="41">
        <f>VLOOKUP(B75,справочник!$B$2:$E$322,4,FALSE)</f>
        <v>24</v>
      </c>
      <c r="B75" t="str">
        <f t="shared" si="7"/>
        <v>24Двойрина Юлия Владимировна</v>
      </c>
      <c r="C75" s="1">
        <v>24</v>
      </c>
      <c r="D75" s="2" t="s">
        <v>70</v>
      </c>
      <c r="E75" s="1" t="s">
        <v>387</v>
      </c>
      <c r="F75" s="16">
        <v>41141</v>
      </c>
      <c r="G75" s="16">
        <v>41153</v>
      </c>
      <c r="H75" s="17">
        <f t="shared" ref="H75:H88" si="9">INT(($H$326-G75)/30)</f>
        <v>40</v>
      </c>
      <c r="I75" s="1">
        <f t="shared" ref="I75:I138" si="10">H75*1000</f>
        <v>40000</v>
      </c>
      <c r="J75" s="17">
        <v>30000</v>
      </c>
      <c r="K75" s="17"/>
      <c r="L75" s="18">
        <f t="shared" si="6"/>
        <v>10000</v>
      </c>
      <c r="M75" s="29">
        <f>SUM('план на 2016'!$L76:M76)-SUM('членские взносы'!$M76:'членские взносы'!M76)</f>
        <v>10800</v>
      </c>
      <c r="N75" s="29">
        <f>SUM('план на 2016'!$L76:N76)-SUM('членские взносы'!$M76:'членские взносы'!N76)</f>
        <v>11600</v>
      </c>
      <c r="O75" s="29">
        <f>SUM('план на 2016'!$L76:O76)-SUM('членские взносы'!$M76:'членские взносы'!O76)</f>
        <v>12400</v>
      </c>
      <c r="P75" s="29">
        <f>SUM('план на 2016'!$L76:P76)-SUM('членские взносы'!$M76:'членские взносы'!P76)</f>
        <v>13200</v>
      </c>
      <c r="Q75" s="29">
        <f>SUM('план на 2016'!$L76:Q76)-SUM('членские взносы'!$M76:'членские взносы'!Q76)</f>
        <v>14000</v>
      </c>
      <c r="R75" s="29">
        <f>SUM('план на 2016'!$L76:R76)-SUM('членские взносы'!$M76:'членские взносы'!R76)</f>
        <v>14800</v>
      </c>
      <c r="S75" s="29">
        <f>SUM('план на 2016'!$L76:S76)-SUM('членские взносы'!$M76:'членские взносы'!S76)</f>
        <v>15600</v>
      </c>
      <c r="T75" s="29">
        <f>SUM('план на 2016'!$L76:T76)-SUM('членские взносы'!$M76:'членские взносы'!T76)</f>
        <v>16400</v>
      </c>
      <c r="U75" s="29">
        <f>SUM('план на 2016'!$L76:U76)-SUM('членские взносы'!$M76:'членские взносы'!U76)</f>
        <v>17200</v>
      </c>
      <c r="V75" s="29">
        <f>SUM('план на 2016'!$L76:V76)-SUM('членские взносы'!$M76:'членские взносы'!V76)</f>
        <v>18000</v>
      </c>
      <c r="W75" s="29">
        <f>SUM('план на 2016'!$L76:W76)-SUM('членские взносы'!$M76:'членские взносы'!W76)</f>
        <v>18800</v>
      </c>
      <c r="X75" s="29">
        <f>SUM('план на 2016'!$L76:X76)-SUM('членские взносы'!$M76:'членские взносы'!X76)</f>
        <v>19600</v>
      </c>
      <c r="Y75" s="18">
        <f t="shared" si="8"/>
        <v>19600</v>
      </c>
    </row>
    <row r="76" spans="1:25">
      <c r="A76" s="41">
        <f>VLOOKUP(B76,справочник!$B$2:$E$322,4,FALSE)</f>
        <v>50</v>
      </c>
      <c r="B76" t="str">
        <f t="shared" si="7"/>
        <v>50Денисов Дмитрий Алексеевич</v>
      </c>
      <c r="C76" s="1">
        <v>50</v>
      </c>
      <c r="D76" s="2" t="s">
        <v>71</v>
      </c>
      <c r="E76" s="1" t="s">
        <v>388</v>
      </c>
      <c r="F76" s="16">
        <v>40793</v>
      </c>
      <c r="G76" s="16">
        <v>40787</v>
      </c>
      <c r="H76" s="17">
        <f t="shared" si="9"/>
        <v>52</v>
      </c>
      <c r="I76" s="1">
        <f t="shared" si="10"/>
        <v>52000</v>
      </c>
      <c r="J76" s="17">
        <f>1000+41000</f>
        <v>42000</v>
      </c>
      <c r="K76" s="17"/>
      <c r="L76" s="18">
        <f t="shared" si="6"/>
        <v>10000</v>
      </c>
      <c r="M76" s="29">
        <f>SUM('план на 2016'!$L77:M77)-SUM('членские взносы'!$M77:'членские взносы'!M77)</f>
        <v>10800</v>
      </c>
      <c r="N76" s="29">
        <f>SUM('план на 2016'!$L77:N77)-SUM('членские взносы'!$M77:'членские взносы'!N77)</f>
        <v>11600</v>
      </c>
      <c r="O76" s="29">
        <f>SUM('план на 2016'!$L77:O77)-SUM('членские взносы'!$M77:'членские взносы'!O77)</f>
        <v>400</v>
      </c>
      <c r="P76" s="29">
        <f>SUM('план на 2016'!$L77:P77)-SUM('членские взносы'!$M77:'членские взносы'!P77)</f>
        <v>1200</v>
      </c>
      <c r="Q76" s="29">
        <f>SUM('план на 2016'!$L77:Q77)-SUM('членские взносы'!$M77:'членские взносы'!Q77)</f>
        <v>2000</v>
      </c>
      <c r="R76" s="29">
        <f>SUM('план на 2016'!$L77:R77)-SUM('членские взносы'!$M77:'членские взносы'!R77)</f>
        <v>2800</v>
      </c>
      <c r="S76" s="29">
        <f>SUM('план на 2016'!$L77:S77)-SUM('членские взносы'!$M77:'членские взносы'!S77)</f>
        <v>400</v>
      </c>
      <c r="T76" s="29">
        <f>SUM('план на 2016'!$L77:T77)-SUM('членские взносы'!$M77:'членские взносы'!T77)</f>
        <v>1200</v>
      </c>
      <c r="U76" s="29">
        <f>SUM('план на 2016'!$L77:U77)-SUM('членские взносы'!$M77:'членские взносы'!U77)</f>
        <v>2000</v>
      </c>
      <c r="V76" s="29">
        <f>SUM('план на 2016'!$L77:V77)-SUM('членские взносы'!$M77:'членские взносы'!V77)</f>
        <v>2800</v>
      </c>
      <c r="W76" s="29">
        <f>SUM('план на 2016'!$L77:W77)-SUM('членские взносы'!$M77:'членские взносы'!W77)</f>
        <v>3600</v>
      </c>
      <c r="X76" s="29">
        <f>SUM('план на 2016'!$L77:X77)-SUM('членские взносы'!$M77:'членские взносы'!X77)</f>
        <v>4400</v>
      </c>
      <c r="Y76" s="18">
        <f t="shared" si="8"/>
        <v>4400</v>
      </c>
    </row>
    <row r="77" spans="1:25">
      <c r="A77" s="41">
        <f>VLOOKUP(B77,справочник!$B$2:$E$322,4,FALSE)</f>
        <v>122</v>
      </c>
      <c r="B77" t="str">
        <f t="shared" si="7"/>
        <v>127Денисов Сергей Александрович</v>
      </c>
      <c r="C77" s="1">
        <v>127</v>
      </c>
      <c r="D77" s="2" t="s">
        <v>72</v>
      </c>
      <c r="E77" s="1" t="s">
        <v>389</v>
      </c>
      <c r="F77" s="16">
        <v>40938</v>
      </c>
      <c r="G77" s="16">
        <v>40940</v>
      </c>
      <c r="H77" s="17">
        <f t="shared" si="9"/>
        <v>47</v>
      </c>
      <c r="I77" s="1">
        <f t="shared" si="10"/>
        <v>47000</v>
      </c>
      <c r="J77" s="17">
        <v>37000</v>
      </c>
      <c r="K77" s="17">
        <v>5000</v>
      </c>
      <c r="L77" s="18">
        <f t="shared" si="6"/>
        <v>5000</v>
      </c>
      <c r="M77" s="29">
        <f>SUM('план на 2016'!$L78:M78)-SUM('членские взносы'!$M78:'членские взносы'!M78)</f>
        <v>800</v>
      </c>
      <c r="N77" s="29">
        <f>SUM('план на 2016'!$L78:N78)-SUM('членские взносы'!$M78:'членские взносы'!N78)</f>
        <v>-400</v>
      </c>
      <c r="O77" s="29">
        <f>SUM('план на 2016'!$L78:O78)-SUM('членские взносы'!$M78:'членские взносы'!O78)</f>
        <v>400</v>
      </c>
      <c r="P77" s="29">
        <f>SUM('план на 2016'!$L78:P78)-SUM('членские взносы'!$M78:'членские взносы'!P78)</f>
        <v>-800</v>
      </c>
      <c r="Q77" s="29">
        <f>SUM('план на 2016'!$L78:Q78)-SUM('членские взносы'!$M78:'членские взносы'!Q78)</f>
        <v>0</v>
      </c>
      <c r="R77" s="29">
        <f>SUM('план на 2016'!$L78:R78)-SUM('членские взносы'!$M78:'членские взносы'!R78)</f>
        <v>800</v>
      </c>
      <c r="S77" s="29">
        <f>SUM('план на 2016'!$L78:S78)-SUM('членские взносы'!$M78:'членские взносы'!S78)</f>
        <v>1600</v>
      </c>
      <c r="T77" s="29">
        <f>SUM('план на 2016'!$L78:T78)-SUM('членские взносы'!$M78:'членские взносы'!T78)</f>
        <v>2400</v>
      </c>
      <c r="U77" s="29">
        <f>SUM('план на 2016'!$L78:U78)-SUM('членские взносы'!$M78:'членские взносы'!U78)</f>
        <v>0</v>
      </c>
      <c r="V77" s="29">
        <f>SUM('план на 2016'!$L78:V78)-SUM('членские взносы'!$M78:'членские взносы'!V78)</f>
        <v>800</v>
      </c>
      <c r="W77" s="29">
        <f>SUM('план на 2016'!$L78:W78)-SUM('членские взносы'!$M78:'членские взносы'!W78)</f>
        <v>1600</v>
      </c>
      <c r="X77" s="29">
        <f>SUM('план на 2016'!$L78:X78)-SUM('членские взносы'!$M78:'членские взносы'!X78)</f>
        <v>0</v>
      </c>
      <c r="Y77" s="18">
        <f t="shared" si="8"/>
        <v>0</v>
      </c>
    </row>
    <row r="78" spans="1:25">
      <c r="A78" s="41">
        <f>VLOOKUP(B78,справочник!$B$2:$E$322,4,FALSE)</f>
        <v>301</v>
      </c>
      <c r="B78" t="str">
        <f t="shared" si="7"/>
        <v>316Десюкова Марина Александровна</v>
      </c>
      <c r="C78" s="1">
        <v>316</v>
      </c>
      <c r="D78" s="2" t="s">
        <v>73</v>
      </c>
      <c r="E78" s="1" t="s">
        <v>390</v>
      </c>
      <c r="F78" s="16">
        <v>41969</v>
      </c>
      <c r="G78" s="16">
        <v>41974</v>
      </c>
      <c r="H78" s="17">
        <f t="shared" si="9"/>
        <v>13</v>
      </c>
      <c r="I78" s="1">
        <f t="shared" si="10"/>
        <v>13000</v>
      </c>
      <c r="J78" s="17">
        <v>1000</v>
      </c>
      <c r="K78" s="17"/>
      <c r="L78" s="18">
        <f t="shared" si="6"/>
        <v>12000</v>
      </c>
      <c r="M78" s="29">
        <f>SUM('план на 2016'!$L79:M79)-SUM('членские взносы'!$M79:'членские взносы'!M79)</f>
        <v>12800</v>
      </c>
      <c r="N78" s="29">
        <f>SUM('план на 2016'!$L79:N79)-SUM('членские взносы'!$M79:'членские взносы'!N79)</f>
        <v>13600</v>
      </c>
      <c r="O78" s="29">
        <f>SUM('план на 2016'!$L79:O79)-SUM('членские взносы'!$M79:'членские взносы'!O79)</f>
        <v>14400</v>
      </c>
      <c r="P78" s="29">
        <f>SUM('план на 2016'!$L79:P79)-SUM('членские взносы'!$M79:'членские взносы'!P79)</f>
        <v>15200</v>
      </c>
      <c r="Q78" s="29">
        <f>SUM('план на 2016'!$L79:Q79)-SUM('членские взносы'!$M79:'членские взносы'!Q79)</f>
        <v>16000</v>
      </c>
      <c r="R78" s="29">
        <f>SUM('план на 2016'!$L79:R79)-SUM('членские взносы'!$M79:'членские взносы'!R79)</f>
        <v>16800</v>
      </c>
      <c r="S78" s="29">
        <f>SUM('план на 2016'!$L79:S79)-SUM('членские взносы'!$M79:'членские взносы'!S79)</f>
        <v>17600</v>
      </c>
      <c r="T78" s="29">
        <f>SUM('план на 2016'!$L79:T79)-SUM('членские взносы'!$M79:'членские взносы'!T79)</f>
        <v>18400</v>
      </c>
      <c r="U78" s="29">
        <f>SUM('план на 2016'!$L79:U79)-SUM('членские взносы'!$M79:'членские взносы'!U79)</f>
        <v>19200</v>
      </c>
      <c r="V78" s="29">
        <f>SUM('план на 2016'!$L79:V79)-SUM('членские взносы'!$M79:'членские взносы'!V79)</f>
        <v>20000</v>
      </c>
      <c r="W78" s="29">
        <f>SUM('план на 2016'!$L79:W79)-SUM('членские взносы'!$M79:'членские взносы'!W79)</f>
        <v>20800</v>
      </c>
      <c r="X78" s="29">
        <f>SUM('план на 2016'!$L79:X79)-SUM('членские взносы'!$M79:'членские взносы'!X79)</f>
        <v>21600</v>
      </c>
      <c r="Y78" s="18">
        <f t="shared" si="8"/>
        <v>21600</v>
      </c>
    </row>
    <row r="79" spans="1:25">
      <c r="A79" s="41">
        <f>VLOOKUP(B79,справочник!$B$2:$E$322,4,FALSE)</f>
        <v>18</v>
      </c>
      <c r="B79" t="str">
        <f t="shared" si="7"/>
        <v>18Дидушко Денис Васильевич (Василий)</v>
      </c>
      <c r="C79" s="1">
        <v>18</v>
      </c>
      <c r="D79" s="2" t="s">
        <v>74</v>
      </c>
      <c r="E79" s="1" t="s">
        <v>391</v>
      </c>
      <c r="F79" s="16">
        <v>41429</v>
      </c>
      <c r="G79" s="16">
        <v>41487</v>
      </c>
      <c r="H79" s="17">
        <f t="shared" si="9"/>
        <v>29</v>
      </c>
      <c r="I79" s="1">
        <f t="shared" si="10"/>
        <v>29000</v>
      </c>
      <c r="J79" s="17">
        <v>29000</v>
      </c>
      <c r="K79" s="17"/>
      <c r="L79" s="18">
        <f t="shared" si="6"/>
        <v>0</v>
      </c>
      <c r="M79" s="29">
        <f>SUM('план на 2016'!$L80:M80)-SUM('членские взносы'!$M80:'членские взносы'!M80)</f>
        <v>800</v>
      </c>
      <c r="N79" s="29">
        <f>SUM('план на 2016'!$L80:N80)-SUM('членские взносы'!$M80:'членские взносы'!N80)</f>
        <v>1600</v>
      </c>
      <c r="O79" s="29">
        <f>SUM('план на 2016'!$L80:O80)-SUM('членские взносы'!$M80:'членские взносы'!O80)</f>
        <v>2400</v>
      </c>
      <c r="P79" s="29">
        <f>SUM('план на 2016'!$L80:P80)-SUM('членские взносы'!$M80:'членские взносы'!P80)</f>
        <v>3200</v>
      </c>
      <c r="Q79" s="29">
        <f>SUM('план на 2016'!$L80:Q80)-SUM('членские взносы'!$M80:'членские взносы'!Q80)</f>
        <v>4000</v>
      </c>
      <c r="R79" s="29">
        <f>SUM('план на 2016'!$L80:R80)-SUM('членские взносы'!$M80:'членские взносы'!R80)</f>
        <v>4800</v>
      </c>
      <c r="S79" s="29">
        <f>SUM('план на 2016'!$L80:S80)-SUM('членские взносы'!$M80:'членские взносы'!S80)</f>
        <v>5600</v>
      </c>
      <c r="T79" s="29">
        <f>SUM('план на 2016'!$L80:T80)-SUM('членские взносы'!$M80:'членские взносы'!T80)</f>
        <v>6400</v>
      </c>
      <c r="U79" s="29">
        <f>SUM('план на 2016'!$L80:U80)-SUM('членские взносы'!$M80:'членские взносы'!U80)</f>
        <v>7200</v>
      </c>
      <c r="V79" s="29">
        <f>SUM('план на 2016'!$L80:V80)-SUM('членские взносы'!$M80:'членские взносы'!V80)</f>
        <v>8000</v>
      </c>
      <c r="W79" s="29">
        <f>SUM('план на 2016'!$L80:W80)-SUM('членские взносы'!$M80:'членские взносы'!W80)</f>
        <v>8800</v>
      </c>
      <c r="X79" s="29">
        <f>SUM('план на 2016'!$L80:X80)-SUM('членские взносы'!$M80:'членские взносы'!X80)</f>
        <v>9600</v>
      </c>
      <c r="Y79" s="18">
        <f t="shared" si="8"/>
        <v>9600</v>
      </c>
    </row>
    <row r="80" spans="1:25">
      <c r="A80" s="41">
        <f>VLOOKUP(B80,справочник!$B$2:$E$322,4,FALSE)</f>
        <v>155</v>
      </c>
      <c r="B80" t="str">
        <f t="shared" si="7"/>
        <v>163Дорошенко Владимир Алексеевич</v>
      </c>
      <c r="C80" s="1">
        <v>163</v>
      </c>
      <c r="D80" s="2" t="s">
        <v>75</v>
      </c>
      <c r="E80" s="1" t="s">
        <v>392</v>
      </c>
      <c r="F80" s="16">
        <v>41491</v>
      </c>
      <c r="G80" s="16">
        <v>41518</v>
      </c>
      <c r="H80" s="17">
        <f t="shared" si="9"/>
        <v>28</v>
      </c>
      <c r="I80" s="1">
        <f t="shared" si="10"/>
        <v>28000</v>
      </c>
      <c r="J80" s="17">
        <v>28000</v>
      </c>
      <c r="K80" s="17">
        <v>2000</v>
      </c>
      <c r="L80" s="18">
        <f t="shared" si="6"/>
        <v>-2000</v>
      </c>
      <c r="M80" s="29">
        <f>SUM('план на 2016'!$L81:M81)-SUM('членские взносы'!$M81:'членские взносы'!M81)</f>
        <v>-1200</v>
      </c>
      <c r="N80" s="29">
        <f>SUM('план на 2016'!$L81:N81)-SUM('членские взносы'!$M81:'членские взносы'!N81)</f>
        <v>-1000</v>
      </c>
      <c r="O80" s="29">
        <f>SUM('план на 2016'!$L81:O81)-SUM('членские взносы'!$M81:'членские взносы'!O81)</f>
        <v>-1800</v>
      </c>
      <c r="P80" s="29">
        <f>SUM('план на 2016'!$L81:P81)-SUM('членские взносы'!$M81:'членские взносы'!P81)</f>
        <v>-1000</v>
      </c>
      <c r="Q80" s="29">
        <f>SUM('план на 2016'!$L81:Q81)-SUM('членские взносы'!$M81:'членские взносы'!Q81)</f>
        <v>-1800</v>
      </c>
      <c r="R80" s="29">
        <f>SUM('план на 2016'!$L81:R81)-SUM('членские взносы'!$M81:'членские взносы'!R81)</f>
        <v>-1000</v>
      </c>
      <c r="S80" s="29">
        <f>SUM('план на 2016'!$L81:S81)-SUM('членские взносы'!$M81:'членские взносы'!S81)</f>
        <v>-1800</v>
      </c>
      <c r="T80" s="29">
        <f>SUM('план на 2016'!$L81:T81)-SUM('членские взносы'!$M81:'членские взносы'!T81)</f>
        <v>-1000</v>
      </c>
      <c r="U80" s="29">
        <f>SUM('план на 2016'!$L81:U81)-SUM('членские взносы'!$M81:'членские взносы'!U81)</f>
        <v>-200</v>
      </c>
      <c r="V80" s="29">
        <f>SUM('план на 2016'!$L81:V81)-SUM('членские взносы'!$M81:'членские взносы'!V81)</f>
        <v>-1000</v>
      </c>
      <c r="W80" s="29">
        <f>SUM('план на 2016'!$L81:W81)-SUM('членские взносы'!$M81:'членские взносы'!W81)</f>
        <v>-1800</v>
      </c>
      <c r="X80" s="29">
        <f>SUM('план на 2016'!$L81:X81)-SUM('членские взносы'!$M81:'членские взносы'!X81)</f>
        <v>-1000</v>
      </c>
      <c r="Y80" s="18">
        <f t="shared" si="8"/>
        <v>-1000</v>
      </c>
    </row>
    <row r="81" spans="1:25">
      <c r="A81" s="41">
        <f>VLOOKUP(B81,справочник!$B$2:$E$322,4,FALSE)</f>
        <v>44</v>
      </c>
      <c r="B81" t="str">
        <f t="shared" si="7"/>
        <v>44Дубов Александр Сергеевич</v>
      </c>
      <c r="C81" s="1">
        <v>44</v>
      </c>
      <c r="D81" s="2" t="s">
        <v>76</v>
      </c>
      <c r="E81" s="23" t="s">
        <v>338</v>
      </c>
      <c r="F81" s="24">
        <v>41100</v>
      </c>
      <c r="G81" s="24">
        <v>41091</v>
      </c>
      <c r="H81" s="17">
        <f t="shared" si="9"/>
        <v>42</v>
      </c>
      <c r="I81" s="1">
        <f t="shared" si="10"/>
        <v>42000</v>
      </c>
      <c r="J81" s="17">
        <f>21000+6000</f>
        <v>27000</v>
      </c>
      <c r="K81" s="17">
        <v>13000</v>
      </c>
      <c r="L81" s="18">
        <f t="shared" si="6"/>
        <v>2000</v>
      </c>
      <c r="M81" s="29">
        <f>SUM('план на 2016'!$L82:M82)-SUM('членские взносы'!$M82:'членские взносы'!M82)</f>
        <v>2800</v>
      </c>
      <c r="N81" s="29">
        <f>SUM('план на 2016'!$L82:N82)-SUM('членские взносы'!$M82:'членские взносы'!N82)</f>
        <v>3600</v>
      </c>
      <c r="O81" s="29">
        <f>SUM('план на 2016'!$L82:O82)-SUM('членские взносы'!$M82:'членские взносы'!O82)</f>
        <v>4400</v>
      </c>
      <c r="P81" s="29">
        <f>SUM('план на 2016'!$L82:P82)-SUM('членские взносы'!$M82:'членские взносы'!P82)</f>
        <v>5200</v>
      </c>
      <c r="Q81" s="29">
        <f>SUM('план на 2016'!$L82:Q82)-SUM('членские взносы'!$M82:'членские взносы'!Q82)</f>
        <v>6000</v>
      </c>
      <c r="R81" s="29">
        <f>SUM('план на 2016'!$L82:R82)-SUM('членские взносы'!$M82:'членские взносы'!R82)</f>
        <v>6800</v>
      </c>
      <c r="S81" s="29">
        <f>SUM('план на 2016'!$L82:S82)-SUM('членские взносы'!$M82:'членские взносы'!S82)</f>
        <v>7600</v>
      </c>
      <c r="T81" s="29">
        <f>SUM('план на 2016'!$L82:T82)-SUM('членские взносы'!$M82:'членские взносы'!T82)</f>
        <v>8400</v>
      </c>
      <c r="U81" s="29">
        <f>SUM('план на 2016'!$L82:U82)-SUM('членские взносы'!$M82:'членские взносы'!U82)</f>
        <v>9200</v>
      </c>
      <c r="V81" s="29">
        <f>SUM('план на 2016'!$L82:V82)-SUM('членские взносы'!$M82:'членские взносы'!V82)</f>
        <v>10000</v>
      </c>
      <c r="W81" s="29">
        <f>SUM('план на 2016'!$L82:W82)-SUM('членские взносы'!$M82:'членские взносы'!W82)</f>
        <v>10800</v>
      </c>
      <c r="X81" s="29">
        <f>SUM('план на 2016'!$L82:X82)-SUM('членские взносы'!$M82:'членские взносы'!X82)</f>
        <v>11600</v>
      </c>
      <c r="Y81" s="18">
        <f t="shared" si="8"/>
        <v>11600</v>
      </c>
    </row>
    <row r="82" spans="1:25">
      <c r="A82" s="41">
        <f>VLOOKUP(B82,справочник!$B$2:$E$322,4,FALSE)</f>
        <v>132</v>
      </c>
      <c r="B82" t="str">
        <f t="shared" si="7"/>
        <v>139Евглевская Ольга Борисовна</v>
      </c>
      <c r="C82" s="1">
        <v>139</v>
      </c>
      <c r="D82" s="2" t="s">
        <v>77</v>
      </c>
      <c r="E82" s="1" t="s">
        <v>393</v>
      </c>
      <c r="F82" s="16">
        <v>40690</v>
      </c>
      <c r="G82" s="16">
        <v>40695</v>
      </c>
      <c r="H82" s="17">
        <f t="shared" si="9"/>
        <v>55</v>
      </c>
      <c r="I82" s="1">
        <f t="shared" si="10"/>
        <v>55000</v>
      </c>
      <c r="J82" s="17">
        <f>41000+1000</f>
        <v>42000</v>
      </c>
      <c r="K82" s="17"/>
      <c r="L82" s="18">
        <f t="shared" si="6"/>
        <v>13000</v>
      </c>
      <c r="M82" s="29">
        <f>SUM('план на 2016'!$L83:M83)-SUM('членские взносы'!$M83:'членские взносы'!M83)</f>
        <v>13800</v>
      </c>
      <c r="N82" s="29">
        <f>SUM('план на 2016'!$L83:N83)-SUM('членские взносы'!$M83:'членские взносы'!N83)</f>
        <v>14600</v>
      </c>
      <c r="O82" s="29">
        <f>SUM('план на 2016'!$L83:O83)-SUM('членские взносы'!$M83:'членские взносы'!O83)</f>
        <v>15400</v>
      </c>
      <c r="P82" s="29">
        <f>SUM('план на 2016'!$L83:P83)-SUM('членские взносы'!$M83:'членские взносы'!P83)</f>
        <v>16200</v>
      </c>
      <c r="Q82" s="29">
        <f>SUM('план на 2016'!$L83:Q83)-SUM('членские взносы'!$M83:'членские взносы'!Q83)</f>
        <v>17000</v>
      </c>
      <c r="R82" s="29">
        <f>SUM('план на 2016'!$L83:R83)-SUM('членские взносы'!$M83:'членские взносы'!R83)</f>
        <v>17800</v>
      </c>
      <c r="S82" s="29">
        <f>SUM('план на 2016'!$L83:S83)-SUM('членские взносы'!$M83:'членские взносы'!S83)</f>
        <v>18600</v>
      </c>
      <c r="T82" s="29">
        <f>SUM('план на 2016'!$L83:T83)-SUM('членские взносы'!$M83:'членские взносы'!T83)</f>
        <v>19400</v>
      </c>
      <c r="U82" s="29">
        <f>SUM('план на 2016'!$L83:U83)-SUM('членские взносы'!$M83:'членские взносы'!U83)</f>
        <v>20200</v>
      </c>
      <c r="V82" s="29">
        <f>SUM('план на 2016'!$L83:V83)-SUM('членские взносы'!$M83:'членские взносы'!V83)</f>
        <v>21000</v>
      </c>
      <c r="W82" s="29">
        <f>SUM('план на 2016'!$L83:W83)-SUM('членские взносы'!$M83:'членские взносы'!W83)</f>
        <v>21800</v>
      </c>
      <c r="X82" s="29">
        <f>SUM('план на 2016'!$L83:X83)-SUM('членские взносы'!$M83:'членские взносы'!X83)</f>
        <v>22600</v>
      </c>
      <c r="Y82" s="18">
        <f t="shared" si="8"/>
        <v>22600</v>
      </c>
    </row>
    <row r="83" spans="1:25">
      <c r="A83" s="41">
        <f>VLOOKUP(B83,справочник!$B$2:$E$322,4,FALSE)</f>
        <v>159</v>
      </c>
      <c r="B83" t="str">
        <f t="shared" si="7"/>
        <v>167Евсеев Александр Сергеевич</v>
      </c>
      <c r="C83" s="1">
        <v>167</v>
      </c>
      <c r="D83" s="2" t="s">
        <v>78</v>
      </c>
      <c r="E83" s="1" t="s">
        <v>394</v>
      </c>
      <c r="F83" s="16">
        <v>41044</v>
      </c>
      <c r="G83" s="16">
        <v>41030</v>
      </c>
      <c r="H83" s="17">
        <f t="shared" si="9"/>
        <v>44</v>
      </c>
      <c r="I83" s="1">
        <f t="shared" si="10"/>
        <v>44000</v>
      </c>
      <c r="J83" s="17">
        <f>32000</f>
        <v>32000</v>
      </c>
      <c r="K83" s="17"/>
      <c r="L83" s="18">
        <f t="shared" si="6"/>
        <v>12000</v>
      </c>
      <c r="M83" s="29">
        <f>SUM('план на 2016'!$L84:M84)-SUM('членские взносы'!$M84:'членские взносы'!M84)</f>
        <v>12800</v>
      </c>
      <c r="N83" s="29">
        <f>SUM('план на 2016'!$L84:N84)-SUM('членские взносы'!$M84:'членские взносы'!N84)</f>
        <v>1600</v>
      </c>
      <c r="O83" s="29">
        <f>SUM('план на 2016'!$L84:O84)-SUM('членские взносы'!$M84:'членские взносы'!O84)</f>
        <v>2400</v>
      </c>
      <c r="P83" s="29">
        <f>SUM('план на 2016'!$L84:P84)-SUM('членские взносы'!$M84:'членские взносы'!P84)</f>
        <v>3200</v>
      </c>
      <c r="Q83" s="29">
        <f>SUM('план на 2016'!$L84:Q84)-SUM('членские взносы'!$M84:'членские взносы'!Q84)</f>
        <v>4000</v>
      </c>
      <c r="R83" s="29">
        <f>SUM('план на 2016'!$L84:R84)-SUM('членские взносы'!$M84:'членские взносы'!R84)</f>
        <v>4800</v>
      </c>
      <c r="S83" s="29">
        <f>SUM('план на 2016'!$L84:S84)-SUM('членские взносы'!$M84:'членские взносы'!S84)</f>
        <v>0</v>
      </c>
      <c r="T83" s="29">
        <f>SUM('план на 2016'!$L84:T84)-SUM('членские взносы'!$M84:'членские взносы'!T84)</f>
        <v>800</v>
      </c>
      <c r="U83" s="29">
        <f>SUM('план на 2016'!$L84:U84)-SUM('членские взносы'!$M84:'членские взносы'!U84)</f>
        <v>1600</v>
      </c>
      <c r="V83" s="29">
        <f>SUM('план на 2016'!$L84:V84)-SUM('членские взносы'!$M84:'членские взносы'!V84)</f>
        <v>2400</v>
      </c>
      <c r="W83" s="29">
        <f>SUM('план на 2016'!$L84:W84)-SUM('членские взносы'!$M84:'членские взносы'!W84)</f>
        <v>3200</v>
      </c>
      <c r="X83" s="29">
        <f>SUM('план на 2016'!$L84:X84)-SUM('членские взносы'!$M84:'членские взносы'!X84)</f>
        <v>0</v>
      </c>
      <c r="Y83" s="18">
        <f t="shared" si="8"/>
        <v>0</v>
      </c>
    </row>
    <row r="84" spans="1:25">
      <c r="A84" s="41">
        <f>VLOOKUP(B84,справочник!$B$2:$E$322,4,FALSE)</f>
        <v>181</v>
      </c>
      <c r="B84" t="str">
        <f t="shared" si="7"/>
        <v xml:space="preserve">189Елисеев Сергей Вячеславович          </v>
      </c>
      <c r="C84" s="1">
        <v>189</v>
      </c>
      <c r="D84" s="2" t="s">
        <v>79</v>
      </c>
      <c r="E84" s="1" t="s">
        <v>395</v>
      </c>
      <c r="F84" s="16">
        <v>41734</v>
      </c>
      <c r="G84" s="16">
        <v>41760</v>
      </c>
      <c r="H84" s="17">
        <f t="shared" si="9"/>
        <v>20</v>
      </c>
      <c r="I84" s="1">
        <f t="shared" si="10"/>
        <v>20000</v>
      </c>
      <c r="J84" s="17">
        <v>17000</v>
      </c>
      <c r="K84" s="17"/>
      <c r="L84" s="18">
        <f t="shared" si="6"/>
        <v>3000</v>
      </c>
      <c r="M84" s="29">
        <f>SUM('план на 2016'!$L85:M85)-SUM('членские взносы'!$M85:'членские взносы'!M85)</f>
        <v>3800</v>
      </c>
      <c r="N84" s="29">
        <f>SUM('план на 2016'!$L85:N85)-SUM('членские взносы'!$M85:'членские взносы'!N85)</f>
        <v>4600</v>
      </c>
      <c r="O84" s="29">
        <f>SUM('план на 2016'!$L85:O85)-SUM('членские взносы'!$M85:'членские взносы'!O85)</f>
        <v>5400</v>
      </c>
      <c r="P84" s="29">
        <f>SUM('план на 2016'!$L85:P85)-SUM('членские взносы'!$M85:'членские взносы'!P85)</f>
        <v>6200</v>
      </c>
      <c r="Q84" s="29">
        <f>SUM('план на 2016'!$L85:Q85)-SUM('членские взносы'!$M85:'членские взносы'!Q85)</f>
        <v>0</v>
      </c>
      <c r="R84" s="29">
        <f>SUM('план на 2016'!$L85:R85)-SUM('членские взносы'!$M85:'членские взносы'!R85)</f>
        <v>800</v>
      </c>
      <c r="S84" s="29">
        <f>SUM('план на 2016'!$L85:S85)-SUM('членские взносы'!$M85:'членские взносы'!S85)</f>
        <v>1600</v>
      </c>
      <c r="T84" s="29">
        <f>SUM('план на 2016'!$L85:T85)-SUM('членские взносы'!$M85:'членские взносы'!T85)</f>
        <v>2400</v>
      </c>
      <c r="U84" s="29">
        <f>SUM('план на 2016'!$L85:U85)-SUM('членские взносы'!$M85:'членские взносы'!U85)</f>
        <v>3200</v>
      </c>
      <c r="V84" s="29">
        <f>SUM('план на 2016'!$L85:V85)-SUM('членские взносы'!$M85:'членские взносы'!V85)</f>
        <v>4000</v>
      </c>
      <c r="W84" s="29">
        <f>SUM('план на 2016'!$L85:W85)-SUM('членские взносы'!$M85:'членские взносы'!W85)</f>
        <v>4800</v>
      </c>
      <c r="X84" s="29">
        <f>SUM('план на 2016'!$L85:X85)-SUM('членские взносы'!$M85:'членские взносы'!X85)</f>
        <v>5600</v>
      </c>
      <c r="Y84" s="18">
        <f t="shared" si="8"/>
        <v>5600</v>
      </c>
    </row>
    <row r="85" spans="1:25">
      <c r="A85" s="41">
        <f>VLOOKUP(B85,справочник!$B$2:$E$322,4,FALSE)</f>
        <v>284</v>
      </c>
      <c r="B85" t="str">
        <f t="shared" si="7"/>
        <v>296Епанчинцева Людмила Филипповна</v>
      </c>
      <c r="C85" s="1">
        <v>296</v>
      </c>
      <c r="D85" s="2" t="s">
        <v>80</v>
      </c>
      <c r="E85" s="1" t="s">
        <v>396</v>
      </c>
      <c r="F85" s="16">
        <v>41549</v>
      </c>
      <c r="G85" s="16">
        <v>41579</v>
      </c>
      <c r="H85" s="17">
        <f t="shared" si="9"/>
        <v>26</v>
      </c>
      <c r="I85" s="1">
        <f t="shared" si="10"/>
        <v>26000</v>
      </c>
      <c r="J85" s="17">
        <f>12000</f>
        <v>12000</v>
      </c>
      <c r="K85" s="17">
        <v>5000</v>
      </c>
      <c r="L85" s="18">
        <f t="shared" si="6"/>
        <v>9000</v>
      </c>
      <c r="M85" s="29">
        <f>SUM('план на 2016'!$L86:M86)-SUM('членские взносы'!$M86:'членские взносы'!M86)</f>
        <v>9800</v>
      </c>
      <c r="N85" s="29">
        <f>SUM('план на 2016'!$L86:N86)-SUM('членские взносы'!$M86:'членские взносы'!N86)</f>
        <v>10600</v>
      </c>
      <c r="O85" s="29">
        <f>SUM('план на 2016'!$L86:O86)-SUM('членские взносы'!$M86:'членские взносы'!O86)</f>
        <v>5400</v>
      </c>
      <c r="P85" s="29">
        <f>SUM('план на 2016'!$L86:P86)-SUM('членские взносы'!$M86:'членские взносы'!P86)</f>
        <v>6200</v>
      </c>
      <c r="Q85" s="29">
        <f>SUM('план на 2016'!$L86:Q86)-SUM('членские взносы'!$M86:'членские взносы'!Q86)</f>
        <v>7000</v>
      </c>
      <c r="R85" s="29">
        <f>SUM('план на 2016'!$L86:R86)-SUM('членские взносы'!$M86:'членские взносы'!R86)</f>
        <v>7800</v>
      </c>
      <c r="S85" s="29">
        <f>SUM('план на 2016'!$L86:S86)-SUM('членские взносы'!$M86:'членские взносы'!S86)</f>
        <v>6200</v>
      </c>
      <c r="T85" s="29">
        <f>SUM('план на 2016'!$L86:T86)-SUM('членские взносы'!$M86:'членские взносы'!T86)</f>
        <v>7000</v>
      </c>
      <c r="U85" s="29">
        <f>SUM('план на 2016'!$L86:U86)-SUM('членские взносы'!$M86:'членские взносы'!U86)</f>
        <v>7800</v>
      </c>
      <c r="V85" s="29">
        <f>SUM('план на 2016'!$L86:V86)-SUM('членские взносы'!$M86:'членские взносы'!V86)</f>
        <v>5400</v>
      </c>
      <c r="W85" s="29">
        <f>SUM('план на 2016'!$L86:W86)-SUM('членские взносы'!$M86:'членские взносы'!W86)</f>
        <v>6200</v>
      </c>
      <c r="X85" s="29">
        <f>SUM('план на 2016'!$L86:X86)-SUM('членские взносы'!$M86:'членские взносы'!X86)</f>
        <v>7000</v>
      </c>
      <c r="Y85" s="18">
        <f t="shared" si="8"/>
        <v>7000</v>
      </c>
    </row>
    <row r="86" spans="1:25" ht="25.5">
      <c r="A86" s="41">
        <f>VLOOKUP(B86,справочник!$B$2:$E$322,4,FALSE)</f>
        <v>264</v>
      </c>
      <c r="B86" t="str">
        <f t="shared" si="7"/>
        <v>277Еременко Виктор Александрович (Валентина)</v>
      </c>
      <c r="C86" s="1">
        <v>277</v>
      </c>
      <c r="D86" s="2" t="s">
        <v>81</v>
      </c>
      <c r="E86" s="1" t="s">
        <v>397</v>
      </c>
      <c r="F86" s="16">
        <v>41093</v>
      </c>
      <c r="G86" s="16">
        <v>41091</v>
      </c>
      <c r="H86" s="17">
        <f t="shared" si="9"/>
        <v>42</v>
      </c>
      <c r="I86" s="1">
        <f t="shared" si="10"/>
        <v>42000</v>
      </c>
      <c r="J86" s="17">
        <f>38000</f>
        <v>38000</v>
      </c>
      <c r="K86" s="17"/>
      <c r="L86" s="18">
        <f t="shared" si="6"/>
        <v>4000</v>
      </c>
      <c r="M86" s="29">
        <f>SUM('план на 2016'!$L87:M87)-SUM('членские взносы'!$M87:'членские взносы'!M87)</f>
        <v>800</v>
      </c>
      <c r="N86" s="29">
        <f>SUM('план на 2016'!$L87:N87)-SUM('членские взносы'!$M87:'членские взносы'!N87)</f>
        <v>1600</v>
      </c>
      <c r="O86" s="29">
        <f>SUM('план на 2016'!$L87:O87)-SUM('членские взносы'!$M87:'членские взносы'!O87)</f>
        <v>400</v>
      </c>
      <c r="P86" s="29">
        <f>SUM('план на 2016'!$L87:P87)-SUM('членские взносы'!$M87:'членские взносы'!P87)</f>
        <v>1200</v>
      </c>
      <c r="Q86" s="29">
        <f>SUM('план на 2016'!$L87:Q87)-SUM('членские взносы'!$M87:'членские взносы'!Q87)</f>
        <v>2000</v>
      </c>
      <c r="R86" s="29">
        <f>SUM('план на 2016'!$L87:R87)-SUM('членские взносы'!$M87:'членские взносы'!R87)</f>
        <v>2800</v>
      </c>
      <c r="S86" s="29">
        <f>SUM('план на 2016'!$L87:S87)-SUM('членские взносы'!$M87:'членские взносы'!S87)</f>
        <v>-2400</v>
      </c>
      <c r="T86" s="29">
        <f>SUM('план на 2016'!$L87:T87)-SUM('членские взносы'!$M87:'членские взносы'!T87)</f>
        <v>-1600</v>
      </c>
      <c r="U86" s="29">
        <f>SUM('план на 2016'!$L87:U87)-SUM('членские взносы'!$M87:'членские взносы'!U87)</f>
        <v>-800</v>
      </c>
      <c r="V86" s="29">
        <f>SUM('план на 2016'!$L87:V87)-SUM('членские взносы'!$M87:'членские взносы'!V87)</f>
        <v>0</v>
      </c>
      <c r="W86" s="29">
        <f>SUM('план на 2016'!$L87:W87)-SUM('членские взносы'!$M87:'членские взносы'!W87)</f>
        <v>800</v>
      </c>
      <c r="X86" s="29">
        <f>SUM('план на 2016'!$L87:X87)-SUM('членские взносы'!$M87:'членские взносы'!X87)</f>
        <v>1600</v>
      </c>
      <c r="Y86" s="18">
        <f t="shared" si="8"/>
        <v>1600</v>
      </c>
    </row>
    <row r="87" spans="1:25">
      <c r="A87" s="41">
        <f>VLOOKUP(B87,справочник!$B$2:$E$322,4,FALSE)</f>
        <v>32</v>
      </c>
      <c r="B87" t="str">
        <f t="shared" si="7"/>
        <v>32Ермакова Татьяна Викторовна</v>
      </c>
      <c r="C87" s="1">
        <v>32</v>
      </c>
      <c r="D87" s="2" t="s">
        <v>82</v>
      </c>
      <c r="E87" s="1" t="s">
        <v>398</v>
      </c>
      <c r="F87" s="16">
        <v>40695</v>
      </c>
      <c r="G87" s="16">
        <v>40695</v>
      </c>
      <c r="H87" s="17">
        <f t="shared" si="9"/>
        <v>55</v>
      </c>
      <c r="I87" s="1">
        <f t="shared" si="10"/>
        <v>55000</v>
      </c>
      <c r="J87" s="17">
        <f>7000+48000</f>
        <v>55000</v>
      </c>
      <c r="K87" s="17"/>
      <c r="L87" s="18">
        <f t="shared" si="6"/>
        <v>0</v>
      </c>
      <c r="M87" s="29">
        <f>SUM('план на 2016'!$L88:M88)-SUM('членские взносы'!$M88:'членские взносы'!M88)</f>
        <v>-1600</v>
      </c>
      <c r="N87" s="29">
        <f>SUM('план на 2016'!$L88:N88)-SUM('членские взносы'!$M88:'членские взносы'!N88)</f>
        <v>-800</v>
      </c>
      <c r="O87" s="29">
        <f>SUM('план на 2016'!$L88:O88)-SUM('членские взносы'!$M88:'членские взносы'!O88)</f>
        <v>0</v>
      </c>
      <c r="P87" s="29">
        <f>SUM('план на 2016'!$L88:P88)-SUM('членские взносы'!$M88:'членские взносы'!P88)</f>
        <v>800</v>
      </c>
      <c r="Q87" s="29">
        <f>SUM('план на 2016'!$L88:Q88)-SUM('членские взносы'!$M88:'членские взносы'!Q88)</f>
        <v>1600</v>
      </c>
      <c r="R87" s="29">
        <f>SUM('план на 2016'!$L88:R88)-SUM('членские взносы'!$M88:'членские взносы'!R88)</f>
        <v>0</v>
      </c>
      <c r="S87" s="29">
        <f>SUM('план на 2016'!$L88:S88)-SUM('членские взносы'!$M88:'членские взносы'!S88)</f>
        <v>-4000</v>
      </c>
      <c r="T87" s="29">
        <f>SUM('план на 2016'!$L88:T88)-SUM('членские взносы'!$M88:'членские взносы'!T88)</f>
        <v>-3200</v>
      </c>
      <c r="U87" s="29">
        <f>SUM('план на 2016'!$L88:U88)-SUM('членские взносы'!$M88:'членские взносы'!U88)</f>
        <v>-2400</v>
      </c>
      <c r="V87" s="29">
        <f>SUM('план на 2016'!$L88:V88)-SUM('членские взносы'!$M88:'членские взносы'!V88)</f>
        <v>-1600</v>
      </c>
      <c r="W87" s="29">
        <f>SUM('план на 2016'!$L88:W88)-SUM('членские взносы'!$M88:'членские взносы'!W88)</f>
        <v>-800</v>
      </c>
      <c r="X87" s="29">
        <f>SUM('план на 2016'!$L88:X88)-SUM('членские взносы'!$M88:'членские взносы'!X88)</f>
        <v>0</v>
      </c>
      <c r="Y87" s="18">
        <f t="shared" si="8"/>
        <v>0</v>
      </c>
    </row>
    <row r="88" spans="1:25">
      <c r="A88" s="41">
        <f>VLOOKUP(B88,справочник!$B$2:$E$322,4,FALSE)</f>
        <v>49</v>
      </c>
      <c r="B88" t="str">
        <f t="shared" si="7"/>
        <v>49Ермолаева Виктория Александровна</v>
      </c>
      <c r="C88" s="1">
        <v>49</v>
      </c>
      <c r="D88" s="2" t="s">
        <v>83</v>
      </c>
      <c r="E88" s="1" t="s">
        <v>399</v>
      </c>
      <c r="F88" s="16">
        <v>40729</v>
      </c>
      <c r="G88" s="16">
        <v>40756</v>
      </c>
      <c r="H88" s="17">
        <f t="shared" si="9"/>
        <v>53</v>
      </c>
      <c r="I88" s="1">
        <f t="shared" si="10"/>
        <v>53000</v>
      </c>
      <c r="J88" s="17">
        <f>42000</f>
        <v>42000</v>
      </c>
      <c r="K88" s="17"/>
      <c r="L88" s="18">
        <f t="shared" si="6"/>
        <v>11000</v>
      </c>
      <c r="M88" s="29">
        <f>SUM('план на 2016'!$L89:M89)-SUM('членские взносы'!$M89:'членские взносы'!M89)</f>
        <v>11800</v>
      </c>
      <c r="N88" s="29">
        <f>SUM('план на 2016'!$L89:N89)-SUM('членские взносы'!$M89:'членские взносы'!N89)</f>
        <v>12600</v>
      </c>
      <c r="O88" s="29">
        <f>SUM('план на 2016'!$L89:O89)-SUM('членские взносы'!$M89:'членские взносы'!O89)</f>
        <v>13400</v>
      </c>
      <c r="P88" s="29">
        <f>SUM('план на 2016'!$L89:P89)-SUM('членские взносы'!$M89:'членские взносы'!P89)</f>
        <v>14200</v>
      </c>
      <c r="Q88" s="29">
        <f>SUM('план на 2016'!$L89:Q89)-SUM('членские взносы'!$M89:'членские взносы'!Q89)</f>
        <v>10200</v>
      </c>
      <c r="R88" s="29">
        <f>SUM('план на 2016'!$L89:R89)-SUM('членские взносы'!$M89:'членские взносы'!R89)</f>
        <v>800</v>
      </c>
      <c r="S88" s="29">
        <f>SUM('план на 2016'!$L89:S89)-SUM('членские взносы'!$M89:'членские взносы'!S89)</f>
        <v>1600</v>
      </c>
      <c r="T88" s="29">
        <f>SUM('план на 2016'!$L89:T89)-SUM('членские взносы'!$M89:'членские взносы'!T89)</f>
        <v>2400</v>
      </c>
      <c r="U88" s="29">
        <f>SUM('план на 2016'!$L89:U89)-SUM('членские взносы'!$M89:'членские взносы'!U89)</f>
        <v>3200</v>
      </c>
      <c r="V88" s="29">
        <f>SUM('план на 2016'!$L89:V89)-SUM('членские взносы'!$M89:'членские взносы'!V89)</f>
        <v>4000</v>
      </c>
      <c r="W88" s="29">
        <f>SUM('план на 2016'!$L89:W89)-SUM('членские взносы'!$M89:'членские взносы'!W89)</f>
        <v>4800</v>
      </c>
      <c r="X88" s="29">
        <f>SUM('план на 2016'!$L89:X89)-SUM('членские взносы'!$M89:'членские взносы'!X89)</f>
        <v>800</v>
      </c>
      <c r="Y88" s="18">
        <f t="shared" si="8"/>
        <v>800</v>
      </c>
    </row>
    <row r="89" spans="1:25">
      <c r="A89" s="41">
        <f>VLOOKUP(B89,справочник!$B$2:$E$322,4,FALSE)</f>
        <v>234</v>
      </c>
      <c r="B89" t="str">
        <f t="shared" si="7"/>
        <v>243Ермошина Татьяна Евгеньевна (Владимир)</v>
      </c>
      <c r="C89" s="1">
        <v>243</v>
      </c>
      <c r="D89" s="2" t="s">
        <v>84</v>
      </c>
      <c r="E89" s="5" t="s">
        <v>400</v>
      </c>
      <c r="F89" s="19">
        <v>41248</v>
      </c>
      <c r="G89" s="19">
        <v>41365</v>
      </c>
      <c r="H89" s="20">
        <v>3</v>
      </c>
      <c r="I89" s="5">
        <f t="shared" si="10"/>
        <v>3000</v>
      </c>
      <c r="J89" s="20"/>
      <c r="K89" s="20">
        <v>3000</v>
      </c>
      <c r="L89" s="21">
        <f t="shared" si="6"/>
        <v>0</v>
      </c>
      <c r="M89" s="29">
        <f>SUM('план на 2016'!$L90:M90)-SUM('членские взносы'!$M90:'членские взносы'!M90)</f>
        <v>0</v>
      </c>
      <c r="N89" s="29">
        <f>SUM('план на 2016'!$L90:N90)-SUM('членские взносы'!$M90:'членские взносы'!N90)</f>
        <v>-4800</v>
      </c>
      <c r="O89" s="29">
        <f>SUM('план на 2016'!$L90:O90)-SUM('членские взносы'!$M90:'членские взносы'!O90)</f>
        <v>-4800</v>
      </c>
      <c r="P89" s="29">
        <f>SUM('план на 2016'!$L90:P90)-SUM('членские взносы'!$M90:'членские взносы'!P90)</f>
        <v>-4800</v>
      </c>
      <c r="Q89" s="29">
        <f>SUM('план на 2016'!$L90:Q90)-SUM('членские взносы'!$M90:'членские взносы'!Q90)</f>
        <v>-4800</v>
      </c>
      <c r="R89" s="29">
        <f>SUM('план на 2016'!$L90:R90)-SUM('членские взносы'!$M90:'членские взносы'!R90)</f>
        <v>-4800</v>
      </c>
      <c r="S89" s="29">
        <f>SUM('план на 2016'!$L90:S90)-SUM('членские взносы'!$M90:'членские взносы'!S90)</f>
        <v>-4800</v>
      </c>
      <c r="T89" s="29">
        <f>SUM('план на 2016'!$L90:T90)-SUM('членские взносы'!$M90:'членские взносы'!T90)</f>
        <v>-7300</v>
      </c>
      <c r="U89" s="29">
        <f>SUM('план на 2016'!$L90:U90)-SUM('членские взносы'!$M90:'членские взносы'!U90)</f>
        <v>-9600</v>
      </c>
      <c r="V89" s="29">
        <f>SUM('план на 2016'!$L90:V90)-SUM('членские взносы'!$M90:'членские взносы'!V90)</f>
        <v>-9600</v>
      </c>
      <c r="W89" s="29">
        <f>SUM('план на 2016'!$L90:W90)-SUM('членские взносы'!$M90:'членские взносы'!W90)</f>
        <v>-9600</v>
      </c>
      <c r="X89" s="29">
        <f>SUM('план на 2016'!$L90:X90)-SUM('членские взносы'!$M90:'членские взносы'!X90)</f>
        <v>-9600</v>
      </c>
      <c r="Y89" s="18">
        <f t="shared" si="8"/>
        <v>-9600</v>
      </c>
    </row>
    <row r="90" spans="1:25">
      <c r="A90" s="41">
        <f>VLOOKUP(B90,справочник!$B$2:$E$322,4,FALSE)</f>
        <v>234</v>
      </c>
      <c r="B90" t="str">
        <f t="shared" si="7"/>
        <v>244Ермошина Татьяна Евгеньевна (Владимир)</v>
      </c>
      <c r="C90" s="1">
        <v>244</v>
      </c>
      <c r="D90" s="2" t="s">
        <v>84</v>
      </c>
      <c r="E90" s="5"/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9">
        <f>SUM('план на 2016'!$L91:M91)-SUM('членские взносы'!$M91:'членские взносы'!M91)</f>
        <v>0</v>
      </c>
      <c r="N90" s="29">
        <f>SUM('план на 2016'!$L91:N91)-SUM('членские взносы'!$M91:'членские взносы'!N91)</f>
        <v>0</v>
      </c>
      <c r="O90" s="29">
        <f>SUM('план на 2016'!$L91:O91)-SUM('членские взносы'!$M91:'членские взносы'!O91)</f>
        <v>0</v>
      </c>
      <c r="P90" s="29">
        <f>SUM('план на 2016'!$L91:P91)-SUM('членские взносы'!$M91:'членские взносы'!P91)</f>
        <v>0</v>
      </c>
      <c r="Q90" s="29">
        <f>SUM('план на 2016'!$L91:Q91)-SUM('членские взносы'!$M91:'членские взносы'!Q91)</f>
        <v>0</v>
      </c>
      <c r="R90" s="29">
        <f>SUM('план на 2016'!$L91:R91)-SUM('членские взносы'!$M91:'членские взносы'!R91)</f>
        <v>0</v>
      </c>
      <c r="S90" s="29">
        <f>SUM('план на 2016'!$L91:S91)-SUM('членские взносы'!$M91:'членские взносы'!S91)</f>
        <v>0</v>
      </c>
      <c r="T90" s="29">
        <f>SUM('план на 2016'!$L91:T91)-SUM('членские взносы'!$M91:'членские взносы'!T91)</f>
        <v>0</v>
      </c>
      <c r="U90" s="29">
        <f>SUM('план на 2016'!$L91:U91)-SUM('членские взносы'!$M91:'членские взносы'!U91)</f>
        <v>0</v>
      </c>
      <c r="V90" s="29">
        <f>SUM('план на 2016'!$L91:V91)-SUM('членские взносы'!$M91:'членские взносы'!V91)</f>
        <v>0</v>
      </c>
      <c r="W90" s="29">
        <f>SUM('план на 2016'!$L91:W91)-SUM('членские взносы'!$M91:'членские взносы'!W91)</f>
        <v>0</v>
      </c>
      <c r="X90" s="29">
        <f>SUM('план на 2016'!$L91:X91)-SUM('членские взносы'!$M91:'членские взносы'!X91)</f>
        <v>0</v>
      </c>
      <c r="Y90" s="18">
        <f t="shared" si="8"/>
        <v>0</v>
      </c>
    </row>
    <row r="91" spans="1:25">
      <c r="A91" s="41">
        <f>VLOOKUP(B91,справочник!$B$2:$E$322,4,FALSE)</f>
        <v>234</v>
      </c>
      <c r="B91" t="str">
        <f t="shared" si="7"/>
        <v>243-244Ермошина Татьяна Евгеньевна (Владимир)</v>
      </c>
      <c r="C91" s="1" t="s">
        <v>85</v>
      </c>
      <c r="D91" s="2" t="s">
        <v>84</v>
      </c>
      <c r="E91" s="5"/>
      <c r="F91" s="19">
        <v>41456</v>
      </c>
      <c r="G91" s="19">
        <v>41456</v>
      </c>
      <c r="H91" s="20">
        <f t="shared" ref="H91:H118" si="11">INT(($H$326-G91)/30)</f>
        <v>30</v>
      </c>
      <c r="I91" s="5">
        <f t="shared" si="10"/>
        <v>30000</v>
      </c>
      <c r="J91" s="20"/>
      <c r="K91" s="20">
        <v>30000</v>
      </c>
      <c r="L91" s="21">
        <f t="shared" si="6"/>
        <v>0</v>
      </c>
      <c r="M91" s="29">
        <f>SUM('план на 2016'!$L92:M92)-SUM('членские взносы'!$M92:'членские взносы'!M92)</f>
        <v>800</v>
      </c>
      <c r="N91" s="29">
        <f>SUM('план на 2016'!$L92:N92)-SUM('членские взносы'!$M92:'членские взносы'!N92)</f>
        <v>1600</v>
      </c>
      <c r="O91" s="29">
        <f>SUM('план на 2016'!$L92:O92)-SUM('членские взносы'!$M92:'членские взносы'!O92)</f>
        <v>2400</v>
      </c>
      <c r="P91" s="29">
        <f>SUM('план на 2016'!$L92:P92)-SUM('членские взносы'!$M92:'членские взносы'!P92)</f>
        <v>3200</v>
      </c>
      <c r="Q91" s="29">
        <f>SUM('план на 2016'!$L92:Q92)-SUM('членские взносы'!$M92:'членские взносы'!Q92)</f>
        <v>4000</v>
      </c>
      <c r="R91" s="29">
        <f>SUM('план на 2016'!$L92:R92)-SUM('членские взносы'!$M92:'членские взносы'!R92)</f>
        <v>4800</v>
      </c>
      <c r="S91" s="29">
        <f>SUM('план на 2016'!$L92:S92)-SUM('членские взносы'!$M92:'членские взносы'!S92)</f>
        <v>5600</v>
      </c>
      <c r="T91" s="29">
        <f>SUM('план на 2016'!$L92:T92)-SUM('членские взносы'!$M92:'членские взносы'!T92)</f>
        <v>6400</v>
      </c>
      <c r="U91" s="29">
        <f>SUM('план на 2016'!$L92:U92)-SUM('членские взносы'!$M92:'членские взносы'!U92)</f>
        <v>7200</v>
      </c>
      <c r="V91" s="29">
        <f>SUM('план на 2016'!$L92:V92)-SUM('членские взносы'!$M92:'членские взносы'!V92)</f>
        <v>8000</v>
      </c>
      <c r="W91" s="29">
        <f>SUM('план на 2016'!$L92:W92)-SUM('членские взносы'!$M92:'членские взносы'!W92)</f>
        <v>8800</v>
      </c>
      <c r="X91" s="29">
        <f>SUM('план на 2016'!$L92:X92)-SUM('членские взносы'!$M92:'членские взносы'!X92)</f>
        <v>9600</v>
      </c>
      <c r="Y91" s="18">
        <f t="shared" si="8"/>
        <v>9600</v>
      </c>
    </row>
    <row r="92" spans="1:25">
      <c r="A92" s="41">
        <f>VLOOKUP(B92,справочник!$B$2:$E$322,4,FALSE)</f>
        <v>254</v>
      </c>
      <c r="B92" t="str">
        <f t="shared" si="7"/>
        <v>267Ершова Виктория Львовна</v>
      </c>
      <c r="C92" s="1">
        <v>267</v>
      </c>
      <c r="D92" s="2" t="s">
        <v>86</v>
      </c>
      <c r="E92" s="1" t="s">
        <v>401</v>
      </c>
      <c r="F92" s="16">
        <v>40953</v>
      </c>
      <c r="G92" s="16">
        <v>40940</v>
      </c>
      <c r="H92" s="17">
        <f t="shared" si="11"/>
        <v>47</v>
      </c>
      <c r="I92" s="1">
        <f t="shared" si="10"/>
        <v>47000</v>
      </c>
      <c r="J92" s="17">
        <f>39000+5000</f>
        <v>44000</v>
      </c>
      <c r="K92" s="17"/>
      <c r="L92" s="18">
        <f t="shared" si="6"/>
        <v>3000</v>
      </c>
      <c r="M92" s="29">
        <f>SUM('план на 2016'!$L93:M93)-SUM('членские взносы'!$M93:'членские взносы'!M93)</f>
        <v>3800</v>
      </c>
      <c r="N92" s="29">
        <f>SUM('план на 2016'!$L93:N93)-SUM('членские взносы'!$M93:'членские взносы'!N93)</f>
        <v>4600</v>
      </c>
      <c r="O92" s="29">
        <f>SUM('план на 2016'!$L93:O93)-SUM('членские взносы'!$M93:'членские взносы'!O93)</f>
        <v>5400</v>
      </c>
      <c r="P92" s="29">
        <f>SUM('план на 2016'!$L93:P93)-SUM('членские взносы'!$M93:'членские взносы'!P93)</f>
        <v>6200</v>
      </c>
      <c r="Q92" s="29">
        <f>SUM('план на 2016'!$L93:Q93)-SUM('членские взносы'!$M93:'членские взносы'!Q93)</f>
        <v>7000</v>
      </c>
      <c r="R92" s="29">
        <f>SUM('план на 2016'!$L93:R93)-SUM('членские взносы'!$M93:'членские взносы'!R93)</f>
        <v>7800</v>
      </c>
      <c r="S92" s="29">
        <f>SUM('план на 2016'!$L93:S93)-SUM('членские взносы'!$M93:'членские взносы'!S93)</f>
        <v>8600</v>
      </c>
      <c r="T92" s="29">
        <f>SUM('план на 2016'!$L93:T93)-SUM('членские взносы'!$M93:'членские взносы'!T93)</f>
        <v>9400</v>
      </c>
      <c r="U92" s="29">
        <f>SUM('план на 2016'!$L93:U93)-SUM('членские взносы'!$M93:'членские взносы'!U93)</f>
        <v>10200</v>
      </c>
      <c r="V92" s="29">
        <f>SUM('план на 2016'!$L93:V93)-SUM('членские взносы'!$M93:'членские взносы'!V93)</f>
        <v>11000</v>
      </c>
      <c r="W92" s="29">
        <f>SUM('план на 2016'!$L93:W93)-SUM('членские взносы'!$M93:'членские взносы'!W93)</f>
        <v>11800</v>
      </c>
      <c r="X92" s="29">
        <f>SUM('план на 2016'!$L93:X93)-SUM('членские взносы'!$M93:'членские взносы'!X93)</f>
        <v>12600</v>
      </c>
      <c r="Y92" s="18">
        <f t="shared" si="8"/>
        <v>12600</v>
      </c>
    </row>
    <row r="93" spans="1:25">
      <c r="A93" s="41">
        <f>VLOOKUP(B93,справочник!$B$2:$E$322,4,FALSE)</f>
        <v>230</v>
      </c>
      <c r="B93" t="str">
        <f t="shared" si="7"/>
        <v>239Жарикова Светлана Юрьевна</v>
      </c>
      <c r="C93" s="1">
        <v>239</v>
      </c>
      <c r="D93" s="2" t="s">
        <v>87</v>
      </c>
      <c r="E93" s="5" t="s">
        <v>402</v>
      </c>
      <c r="F93" s="19">
        <v>41590</v>
      </c>
      <c r="G93" s="19">
        <v>41579</v>
      </c>
      <c r="H93" s="20">
        <f t="shared" si="11"/>
        <v>26</v>
      </c>
      <c r="I93" s="5">
        <f t="shared" si="10"/>
        <v>26000</v>
      </c>
      <c r="J93" s="20">
        <v>26000</v>
      </c>
      <c r="K93" s="20"/>
      <c r="L93" s="21">
        <f t="shared" si="6"/>
        <v>0</v>
      </c>
      <c r="M93" s="29">
        <f>SUM('план на 2016'!$L94:M94)-SUM('членские взносы'!$M94:'членские взносы'!M94)</f>
        <v>800</v>
      </c>
      <c r="N93" s="29">
        <f>SUM('план на 2016'!$L94:N94)-SUM('членские взносы'!$M94:'членские взносы'!N94)</f>
        <v>1600</v>
      </c>
      <c r="O93" s="29">
        <f>SUM('план на 2016'!$L94:O94)-SUM('членские взносы'!$M94:'членские взносы'!O94)</f>
        <v>2400</v>
      </c>
      <c r="P93" s="29">
        <f>SUM('план на 2016'!$L94:P94)-SUM('членские взносы'!$M94:'членские взносы'!P94)</f>
        <v>3200</v>
      </c>
      <c r="Q93" s="29">
        <f>SUM('план на 2016'!$L94:Q94)-SUM('членские взносы'!$M94:'членские взносы'!Q94)</f>
        <v>4000</v>
      </c>
      <c r="R93" s="29">
        <f>SUM('план на 2016'!$L94:R94)-SUM('членские взносы'!$M94:'членские взносы'!R94)</f>
        <v>4800</v>
      </c>
      <c r="S93" s="29">
        <f>SUM('план на 2016'!$L94:S94)-SUM('членские взносы'!$M94:'членские взносы'!S94)</f>
        <v>5600</v>
      </c>
      <c r="T93" s="29">
        <f>SUM('план на 2016'!$L94:T94)-SUM('членские взносы'!$M94:'членские взносы'!T94)</f>
        <v>6400</v>
      </c>
      <c r="U93" s="29">
        <f>SUM('план на 2016'!$L94:U94)-SUM('членские взносы'!$M94:'членские взносы'!U94)</f>
        <v>7200</v>
      </c>
      <c r="V93" s="29">
        <f>SUM('план на 2016'!$L94:V94)-SUM('членские взносы'!$M94:'членские взносы'!V94)</f>
        <v>8000</v>
      </c>
      <c r="W93" s="29">
        <f>SUM('план на 2016'!$L94:W94)-SUM('членские взносы'!$M94:'членские взносы'!W94)</f>
        <v>8800</v>
      </c>
      <c r="X93" s="29">
        <f>SUM('план на 2016'!$L94:X94)-SUM('членские взносы'!$M94:'членские взносы'!X94)</f>
        <v>9600</v>
      </c>
      <c r="Y93" s="18">
        <f t="shared" si="8"/>
        <v>9600</v>
      </c>
    </row>
    <row r="94" spans="1:25">
      <c r="A94" s="41">
        <f>VLOOKUP(B94,справочник!$B$2:$E$322,4,FALSE)</f>
        <v>230</v>
      </c>
      <c r="B94" t="str">
        <f t="shared" si="7"/>
        <v>257Жарикова Светлана Юрьевна</v>
      </c>
      <c r="C94" s="1">
        <v>257</v>
      </c>
      <c r="D94" s="2" t="s">
        <v>87</v>
      </c>
      <c r="E94" s="5" t="s">
        <v>403</v>
      </c>
      <c r="F94" s="19">
        <v>41882</v>
      </c>
      <c r="G94" s="19">
        <v>41944</v>
      </c>
      <c r="H94" s="20">
        <f t="shared" si="11"/>
        <v>14</v>
      </c>
      <c r="I94" s="5">
        <f t="shared" si="10"/>
        <v>14000</v>
      </c>
      <c r="J94" s="20">
        <v>0</v>
      </c>
      <c r="K94" s="20">
        <v>4000</v>
      </c>
      <c r="L94" s="21">
        <f t="shared" si="6"/>
        <v>10000</v>
      </c>
      <c r="M94" s="29">
        <f>SUM('план на 2016'!$L95:M95)-SUM('членские взносы'!$M95:'членские взносы'!M95)</f>
        <v>10000</v>
      </c>
      <c r="N94" s="29">
        <f>SUM('план на 2016'!$L95:N95)-SUM('членские взносы'!$M95:'членские взносы'!N95)</f>
        <v>-2100</v>
      </c>
      <c r="O94" s="29">
        <f>SUM('план на 2016'!$L95:O95)-SUM('членские взносы'!$M95:'членские взносы'!O95)</f>
        <v>-2100</v>
      </c>
      <c r="P94" s="29">
        <f>SUM('план на 2016'!$L95:P95)-SUM('членские взносы'!$M95:'членские взносы'!P95)</f>
        <v>-2100</v>
      </c>
      <c r="Q94" s="29">
        <f>SUM('план на 2016'!$L95:Q95)-SUM('членские взносы'!$M95:'членские взносы'!Q95)</f>
        <v>-5600</v>
      </c>
      <c r="R94" s="29">
        <f>SUM('план на 2016'!$L95:R95)-SUM('членские взносы'!$M95:'членские взносы'!R95)</f>
        <v>-5600</v>
      </c>
      <c r="S94" s="29">
        <f>SUM('план на 2016'!$L95:S95)-SUM('членские взносы'!$M95:'членские взносы'!S95)</f>
        <v>-5600</v>
      </c>
      <c r="T94" s="29">
        <f>SUM('план на 2016'!$L95:T95)-SUM('членские взносы'!$M95:'членские взносы'!T95)</f>
        <v>-8300</v>
      </c>
      <c r="U94" s="29">
        <f>SUM('план на 2016'!$L95:U95)-SUM('членские взносы'!$M95:'членские взносы'!U95)</f>
        <v>-8300</v>
      </c>
      <c r="V94" s="29">
        <f>SUM('план на 2016'!$L95:V95)-SUM('членские взносы'!$M95:'членские взносы'!V95)</f>
        <v>-8300</v>
      </c>
      <c r="W94" s="29">
        <f>SUM('план на 2016'!$L95:W95)-SUM('членские взносы'!$M95:'членские взносы'!W95)</f>
        <v>-8300</v>
      </c>
      <c r="X94" s="29">
        <f>SUM('план на 2016'!$L95:X95)-SUM('членские взносы'!$M95:'членские взносы'!X95)</f>
        <v>-8300</v>
      </c>
      <c r="Y94" s="18">
        <f t="shared" si="8"/>
        <v>-8300</v>
      </c>
    </row>
    <row r="95" spans="1:25">
      <c r="A95" s="41">
        <f>VLOOKUP(B95,справочник!$B$2:$E$322,4,FALSE)</f>
        <v>4</v>
      </c>
      <c r="B95" t="str">
        <f t="shared" si="7"/>
        <v>4Жигунов Юрий Александрович</v>
      </c>
      <c r="C95" s="1">
        <v>4</v>
      </c>
      <c r="D95" s="2" t="s">
        <v>88</v>
      </c>
      <c r="E95" s="1" t="s">
        <v>404</v>
      </c>
      <c r="F95" s="16">
        <v>41436</v>
      </c>
      <c r="G95" s="16">
        <v>41456</v>
      </c>
      <c r="H95" s="17">
        <f t="shared" si="11"/>
        <v>30</v>
      </c>
      <c r="I95" s="1">
        <f t="shared" si="10"/>
        <v>30000</v>
      </c>
      <c r="J95" s="17">
        <v>27000</v>
      </c>
      <c r="K95" s="17"/>
      <c r="L95" s="18">
        <f t="shared" ref="L95:L131" si="12">I95-J95-K95</f>
        <v>3000</v>
      </c>
      <c r="M95" s="29">
        <f>SUM('план на 2016'!$L96:M96)-SUM('членские взносы'!$M96:'членские взносы'!M96)</f>
        <v>3800</v>
      </c>
      <c r="N95" s="29">
        <f>SUM('план на 2016'!$L96:N96)-SUM('членские взносы'!$M96:'членские взносы'!N96)</f>
        <v>4600</v>
      </c>
      <c r="O95" s="29">
        <f>SUM('план на 2016'!$L96:O96)-SUM('членские взносы'!$M96:'членские взносы'!O96)</f>
        <v>5400</v>
      </c>
      <c r="P95" s="29">
        <f>SUM('план на 2016'!$L96:P96)-SUM('членские взносы'!$M96:'членские взносы'!P96)</f>
        <v>6200</v>
      </c>
      <c r="Q95" s="29">
        <f>SUM('план на 2016'!$L96:Q96)-SUM('членские взносы'!$M96:'членские взносы'!Q96)</f>
        <v>2000</v>
      </c>
      <c r="R95" s="29">
        <f>SUM('план на 2016'!$L96:R96)-SUM('членские взносы'!$M96:'членские взносы'!R96)</f>
        <v>2800</v>
      </c>
      <c r="S95" s="29">
        <f>SUM('план на 2016'!$L96:S96)-SUM('членские взносы'!$M96:'членские взносы'!S96)</f>
        <v>3600</v>
      </c>
      <c r="T95" s="29">
        <f>SUM('план на 2016'!$L96:T96)-SUM('членские взносы'!$M96:'членские взносы'!T96)</f>
        <v>4400</v>
      </c>
      <c r="U95" s="29">
        <f>SUM('план на 2016'!$L96:U96)-SUM('членские взносы'!$M96:'членские взносы'!U96)</f>
        <v>5200</v>
      </c>
      <c r="V95" s="29">
        <f>SUM('план на 2016'!$L96:V96)-SUM('членские взносы'!$M96:'членские взносы'!V96)</f>
        <v>6000</v>
      </c>
      <c r="W95" s="29">
        <f>SUM('план на 2016'!$L96:W96)-SUM('членские взносы'!$M96:'членские взносы'!W96)</f>
        <v>6800</v>
      </c>
      <c r="X95" s="29">
        <f>SUM('план на 2016'!$L96:X96)-SUM('членские взносы'!$M96:'членские взносы'!X96)</f>
        <v>7600</v>
      </c>
      <c r="Y95" s="18">
        <f t="shared" si="8"/>
        <v>7600</v>
      </c>
    </row>
    <row r="96" spans="1:25">
      <c r="A96" s="41">
        <f>VLOOKUP(B96,справочник!$B$2:$E$322,4,FALSE)</f>
        <v>213</v>
      </c>
      <c r="B96" t="str">
        <f t="shared" si="7"/>
        <v>222Жирная Татьяна Сергеевна</v>
      </c>
      <c r="C96" s="1">
        <v>222</v>
      </c>
      <c r="D96" s="2" t="s">
        <v>89</v>
      </c>
      <c r="E96" s="1" t="s">
        <v>405</v>
      </c>
      <c r="F96" s="16">
        <v>41766</v>
      </c>
      <c r="G96" s="16">
        <v>41791</v>
      </c>
      <c r="H96" s="17">
        <f t="shared" si="11"/>
        <v>19</v>
      </c>
      <c r="I96" s="1">
        <f t="shared" si="10"/>
        <v>19000</v>
      </c>
      <c r="J96" s="17">
        <v>500</v>
      </c>
      <c r="K96" s="17"/>
      <c r="L96" s="18">
        <f t="shared" si="12"/>
        <v>18500</v>
      </c>
      <c r="M96" s="29">
        <f>SUM('план на 2016'!$L97:M97)-SUM('членские взносы'!$M97:'членские взносы'!M97)</f>
        <v>19300</v>
      </c>
      <c r="N96" s="29">
        <f>SUM('план на 2016'!$L97:N97)-SUM('членские взносы'!$M97:'членские взносы'!N97)</f>
        <v>20100</v>
      </c>
      <c r="O96" s="29">
        <f>SUM('план на 2016'!$L97:O97)-SUM('членские взносы'!$M97:'членские взносы'!O97)</f>
        <v>20900</v>
      </c>
      <c r="P96" s="29">
        <f>SUM('план на 2016'!$L97:P97)-SUM('членские взносы'!$M97:'членские взносы'!P97)</f>
        <v>21700</v>
      </c>
      <c r="Q96" s="29">
        <f>SUM('план на 2016'!$L97:Q97)-SUM('членские взносы'!$M97:'членские взносы'!Q97)</f>
        <v>22500</v>
      </c>
      <c r="R96" s="29">
        <f>SUM('план на 2016'!$L97:R97)-SUM('членские взносы'!$M97:'членские взносы'!R97)</f>
        <v>23300</v>
      </c>
      <c r="S96" s="29">
        <f>SUM('план на 2016'!$L97:S97)-SUM('членские взносы'!$M97:'членские взносы'!S97)</f>
        <v>24100</v>
      </c>
      <c r="T96" s="29">
        <f>SUM('план на 2016'!$L97:T97)-SUM('членские взносы'!$M97:'членские взносы'!T97)</f>
        <v>24900</v>
      </c>
      <c r="U96" s="29">
        <f>SUM('план на 2016'!$L97:U97)-SUM('членские взносы'!$M97:'членские взносы'!U97)</f>
        <v>25700</v>
      </c>
      <c r="V96" s="29">
        <f>SUM('план на 2016'!$L97:V97)-SUM('членские взносы'!$M97:'членские взносы'!V97)</f>
        <v>26500</v>
      </c>
      <c r="W96" s="29">
        <f>SUM('план на 2016'!$L97:W97)-SUM('членские взносы'!$M97:'членские взносы'!W97)</f>
        <v>27300</v>
      </c>
      <c r="X96" s="29">
        <f>SUM('план на 2016'!$L97:X97)-SUM('членские взносы'!$M97:'членские взносы'!X97)</f>
        <v>28100</v>
      </c>
      <c r="Y96" s="18">
        <f t="shared" si="8"/>
        <v>28100</v>
      </c>
    </row>
    <row r="97" spans="1:25">
      <c r="A97" s="41">
        <f>VLOOKUP(B97,справочник!$B$2:$E$322,4,FALSE)</f>
        <v>127</v>
      </c>
      <c r="B97" t="str">
        <f t="shared" si="7"/>
        <v>132Жохова Елена Сергеевна</v>
      </c>
      <c r="C97" s="1">
        <v>132</v>
      </c>
      <c r="D97" s="2" t="s">
        <v>90</v>
      </c>
      <c r="E97" s="1" t="s">
        <v>406</v>
      </c>
      <c r="F97" s="16">
        <v>40701</v>
      </c>
      <c r="G97" s="16">
        <v>40695</v>
      </c>
      <c r="H97" s="17">
        <f t="shared" si="11"/>
        <v>55</v>
      </c>
      <c r="I97" s="1">
        <f t="shared" si="10"/>
        <v>55000</v>
      </c>
      <c r="J97" s="17">
        <f>36000+7000</f>
        <v>43000</v>
      </c>
      <c r="K97" s="17"/>
      <c r="L97" s="18">
        <f t="shared" si="12"/>
        <v>12000</v>
      </c>
      <c r="M97" s="29">
        <f>SUM('план на 2016'!$L98:M98)-SUM('членские взносы'!$M98:'членские взносы'!M98)</f>
        <v>800</v>
      </c>
      <c r="N97" s="29">
        <f>SUM('план на 2016'!$L98:N98)-SUM('членские взносы'!$M98:'членские взносы'!N98)</f>
        <v>0</v>
      </c>
      <c r="O97" s="29">
        <f>SUM('план на 2016'!$L98:O98)-SUM('членские взносы'!$M98:'членские взносы'!O98)</f>
        <v>800</v>
      </c>
      <c r="P97" s="29">
        <f>SUM('план на 2016'!$L98:P98)-SUM('членские взносы'!$M98:'членские взносы'!P98)</f>
        <v>1600</v>
      </c>
      <c r="Q97" s="29">
        <f>SUM('план на 2016'!$L98:Q98)-SUM('членские взносы'!$M98:'членские взносы'!Q98)</f>
        <v>2400</v>
      </c>
      <c r="R97" s="29">
        <f>SUM('план на 2016'!$L98:R98)-SUM('членские взносы'!$M98:'членские взносы'!R98)</f>
        <v>3200</v>
      </c>
      <c r="S97" s="29">
        <f>SUM('план на 2016'!$L98:S98)-SUM('членские взносы'!$M98:'членские взносы'!S98)</f>
        <v>4000</v>
      </c>
      <c r="T97" s="29">
        <f>SUM('план на 2016'!$L98:T98)-SUM('членские взносы'!$M98:'членские взносы'!T98)</f>
        <v>2400</v>
      </c>
      <c r="U97" s="29">
        <f>SUM('план на 2016'!$L98:U98)-SUM('членские взносы'!$M98:'членские взносы'!U98)</f>
        <v>3200</v>
      </c>
      <c r="V97" s="29">
        <f>SUM('план на 2016'!$L98:V98)-SUM('членские взносы'!$M98:'членские взносы'!V98)</f>
        <v>4000</v>
      </c>
      <c r="W97" s="29">
        <f>SUM('план на 2016'!$L98:W98)-SUM('членские взносы'!$M98:'членские взносы'!W98)</f>
        <v>4800</v>
      </c>
      <c r="X97" s="29">
        <f>SUM('план на 2016'!$L98:X98)-SUM('членские взносы'!$M98:'членские взносы'!X98)</f>
        <v>5600</v>
      </c>
      <c r="Y97" s="18">
        <f t="shared" si="8"/>
        <v>5600</v>
      </c>
    </row>
    <row r="98" spans="1:25">
      <c r="A98" s="41">
        <f>VLOOKUP(B98,справочник!$B$2:$E$322,4,FALSE)</f>
        <v>66</v>
      </c>
      <c r="B98" t="str">
        <f t="shared" si="7"/>
        <v>68Заборская Светлана Анатольевна (Андрей)</v>
      </c>
      <c r="C98" s="1">
        <v>68</v>
      </c>
      <c r="D98" s="2" t="s">
        <v>91</v>
      </c>
      <c r="E98" s="1" t="s">
        <v>407</v>
      </c>
      <c r="F98" s="16">
        <v>41100</v>
      </c>
      <c r="G98" s="16">
        <v>41091</v>
      </c>
      <c r="H98" s="17">
        <f t="shared" si="11"/>
        <v>42</v>
      </c>
      <c r="I98" s="1">
        <f t="shared" si="10"/>
        <v>42000</v>
      </c>
      <c r="J98" s="17">
        <v>39780</v>
      </c>
      <c r="K98" s="17"/>
      <c r="L98" s="18">
        <f t="shared" si="12"/>
        <v>2220</v>
      </c>
      <c r="M98" s="29">
        <f>SUM('план на 2016'!$L99:M99)-SUM('членские взносы'!$M99:'членские взносы'!M99)</f>
        <v>3020</v>
      </c>
      <c r="N98" s="29">
        <f>SUM('план на 2016'!$L99:N99)-SUM('членские взносы'!$M99:'членские взносы'!N99)</f>
        <v>3820</v>
      </c>
      <c r="O98" s="29">
        <f>SUM('план на 2016'!$L99:O99)-SUM('членские взносы'!$M99:'членские взносы'!O99)</f>
        <v>4620</v>
      </c>
      <c r="P98" s="29">
        <f>SUM('план на 2016'!$L99:P99)-SUM('членские взносы'!$M99:'членские взносы'!P99)</f>
        <v>5420</v>
      </c>
      <c r="Q98" s="29">
        <f>SUM('план на 2016'!$L99:Q99)-SUM('членские взносы'!$M99:'членские взносы'!Q99)</f>
        <v>6220</v>
      </c>
      <c r="R98" s="29">
        <f>SUM('план на 2016'!$L99:R99)-SUM('членские взносы'!$M99:'членские взносы'!R99)</f>
        <v>7020</v>
      </c>
      <c r="S98" s="29">
        <f>SUM('план на 2016'!$L99:S99)-SUM('членские взносы'!$M99:'членские взносы'!S99)</f>
        <v>7820</v>
      </c>
      <c r="T98" s="29">
        <f>SUM('план на 2016'!$L99:T99)-SUM('членские взносы'!$M99:'членские взносы'!T99)</f>
        <v>8620</v>
      </c>
      <c r="U98" s="29">
        <f>SUM('план на 2016'!$L99:U99)-SUM('членские взносы'!$M99:'членские взносы'!U99)</f>
        <v>9420</v>
      </c>
      <c r="V98" s="29">
        <f>SUM('план на 2016'!$L99:V99)-SUM('членские взносы'!$M99:'членские взносы'!V99)</f>
        <v>10220</v>
      </c>
      <c r="W98" s="29">
        <f>SUM('план на 2016'!$L99:W99)-SUM('членские взносы'!$M99:'членские взносы'!W99)</f>
        <v>3020</v>
      </c>
      <c r="X98" s="29">
        <f>SUM('план на 2016'!$L99:X99)-SUM('членские взносы'!$M99:'членские взносы'!X99)</f>
        <v>3820</v>
      </c>
      <c r="Y98" s="18">
        <f t="shared" si="8"/>
        <v>3820</v>
      </c>
    </row>
    <row r="99" spans="1:25">
      <c r="A99" s="41">
        <f>VLOOKUP(B99,справочник!$B$2:$E$322,4,FALSE)</f>
        <v>36</v>
      </c>
      <c r="B99" t="str">
        <f t="shared" si="7"/>
        <v>36Закревская Марина Владимировна</v>
      </c>
      <c r="C99" s="1">
        <v>36</v>
      </c>
      <c r="D99" s="2" t="s">
        <v>92</v>
      </c>
      <c r="E99" s="1" t="s">
        <v>408</v>
      </c>
      <c r="F99" s="16">
        <v>40736</v>
      </c>
      <c r="G99" s="16">
        <v>40756</v>
      </c>
      <c r="H99" s="17">
        <f t="shared" si="11"/>
        <v>53</v>
      </c>
      <c r="I99" s="1">
        <f t="shared" si="10"/>
        <v>53000</v>
      </c>
      <c r="J99" s="17">
        <f>42000+1000</f>
        <v>43000</v>
      </c>
      <c r="K99" s="17"/>
      <c r="L99" s="18">
        <f t="shared" si="12"/>
        <v>10000</v>
      </c>
      <c r="M99" s="29">
        <f>SUM('план на 2016'!$L100:M100)-SUM('членские взносы'!$M100:'членские взносы'!M100)</f>
        <v>10800</v>
      </c>
      <c r="N99" s="29">
        <f>SUM('план на 2016'!$L100:N100)-SUM('членские взносы'!$M100:'членские взносы'!N100)</f>
        <v>11600</v>
      </c>
      <c r="O99" s="29">
        <f>SUM('план на 2016'!$L100:O100)-SUM('членские взносы'!$M100:'членские взносы'!O100)</f>
        <v>12400</v>
      </c>
      <c r="P99" s="29">
        <f>SUM('план на 2016'!$L100:P100)-SUM('членские взносы'!$M100:'членские взносы'!P100)</f>
        <v>13200</v>
      </c>
      <c r="Q99" s="29">
        <f>SUM('план на 2016'!$L100:Q100)-SUM('членские взносы'!$M100:'членские взносы'!Q100)</f>
        <v>14000</v>
      </c>
      <c r="R99" s="29">
        <f>SUM('план на 2016'!$L100:R100)-SUM('членские взносы'!$M100:'членские взносы'!R100)</f>
        <v>14800</v>
      </c>
      <c r="S99" s="29">
        <f>SUM('план на 2016'!$L100:S100)-SUM('членские взносы'!$M100:'членские взносы'!S100)</f>
        <v>15600</v>
      </c>
      <c r="T99" s="29">
        <f>SUM('план на 2016'!$L100:T100)-SUM('членские взносы'!$M100:'членские взносы'!T100)</f>
        <v>12400</v>
      </c>
      <c r="U99" s="29">
        <f>SUM('план на 2016'!$L100:U100)-SUM('членские взносы'!$M100:'членские взносы'!U100)</f>
        <v>13200</v>
      </c>
      <c r="V99" s="29">
        <f>SUM('план на 2016'!$L100:V100)-SUM('членские взносы'!$M100:'членские взносы'!V100)</f>
        <v>14000</v>
      </c>
      <c r="W99" s="29">
        <f>SUM('план на 2016'!$L100:W100)-SUM('членские взносы'!$M100:'членские взносы'!W100)</f>
        <v>14800</v>
      </c>
      <c r="X99" s="29">
        <f>SUM('план на 2016'!$L100:X100)-SUM('членские взносы'!$M100:'членские взносы'!X100)</f>
        <v>12800</v>
      </c>
      <c r="Y99" s="18">
        <f t="shared" si="8"/>
        <v>12800</v>
      </c>
    </row>
    <row r="100" spans="1:25">
      <c r="A100" s="41">
        <f>VLOOKUP(B100,справочник!$B$2:$E$322,4,FALSE)</f>
        <v>38</v>
      </c>
      <c r="B100" t="str">
        <f t="shared" si="7"/>
        <v>255Заручинский Вячеслав Владимирович</v>
      </c>
      <c r="C100" s="1">
        <v>255</v>
      </c>
      <c r="D100" s="2" t="s">
        <v>93</v>
      </c>
      <c r="E100" s="5" t="s">
        <v>409</v>
      </c>
      <c r="F100" s="19">
        <v>40770</v>
      </c>
      <c r="G100" s="19">
        <v>40787</v>
      </c>
      <c r="H100" s="20">
        <f t="shared" si="11"/>
        <v>52</v>
      </c>
      <c r="I100" s="5">
        <f t="shared" si="10"/>
        <v>52000</v>
      </c>
      <c r="J100" s="20">
        <f>5000+18000+29000</f>
        <v>52000</v>
      </c>
      <c r="K100" s="20"/>
      <c r="L100" s="21">
        <f t="shared" si="12"/>
        <v>0</v>
      </c>
      <c r="M100" s="29">
        <f>SUM('план на 2016'!$L101:M101)-SUM('членские взносы'!$M101:'членские взносы'!M101)</f>
        <v>0</v>
      </c>
      <c r="N100" s="29">
        <f>SUM('план на 2016'!$L101:N101)-SUM('членские взносы'!$M101:'членские взносы'!N101)</f>
        <v>0</v>
      </c>
      <c r="O100" s="29">
        <f>SUM('план на 2016'!$L101:O101)-SUM('членские взносы'!$M101:'членские взносы'!O101)</f>
        <v>0</v>
      </c>
      <c r="P100" s="29">
        <f>SUM('план на 2016'!$L101:P101)-SUM('членские взносы'!$M101:'членские взносы'!P101)</f>
        <v>0</v>
      </c>
      <c r="Q100" s="29">
        <f>SUM('план на 2016'!$L101:Q101)-SUM('членские взносы'!$M101:'членские взносы'!Q101)</f>
        <v>0</v>
      </c>
      <c r="R100" s="29">
        <f>SUM('план на 2016'!$L101:R101)-SUM('членские взносы'!$M101:'членские взносы'!R101)</f>
        <v>-1600</v>
      </c>
      <c r="S100" s="29">
        <f>SUM('план на 2016'!$L101:S101)-SUM('членские взносы'!$M101:'членские взносы'!S101)</f>
        <v>-2400</v>
      </c>
      <c r="T100" s="29">
        <f>SUM('план на 2016'!$L101:T101)-SUM('членские взносы'!$M101:'членские взносы'!T101)</f>
        <v>-4000</v>
      </c>
      <c r="U100" s="29">
        <f>SUM('план на 2016'!$L101:U101)-SUM('членские взносы'!$M101:'членские взносы'!U101)</f>
        <v>-6161.78</v>
      </c>
      <c r="V100" s="29">
        <f>SUM('план на 2016'!$L101:V101)-SUM('членские взносы'!$M101:'членские взносы'!V101)</f>
        <v>-6161.78</v>
      </c>
      <c r="W100" s="29">
        <f>SUM('план на 2016'!$L101:W101)-SUM('членские взносы'!$M101:'членские взносы'!W101)</f>
        <v>-6961.78</v>
      </c>
      <c r="X100" s="29">
        <f>SUM('план на 2016'!$L101:X101)-SUM('членские взносы'!$M101:'членские взносы'!X101)</f>
        <v>-7761.78</v>
      </c>
      <c r="Y100" s="18">
        <f t="shared" si="8"/>
        <v>-7761.78</v>
      </c>
    </row>
    <row r="101" spans="1:25">
      <c r="A101" s="41">
        <f>VLOOKUP(B101,справочник!$B$2:$E$322,4,FALSE)</f>
        <v>38</v>
      </c>
      <c r="B101" t="str">
        <f t="shared" si="7"/>
        <v>38Заручинский Вячеслав Владимирович</v>
      </c>
      <c r="C101" s="1">
        <v>38</v>
      </c>
      <c r="D101" s="2" t="s">
        <v>93</v>
      </c>
      <c r="E101" s="5" t="s">
        <v>410</v>
      </c>
      <c r="F101" s="19">
        <v>41100</v>
      </c>
      <c r="G101" s="19">
        <v>41091</v>
      </c>
      <c r="H101" s="20">
        <f t="shared" si="11"/>
        <v>42</v>
      </c>
      <c r="I101" s="5">
        <f t="shared" si="10"/>
        <v>42000</v>
      </c>
      <c r="J101" s="20">
        <v>35000</v>
      </c>
      <c r="K101" s="20"/>
      <c r="L101" s="21">
        <f t="shared" si="12"/>
        <v>7000</v>
      </c>
      <c r="M101" s="29">
        <f>SUM('план на 2016'!$L102:M102)-SUM('членские взносы'!$M102:'членские взносы'!M102)</f>
        <v>7800</v>
      </c>
      <c r="N101" s="29">
        <f>SUM('план на 2016'!$L102:N102)-SUM('членские взносы'!$M102:'членские взносы'!N102)</f>
        <v>8600</v>
      </c>
      <c r="O101" s="29">
        <f>SUM('план на 2016'!$L102:O102)-SUM('членские взносы'!$M102:'членские взносы'!O102)</f>
        <v>9400</v>
      </c>
      <c r="P101" s="29">
        <f>SUM('план на 2016'!$L102:P102)-SUM('членские взносы'!$M102:'членские взносы'!P102)</f>
        <v>10200</v>
      </c>
      <c r="Q101" s="29">
        <f>SUM('план на 2016'!$L102:Q102)-SUM('членские взносы'!$M102:'членские взносы'!Q102)</f>
        <v>11000</v>
      </c>
      <c r="R101" s="29">
        <f>SUM('план на 2016'!$L102:R102)-SUM('членские взносы'!$M102:'членские взносы'!R102)</f>
        <v>11800</v>
      </c>
      <c r="S101" s="29">
        <f>SUM('план на 2016'!$L102:S102)-SUM('членские взносы'!$M102:'членские взносы'!S102)</f>
        <v>12600</v>
      </c>
      <c r="T101" s="29">
        <f>SUM('план на 2016'!$L102:T102)-SUM('членские взносы'!$M102:'членские взносы'!T102)</f>
        <v>13400</v>
      </c>
      <c r="U101" s="29">
        <f>SUM('план на 2016'!$L102:U102)-SUM('членские взносы'!$M102:'членские взносы'!U102)</f>
        <v>14200</v>
      </c>
      <c r="V101" s="29">
        <f>SUM('план на 2016'!$L102:V102)-SUM('членские взносы'!$M102:'членские взносы'!V102)</f>
        <v>13861.78</v>
      </c>
      <c r="W101" s="29">
        <f>SUM('план на 2016'!$L102:W102)-SUM('членские взносы'!$M102:'членские взносы'!W102)</f>
        <v>14661.78</v>
      </c>
      <c r="X101" s="29">
        <f>SUM('план на 2016'!$L102:X102)-SUM('членские взносы'!$M102:'членские взносы'!X102)</f>
        <v>14761.78</v>
      </c>
      <c r="Y101" s="18">
        <f t="shared" si="8"/>
        <v>14761.78</v>
      </c>
    </row>
    <row r="102" spans="1:25">
      <c r="A102" s="41">
        <f>VLOOKUP(B102,справочник!$B$2:$E$322,4,FALSE)</f>
        <v>12</v>
      </c>
      <c r="B102" t="str">
        <f t="shared" si="7"/>
        <v>12Захаренкова Светлана Евгеньевна</v>
      </c>
      <c r="C102" s="1">
        <v>12</v>
      </c>
      <c r="D102" s="2" t="s">
        <v>94</v>
      </c>
      <c r="E102" s="1" t="s">
        <v>411</v>
      </c>
      <c r="F102" s="16">
        <v>41414</v>
      </c>
      <c r="G102" s="16">
        <v>41426</v>
      </c>
      <c r="H102" s="17">
        <f t="shared" si="11"/>
        <v>31</v>
      </c>
      <c r="I102" s="1">
        <f t="shared" si="10"/>
        <v>31000</v>
      </c>
      <c r="J102" s="17">
        <v>5000</v>
      </c>
      <c r="K102" s="17"/>
      <c r="L102" s="18">
        <f t="shared" si="12"/>
        <v>26000</v>
      </c>
      <c r="M102" s="29">
        <f>SUM('план на 2016'!$L103:M103)-SUM('членские взносы'!$M103:'членские взносы'!M103)</f>
        <v>26800</v>
      </c>
      <c r="N102" s="29">
        <f>SUM('план на 2016'!$L103:N103)-SUM('членские взносы'!$M103:'членские взносы'!N103)</f>
        <v>27600</v>
      </c>
      <c r="O102" s="29">
        <f>SUM('план на 2016'!$L103:O103)-SUM('членские взносы'!$M103:'членские взносы'!O103)</f>
        <v>28400</v>
      </c>
      <c r="P102" s="29">
        <f>SUM('план на 2016'!$L103:P103)-SUM('членские взносы'!$M103:'членские взносы'!P103)</f>
        <v>29200</v>
      </c>
      <c r="Q102" s="29">
        <f>SUM('план на 2016'!$L103:Q103)-SUM('членские взносы'!$M103:'членские взносы'!Q103)</f>
        <v>30000</v>
      </c>
      <c r="R102" s="29">
        <f>SUM('план на 2016'!$L103:R103)-SUM('членские взносы'!$M103:'членские взносы'!R103)</f>
        <v>30800</v>
      </c>
      <c r="S102" s="29">
        <f>SUM('план на 2016'!$L103:S103)-SUM('членские взносы'!$M103:'членские взносы'!S103)</f>
        <v>31600</v>
      </c>
      <c r="T102" s="29">
        <f>SUM('план на 2016'!$L103:T103)-SUM('членские взносы'!$M103:'членские взносы'!T103)</f>
        <v>28400</v>
      </c>
      <c r="U102" s="29">
        <f>SUM('план на 2016'!$L103:U103)-SUM('членские взносы'!$M103:'членские взносы'!U103)</f>
        <v>29200</v>
      </c>
      <c r="V102" s="29">
        <f>SUM('план на 2016'!$L103:V103)-SUM('членские взносы'!$M103:'членские взносы'!V103)</f>
        <v>30000</v>
      </c>
      <c r="W102" s="29">
        <f>SUM('план на 2016'!$L103:W103)-SUM('членские взносы'!$M103:'членские взносы'!W103)</f>
        <v>30800</v>
      </c>
      <c r="X102" s="29">
        <f>SUM('план на 2016'!$L103:X103)-SUM('членские взносы'!$M103:'членские взносы'!X103)</f>
        <v>31600</v>
      </c>
      <c r="Y102" s="18">
        <f t="shared" si="8"/>
        <v>31600</v>
      </c>
    </row>
    <row r="103" spans="1:25">
      <c r="A103" s="41">
        <f>VLOOKUP(B103,справочник!$B$2:$E$322,4,FALSE)</f>
        <v>63</v>
      </c>
      <c r="B103" t="str">
        <f t="shared" si="7"/>
        <v>65Захаров Михаил Сергеевич</v>
      </c>
      <c r="C103" s="1">
        <v>65</v>
      </c>
      <c r="D103" s="2" t="s">
        <v>95</v>
      </c>
      <c r="E103" s="1" t="s">
        <v>412</v>
      </c>
      <c r="F103" s="16">
        <v>41513</v>
      </c>
      <c r="G103" s="16">
        <v>41518</v>
      </c>
      <c r="H103" s="17">
        <f t="shared" si="11"/>
        <v>28</v>
      </c>
      <c r="I103" s="1">
        <f t="shared" si="10"/>
        <v>28000</v>
      </c>
      <c r="J103" s="17">
        <v>0</v>
      </c>
      <c r="K103" s="17"/>
      <c r="L103" s="18">
        <f t="shared" si="12"/>
        <v>28000</v>
      </c>
      <c r="M103" s="29">
        <f>SUM('план на 2016'!$L104:M104)-SUM('членские взносы'!$M104:'членские взносы'!M104)</f>
        <v>28800</v>
      </c>
      <c r="N103" s="29">
        <f>SUM('план на 2016'!$L104:N104)-SUM('членские взносы'!$M104:'членские взносы'!N104)</f>
        <v>29600</v>
      </c>
      <c r="O103" s="29">
        <f>SUM('план на 2016'!$L104:O104)-SUM('членские взносы'!$M104:'членские взносы'!O104)</f>
        <v>30400</v>
      </c>
      <c r="P103" s="29">
        <f>SUM('план на 2016'!$L104:P104)-SUM('членские взносы'!$M104:'членские взносы'!P104)</f>
        <v>31200</v>
      </c>
      <c r="Q103" s="29">
        <f>SUM('план на 2016'!$L104:Q104)-SUM('членские взносы'!$M104:'членские взносы'!Q104)</f>
        <v>32000</v>
      </c>
      <c r="R103" s="29">
        <f>SUM('план на 2016'!$L104:R104)-SUM('членские взносы'!$M104:'членские взносы'!R104)</f>
        <v>32000</v>
      </c>
      <c r="S103" s="29">
        <f>SUM('план на 2016'!$L104:S104)-SUM('членские взносы'!$M104:'членские взносы'!S104)</f>
        <v>32800</v>
      </c>
      <c r="T103" s="29">
        <f>SUM('план на 2016'!$L104:T104)-SUM('членские взносы'!$M104:'членские взносы'!T104)</f>
        <v>33600</v>
      </c>
      <c r="U103" s="29">
        <f>SUM('план на 2016'!$L104:U104)-SUM('членские взносы'!$M104:'членские взносы'!U104)</f>
        <v>34400</v>
      </c>
      <c r="V103" s="29">
        <f>SUM('план на 2016'!$L104:V104)-SUM('членские взносы'!$M104:'членские взносы'!V104)</f>
        <v>35200</v>
      </c>
      <c r="W103" s="29">
        <f>SUM('план на 2016'!$L104:W104)-SUM('членские взносы'!$M104:'членские взносы'!W104)</f>
        <v>36000</v>
      </c>
      <c r="X103" s="29">
        <f>SUM('план на 2016'!$L104:X104)-SUM('членские взносы'!$M104:'членские взносы'!X104)</f>
        <v>36000</v>
      </c>
      <c r="Y103" s="18">
        <f t="shared" si="8"/>
        <v>36000</v>
      </c>
    </row>
    <row r="104" spans="1:25">
      <c r="A104" s="41">
        <f>VLOOKUP(B104,справочник!$B$2:$E$322,4,FALSE)</f>
        <v>16</v>
      </c>
      <c r="B104" t="str">
        <f t="shared" si="7"/>
        <v>16Захарова Людмила Захаровна</v>
      </c>
      <c r="C104" s="1">
        <v>16</v>
      </c>
      <c r="D104" s="2" t="s">
        <v>96</v>
      </c>
      <c r="E104" s="1" t="s">
        <v>413</v>
      </c>
      <c r="F104" s="16">
        <v>41254</v>
      </c>
      <c r="G104" s="16">
        <v>41275</v>
      </c>
      <c r="H104" s="17">
        <f t="shared" si="11"/>
        <v>36</v>
      </c>
      <c r="I104" s="1">
        <f t="shared" si="10"/>
        <v>36000</v>
      </c>
      <c r="J104" s="17">
        <v>36000</v>
      </c>
      <c r="K104" s="17"/>
      <c r="L104" s="18">
        <f t="shared" si="12"/>
        <v>0</v>
      </c>
      <c r="M104" s="29">
        <f>SUM('план на 2016'!$L105:M105)-SUM('членские взносы'!$M105:'членские взносы'!M105)</f>
        <v>800</v>
      </c>
      <c r="N104" s="29">
        <f>SUM('план на 2016'!$L105:N105)-SUM('членские взносы'!$M105:'членские взносы'!N105)</f>
        <v>1600</v>
      </c>
      <c r="O104" s="29">
        <f>SUM('план на 2016'!$L105:O105)-SUM('членские взносы'!$M105:'членские взносы'!O105)</f>
        <v>2400</v>
      </c>
      <c r="P104" s="29">
        <f>SUM('план на 2016'!$L105:P105)-SUM('членские взносы'!$M105:'членские взносы'!P105)</f>
        <v>3200</v>
      </c>
      <c r="Q104" s="29">
        <f>SUM('план на 2016'!$L105:Q105)-SUM('членские взносы'!$M105:'членские взносы'!Q105)</f>
        <v>4000</v>
      </c>
      <c r="R104" s="29">
        <f>SUM('план на 2016'!$L105:R105)-SUM('членские взносы'!$M105:'членские взносы'!R105)</f>
        <v>-7200</v>
      </c>
      <c r="S104" s="29">
        <f>SUM('план на 2016'!$L105:S105)-SUM('членские взносы'!$M105:'членские взносы'!S105)</f>
        <v>-6400</v>
      </c>
      <c r="T104" s="29">
        <f>SUM('план на 2016'!$L105:T105)-SUM('членские взносы'!$M105:'членские взносы'!T105)</f>
        <v>-5600</v>
      </c>
      <c r="U104" s="29">
        <f>SUM('план на 2016'!$L105:U105)-SUM('членские взносы'!$M105:'членские взносы'!U105)</f>
        <v>-4800</v>
      </c>
      <c r="V104" s="29">
        <f>SUM('план на 2016'!$L105:V105)-SUM('членские взносы'!$M105:'членские взносы'!V105)</f>
        <v>-4000</v>
      </c>
      <c r="W104" s="29">
        <f>SUM('план на 2016'!$L105:W105)-SUM('членские взносы'!$M105:'членские взносы'!W105)</f>
        <v>-3200</v>
      </c>
      <c r="X104" s="29">
        <f>SUM('план на 2016'!$L105:X105)-SUM('членские взносы'!$M105:'членские взносы'!X105)</f>
        <v>-2400</v>
      </c>
      <c r="Y104" s="18">
        <f t="shared" si="8"/>
        <v>-2400</v>
      </c>
    </row>
    <row r="105" spans="1:25">
      <c r="A105" s="41">
        <f>VLOOKUP(B105,справочник!$B$2:$E$322,4,FALSE)</f>
        <v>121</v>
      </c>
      <c r="B105" t="str">
        <f t="shared" si="7"/>
        <v>126Зиннатов Рафаэль Шакурович</v>
      </c>
      <c r="C105" s="1">
        <v>126</v>
      </c>
      <c r="D105" s="2" t="s">
        <v>97</v>
      </c>
      <c r="E105" s="1" t="s">
        <v>414</v>
      </c>
      <c r="F105" s="16">
        <v>41190</v>
      </c>
      <c r="G105" s="16">
        <v>41214</v>
      </c>
      <c r="H105" s="17">
        <f t="shared" si="11"/>
        <v>38</v>
      </c>
      <c r="I105" s="1">
        <f t="shared" si="10"/>
        <v>38000</v>
      </c>
      <c r="J105" s="17">
        <v>32000</v>
      </c>
      <c r="K105" s="17"/>
      <c r="L105" s="18">
        <f t="shared" si="12"/>
        <v>6000</v>
      </c>
      <c r="M105" s="29">
        <f>SUM('план на 2016'!$L106:M106)-SUM('членские взносы'!$M106:'членские взносы'!M106)</f>
        <v>3800</v>
      </c>
      <c r="N105" s="29">
        <f>SUM('план на 2016'!$L106:N106)-SUM('членские взносы'!$M106:'членские взносы'!N106)</f>
        <v>4600</v>
      </c>
      <c r="O105" s="29">
        <f>SUM('план на 2016'!$L106:O106)-SUM('членские взносы'!$M106:'членские взносы'!O106)</f>
        <v>5400</v>
      </c>
      <c r="P105" s="29">
        <f>SUM('план на 2016'!$L106:P106)-SUM('членские взносы'!$M106:'членские взносы'!P106)</f>
        <v>3000</v>
      </c>
      <c r="Q105" s="29">
        <f>SUM('план на 2016'!$L106:Q106)-SUM('членские взносы'!$M106:'членские взносы'!Q106)</f>
        <v>3800</v>
      </c>
      <c r="R105" s="29">
        <f>SUM('план на 2016'!$L106:R106)-SUM('членские взносы'!$M106:'членские взносы'!R106)</f>
        <v>4600</v>
      </c>
      <c r="S105" s="29">
        <f>SUM('план на 2016'!$L106:S106)-SUM('членские взносы'!$M106:'членские взносы'!S106)</f>
        <v>5400</v>
      </c>
      <c r="T105" s="29">
        <f>SUM('план на 2016'!$L106:T106)-SUM('членские взносы'!$M106:'членские взносы'!T106)</f>
        <v>3000</v>
      </c>
      <c r="U105" s="29">
        <f>SUM('план на 2016'!$L106:U106)-SUM('членские взносы'!$M106:'членские взносы'!U106)</f>
        <v>3800</v>
      </c>
      <c r="V105" s="29">
        <f>SUM('план на 2016'!$L106:V106)-SUM('членские взносы'!$M106:'членские взносы'!V106)</f>
        <v>600</v>
      </c>
      <c r="W105" s="29">
        <f>SUM('план на 2016'!$L106:W106)-SUM('членские взносы'!$M106:'членские взносы'!W106)</f>
        <v>1400</v>
      </c>
      <c r="X105" s="29">
        <f>SUM('план на 2016'!$L106:X106)-SUM('членские взносы'!$M106:'членские взносы'!X106)</f>
        <v>2200</v>
      </c>
      <c r="Y105" s="18">
        <f t="shared" si="8"/>
        <v>2200</v>
      </c>
    </row>
    <row r="106" spans="1:25">
      <c r="A106" s="41">
        <f>VLOOKUP(B106,справочник!$B$2:$E$322,4,FALSE)</f>
        <v>156</v>
      </c>
      <c r="B106" t="str">
        <f t="shared" si="7"/>
        <v>164Иваненко Петр Олегович</v>
      </c>
      <c r="C106" s="1">
        <v>164</v>
      </c>
      <c r="D106" s="2" t="s">
        <v>98</v>
      </c>
      <c r="E106" s="1" t="s">
        <v>415</v>
      </c>
      <c r="F106" s="16">
        <v>41394</v>
      </c>
      <c r="G106" s="16">
        <v>41426</v>
      </c>
      <c r="H106" s="17">
        <f t="shared" si="11"/>
        <v>31</v>
      </c>
      <c r="I106" s="1">
        <f t="shared" si="10"/>
        <v>31000</v>
      </c>
      <c r="J106" s="17">
        <v>28000</v>
      </c>
      <c r="K106" s="17"/>
      <c r="L106" s="18">
        <f t="shared" si="12"/>
        <v>3000</v>
      </c>
      <c r="M106" s="29">
        <f>SUM('план на 2016'!$L107:M107)-SUM('членские взносы'!$M107:'членские взносы'!M107)</f>
        <v>3800</v>
      </c>
      <c r="N106" s="29">
        <f>SUM('план на 2016'!$L107:N107)-SUM('членские взносы'!$M107:'членские взносы'!N107)</f>
        <v>-400</v>
      </c>
      <c r="O106" s="29">
        <f>SUM('план на 2016'!$L107:O107)-SUM('членские взносы'!$M107:'членские взносы'!O107)</f>
        <v>-600</v>
      </c>
      <c r="P106" s="29">
        <f>SUM('план на 2016'!$L107:P107)-SUM('членские взносы'!$M107:'членские взносы'!P107)</f>
        <v>-800</v>
      </c>
      <c r="Q106" s="29">
        <f>SUM('план на 2016'!$L107:Q107)-SUM('членские взносы'!$M107:'членские взносы'!Q107)</f>
        <v>-1000</v>
      </c>
      <c r="R106" s="29">
        <f>SUM('план на 2016'!$L107:R107)-SUM('членские взносы'!$M107:'членские взносы'!R107)</f>
        <v>-1200</v>
      </c>
      <c r="S106" s="29">
        <f>SUM('план на 2016'!$L107:S107)-SUM('членские взносы'!$M107:'членские взносы'!S107)</f>
        <v>-1400</v>
      </c>
      <c r="T106" s="29">
        <f>SUM('план на 2016'!$L107:T107)-SUM('членские взносы'!$M107:'членские взносы'!T107)</f>
        <v>-1600</v>
      </c>
      <c r="U106" s="29">
        <f>SUM('план на 2016'!$L107:U107)-SUM('членские взносы'!$M107:'членские взносы'!U107)</f>
        <v>-1800</v>
      </c>
      <c r="V106" s="29">
        <f>SUM('план на 2016'!$L107:V107)-SUM('членские взносы'!$M107:'членские взносы'!V107)</f>
        <v>-2000</v>
      </c>
      <c r="W106" s="29">
        <f>SUM('план на 2016'!$L107:W107)-SUM('членские взносы'!$M107:'членские взносы'!W107)</f>
        <v>-2200</v>
      </c>
      <c r="X106" s="29">
        <f>SUM('план на 2016'!$L107:X107)-SUM('членские взносы'!$M107:'членские взносы'!X107)</f>
        <v>-2400</v>
      </c>
      <c r="Y106" s="18">
        <f t="shared" si="8"/>
        <v>-2400</v>
      </c>
    </row>
    <row r="107" spans="1:25">
      <c r="A107" s="41">
        <f>VLOOKUP(B107,справочник!$B$2:$E$322,4,FALSE)</f>
        <v>5</v>
      </c>
      <c r="B107" t="str">
        <f t="shared" si="7"/>
        <v>5Иванов Владимир Николаевич</v>
      </c>
      <c r="C107" s="1">
        <v>5</v>
      </c>
      <c r="D107" s="2" t="s">
        <v>99</v>
      </c>
      <c r="E107" s="1" t="s">
        <v>416</v>
      </c>
      <c r="F107" s="16">
        <v>41071</v>
      </c>
      <c r="G107" s="16">
        <v>41061</v>
      </c>
      <c r="H107" s="17">
        <f t="shared" si="11"/>
        <v>43</v>
      </c>
      <c r="I107" s="1">
        <f t="shared" si="10"/>
        <v>43000</v>
      </c>
      <c r="J107" s="17">
        <f>32000</f>
        <v>32000</v>
      </c>
      <c r="K107" s="17"/>
      <c r="L107" s="18">
        <f t="shared" si="12"/>
        <v>11000</v>
      </c>
      <c r="M107" s="29">
        <f>SUM('план на 2016'!$L108:M108)-SUM('членские взносы'!$M108:'членские взносы'!M108)</f>
        <v>11800</v>
      </c>
      <c r="N107" s="29">
        <f>SUM('план на 2016'!$L108:N108)-SUM('членские взносы'!$M108:'членские взносы'!N108)</f>
        <v>12600</v>
      </c>
      <c r="O107" s="29">
        <f>SUM('план на 2016'!$L108:O108)-SUM('членские взносы'!$M108:'членские взносы'!O108)</f>
        <v>13400</v>
      </c>
      <c r="P107" s="29">
        <f>SUM('план на 2016'!$L108:P108)-SUM('членские взносы'!$M108:'членские взносы'!P108)</f>
        <v>14200</v>
      </c>
      <c r="Q107" s="29">
        <f>SUM('план на 2016'!$L108:Q108)-SUM('членские взносы'!$M108:'членские взносы'!Q108)</f>
        <v>15000</v>
      </c>
      <c r="R107" s="29">
        <f>SUM('план на 2016'!$L108:R108)-SUM('членские взносы'!$M108:'членские взносы'!R108)</f>
        <v>15800</v>
      </c>
      <c r="S107" s="29">
        <f>SUM('план на 2016'!$L108:S108)-SUM('членские взносы'!$M108:'членские взносы'!S108)</f>
        <v>16600</v>
      </c>
      <c r="T107" s="29">
        <f>SUM('план на 2016'!$L108:T108)-SUM('членские взносы'!$M108:'членские взносы'!T108)</f>
        <v>17400</v>
      </c>
      <c r="U107" s="29">
        <f>SUM('план на 2016'!$L108:U108)-SUM('членские взносы'!$M108:'членские взносы'!U108)</f>
        <v>18200</v>
      </c>
      <c r="V107" s="29">
        <f>SUM('план на 2016'!$L108:V108)-SUM('членские взносы'!$M108:'членские взносы'!V108)</f>
        <v>19000</v>
      </c>
      <c r="W107" s="29">
        <f>SUM('план на 2016'!$L108:W108)-SUM('членские взносы'!$M108:'членские взносы'!W108)</f>
        <v>19800</v>
      </c>
      <c r="X107" s="29">
        <f>SUM('план на 2016'!$L108:X108)-SUM('членские взносы'!$M108:'членские взносы'!X108)</f>
        <v>20600</v>
      </c>
      <c r="Y107" s="18">
        <f t="shared" si="8"/>
        <v>20600</v>
      </c>
    </row>
    <row r="108" spans="1:25">
      <c r="A108" s="41">
        <f>VLOOKUP(B108,справочник!$B$2:$E$322,4,FALSE)</f>
        <v>214</v>
      </c>
      <c r="B108" t="str">
        <f t="shared" si="7"/>
        <v>223Иванов Денис Сильвестрович</v>
      </c>
      <c r="C108" s="1">
        <v>223</v>
      </c>
      <c r="D108" s="2" t="s">
        <v>100</v>
      </c>
      <c r="E108" s="1" t="s">
        <v>417</v>
      </c>
      <c r="F108" s="16">
        <v>41807</v>
      </c>
      <c r="G108" s="16">
        <v>41791</v>
      </c>
      <c r="H108" s="17">
        <f t="shared" si="11"/>
        <v>19</v>
      </c>
      <c r="I108" s="1">
        <f t="shared" si="10"/>
        <v>19000</v>
      </c>
      <c r="J108" s="17">
        <v>19000</v>
      </c>
      <c r="K108" s="17"/>
      <c r="L108" s="18">
        <f t="shared" si="12"/>
        <v>0</v>
      </c>
      <c r="M108" s="29">
        <f>SUM('план на 2016'!$L109:M109)-SUM('членские взносы'!$M109:'членские взносы'!M109)</f>
        <v>800</v>
      </c>
      <c r="N108" s="29">
        <f>SUM('план на 2016'!$L109:N109)-SUM('членские взносы'!$M109:'членские взносы'!N109)</f>
        <v>-1400</v>
      </c>
      <c r="O108" s="29">
        <f>SUM('план на 2016'!$L109:O109)-SUM('членские взносы'!$M109:'членские взносы'!O109)</f>
        <v>-600</v>
      </c>
      <c r="P108" s="29">
        <f>SUM('план на 2016'!$L109:P109)-SUM('членские взносы'!$M109:'членские взносы'!P109)</f>
        <v>200</v>
      </c>
      <c r="Q108" s="29">
        <f>SUM('план на 2016'!$L109:Q109)-SUM('членские взносы'!$M109:'членские взносы'!Q109)</f>
        <v>1000</v>
      </c>
      <c r="R108" s="29">
        <f>SUM('план на 2016'!$L109:R109)-SUM('членские взносы'!$M109:'членские взносы'!R109)</f>
        <v>-200</v>
      </c>
      <c r="S108" s="29">
        <f>SUM('план на 2016'!$L109:S109)-SUM('членские взносы'!$M109:'членские взносы'!S109)</f>
        <v>600</v>
      </c>
      <c r="T108" s="29">
        <f>SUM('план на 2016'!$L109:T109)-SUM('членские взносы'!$M109:'членские взносы'!T109)</f>
        <v>1400</v>
      </c>
      <c r="U108" s="29">
        <f>SUM('план на 2016'!$L109:U109)-SUM('членские взносы'!$M109:'членские взносы'!U109)</f>
        <v>0</v>
      </c>
      <c r="V108" s="29">
        <f>SUM('план на 2016'!$L109:V109)-SUM('членские взносы'!$M109:'членские взносы'!V109)</f>
        <v>800</v>
      </c>
      <c r="W108" s="29">
        <f>SUM('план на 2016'!$L109:W109)-SUM('членские взносы'!$M109:'членские взносы'!W109)</f>
        <v>800</v>
      </c>
      <c r="X108" s="29">
        <f>SUM('план на 2016'!$L109:X109)-SUM('членские взносы'!$M109:'членские взносы'!X109)</f>
        <v>0</v>
      </c>
      <c r="Y108" s="18">
        <f t="shared" si="8"/>
        <v>0</v>
      </c>
    </row>
    <row r="109" spans="1:25">
      <c r="A109" s="41">
        <f>VLOOKUP(B109,справочник!$B$2:$E$322,4,FALSE)</f>
        <v>279</v>
      </c>
      <c r="B109" t="str">
        <f t="shared" si="7"/>
        <v>291Иванова Светлана Сергеевна</v>
      </c>
      <c r="C109" s="1">
        <v>291</v>
      </c>
      <c r="D109" s="2" t="s">
        <v>101</v>
      </c>
      <c r="E109" s="1" t="s">
        <v>418</v>
      </c>
      <c r="F109" s="16">
        <v>40890</v>
      </c>
      <c r="G109" s="16">
        <v>40878</v>
      </c>
      <c r="H109" s="17">
        <f t="shared" si="11"/>
        <v>49</v>
      </c>
      <c r="I109" s="1">
        <f t="shared" si="10"/>
        <v>49000</v>
      </c>
      <c r="J109" s="17">
        <f>42000+1000</f>
        <v>43000</v>
      </c>
      <c r="K109" s="17"/>
      <c r="L109" s="18">
        <f t="shared" si="12"/>
        <v>6000</v>
      </c>
      <c r="M109" s="29">
        <f>SUM('план на 2016'!$L110:M110)-SUM('членские взносы'!$M110:'членские взносы'!M110)</f>
        <v>6800</v>
      </c>
      <c r="N109" s="29">
        <f>SUM('план на 2016'!$L110:N110)-SUM('членские взносы'!$M110:'членские взносы'!N110)</f>
        <v>7600</v>
      </c>
      <c r="O109" s="29">
        <f>SUM('план на 2016'!$L110:O110)-SUM('членские взносы'!$M110:'членские взносы'!O110)</f>
        <v>8400</v>
      </c>
      <c r="P109" s="29">
        <f>SUM('план на 2016'!$L110:P110)-SUM('членские взносы'!$M110:'членские взносы'!P110)</f>
        <v>9200</v>
      </c>
      <c r="Q109" s="29">
        <f>SUM('план на 2016'!$L110:Q110)-SUM('членские взносы'!$M110:'членские взносы'!Q110)</f>
        <v>10000</v>
      </c>
      <c r="R109" s="29">
        <f>SUM('план на 2016'!$L110:R110)-SUM('членские взносы'!$M110:'членские взносы'!R110)</f>
        <v>10800</v>
      </c>
      <c r="S109" s="29">
        <f>SUM('план на 2016'!$L110:S110)-SUM('членские взносы'!$M110:'членские взносы'!S110)</f>
        <v>11600</v>
      </c>
      <c r="T109" s="29">
        <f>SUM('план на 2016'!$L110:T110)-SUM('членские взносы'!$M110:'членские взносы'!T110)</f>
        <v>12400</v>
      </c>
      <c r="U109" s="29">
        <f>SUM('план на 2016'!$L110:U110)-SUM('членские взносы'!$M110:'членские взносы'!U110)</f>
        <v>13200</v>
      </c>
      <c r="V109" s="29">
        <f>SUM('план на 2016'!$L110:V110)-SUM('членские взносы'!$M110:'членские взносы'!V110)</f>
        <v>14000</v>
      </c>
      <c r="W109" s="29">
        <f>SUM('план на 2016'!$L110:W110)-SUM('членские взносы'!$M110:'членские взносы'!W110)</f>
        <v>14800</v>
      </c>
      <c r="X109" s="29">
        <f>SUM('план на 2016'!$L110:X110)-SUM('членские взносы'!$M110:'членские взносы'!X110)</f>
        <v>15600</v>
      </c>
      <c r="Y109" s="18">
        <f t="shared" si="8"/>
        <v>15600</v>
      </c>
    </row>
    <row r="110" spans="1:25">
      <c r="A110" s="41">
        <f>VLOOKUP(B110,справочник!$B$2:$E$322,4,FALSE)</f>
        <v>197</v>
      </c>
      <c r="B110" t="str">
        <f t="shared" si="7"/>
        <v>205Иванова Татьяна Викторовна</v>
      </c>
      <c r="C110" s="1">
        <v>205</v>
      </c>
      <c r="D110" s="2" t="s">
        <v>102</v>
      </c>
      <c r="E110" s="1" t="s">
        <v>419</v>
      </c>
      <c r="F110" s="16">
        <v>40862</v>
      </c>
      <c r="G110" s="16">
        <v>40848</v>
      </c>
      <c r="H110" s="17">
        <f t="shared" si="11"/>
        <v>50</v>
      </c>
      <c r="I110" s="1">
        <f t="shared" si="10"/>
        <v>50000</v>
      </c>
      <c r="J110" s="17">
        <v>16000</v>
      </c>
      <c r="K110" s="17"/>
      <c r="L110" s="18">
        <f t="shared" si="12"/>
        <v>34000</v>
      </c>
      <c r="M110" s="29">
        <f>SUM('план на 2016'!$L111:M111)-SUM('членские взносы'!$M111:'членские взносы'!M111)</f>
        <v>1800</v>
      </c>
      <c r="N110" s="29">
        <f>SUM('план на 2016'!$L111:N111)-SUM('членские взносы'!$M111:'членские взносы'!N111)</f>
        <v>2600</v>
      </c>
      <c r="O110" s="29">
        <f>SUM('план на 2016'!$L111:O111)-SUM('членские взносы'!$M111:'членские взносы'!O111)</f>
        <v>3400</v>
      </c>
      <c r="P110" s="29">
        <f>SUM('план на 2016'!$L111:P111)-SUM('членские взносы'!$M111:'членские взносы'!P111)</f>
        <v>4200</v>
      </c>
      <c r="Q110" s="29">
        <f>SUM('план на 2016'!$L111:Q111)-SUM('членские взносы'!$M111:'членские взносы'!Q111)</f>
        <v>5000</v>
      </c>
      <c r="R110" s="29">
        <f>SUM('план на 2016'!$L111:R111)-SUM('членские взносы'!$M111:'членские взносы'!R111)</f>
        <v>5800</v>
      </c>
      <c r="S110" s="29">
        <f>SUM('план на 2016'!$L111:S111)-SUM('членские взносы'!$M111:'членские взносы'!S111)</f>
        <v>0</v>
      </c>
      <c r="T110" s="29">
        <f>SUM('план на 2016'!$L111:T111)-SUM('членские взносы'!$M111:'членские взносы'!T111)</f>
        <v>800</v>
      </c>
      <c r="U110" s="29">
        <f>SUM('план на 2016'!$L111:U111)-SUM('членские взносы'!$M111:'членские взносы'!U111)</f>
        <v>1600</v>
      </c>
      <c r="V110" s="29">
        <f>SUM('план на 2016'!$L111:V111)-SUM('членские взносы'!$M111:'членские взносы'!V111)</f>
        <v>2400</v>
      </c>
      <c r="W110" s="29">
        <f>SUM('план на 2016'!$L111:W111)-SUM('членские взносы'!$M111:'членские взносы'!W111)</f>
        <v>3200</v>
      </c>
      <c r="X110" s="29">
        <f>SUM('план на 2016'!$L111:X111)-SUM('членские взносы'!$M111:'членские взносы'!X111)</f>
        <v>4000</v>
      </c>
      <c r="Y110" s="18">
        <f t="shared" si="8"/>
        <v>4000</v>
      </c>
    </row>
    <row r="111" spans="1:25">
      <c r="A111" s="41">
        <f>VLOOKUP(B111,справочник!$B$2:$E$322,4,FALSE)</f>
        <v>295</v>
      </c>
      <c r="B111" t="str">
        <f t="shared" si="7"/>
        <v>310Измайлов Михаил Михайлович</v>
      </c>
      <c r="C111" s="1">
        <v>310</v>
      </c>
      <c r="D111" s="2" t="s">
        <v>103</v>
      </c>
      <c r="E111" s="1" t="s">
        <v>420</v>
      </c>
      <c r="F111" s="16">
        <v>41994</v>
      </c>
      <c r="G111" s="16">
        <v>42005</v>
      </c>
      <c r="H111" s="17">
        <f t="shared" si="11"/>
        <v>12</v>
      </c>
      <c r="I111" s="1">
        <f t="shared" si="10"/>
        <v>12000</v>
      </c>
      <c r="J111" s="17"/>
      <c r="K111" s="17"/>
      <c r="L111" s="18">
        <f t="shared" si="12"/>
        <v>12000</v>
      </c>
      <c r="M111" s="29">
        <f>SUM('план на 2016'!$L112:M112)-SUM('членские взносы'!$M112:'членские взносы'!M112)</f>
        <v>12800</v>
      </c>
      <c r="N111" s="29">
        <f>SUM('план на 2016'!$L112:N112)-SUM('членские взносы'!$M112:'членские взносы'!N112)</f>
        <v>13600</v>
      </c>
      <c r="O111" s="29">
        <f>SUM('план на 2016'!$L112:O112)-SUM('членские взносы'!$M112:'членские взносы'!O112)</f>
        <v>14400</v>
      </c>
      <c r="P111" s="29">
        <f>SUM('план на 2016'!$L112:P112)-SUM('членские взносы'!$M112:'членские взносы'!P112)</f>
        <v>15200</v>
      </c>
      <c r="Q111" s="29">
        <f>SUM('план на 2016'!$L112:Q112)-SUM('членские взносы'!$M112:'членские взносы'!Q112)</f>
        <v>16000</v>
      </c>
      <c r="R111" s="29">
        <f>SUM('план на 2016'!$L112:R112)-SUM('членские взносы'!$M112:'членские взносы'!R112)</f>
        <v>16800</v>
      </c>
      <c r="S111" s="29">
        <f>SUM('план на 2016'!$L112:S112)-SUM('членские взносы'!$M112:'членские взносы'!S112)</f>
        <v>17600</v>
      </c>
      <c r="T111" s="29">
        <f>SUM('план на 2016'!$L112:T112)-SUM('членские взносы'!$M112:'членские взносы'!T112)</f>
        <v>250</v>
      </c>
      <c r="U111" s="29">
        <f>SUM('план на 2016'!$L112:U112)-SUM('членские взносы'!$M112:'членские взносы'!U112)</f>
        <v>1050</v>
      </c>
      <c r="V111" s="29">
        <f>SUM('план на 2016'!$L112:V112)-SUM('членские взносы'!$M112:'членские взносы'!V112)</f>
        <v>1850</v>
      </c>
      <c r="W111" s="29">
        <f>SUM('план на 2016'!$L112:W112)-SUM('членские взносы'!$M112:'членские взносы'!W112)</f>
        <v>2650</v>
      </c>
      <c r="X111" s="29">
        <f>SUM('план на 2016'!$L112:X112)-SUM('членские взносы'!$M112:'членские взносы'!X112)</f>
        <v>3450</v>
      </c>
      <c r="Y111" s="18">
        <f t="shared" si="8"/>
        <v>3450</v>
      </c>
    </row>
    <row r="112" spans="1:25">
      <c r="A112" s="41">
        <f>VLOOKUP(B112,справочник!$B$2:$E$322,4,FALSE)</f>
        <v>196</v>
      </c>
      <c r="B112" t="str">
        <f t="shared" si="7"/>
        <v>204Казарин Сергей Викторович</v>
      </c>
      <c r="C112" s="1">
        <v>204</v>
      </c>
      <c r="D112" s="2" t="s">
        <v>104</v>
      </c>
      <c r="E112" s="1" t="s">
        <v>421</v>
      </c>
      <c r="F112" s="16">
        <v>40945</v>
      </c>
      <c r="G112" s="16">
        <v>40969</v>
      </c>
      <c r="H112" s="17">
        <f t="shared" si="11"/>
        <v>46</v>
      </c>
      <c r="I112" s="1">
        <f t="shared" si="10"/>
        <v>46000</v>
      </c>
      <c r="J112" s="17">
        <f>46000</f>
        <v>46000</v>
      </c>
      <c r="K112" s="17"/>
      <c r="L112" s="18">
        <f t="shared" si="12"/>
        <v>0</v>
      </c>
      <c r="M112" s="29">
        <f>SUM('план на 2016'!$L113:M113)-SUM('членские взносы'!$M113:'членские взносы'!M113)</f>
        <v>800</v>
      </c>
      <c r="N112" s="29">
        <f>SUM('план на 2016'!$L113:N113)-SUM('членские взносы'!$M113:'членские взносы'!N113)</f>
        <v>1600</v>
      </c>
      <c r="O112" s="29">
        <f>SUM('план на 2016'!$L113:O113)-SUM('членские взносы'!$M113:'членские взносы'!O113)</f>
        <v>-2400</v>
      </c>
      <c r="P112" s="29">
        <f>SUM('план на 2016'!$L113:P113)-SUM('членские взносы'!$M113:'членские взносы'!P113)</f>
        <v>-1600</v>
      </c>
      <c r="Q112" s="29">
        <f>SUM('план на 2016'!$L113:Q113)-SUM('членские взносы'!$M113:'членские взносы'!Q113)</f>
        <v>-800</v>
      </c>
      <c r="R112" s="29">
        <f>SUM('план на 2016'!$L113:R113)-SUM('членские взносы'!$M113:'членские взносы'!R113)</f>
        <v>0</v>
      </c>
      <c r="S112" s="29">
        <f>SUM('план на 2016'!$L113:S113)-SUM('членские взносы'!$M113:'членские взносы'!S113)</f>
        <v>800</v>
      </c>
      <c r="T112" s="29">
        <f>SUM('план на 2016'!$L113:T113)-SUM('членские взносы'!$M113:'членские взносы'!T113)</f>
        <v>-800</v>
      </c>
      <c r="U112" s="29">
        <f>SUM('план на 2016'!$L113:U113)-SUM('членские взносы'!$M113:'членские взносы'!U113)</f>
        <v>0</v>
      </c>
      <c r="V112" s="29">
        <f>SUM('план на 2016'!$L113:V113)-SUM('членские взносы'!$M113:'членские взносы'!V113)</f>
        <v>800</v>
      </c>
      <c r="W112" s="29">
        <f>SUM('план на 2016'!$L113:W113)-SUM('членские взносы'!$M113:'членские взносы'!W113)</f>
        <v>-800</v>
      </c>
      <c r="X112" s="29">
        <f>SUM('план на 2016'!$L113:X113)-SUM('членские взносы'!$M113:'членские взносы'!X113)</f>
        <v>0</v>
      </c>
      <c r="Y112" s="18">
        <f t="shared" si="8"/>
        <v>0</v>
      </c>
    </row>
    <row r="113" spans="1:25" ht="25.5">
      <c r="A113" s="41">
        <f>VLOOKUP(B113,справочник!$B$2:$E$322,4,FALSE)</f>
        <v>124</v>
      </c>
      <c r="B113" t="str">
        <f t="shared" si="7"/>
        <v>129Казымов Горхмаз Гамид/Лавренчук Александр Владиславович</v>
      </c>
      <c r="C113" s="1">
        <v>129</v>
      </c>
      <c r="D113" s="2" t="s">
        <v>105</v>
      </c>
      <c r="E113" s="1" t="s">
        <v>422</v>
      </c>
      <c r="F113" s="16">
        <v>41580</v>
      </c>
      <c r="G113" s="16">
        <v>41609</v>
      </c>
      <c r="H113" s="17">
        <f t="shared" si="11"/>
        <v>25</v>
      </c>
      <c r="I113" s="1">
        <f t="shared" si="10"/>
        <v>25000</v>
      </c>
      <c r="J113" s="17">
        <f>5000+1500+5000</f>
        <v>11500</v>
      </c>
      <c r="K113" s="17"/>
      <c r="L113" s="18">
        <f t="shared" si="12"/>
        <v>13500</v>
      </c>
      <c r="M113" s="29">
        <f>SUM('план на 2016'!$L114:M114)-SUM('членские взносы'!$M114:'членские взносы'!M114)</f>
        <v>14300</v>
      </c>
      <c r="N113" s="29">
        <f>SUM('план на 2016'!$L114:N114)-SUM('членские взносы'!$M114:'членские взносы'!N114)</f>
        <v>15100</v>
      </c>
      <c r="O113" s="29">
        <f>SUM('план на 2016'!$L114:O114)-SUM('членские взносы'!$M114:'членские взносы'!O114)</f>
        <v>15900</v>
      </c>
      <c r="P113" s="29">
        <f>SUM('план на 2016'!$L114:P114)-SUM('членские взносы'!$M114:'членские взносы'!P114)</f>
        <v>16700</v>
      </c>
      <c r="Q113" s="29">
        <f>SUM('план на 2016'!$L114:Q114)-SUM('членские взносы'!$M114:'членские взносы'!Q114)</f>
        <v>17500</v>
      </c>
      <c r="R113" s="29">
        <f>SUM('план на 2016'!$L114:R114)-SUM('членские взносы'!$M114:'членские взносы'!R114)</f>
        <v>18300</v>
      </c>
      <c r="S113" s="29">
        <f>SUM('план на 2016'!$L114:S114)-SUM('членские взносы'!$M114:'членские взносы'!S114)</f>
        <v>19100</v>
      </c>
      <c r="T113" s="29">
        <f>SUM('план на 2016'!$L114:T114)-SUM('членские взносы'!$M114:'членские взносы'!T114)</f>
        <v>19900</v>
      </c>
      <c r="U113" s="29">
        <f>SUM('план на 2016'!$L114:U114)-SUM('членские взносы'!$M114:'членские взносы'!U114)</f>
        <v>20700</v>
      </c>
      <c r="V113" s="29">
        <f>SUM('план на 2016'!$L114:V114)-SUM('членские взносы'!$M114:'членские взносы'!V114)</f>
        <v>21500</v>
      </c>
      <c r="W113" s="29">
        <f>SUM('план на 2016'!$L114:W114)-SUM('членские взносы'!$M114:'членские взносы'!W114)</f>
        <v>22300</v>
      </c>
      <c r="X113" s="29">
        <f>SUM('план на 2016'!$L114:X114)-SUM('членские взносы'!$M114:'членские взносы'!X114)</f>
        <v>23100</v>
      </c>
      <c r="Y113" s="18">
        <f t="shared" si="8"/>
        <v>23100</v>
      </c>
    </row>
    <row r="114" spans="1:25">
      <c r="A114" s="41">
        <f>VLOOKUP(B114,справочник!$B$2:$E$322,4,FALSE)</f>
        <v>250</v>
      </c>
      <c r="B114" t="str">
        <f t="shared" si="7"/>
        <v>261Каляникова Наталья Сергеевна</v>
      </c>
      <c r="C114" s="1">
        <v>261</v>
      </c>
      <c r="D114" s="2" t="s">
        <v>106</v>
      </c>
      <c r="E114" s="1" t="s">
        <v>423</v>
      </c>
      <c r="F114" s="16">
        <v>41498</v>
      </c>
      <c r="G114" s="16">
        <v>41518</v>
      </c>
      <c r="H114" s="17">
        <f t="shared" si="11"/>
        <v>28</v>
      </c>
      <c r="I114" s="1">
        <f t="shared" si="10"/>
        <v>28000</v>
      </c>
      <c r="J114" s="17">
        <v>13000</v>
      </c>
      <c r="K114" s="17">
        <v>1000</v>
      </c>
      <c r="L114" s="18">
        <f t="shared" si="12"/>
        <v>14000</v>
      </c>
      <c r="M114" s="29">
        <f>SUM('план на 2016'!$L115:M115)-SUM('членские взносы'!$M115:'членские взносы'!M115)</f>
        <v>14800</v>
      </c>
      <c r="N114" s="29">
        <f>SUM('план на 2016'!$L115:N115)-SUM('членские взносы'!$M115:'членские взносы'!N115)</f>
        <v>15600</v>
      </c>
      <c r="O114" s="29">
        <f>SUM('план на 2016'!$L115:O115)-SUM('членские взносы'!$M115:'членские взносы'!O115)</f>
        <v>15400</v>
      </c>
      <c r="P114" s="29">
        <f>SUM('план на 2016'!$L115:P115)-SUM('членские взносы'!$M115:'членские взносы'!P115)</f>
        <v>15200</v>
      </c>
      <c r="Q114" s="29">
        <f>SUM('план на 2016'!$L115:Q115)-SUM('членские взносы'!$M115:'членские взносы'!Q115)</f>
        <v>15000</v>
      </c>
      <c r="R114" s="29">
        <f>SUM('план на 2016'!$L115:R115)-SUM('членские взносы'!$M115:'членские взносы'!R115)</f>
        <v>15800</v>
      </c>
      <c r="S114" s="29">
        <f>SUM('план на 2016'!$L115:S115)-SUM('членские взносы'!$M115:'членские взносы'!S115)</f>
        <v>15600</v>
      </c>
      <c r="T114" s="29">
        <f>SUM('план на 2016'!$L115:T115)-SUM('членские взносы'!$M115:'членские взносы'!T115)</f>
        <v>16400</v>
      </c>
      <c r="U114" s="29">
        <f>SUM('план на 2016'!$L115:U115)-SUM('членские взносы'!$M115:'членские взносы'!U115)</f>
        <v>14700</v>
      </c>
      <c r="V114" s="29">
        <f>SUM('план на 2016'!$L115:V115)-SUM('членские взносы'!$M115:'членские взносы'!V115)</f>
        <v>14500</v>
      </c>
      <c r="W114" s="29">
        <f>SUM('план на 2016'!$L115:W115)-SUM('членские взносы'!$M115:'членские взносы'!W115)</f>
        <v>13300</v>
      </c>
      <c r="X114" s="29">
        <f>SUM('план на 2016'!$L115:X115)-SUM('членские взносы'!$M115:'членские взносы'!X115)</f>
        <v>14100</v>
      </c>
      <c r="Y114" s="18">
        <f t="shared" si="8"/>
        <v>14100</v>
      </c>
    </row>
    <row r="115" spans="1:25">
      <c r="A115" s="41">
        <f>VLOOKUP(B115,справочник!$B$2:$E$322,4,FALSE)</f>
        <v>153</v>
      </c>
      <c r="B115" t="str">
        <f t="shared" si="7"/>
        <v>161Канышкина Юлия Юрьевна</v>
      </c>
      <c r="C115" s="1">
        <v>161</v>
      </c>
      <c r="D115" s="2" t="s">
        <v>107</v>
      </c>
      <c r="E115" s="1" t="s">
        <v>424</v>
      </c>
      <c r="F115" s="16">
        <v>40994</v>
      </c>
      <c r="G115" s="16">
        <v>41000</v>
      </c>
      <c r="H115" s="17">
        <f t="shared" si="11"/>
        <v>45</v>
      </c>
      <c r="I115" s="1">
        <f t="shared" si="10"/>
        <v>45000</v>
      </c>
      <c r="J115" s="17">
        <v>41000</v>
      </c>
      <c r="K115" s="17"/>
      <c r="L115" s="18">
        <f t="shared" si="12"/>
        <v>4000</v>
      </c>
      <c r="M115" s="29">
        <f>SUM('план на 2016'!$L116:M116)-SUM('членские взносы'!$M116:'членские взносы'!M116)</f>
        <v>4800</v>
      </c>
      <c r="N115" s="29">
        <f>SUM('план на 2016'!$L116:N116)-SUM('членские взносы'!$M116:'членские взносы'!N116)</f>
        <v>5600</v>
      </c>
      <c r="O115" s="29">
        <f>SUM('план на 2016'!$L116:O116)-SUM('членские взносы'!$M116:'членские взносы'!O116)</f>
        <v>6400</v>
      </c>
      <c r="P115" s="29">
        <f>SUM('план на 2016'!$L116:P116)-SUM('членские взносы'!$M116:'членские взносы'!P116)</f>
        <v>0</v>
      </c>
      <c r="Q115" s="29">
        <f>SUM('план на 2016'!$L116:Q116)-SUM('членские взносы'!$M116:'членские взносы'!Q116)</f>
        <v>800</v>
      </c>
      <c r="R115" s="29">
        <f>SUM('план на 2016'!$L116:R116)-SUM('членские взносы'!$M116:'членские взносы'!R116)</f>
        <v>1600</v>
      </c>
      <c r="S115" s="29">
        <f>SUM('план на 2016'!$L116:S116)-SUM('членские взносы'!$M116:'членские взносы'!S116)</f>
        <v>800</v>
      </c>
      <c r="T115" s="29">
        <f>SUM('план на 2016'!$L116:T116)-SUM('членские взносы'!$M116:'членские взносы'!T116)</f>
        <v>1600</v>
      </c>
      <c r="U115" s="29">
        <f>SUM('план на 2016'!$L116:U116)-SUM('членские взносы'!$M116:'членские взносы'!U116)</f>
        <v>2400</v>
      </c>
      <c r="V115" s="29">
        <f>SUM('план на 2016'!$L116:V116)-SUM('членские взносы'!$M116:'членские взносы'!V116)</f>
        <v>3200</v>
      </c>
      <c r="W115" s="29">
        <f>SUM('план на 2016'!$L116:W116)-SUM('членские взносы'!$M116:'членские взносы'!W116)</f>
        <v>0</v>
      </c>
      <c r="X115" s="29">
        <f>SUM('план на 2016'!$L116:X116)-SUM('членские взносы'!$M116:'членские взносы'!X116)</f>
        <v>800</v>
      </c>
      <c r="Y115" s="18">
        <f t="shared" si="8"/>
        <v>800</v>
      </c>
    </row>
    <row r="116" spans="1:25">
      <c r="A116" s="41">
        <f>VLOOKUP(B116,справочник!$B$2:$E$322,4,FALSE)</f>
        <v>106</v>
      </c>
      <c r="B116" t="str">
        <f t="shared" si="7"/>
        <v>111Карпекина Лилия Рафаэльевна</v>
      </c>
      <c r="C116" s="1">
        <v>111</v>
      </c>
      <c r="D116" s="2" t="s">
        <v>108</v>
      </c>
      <c r="E116" s="1" t="s">
        <v>425</v>
      </c>
      <c r="F116" s="16">
        <v>41463</v>
      </c>
      <c r="G116" s="16">
        <v>41282</v>
      </c>
      <c r="H116" s="17">
        <f t="shared" si="11"/>
        <v>36</v>
      </c>
      <c r="I116" s="1">
        <f t="shared" si="10"/>
        <v>36000</v>
      </c>
      <c r="J116" s="17">
        <v>1000</v>
      </c>
      <c r="K116" s="17"/>
      <c r="L116" s="18">
        <f t="shared" si="12"/>
        <v>35000</v>
      </c>
      <c r="M116" s="29">
        <f>SUM('план на 2016'!$L117:M117)-SUM('членские взносы'!$M117:'членские взносы'!M117)</f>
        <v>35800</v>
      </c>
      <c r="N116" s="29">
        <f>SUM('план на 2016'!$L117:N117)-SUM('членские взносы'!$M117:'членские взносы'!N117)</f>
        <v>36600</v>
      </c>
      <c r="O116" s="29">
        <f>SUM('план на 2016'!$L117:O117)-SUM('членские взносы'!$M117:'членские взносы'!O117)</f>
        <v>37400</v>
      </c>
      <c r="P116" s="29">
        <f>SUM('план на 2016'!$L117:P117)-SUM('членские взносы'!$M117:'членские взносы'!P117)</f>
        <v>38200</v>
      </c>
      <c r="Q116" s="29">
        <f>SUM('план на 2016'!$L117:Q117)-SUM('членские взносы'!$M117:'членские взносы'!Q117)</f>
        <v>39000</v>
      </c>
      <c r="R116" s="29">
        <f>SUM('план на 2016'!$L117:R117)-SUM('членские взносы'!$M117:'членские взносы'!R117)</f>
        <v>39800</v>
      </c>
      <c r="S116" s="29">
        <f>SUM('план на 2016'!$L117:S117)-SUM('членские взносы'!$M117:'членские взносы'!S117)</f>
        <v>40600</v>
      </c>
      <c r="T116" s="29">
        <f>SUM('план на 2016'!$L117:T117)-SUM('членские взносы'!$M117:'членские взносы'!T117)</f>
        <v>41400</v>
      </c>
      <c r="U116" s="29">
        <f>SUM('план на 2016'!$L117:U117)-SUM('членские взносы'!$M117:'членские взносы'!U117)</f>
        <v>42200</v>
      </c>
      <c r="V116" s="29">
        <f>SUM('план на 2016'!$L117:V117)-SUM('членские взносы'!$M117:'членские взносы'!V117)</f>
        <v>43000</v>
      </c>
      <c r="W116" s="29">
        <f>SUM('план на 2016'!$L117:W117)-SUM('членские взносы'!$M117:'членские взносы'!W117)</f>
        <v>43800</v>
      </c>
      <c r="X116" s="29">
        <f>SUM('план на 2016'!$L117:X117)-SUM('членские взносы'!$M117:'членские взносы'!X117)</f>
        <v>44600</v>
      </c>
      <c r="Y116" s="18">
        <f t="shared" si="8"/>
        <v>44600</v>
      </c>
    </row>
    <row r="117" spans="1:25">
      <c r="A117" s="41">
        <f>VLOOKUP(B117,справочник!$B$2:$E$322,4,FALSE)</f>
        <v>222</v>
      </c>
      <c r="B117" t="str">
        <f t="shared" si="7"/>
        <v>231Карпова Елена Витальевна</v>
      </c>
      <c r="C117" s="1">
        <v>231</v>
      </c>
      <c r="D117" s="2" t="s">
        <v>109</v>
      </c>
      <c r="E117" s="1" t="s">
        <v>426</v>
      </c>
      <c r="F117" s="16">
        <v>41429</v>
      </c>
      <c r="G117" s="16">
        <v>41456</v>
      </c>
      <c r="H117" s="17">
        <f t="shared" si="11"/>
        <v>30</v>
      </c>
      <c r="I117" s="1">
        <f t="shared" si="10"/>
        <v>30000</v>
      </c>
      <c r="J117" s="17">
        <v>25000</v>
      </c>
      <c r="K117" s="17">
        <v>5000</v>
      </c>
      <c r="L117" s="18">
        <f t="shared" si="12"/>
        <v>0</v>
      </c>
      <c r="M117" s="29">
        <f>SUM('план на 2016'!$L118:M118)-SUM('членские взносы'!$M118:'членские взносы'!M118)</f>
        <v>800</v>
      </c>
      <c r="N117" s="29">
        <f>SUM('план на 2016'!$L118:N118)-SUM('членские взносы'!$M118:'членские взносы'!N118)</f>
        <v>-1600</v>
      </c>
      <c r="O117" s="29">
        <f>SUM('план на 2016'!$L118:O118)-SUM('членские взносы'!$M118:'членские взносы'!O118)</f>
        <v>-800</v>
      </c>
      <c r="P117" s="29">
        <f>SUM('план на 2016'!$L118:P118)-SUM('членские взносы'!$M118:'членские взносы'!P118)</f>
        <v>0</v>
      </c>
      <c r="Q117" s="29">
        <f>SUM('план на 2016'!$L118:Q118)-SUM('членские взносы'!$M118:'членские взносы'!Q118)</f>
        <v>-3200</v>
      </c>
      <c r="R117" s="29">
        <f>SUM('план на 2016'!$L118:R118)-SUM('членские взносы'!$M118:'членские взносы'!R118)</f>
        <v>-2400</v>
      </c>
      <c r="S117" s="29">
        <f>SUM('план на 2016'!$L118:S118)-SUM('членские взносы'!$M118:'членские взносы'!S118)</f>
        <v>-1600</v>
      </c>
      <c r="T117" s="29">
        <f>SUM('план на 2016'!$L118:T118)-SUM('членские взносы'!$M118:'членские взносы'!T118)</f>
        <v>-800</v>
      </c>
      <c r="U117" s="29">
        <f>SUM('план на 2016'!$L118:U118)-SUM('членские взносы'!$M118:'членские взносы'!U118)</f>
        <v>0</v>
      </c>
      <c r="V117" s="29">
        <f>SUM('план на 2016'!$L118:V118)-SUM('членские взносы'!$M118:'членские взносы'!V118)</f>
        <v>-1600</v>
      </c>
      <c r="W117" s="29">
        <f>SUM('план на 2016'!$L118:W118)-SUM('членские взносы'!$M118:'членские взносы'!W118)</f>
        <v>-800</v>
      </c>
      <c r="X117" s="29">
        <f>SUM('план на 2016'!$L118:X118)-SUM('членские взносы'!$M118:'членские взносы'!X118)</f>
        <v>0</v>
      </c>
      <c r="Y117" s="18">
        <f t="shared" si="8"/>
        <v>0</v>
      </c>
    </row>
    <row r="118" spans="1:25">
      <c r="A118" s="41">
        <f>VLOOKUP(B118,справочник!$B$2:$E$322,4,FALSE)</f>
        <v>208</v>
      </c>
      <c r="B118" t="str">
        <f t="shared" si="7"/>
        <v>218Катушкин Роман Юрьевич</v>
      </c>
      <c r="C118" s="1">
        <v>218</v>
      </c>
      <c r="D118" s="2" t="s">
        <v>110</v>
      </c>
      <c r="E118" s="1" t="s">
        <v>427</v>
      </c>
      <c r="F118" s="16">
        <v>41052</v>
      </c>
      <c r="G118" s="16">
        <v>41061</v>
      </c>
      <c r="H118" s="17">
        <f t="shared" si="11"/>
        <v>43</v>
      </c>
      <c r="I118" s="1">
        <f t="shared" si="10"/>
        <v>43000</v>
      </c>
      <c r="J118" s="17">
        <f>40500</f>
        <v>40500</v>
      </c>
      <c r="K118" s="17"/>
      <c r="L118" s="18">
        <f t="shared" si="12"/>
        <v>2500</v>
      </c>
      <c r="M118" s="29">
        <f>SUM('план на 2016'!$L119:M119)-SUM('членские взносы'!$M119:'членские взносы'!M119)</f>
        <v>3300</v>
      </c>
      <c r="N118" s="29">
        <f>SUM('план на 2016'!$L119:N119)-SUM('членские взносы'!$M119:'членские взносы'!N119)</f>
        <v>4100</v>
      </c>
      <c r="O118" s="29">
        <f>SUM('план на 2016'!$L119:O119)-SUM('членские взносы'!$M119:'членские взносы'!O119)</f>
        <v>4900</v>
      </c>
      <c r="P118" s="29">
        <f>SUM('план на 2016'!$L119:P119)-SUM('членские взносы'!$M119:'членские взносы'!P119)</f>
        <v>5700</v>
      </c>
      <c r="Q118" s="29">
        <f>SUM('план на 2016'!$L119:Q119)-SUM('членские взносы'!$M119:'членские взносы'!Q119)</f>
        <v>6500</v>
      </c>
      <c r="R118" s="29">
        <f>SUM('план на 2016'!$L119:R119)-SUM('членские взносы'!$M119:'членские взносы'!R119)</f>
        <v>7300</v>
      </c>
      <c r="S118" s="29">
        <f>SUM('план на 2016'!$L119:S119)-SUM('членские взносы'!$M119:'членские взносы'!S119)</f>
        <v>8100</v>
      </c>
      <c r="T118" s="29">
        <f>SUM('план на 2016'!$L119:T119)-SUM('членские взносы'!$M119:'членские взносы'!T119)</f>
        <v>5300</v>
      </c>
      <c r="U118" s="29">
        <f>SUM('план на 2016'!$L119:U119)-SUM('членские взносы'!$M119:'членские взносы'!U119)</f>
        <v>6100</v>
      </c>
      <c r="V118" s="29">
        <f>SUM('план на 2016'!$L119:V119)-SUM('членские взносы'!$M119:'членские взносы'!V119)</f>
        <v>6900</v>
      </c>
      <c r="W118" s="29">
        <f>SUM('план на 2016'!$L119:W119)-SUM('членские взносы'!$M119:'членские взносы'!W119)</f>
        <v>7700</v>
      </c>
      <c r="X118" s="29">
        <f>SUM('план на 2016'!$L119:X119)-SUM('членские взносы'!$M119:'членские взносы'!X119)</f>
        <v>8500</v>
      </c>
      <c r="Y118" s="18">
        <f t="shared" si="8"/>
        <v>8500</v>
      </c>
    </row>
    <row r="119" spans="1:25" ht="25.5">
      <c r="A119" s="41">
        <f>VLOOKUP(B119,справочник!$B$2:$E$322,4,FALSE)</f>
        <v>207</v>
      </c>
      <c r="B119" t="str">
        <f t="shared" si="7"/>
        <v>217Катушкин Роман Юрьевич//Валеев Артур Рашидович</v>
      </c>
      <c r="C119" s="1">
        <v>217</v>
      </c>
      <c r="D119" s="2" t="s">
        <v>111</v>
      </c>
      <c r="E119" s="1"/>
      <c r="F119" s="1"/>
      <c r="G119" s="1"/>
      <c r="H119" s="17"/>
      <c r="I119" s="1">
        <f t="shared" si="10"/>
        <v>0</v>
      </c>
      <c r="J119" s="17"/>
      <c r="K119" s="17"/>
      <c r="L119" s="18">
        <f t="shared" si="12"/>
        <v>0</v>
      </c>
      <c r="M119" s="29">
        <f>SUM('план на 2016'!$L120:M120)-SUM('членские взносы'!$M120:'членские взносы'!M120)</f>
        <v>800</v>
      </c>
      <c r="N119" s="29">
        <f>SUM('план на 2016'!$L120:N120)-SUM('членские взносы'!$M120:'членские взносы'!N120)</f>
        <v>1600</v>
      </c>
      <c r="O119" s="29">
        <f>SUM('план на 2016'!$L120:O120)-SUM('членские взносы'!$M120:'членские взносы'!O120)</f>
        <v>2400</v>
      </c>
      <c r="P119" s="29">
        <f>SUM('план на 2016'!$L120:P120)-SUM('членские взносы'!$M120:'членские взносы'!P120)</f>
        <v>3200</v>
      </c>
      <c r="Q119" s="29">
        <f>SUM('план на 2016'!$L120:Q120)-SUM('членские взносы'!$M120:'членские взносы'!Q120)</f>
        <v>4000</v>
      </c>
      <c r="R119" s="29">
        <f>SUM('план на 2016'!$L120:R120)-SUM('членские взносы'!$M120:'членские взносы'!R120)</f>
        <v>4800</v>
      </c>
      <c r="S119" s="29">
        <f>SUM('план на 2016'!$L120:S120)-SUM('членские взносы'!$M120:'членские взносы'!S120)</f>
        <v>5600</v>
      </c>
      <c r="T119" s="29">
        <f>SUM('план на 2016'!$L120:T120)-SUM('членские взносы'!$M120:'членские взносы'!T120)</f>
        <v>6400</v>
      </c>
      <c r="U119" s="29">
        <f>SUM('план на 2016'!$L120:U120)-SUM('членские взносы'!$M120:'членские взносы'!U120)</f>
        <v>7200</v>
      </c>
      <c r="V119" s="29">
        <f>SUM('план на 2016'!$L120:V120)-SUM('членские взносы'!$M120:'членские взносы'!V120)</f>
        <v>8000</v>
      </c>
      <c r="W119" s="29">
        <f>SUM('план на 2016'!$L120:W120)-SUM('членские взносы'!$M120:'членские взносы'!W120)</f>
        <v>8800</v>
      </c>
      <c r="X119" s="29">
        <f>SUM('план на 2016'!$L120:X120)-SUM('членские взносы'!$M120:'членские взносы'!X120)</f>
        <v>9600</v>
      </c>
      <c r="Y119" s="18">
        <f t="shared" si="8"/>
        <v>9600</v>
      </c>
    </row>
    <row r="120" spans="1:25">
      <c r="A120" s="41">
        <f>VLOOKUP(B120,справочник!$B$2:$E$322,4,FALSE)</f>
        <v>231</v>
      </c>
      <c r="B120" t="str">
        <f t="shared" si="7"/>
        <v>240Кашичкин Александр Борисович</v>
      </c>
      <c r="C120" s="1">
        <v>240</v>
      </c>
      <c r="D120" s="2" t="s">
        <v>112</v>
      </c>
      <c r="E120" s="1" t="s">
        <v>428</v>
      </c>
      <c r="F120" s="16">
        <v>41357</v>
      </c>
      <c r="G120" s="16">
        <v>41365</v>
      </c>
      <c r="H120" s="17">
        <f t="shared" ref="H120:H131" si="13">INT(($H$326-G120)/30)</f>
        <v>33</v>
      </c>
      <c r="I120" s="1">
        <f t="shared" si="10"/>
        <v>33000</v>
      </c>
      <c r="J120" s="17">
        <v>28000</v>
      </c>
      <c r="K120" s="17"/>
      <c r="L120" s="18">
        <f t="shared" si="12"/>
        <v>5000</v>
      </c>
      <c r="M120" s="29">
        <f>SUM('план на 2016'!$L121:M121)-SUM('членские взносы'!$M121:'членские взносы'!M121)</f>
        <v>5800</v>
      </c>
      <c r="N120" s="29">
        <f>SUM('план на 2016'!$L121:N121)-SUM('членские взносы'!$M121:'членские взносы'!N121)</f>
        <v>1600</v>
      </c>
      <c r="O120" s="29">
        <f>SUM('план на 2016'!$L121:O121)-SUM('членские взносы'!$M121:'членские взносы'!O121)</f>
        <v>2400</v>
      </c>
      <c r="P120" s="29">
        <f>SUM('план на 2016'!$L121:P121)-SUM('членские взносы'!$M121:'членские взносы'!P121)</f>
        <v>2200</v>
      </c>
      <c r="Q120" s="29">
        <f>SUM('план на 2016'!$L121:Q121)-SUM('членские взносы'!$M121:'членские взносы'!Q121)</f>
        <v>3000</v>
      </c>
      <c r="R120" s="29">
        <f>SUM('план на 2016'!$L121:R121)-SUM('членские взносы'!$M121:'членские взносы'!R121)</f>
        <v>3800</v>
      </c>
      <c r="S120" s="29">
        <f>SUM('план на 2016'!$L121:S121)-SUM('членские взносы'!$M121:'членские взносы'!S121)</f>
        <v>4600</v>
      </c>
      <c r="T120" s="29">
        <f>SUM('план на 2016'!$L121:T121)-SUM('членские взносы'!$M121:'членские взносы'!T121)</f>
        <v>5400</v>
      </c>
      <c r="U120" s="29">
        <f>SUM('план на 2016'!$L121:U121)-SUM('членские взносы'!$M121:'членские взносы'!U121)</f>
        <v>6200</v>
      </c>
      <c r="V120" s="29">
        <f>SUM('план на 2016'!$L121:V121)-SUM('членские взносы'!$M121:'членские взносы'!V121)</f>
        <v>7000</v>
      </c>
      <c r="W120" s="29">
        <f>SUM('план на 2016'!$L121:W121)-SUM('членские взносы'!$M121:'членские взносы'!W121)</f>
        <v>7800</v>
      </c>
      <c r="X120" s="29">
        <f>SUM('план на 2016'!$L121:X121)-SUM('членские взносы'!$M121:'членские взносы'!X121)</f>
        <v>8600</v>
      </c>
      <c r="Y120" s="18">
        <f t="shared" si="8"/>
        <v>8600</v>
      </c>
    </row>
    <row r="121" spans="1:25">
      <c r="A121" s="41">
        <f>VLOOKUP(B121,справочник!$B$2:$E$322,4,FALSE)</f>
        <v>76</v>
      </c>
      <c r="B121" t="str">
        <f t="shared" si="7"/>
        <v>82Киеня Валентина Александровна (Анатолий)</v>
      </c>
      <c r="C121" s="1">
        <v>82</v>
      </c>
      <c r="D121" s="2" t="s">
        <v>113</v>
      </c>
      <c r="E121" s="1" t="s">
        <v>429</v>
      </c>
      <c r="F121" s="16">
        <v>40682</v>
      </c>
      <c r="G121" s="16">
        <v>40695</v>
      </c>
      <c r="H121" s="17">
        <f t="shared" si="13"/>
        <v>55</v>
      </c>
      <c r="I121" s="1">
        <f t="shared" si="10"/>
        <v>55000</v>
      </c>
      <c r="J121" s="17">
        <v>54000</v>
      </c>
      <c r="K121" s="17">
        <v>3000</v>
      </c>
      <c r="L121" s="18">
        <f t="shared" si="12"/>
        <v>-2000</v>
      </c>
      <c r="M121" s="29">
        <f>SUM('план на 2016'!$L122:M122)-SUM('членские взносы'!$M122:'членские взносы'!M122)</f>
        <v>-1200</v>
      </c>
      <c r="N121" s="29">
        <f>SUM('план на 2016'!$L122:N122)-SUM('членские взносы'!$M122:'членские взносы'!N122)</f>
        <v>-2800</v>
      </c>
      <c r="O121" s="29">
        <f>SUM('план на 2016'!$L122:O122)-SUM('членские взносы'!$M122:'членские взносы'!O122)</f>
        <v>-2000</v>
      </c>
      <c r="P121" s="29">
        <f>SUM('план на 2016'!$L122:P122)-SUM('членские взносы'!$M122:'членские взносы'!P122)</f>
        <v>-3600</v>
      </c>
      <c r="Q121" s="29">
        <f>SUM('план на 2016'!$L122:Q122)-SUM('членские взносы'!$M122:'членские взносы'!Q122)</f>
        <v>-2800</v>
      </c>
      <c r="R121" s="29">
        <f>SUM('план на 2016'!$L122:R122)-SUM('членские взносы'!$M122:'членские взносы'!R122)</f>
        <v>-2000</v>
      </c>
      <c r="S121" s="29">
        <f>SUM('план на 2016'!$L122:S122)-SUM('членские взносы'!$M122:'членские взносы'!S122)</f>
        <v>-1200</v>
      </c>
      <c r="T121" s="29">
        <f>SUM('план на 2016'!$L122:T122)-SUM('членские взносы'!$M122:'членские взносы'!T122)</f>
        <v>-2800</v>
      </c>
      <c r="U121" s="29">
        <f>SUM('план на 2016'!$L122:U122)-SUM('членские взносы'!$M122:'членские взносы'!U122)</f>
        <v>-2000</v>
      </c>
      <c r="V121" s="29">
        <f>SUM('план на 2016'!$L122:V122)-SUM('членские взносы'!$M122:'членские взносы'!V122)</f>
        <v>-1200</v>
      </c>
      <c r="W121" s="29">
        <f>SUM('план на 2016'!$L122:W122)-SUM('членские взносы'!$M122:'членские взносы'!W122)</f>
        <v>-2800</v>
      </c>
      <c r="X121" s="29">
        <f>SUM('план на 2016'!$L122:X122)-SUM('членские взносы'!$M122:'членские взносы'!X122)</f>
        <v>-2000</v>
      </c>
      <c r="Y121" s="18">
        <f t="shared" si="8"/>
        <v>-2000</v>
      </c>
    </row>
    <row r="122" spans="1:25">
      <c r="A122" s="41">
        <f>VLOOKUP(B122,справочник!$B$2:$E$322,4,FALSE)</f>
        <v>82</v>
      </c>
      <c r="B122" t="str">
        <f t="shared" si="7"/>
        <v>87Кикоть Наталья Петровна (Андрей)</v>
      </c>
      <c r="C122" s="1">
        <v>87</v>
      </c>
      <c r="D122" s="2" t="s">
        <v>114</v>
      </c>
      <c r="E122" s="1" t="s">
        <v>430</v>
      </c>
      <c r="F122" s="16">
        <v>41148</v>
      </c>
      <c r="G122" s="16">
        <v>41153</v>
      </c>
      <c r="H122" s="17">
        <f t="shared" si="13"/>
        <v>40</v>
      </c>
      <c r="I122" s="1">
        <f t="shared" si="10"/>
        <v>40000</v>
      </c>
      <c r="J122" s="17">
        <v>35000</v>
      </c>
      <c r="K122" s="17"/>
      <c r="L122" s="18">
        <f t="shared" si="12"/>
        <v>5000</v>
      </c>
      <c r="M122" s="29">
        <f>SUM('план на 2016'!$L123:M123)-SUM('членские взносы'!$M123:'членские взносы'!M123)</f>
        <v>2800</v>
      </c>
      <c r="N122" s="29">
        <f>SUM('план на 2016'!$L123:N123)-SUM('членские взносы'!$M123:'членские взносы'!N123)</f>
        <v>3600</v>
      </c>
      <c r="O122" s="29">
        <f>SUM('план на 2016'!$L123:O123)-SUM('членские взносы'!$M123:'членские взносы'!O123)</f>
        <v>1400</v>
      </c>
      <c r="P122" s="29">
        <f>SUM('план на 2016'!$L123:P123)-SUM('членские взносы'!$M123:'членские взносы'!P123)</f>
        <v>2200</v>
      </c>
      <c r="Q122" s="29">
        <f>SUM('план на 2016'!$L123:Q123)-SUM('членские взносы'!$M123:'членские взносы'!Q123)</f>
        <v>3000</v>
      </c>
      <c r="R122" s="29">
        <f>SUM('план на 2016'!$L123:R123)-SUM('членские взносы'!$M123:'членские взносы'!R123)</f>
        <v>3800</v>
      </c>
      <c r="S122" s="29">
        <f>SUM('план на 2016'!$L123:S123)-SUM('членские взносы'!$M123:'членские взносы'!S123)</f>
        <v>4600</v>
      </c>
      <c r="T122" s="29">
        <f>SUM('план на 2016'!$L123:T123)-SUM('членские взносы'!$M123:'членские взносы'!T123)</f>
        <v>5400</v>
      </c>
      <c r="U122" s="29">
        <f>SUM('план на 2016'!$L123:U123)-SUM('членские взносы'!$M123:'членские взносы'!U123)</f>
        <v>6200</v>
      </c>
      <c r="V122" s="29">
        <f>SUM('план на 2016'!$L123:V123)-SUM('членские взносы'!$M123:'членские взносы'!V123)</f>
        <v>5000</v>
      </c>
      <c r="W122" s="29">
        <f>SUM('план на 2016'!$L123:W123)-SUM('членские взносы'!$M123:'членские взносы'!W123)</f>
        <v>5800</v>
      </c>
      <c r="X122" s="29">
        <f>SUM('план на 2016'!$L123:X123)-SUM('членские взносы'!$M123:'членские взносы'!X123)</f>
        <v>6600</v>
      </c>
      <c r="Y122" s="18">
        <f t="shared" si="8"/>
        <v>6600</v>
      </c>
    </row>
    <row r="123" spans="1:25">
      <c r="A123" s="41">
        <f>VLOOKUP(B123,справочник!$B$2:$E$322,4,FALSE)</f>
        <v>8</v>
      </c>
      <c r="B123" t="str">
        <f t="shared" si="7"/>
        <v>8Кириенко Раиса Федоровна</v>
      </c>
      <c r="C123" s="1">
        <v>8</v>
      </c>
      <c r="D123" s="2" t="s">
        <v>115</v>
      </c>
      <c r="E123" s="1" t="s">
        <v>431</v>
      </c>
      <c r="F123" s="16">
        <v>41741</v>
      </c>
      <c r="G123" s="16">
        <v>41760</v>
      </c>
      <c r="H123" s="17">
        <f t="shared" si="13"/>
        <v>20</v>
      </c>
      <c r="I123" s="1">
        <f t="shared" si="10"/>
        <v>20000</v>
      </c>
      <c r="J123" s="17">
        <v>18000</v>
      </c>
      <c r="K123" s="17"/>
      <c r="L123" s="18">
        <f t="shared" si="12"/>
        <v>2000</v>
      </c>
      <c r="M123" s="29">
        <f>SUM('план на 2016'!$L124:M124)-SUM('членские взносы'!$M124:'членские взносы'!M124)</f>
        <v>2800</v>
      </c>
      <c r="N123" s="29">
        <f>SUM('план на 2016'!$L124:N124)-SUM('членские взносы'!$M124:'членские взносы'!N124)</f>
        <v>3600</v>
      </c>
      <c r="O123" s="29">
        <f>SUM('план на 2016'!$L124:O124)-SUM('членские взносы'!$M124:'членские взносы'!O124)</f>
        <v>4400</v>
      </c>
      <c r="P123" s="29">
        <f>SUM('план на 2016'!$L124:P124)-SUM('членские взносы'!$M124:'членские взносы'!P124)</f>
        <v>5200</v>
      </c>
      <c r="Q123" s="29">
        <f>SUM('план на 2016'!$L124:Q124)-SUM('членские взносы'!$M124:'членские взносы'!Q124)</f>
        <v>6000</v>
      </c>
      <c r="R123" s="29">
        <f>SUM('план на 2016'!$L124:R124)-SUM('членские взносы'!$M124:'членские взносы'!R124)</f>
        <v>2800</v>
      </c>
      <c r="S123" s="29">
        <f>SUM('план на 2016'!$L124:S124)-SUM('членские взносы'!$M124:'членские взносы'!S124)</f>
        <v>3600</v>
      </c>
      <c r="T123" s="29">
        <f>SUM('план на 2016'!$L124:T124)-SUM('членские взносы'!$M124:'членские взносы'!T124)</f>
        <v>4400</v>
      </c>
      <c r="U123" s="29">
        <f>SUM('план на 2016'!$L124:U124)-SUM('членские взносы'!$M124:'членские взносы'!U124)</f>
        <v>5200</v>
      </c>
      <c r="V123" s="29">
        <f>SUM('план на 2016'!$L124:V124)-SUM('членские взносы'!$M124:'членские взносы'!V124)</f>
        <v>-1600</v>
      </c>
      <c r="W123" s="29">
        <f>SUM('план на 2016'!$L124:W124)-SUM('членские взносы'!$M124:'членские взносы'!W124)</f>
        <v>-800</v>
      </c>
      <c r="X123" s="29">
        <f>SUM('план на 2016'!$L124:X124)-SUM('членские взносы'!$M124:'членские взносы'!X124)</f>
        <v>0</v>
      </c>
      <c r="Y123" s="18">
        <f t="shared" si="8"/>
        <v>0</v>
      </c>
    </row>
    <row r="124" spans="1:25">
      <c r="A124" s="41">
        <f>VLOOKUP(B124,справочник!$B$2:$E$322,4,FALSE)</f>
        <v>149</v>
      </c>
      <c r="B124" t="str">
        <f t="shared" si="7"/>
        <v>157Кириллов Вадим Александрович</v>
      </c>
      <c r="C124" s="1">
        <v>157</v>
      </c>
      <c r="D124" s="2" t="s">
        <v>116</v>
      </c>
      <c r="E124" s="1" t="s">
        <v>432</v>
      </c>
      <c r="F124" s="16">
        <v>40820</v>
      </c>
      <c r="G124" s="16">
        <v>40817</v>
      </c>
      <c r="H124" s="17">
        <f t="shared" si="13"/>
        <v>51</v>
      </c>
      <c r="I124" s="1">
        <f t="shared" si="10"/>
        <v>51000</v>
      </c>
      <c r="J124" s="17">
        <f>1000</f>
        <v>1000</v>
      </c>
      <c r="K124" s="17">
        <v>1000</v>
      </c>
      <c r="L124" s="18">
        <f t="shared" si="12"/>
        <v>49000</v>
      </c>
      <c r="M124" s="29">
        <f>SUM('план на 2016'!$L125:M125)-SUM('членские взносы'!$M125:'членские взносы'!M125)</f>
        <v>49800</v>
      </c>
      <c r="N124" s="29">
        <f>SUM('план на 2016'!$L125:N125)-SUM('членские взносы'!$M125:'членские взносы'!N125)</f>
        <v>50600</v>
      </c>
      <c r="O124" s="29">
        <f>SUM('план на 2016'!$L125:O125)-SUM('членские взносы'!$M125:'членские взносы'!O125)</f>
        <v>50400</v>
      </c>
      <c r="P124" s="29">
        <f>SUM('план на 2016'!$L125:P125)-SUM('членские взносы'!$M125:'членские взносы'!P125)</f>
        <v>51200</v>
      </c>
      <c r="Q124" s="29">
        <f>SUM('план на 2016'!$L125:Q125)-SUM('членские взносы'!$M125:'членские взносы'!Q125)</f>
        <v>51000</v>
      </c>
      <c r="R124" s="29">
        <f>SUM('план на 2016'!$L125:R125)-SUM('членские взносы'!$M125:'членские взносы'!R125)</f>
        <v>51800</v>
      </c>
      <c r="S124" s="29">
        <f>SUM('план на 2016'!$L125:S125)-SUM('членские взносы'!$M125:'членские взносы'!S125)</f>
        <v>52600</v>
      </c>
      <c r="T124" s="29">
        <f>SUM('план на 2016'!$L125:T125)-SUM('членские взносы'!$M125:'членские взносы'!T125)</f>
        <v>53400</v>
      </c>
      <c r="U124" s="29">
        <f>SUM('план на 2016'!$L125:U125)-SUM('членские взносы'!$M125:'членские взносы'!U125)</f>
        <v>54200</v>
      </c>
      <c r="V124" s="29">
        <f>SUM('план на 2016'!$L125:V125)-SUM('членские взносы'!$M125:'членские взносы'!V125)</f>
        <v>55000</v>
      </c>
      <c r="W124" s="29">
        <f>SUM('план на 2016'!$L125:W125)-SUM('членские взносы'!$M125:'членские взносы'!W125)</f>
        <v>55800</v>
      </c>
      <c r="X124" s="29">
        <f>SUM('план на 2016'!$L125:X125)-SUM('членские взносы'!$M125:'членские взносы'!X125)</f>
        <v>56600</v>
      </c>
      <c r="Y124" s="18">
        <f t="shared" si="8"/>
        <v>56600</v>
      </c>
    </row>
    <row r="125" spans="1:25">
      <c r="A125" s="41">
        <f>VLOOKUP(B125,справочник!$B$2:$E$322,4,FALSE)</f>
        <v>30</v>
      </c>
      <c r="B125" t="str">
        <f t="shared" si="7"/>
        <v>30Кириллов Дмитрий Александрович</v>
      </c>
      <c r="C125" s="1">
        <v>30</v>
      </c>
      <c r="D125" s="2" t="s">
        <v>117</v>
      </c>
      <c r="E125" s="1" t="s">
        <v>433</v>
      </c>
      <c r="F125" s="16">
        <v>40906</v>
      </c>
      <c r="G125" s="16">
        <v>40909</v>
      </c>
      <c r="H125" s="17">
        <f t="shared" si="13"/>
        <v>48</v>
      </c>
      <c r="I125" s="1">
        <f t="shared" si="10"/>
        <v>48000</v>
      </c>
      <c r="J125" s="17">
        <f>1000</f>
        <v>1000</v>
      </c>
      <c r="K125" s="17"/>
      <c r="L125" s="18">
        <f t="shared" si="12"/>
        <v>47000</v>
      </c>
      <c r="M125" s="29">
        <f>SUM('план на 2016'!$L126:M126)-SUM('членские взносы'!$M126:'членские взносы'!M126)</f>
        <v>47800</v>
      </c>
      <c r="N125" s="29">
        <f>SUM('план на 2016'!$L126:N126)-SUM('членские взносы'!$M126:'членские взносы'!N126)</f>
        <v>48600</v>
      </c>
      <c r="O125" s="29">
        <f>SUM('план на 2016'!$L126:O126)-SUM('членские взносы'!$M126:'членские взносы'!O126)</f>
        <v>49400</v>
      </c>
      <c r="P125" s="29">
        <f>SUM('план на 2016'!$L126:P126)-SUM('членские взносы'!$M126:'членские взносы'!P126)</f>
        <v>50200</v>
      </c>
      <c r="Q125" s="29">
        <f>SUM('план на 2016'!$L126:Q126)-SUM('членские взносы'!$M126:'членские взносы'!Q126)</f>
        <v>51000</v>
      </c>
      <c r="R125" s="29">
        <f>SUM('план на 2016'!$L126:R126)-SUM('членские взносы'!$M126:'членские взносы'!R126)</f>
        <v>51800</v>
      </c>
      <c r="S125" s="29">
        <f>SUM('план на 2016'!$L126:S126)-SUM('членские взносы'!$M126:'членские взносы'!S126)</f>
        <v>52600</v>
      </c>
      <c r="T125" s="29">
        <f>SUM('план на 2016'!$L126:T126)-SUM('членские взносы'!$M126:'членские взносы'!T126)</f>
        <v>53400</v>
      </c>
      <c r="U125" s="29">
        <f>SUM('план на 2016'!$L126:U126)-SUM('членские взносы'!$M126:'членские взносы'!U126)</f>
        <v>54200</v>
      </c>
      <c r="V125" s="29">
        <f>SUM('план на 2016'!$L126:V126)-SUM('членские взносы'!$M126:'членские взносы'!V126)</f>
        <v>55000</v>
      </c>
      <c r="W125" s="29">
        <f>SUM('план на 2016'!$L126:W126)-SUM('членские взносы'!$M126:'членские взносы'!W126)</f>
        <v>55800</v>
      </c>
      <c r="X125" s="29">
        <f>SUM('план на 2016'!$L126:X126)-SUM('членские взносы'!$M126:'членские взносы'!X126)</f>
        <v>56600</v>
      </c>
      <c r="Y125" s="18">
        <f t="shared" si="8"/>
        <v>56600</v>
      </c>
    </row>
    <row r="126" spans="1:25">
      <c r="A126" s="41">
        <f>VLOOKUP(B126,справочник!$B$2:$E$322,4,FALSE)</f>
        <v>269</v>
      </c>
      <c r="B126" t="str">
        <f t="shared" si="7"/>
        <v>282Коваленко Ирина Леонидовна</v>
      </c>
      <c r="C126" s="1">
        <v>282</v>
      </c>
      <c r="D126" s="2" t="s">
        <v>118</v>
      </c>
      <c r="E126" s="1" t="s">
        <v>434</v>
      </c>
      <c r="F126" s="16">
        <v>41254</v>
      </c>
      <c r="G126" s="16">
        <v>41275</v>
      </c>
      <c r="H126" s="17">
        <f t="shared" si="13"/>
        <v>36</v>
      </c>
      <c r="I126" s="1">
        <f t="shared" si="10"/>
        <v>36000</v>
      </c>
      <c r="J126" s="17">
        <v>18000</v>
      </c>
      <c r="K126" s="17"/>
      <c r="L126" s="18">
        <f t="shared" si="12"/>
        <v>18000</v>
      </c>
      <c r="M126" s="29">
        <f>SUM('план на 2016'!$L127:M127)-SUM('членские взносы'!$M127:'членские взносы'!M127)</f>
        <v>18800</v>
      </c>
      <c r="N126" s="29">
        <f>SUM('план на 2016'!$L127:N127)-SUM('членские взносы'!$M127:'членские взносы'!N127)</f>
        <v>19600</v>
      </c>
      <c r="O126" s="29">
        <f>SUM('план на 2016'!$L127:O127)-SUM('членские взносы'!$M127:'членские взносы'!O127)</f>
        <v>20400</v>
      </c>
      <c r="P126" s="29">
        <f>SUM('план на 2016'!$L127:P127)-SUM('членские взносы'!$M127:'членские взносы'!P127)</f>
        <v>21200</v>
      </c>
      <c r="Q126" s="29">
        <f>SUM('план на 2016'!$L127:Q127)-SUM('членские взносы'!$M127:'членские взносы'!Q127)</f>
        <v>22000</v>
      </c>
      <c r="R126" s="29">
        <f>SUM('план на 2016'!$L127:R127)-SUM('членские взносы'!$M127:'членские взносы'!R127)</f>
        <v>22800</v>
      </c>
      <c r="S126" s="29">
        <f>SUM('план на 2016'!$L127:S127)-SUM('членские взносы'!$M127:'членские взносы'!S127)</f>
        <v>23600</v>
      </c>
      <c r="T126" s="29">
        <f>SUM('план на 2016'!$L127:T127)-SUM('членские взносы'!$M127:'членские взносы'!T127)</f>
        <v>24400</v>
      </c>
      <c r="U126" s="29">
        <f>SUM('план на 2016'!$L127:U127)-SUM('членские взносы'!$M127:'членские взносы'!U127)</f>
        <v>25200</v>
      </c>
      <c r="V126" s="29">
        <f>SUM('план на 2016'!$L127:V127)-SUM('членские взносы'!$M127:'членские взносы'!V127)</f>
        <v>26000</v>
      </c>
      <c r="W126" s="29">
        <f>SUM('план на 2016'!$L127:W127)-SUM('членские взносы'!$M127:'членские взносы'!W127)</f>
        <v>14800</v>
      </c>
      <c r="X126" s="29">
        <f>SUM('план на 2016'!$L127:X127)-SUM('членские взносы'!$M127:'членские взносы'!X127)</f>
        <v>15600</v>
      </c>
      <c r="Y126" s="18">
        <f t="shared" si="8"/>
        <v>15600</v>
      </c>
    </row>
    <row r="127" spans="1:25">
      <c r="A127" s="41">
        <f>VLOOKUP(B127,справочник!$B$2:$E$322,4,FALSE)</f>
        <v>271</v>
      </c>
      <c r="B127" t="str">
        <f t="shared" si="7"/>
        <v>284Кожемякин Сергей Владимирович</v>
      </c>
      <c r="C127" s="1">
        <v>284</v>
      </c>
      <c r="D127" s="2" t="s">
        <v>119</v>
      </c>
      <c r="E127" s="1" t="s">
        <v>435</v>
      </c>
      <c r="F127" s="16">
        <v>42044</v>
      </c>
      <c r="G127" s="16">
        <v>42095</v>
      </c>
      <c r="H127" s="17">
        <f t="shared" si="13"/>
        <v>9</v>
      </c>
      <c r="I127" s="1">
        <f t="shared" si="10"/>
        <v>9000</v>
      </c>
      <c r="J127" s="17">
        <v>4000</v>
      </c>
      <c r="K127" s="17">
        <v>5000</v>
      </c>
      <c r="L127" s="18">
        <f t="shared" si="12"/>
        <v>0</v>
      </c>
      <c r="M127" s="29">
        <f>SUM('план на 2016'!$L128:M128)-SUM('членские взносы'!$M128:'членские взносы'!M128)</f>
        <v>800</v>
      </c>
      <c r="N127" s="29">
        <f>SUM('план на 2016'!$L128:N128)-SUM('членские взносы'!$M128:'членские взносы'!N128)</f>
        <v>1600</v>
      </c>
      <c r="O127" s="29">
        <f>SUM('план на 2016'!$L128:O128)-SUM('членские взносы'!$M128:'членские взносы'!O128)</f>
        <v>2400</v>
      </c>
      <c r="P127" s="29">
        <f>SUM('план на 2016'!$L128:P128)-SUM('членские взносы'!$M128:'членские взносы'!P128)</f>
        <v>3200</v>
      </c>
      <c r="Q127" s="29">
        <f>SUM('план на 2016'!$L128:Q128)-SUM('членские взносы'!$M128:'членские взносы'!Q128)</f>
        <v>4000</v>
      </c>
      <c r="R127" s="29">
        <f>SUM('план на 2016'!$L128:R128)-SUM('членские взносы'!$M128:'членские взносы'!R128)</f>
        <v>-200</v>
      </c>
      <c r="S127" s="29">
        <f>SUM('план на 2016'!$L128:S128)-SUM('членские взносы'!$M128:'членские взносы'!S128)</f>
        <v>600</v>
      </c>
      <c r="T127" s="29">
        <f>SUM('план на 2016'!$L128:T128)-SUM('членские взносы'!$M128:'членские взносы'!T128)</f>
        <v>1400</v>
      </c>
      <c r="U127" s="29">
        <f>SUM('план на 2016'!$L128:U128)-SUM('членские взносы'!$M128:'членские взносы'!U128)</f>
        <v>2200</v>
      </c>
      <c r="V127" s="29">
        <f>SUM('план на 2016'!$L128:V128)-SUM('членские взносы'!$M128:'членские взносы'!V128)</f>
        <v>3000</v>
      </c>
      <c r="W127" s="29">
        <f>SUM('план на 2016'!$L128:W128)-SUM('членские взносы'!$M128:'членские взносы'!W128)</f>
        <v>3800</v>
      </c>
      <c r="X127" s="29">
        <f>SUM('план на 2016'!$L128:X128)-SUM('членские взносы'!$M128:'членские взносы'!X128)</f>
        <v>1600</v>
      </c>
      <c r="Y127" s="18">
        <f t="shared" si="8"/>
        <v>1600</v>
      </c>
    </row>
    <row r="128" spans="1:25">
      <c r="A128" s="41">
        <f>VLOOKUP(B128,справочник!$B$2:$E$322,4,FALSE)</f>
        <v>265</v>
      </c>
      <c r="B128" t="str">
        <f t="shared" si="7"/>
        <v>278Козловский Алексей Гаврилович</v>
      </c>
      <c r="C128" s="1">
        <v>278</v>
      </c>
      <c r="D128" s="2" t="s">
        <v>120</v>
      </c>
      <c r="E128" s="1" t="s">
        <v>436</v>
      </c>
      <c r="F128" s="16">
        <v>40812</v>
      </c>
      <c r="G128" s="16">
        <v>40787</v>
      </c>
      <c r="H128" s="17">
        <f t="shared" si="13"/>
        <v>52</v>
      </c>
      <c r="I128" s="1">
        <f t="shared" si="10"/>
        <v>52000</v>
      </c>
      <c r="J128" s="17">
        <f>2000+27000</f>
        <v>29000</v>
      </c>
      <c r="K128" s="17"/>
      <c r="L128" s="18">
        <f t="shared" si="12"/>
        <v>23000</v>
      </c>
      <c r="M128" s="29">
        <f>SUM('план на 2016'!$L129:M129)-SUM('членские взносы'!$M129:'членские взносы'!M129)</f>
        <v>23800</v>
      </c>
      <c r="N128" s="29">
        <f>SUM('план на 2016'!$L129:N129)-SUM('членские взносы'!$M129:'членские взносы'!N129)</f>
        <v>24600</v>
      </c>
      <c r="O128" s="29">
        <f>SUM('план на 2016'!$L129:O129)-SUM('членские взносы'!$M129:'членские взносы'!O129)</f>
        <v>22400</v>
      </c>
      <c r="P128" s="29">
        <f>SUM('план на 2016'!$L129:P129)-SUM('членские взносы'!$M129:'членские взносы'!P129)</f>
        <v>23200</v>
      </c>
      <c r="Q128" s="29">
        <f>SUM('план на 2016'!$L129:Q129)-SUM('членские взносы'!$M129:'членские взносы'!Q129)</f>
        <v>24000</v>
      </c>
      <c r="R128" s="29">
        <f>SUM('план на 2016'!$L129:R129)-SUM('членские взносы'!$M129:'членские взносы'!R129)</f>
        <v>24800</v>
      </c>
      <c r="S128" s="29">
        <f>SUM('план на 2016'!$L129:S129)-SUM('членские взносы'!$M129:'членские взносы'!S129)</f>
        <v>22600</v>
      </c>
      <c r="T128" s="29">
        <f>SUM('план на 2016'!$L129:T129)-SUM('членские взносы'!$M129:'членские взносы'!T129)</f>
        <v>23400</v>
      </c>
      <c r="U128" s="29">
        <f>SUM('план на 2016'!$L129:U129)-SUM('членские взносы'!$M129:'членские взносы'!U129)</f>
        <v>21200</v>
      </c>
      <c r="V128" s="29">
        <f>SUM('план на 2016'!$L129:V129)-SUM('членские взносы'!$M129:'членские взносы'!V129)</f>
        <v>22000</v>
      </c>
      <c r="W128" s="29">
        <f>SUM('план на 2016'!$L129:W129)-SUM('членские взносы'!$M129:'членские взносы'!W129)</f>
        <v>19800</v>
      </c>
      <c r="X128" s="29">
        <f>SUM('план на 2016'!$L129:X129)-SUM('членские взносы'!$M129:'членские взносы'!X129)</f>
        <v>20600</v>
      </c>
      <c r="Y128" s="18">
        <f t="shared" si="8"/>
        <v>20600</v>
      </c>
    </row>
    <row r="129" spans="1:25" ht="25.5">
      <c r="A129" s="41">
        <f>VLOOKUP(B129,справочник!$B$2:$E$322,4,FALSE)</f>
        <v>173</v>
      </c>
      <c r="B129" t="str">
        <f t="shared" si="7"/>
        <v>181Колесников Никита Олегович(у Кряжковой Виктория Сергеевна</v>
      </c>
      <c r="C129" s="1">
        <v>181</v>
      </c>
      <c r="D129" s="2" t="s">
        <v>121</v>
      </c>
      <c r="E129" s="1" t="s">
        <v>437</v>
      </c>
      <c r="F129" s="16">
        <v>40793</v>
      </c>
      <c r="G129" s="16">
        <v>40787</v>
      </c>
      <c r="H129" s="17">
        <f t="shared" si="13"/>
        <v>52</v>
      </c>
      <c r="I129" s="1">
        <f t="shared" si="10"/>
        <v>52000</v>
      </c>
      <c r="J129" s="17">
        <v>1000</v>
      </c>
      <c r="K129" s="17"/>
      <c r="L129" s="18">
        <f t="shared" si="12"/>
        <v>51000</v>
      </c>
      <c r="M129" s="29">
        <f>SUM('план на 2016'!$L130:M130)-SUM('членские взносы'!$M130:'членские взносы'!M130)</f>
        <v>51800</v>
      </c>
      <c r="N129" s="29">
        <f>SUM('план на 2016'!$L130:N130)-SUM('членские взносы'!$M130:'членские взносы'!N130)</f>
        <v>52600</v>
      </c>
      <c r="O129" s="29">
        <f>SUM('план на 2016'!$L130:O130)-SUM('членские взносы'!$M130:'членские взносы'!O130)</f>
        <v>53400</v>
      </c>
      <c r="P129" s="29">
        <f>SUM('план на 2016'!$L130:P130)-SUM('членские взносы'!$M130:'членские взносы'!P130)</f>
        <v>54200</v>
      </c>
      <c r="Q129" s="29">
        <f>SUM('план на 2016'!$L130:Q130)-SUM('членские взносы'!$M130:'членские взносы'!Q130)</f>
        <v>55000</v>
      </c>
      <c r="R129" s="29">
        <f>SUM('план на 2016'!$L130:R130)-SUM('членские взносы'!$M130:'членские взносы'!R130)</f>
        <v>55800</v>
      </c>
      <c r="S129" s="29">
        <f>SUM('план на 2016'!$L130:S130)-SUM('членские взносы'!$M130:'членские взносы'!S130)</f>
        <v>56600</v>
      </c>
      <c r="T129" s="29">
        <f>SUM('план на 2016'!$L130:T130)-SUM('членские взносы'!$M130:'членские взносы'!T130)</f>
        <v>57400</v>
      </c>
      <c r="U129" s="29">
        <f>SUM('план на 2016'!$L130:U130)-SUM('членские взносы'!$M130:'членские взносы'!U130)</f>
        <v>58200</v>
      </c>
      <c r="V129" s="29">
        <f>SUM('план на 2016'!$L130:V130)-SUM('членские взносы'!$M130:'членские взносы'!V130)</f>
        <v>59000</v>
      </c>
      <c r="W129" s="29">
        <f>SUM('план на 2016'!$L130:W130)-SUM('членские взносы'!$M130:'членские взносы'!W130)</f>
        <v>59800</v>
      </c>
      <c r="X129" s="29">
        <f>SUM('план на 2016'!$L130:X130)-SUM('членские взносы'!$M130:'членские взносы'!X130)</f>
        <v>60600</v>
      </c>
      <c r="Y129" s="18">
        <f t="shared" si="8"/>
        <v>60600</v>
      </c>
    </row>
    <row r="130" spans="1:25">
      <c r="A130" s="41">
        <f>VLOOKUP(B130,справочник!$B$2:$E$322,4,FALSE)</f>
        <v>305</v>
      </c>
      <c r="B130" t="str">
        <f t="shared" si="7"/>
        <v>320Колесов Вадим Владимирович</v>
      </c>
      <c r="C130" s="1">
        <v>320</v>
      </c>
      <c r="D130" s="2" t="s">
        <v>122</v>
      </c>
      <c r="E130" s="1" t="s">
        <v>438</v>
      </c>
      <c r="F130" s="16">
        <v>41929</v>
      </c>
      <c r="G130" s="16">
        <v>41944</v>
      </c>
      <c r="H130" s="17">
        <f t="shared" si="13"/>
        <v>14</v>
      </c>
      <c r="I130" s="1">
        <f t="shared" si="10"/>
        <v>14000</v>
      </c>
      <c r="J130" s="17">
        <v>1000</v>
      </c>
      <c r="K130" s="17"/>
      <c r="L130" s="18">
        <f t="shared" si="12"/>
        <v>13000</v>
      </c>
      <c r="M130" s="29">
        <f>SUM('план на 2016'!$L131:M131)-SUM('членские взносы'!$M131:'членские взносы'!M131)</f>
        <v>13800</v>
      </c>
      <c r="N130" s="29">
        <f>SUM('план на 2016'!$L131:N131)-SUM('членские взносы'!$M131:'членские взносы'!N131)</f>
        <v>14600</v>
      </c>
      <c r="O130" s="29">
        <f>SUM('план на 2016'!$L131:O131)-SUM('членские взносы'!$M131:'членские взносы'!O131)</f>
        <v>15400</v>
      </c>
      <c r="P130" s="29">
        <f>SUM('план на 2016'!$L131:P131)-SUM('членские взносы'!$M131:'членские взносы'!P131)</f>
        <v>16200</v>
      </c>
      <c r="Q130" s="29">
        <f>SUM('план на 2016'!$L131:Q131)-SUM('членские взносы'!$M131:'членские взносы'!Q131)</f>
        <v>17000</v>
      </c>
      <c r="R130" s="29">
        <f>SUM('план на 2016'!$L131:R131)-SUM('членские взносы'!$M131:'членские взносы'!R131)</f>
        <v>17800</v>
      </c>
      <c r="S130" s="29">
        <f>SUM('план на 2016'!$L131:S131)-SUM('членские взносы'!$M131:'членские взносы'!S131)</f>
        <v>18600</v>
      </c>
      <c r="T130" s="29">
        <f>SUM('план на 2016'!$L131:T131)-SUM('членские взносы'!$M131:'членские взносы'!T131)</f>
        <v>19400</v>
      </c>
      <c r="U130" s="29">
        <f>SUM('план на 2016'!$L131:U131)-SUM('членские взносы'!$M131:'членские взносы'!U131)</f>
        <v>20200</v>
      </c>
      <c r="V130" s="29">
        <f>SUM('план на 2016'!$L131:V131)-SUM('членские взносы'!$M131:'членские взносы'!V131)</f>
        <v>21000</v>
      </c>
      <c r="W130" s="29">
        <f>SUM('план на 2016'!$L131:W131)-SUM('членские взносы'!$M131:'членские взносы'!W131)</f>
        <v>21800</v>
      </c>
      <c r="X130" s="29">
        <f>SUM('план на 2016'!$L131:X131)-SUM('членские взносы'!$M131:'членские взносы'!X131)</f>
        <v>22600</v>
      </c>
      <c r="Y130" s="18">
        <f t="shared" si="8"/>
        <v>22600</v>
      </c>
    </row>
    <row r="131" spans="1:25">
      <c r="A131" s="41">
        <f>VLOOKUP(B131,справочник!$B$2:$E$322,4,FALSE)</f>
        <v>69</v>
      </c>
      <c r="B131" t="str">
        <f t="shared" si="7"/>
        <v>75Колташ Анна Владимировна</v>
      </c>
      <c r="C131" s="1">
        <v>75</v>
      </c>
      <c r="D131" s="2" t="s">
        <v>123</v>
      </c>
      <c r="E131" s="1" t="s">
        <v>439</v>
      </c>
      <c r="F131" s="19" t="s">
        <v>440</v>
      </c>
      <c r="G131" s="19">
        <v>40787</v>
      </c>
      <c r="H131" s="20">
        <f t="shared" si="13"/>
        <v>52</v>
      </c>
      <c r="I131" s="5">
        <f t="shared" si="10"/>
        <v>52000</v>
      </c>
      <c r="J131" s="20">
        <f>3000+10000</f>
        <v>13000</v>
      </c>
      <c r="K131" s="20"/>
      <c r="L131" s="21">
        <f t="shared" si="12"/>
        <v>39000</v>
      </c>
      <c r="M131" s="29">
        <f>SUM('план на 2016'!$L132:M132)-SUM('членские взносы'!$M132:'членские взносы'!M132)</f>
        <v>39800</v>
      </c>
      <c r="N131" s="29">
        <f>SUM('план на 2016'!$L132:N132)-SUM('членские взносы'!$M132:'членские взносы'!N132)</f>
        <v>40600</v>
      </c>
      <c r="O131" s="29">
        <f>SUM('план на 2016'!$L132:O132)-SUM('членские взносы'!$M132:'членские взносы'!O132)</f>
        <v>41400</v>
      </c>
      <c r="P131" s="29">
        <f>SUM('план на 2016'!$L132:P132)-SUM('членские взносы'!$M132:'членские взносы'!P132)</f>
        <v>42200</v>
      </c>
      <c r="Q131" s="29">
        <f>SUM('план на 2016'!$L132:Q132)-SUM('членские взносы'!$M132:'членские взносы'!Q132)</f>
        <v>43000</v>
      </c>
      <c r="R131" s="29">
        <f>SUM('план на 2016'!$L132:R132)-SUM('членские взносы'!$M132:'членские взносы'!R132)</f>
        <v>43800</v>
      </c>
      <c r="S131" s="29">
        <f>SUM('план на 2016'!$L132:S132)-SUM('членские взносы'!$M132:'членские взносы'!S132)</f>
        <v>44600</v>
      </c>
      <c r="T131" s="29">
        <f>SUM('план на 2016'!$L132:T132)-SUM('членские взносы'!$M132:'членские взносы'!T132)</f>
        <v>45400</v>
      </c>
      <c r="U131" s="29">
        <f>SUM('план на 2016'!$L132:U132)-SUM('членские взносы'!$M132:'членские взносы'!U132)</f>
        <v>46200</v>
      </c>
      <c r="V131" s="29">
        <f>SUM('план на 2016'!$L132:V132)-SUM('членские взносы'!$M132:'членские взносы'!V132)</f>
        <v>47000</v>
      </c>
      <c r="W131" s="29">
        <f>SUM('план на 2016'!$L132:W132)-SUM('членские взносы'!$M132:'членские взносы'!W132)</f>
        <v>47800</v>
      </c>
      <c r="X131" s="29">
        <f>SUM('план на 2016'!$L132:X132)-SUM('членские взносы'!$M132:'членские взносы'!X132)</f>
        <v>48600</v>
      </c>
      <c r="Y131" s="18">
        <f t="shared" si="8"/>
        <v>48600</v>
      </c>
    </row>
    <row r="132" spans="1:25">
      <c r="A132" s="41">
        <f>VLOOKUP(B132,справочник!$B$2:$E$322,4,FALSE)</f>
        <v>69</v>
      </c>
      <c r="B132" t="str">
        <f t="shared" si="7"/>
        <v>76Колташ Анна Владимировна</v>
      </c>
      <c r="C132" s="1">
        <v>76</v>
      </c>
      <c r="D132" s="2" t="s">
        <v>123</v>
      </c>
      <c r="E132" s="1" t="s">
        <v>441</v>
      </c>
      <c r="F132" s="5"/>
      <c r="G132" s="5"/>
      <c r="H132" s="20"/>
      <c r="I132" s="5">
        <f t="shared" si="10"/>
        <v>0</v>
      </c>
      <c r="J132" s="20"/>
      <c r="K132" s="20"/>
      <c r="L132" s="21"/>
      <c r="M132" s="29">
        <f>SUM('план на 2016'!$L133:M133)-SUM('членские взносы'!$M133:'членские взносы'!M133)</f>
        <v>0</v>
      </c>
      <c r="N132" s="29">
        <f>SUM('план на 2016'!$L133:N133)-SUM('членские взносы'!$M133:'членские взносы'!N133)</f>
        <v>0</v>
      </c>
      <c r="O132" s="29">
        <f>SUM('план на 2016'!$L133:O133)-SUM('членские взносы'!$M133:'членские взносы'!O133)</f>
        <v>0</v>
      </c>
      <c r="P132" s="29">
        <f>SUM('план на 2016'!$L133:P133)-SUM('членские взносы'!$M133:'членские взносы'!P133)</f>
        <v>0</v>
      </c>
      <c r="Q132" s="29">
        <f>SUM('план на 2016'!$L133:Q133)-SUM('членские взносы'!$M133:'членские взносы'!Q133)</f>
        <v>0</v>
      </c>
      <c r="R132" s="29">
        <f>SUM('план на 2016'!$L133:R133)-SUM('членские взносы'!$M133:'членские взносы'!R133)</f>
        <v>0</v>
      </c>
      <c r="S132" s="29">
        <f>SUM('план на 2016'!$L133:S133)-SUM('членские взносы'!$M133:'членские взносы'!S133)</f>
        <v>0</v>
      </c>
      <c r="T132" s="29">
        <f>SUM('план на 2016'!$L133:T133)-SUM('членские взносы'!$M133:'членские взносы'!T133)</f>
        <v>0</v>
      </c>
      <c r="U132" s="29">
        <f>SUM('план на 2016'!$L133:U133)-SUM('членские взносы'!$M133:'членские взносы'!U133)</f>
        <v>0</v>
      </c>
      <c r="V132" s="29">
        <f>SUM('план на 2016'!$L133:V133)-SUM('членские взносы'!$M133:'членские взносы'!V133)</f>
        <v>0</v>
      </c>
      <c r="W132" s="29">
        <f>SUM('план на 2016'!$L133:W133)-SUM('членские взносы'!$M133:'членские взносы'!W133)</f>
        <v>0</v>
      </c>
      <c r="X132" s="29">
        <f>SUM('план на 2016'!$L133:X133)-SUM('членские взносы'!$M133:'членские взносы'!X133)</f>
        <v>0</v>
      </c>
      <c r="Y132" s="18">
        <f t="shared" si="8"/>
        <v>0</v>
      </c>
    </row>
    <row r="133" spans="1:25">
      <c r="A133" s="41">
        <f>VLOOKUP(B133,справочник!$B$2:$E$322,4,FALSE)</f>
        <v>1</v>
      </c>
      <c r="B133" t="str">
        <f t="shared" ref="B133:B196" si="14">CONCATENATE(C133,D133)</f>
        <v>1Колыгина Нина Николаевна</v>
      </c>
      <c r="C133" s="1">
        <v>1</v>
      </c>
      <c r="D133" s="2" t="s">
        <v>124</v>
      </c>
      <c r="E133" s="1" t="s">
        <v>442</v>
      </c>
      <c r="F133" s="16">
        <v>41409</v>
      </c>
      <c r="G133" s="16">
        <v>41548</v>
      </c>
      <c r="H133" s="17">
        <f t="shared" ref="H133:H182" si="15">INT(($H$326-G133)/30)</f>
        <v>27</v>
      </c>
      <c r="I133" s="1">
        <f t="shared" si="10"/>
        <v>27000</v>
      </c>
      <c r="J133" s="17">
        <v>24000</v>
      </c>
      <c r="K133" s="17"/>
      <c r="L133" s="18">
        <f t="shared" ref="L133:L185" si="16">I133-J133-K133</f>
        <v>3000</v>
      </c>
      <c r="M133" s="29">
        <f>SUM('план на 2016'!$L134:M134)-SUM('членские взносы'!$M134:'членские взносы'!M134)</f>
        <v>3800</v>
      </c>
      <c r="N133" s="29">
        <f>SUM('план на 2016'!$L134:N134)-SUM('членские взносы'!$M134:'членские взносы'!N134)</f>
        <v>400</v>
      </c>
      <c r="O133" s="29">
        <f>SUM('план на 2016'!$L134:O134)-SUM('членские взносы'!$M134:'членские взносы'!O134)</f>
        <v>1200</v>
      </c>
      <c r="P133" s="29">
        <f>SUM('план на 2016'!$L134:P134)-SUM('членские взносы'!$M134:'членские взносы'!P134)</f>
        <v>2000</v>
      </c>
      <c r="Q133" s="29">
        <f>SUM('план на 2016'!$L134:Q134)-SUM('членские взносы'!$M134:'членские взносы'!Q134)</f>
        <v>2800</v>
      </c>
      <c r="R133" s="29">
        <f>SUM('план на 2016'!$L134:R134)-SUM('членские взносы'!$M134:'членские взносы'!R134)</f>
        <v>3600</v>
      </c>
      <c r="S133" s="29">
        <f>SUM('план на 2016'!$L134:S134)-SUM('членские взносы'!$M134:'членские взносы'!S134)</f>
        <v>4400</v>
      </c>
      <c r="T133" s="29">
        <f>SUM('план на 2016'!$L134:T134)-SUM('членские взносы'!$M134:'членские взносы'!T134)</f>
        <v>5200</v>
      </c>
      <c r="U133" s="29">
        <f>SUM('план на 2016'!$L134:U134)-SUM('членские взносы'!$M134:'членские взносы'!U134)</f>
        <v>6000</v>
      </c>
      <c r="V133" s="29">
        <f>SUM('план на 2016'!$L134:V134)-SUM('членские взносы'!$M134:'членские взносы'!V134)</f>
        <v>6800</v>
      </c>
      <c r="W133" s="29">
        <f>SUM('план на 2016'!$L134:W134)-SUM('членские взносы'!$M134:'членские взносы'!W134)</f>
        <v>7600</v>
      </c>
      <c r="X133" s="29">
        <f>SUM('план на 2016'!$L134:X134)-SUM('членские взносы'!$M134:'членские взносы'!X134)</f>
        <v>2800</v>
      </c>
      <c r="Y133" s="18">
        <f t="shared" ref="Y133:Y196" si="17">X133</f>
        <v>2800</v>
      </c>
    </row>
    <row r="134" spans="1:25">
      <c r="A134" s="41">
        <f>VLOOKUP(B134,справочник!$B$2:$E$322,4,FALSE)</f>
        <v>302</v>
      </c>
      <c r="B134" t="str">
        <f t="shared" si="14"/>
        <v>317Колышкина Александра Сергеевна</v>
      </c>
      <c r="C134" s="1">
        <v>317</v>
      </c>
      <c r="D134" s="2" t="s">
        <v>125</v>
      </c>
      <c r="E134" s="1" t="s">
        <v>443</v>
      </c>
      <c r="F134" s="16">
        <v>40997</v>
      </c>
      <c r="G134" s="16">
        <v>41000</v>
      </c>
      <c r="H134" s="17">
        <f t="shared" si="15"/>
        <v>45</v>
      </c>
      <c r="I134" s="1">
        <f t="shared" si="10"/>
        <v>45000</v>
      </c>
      <c r="J134" s="17">
        <v>32000</v>
      </c>
      <c r="K134" s="17"/>
      <c r="L134" s="18">
        <f t="shared" si="16"/>
        <v>13000</v>
      </c>
      <c r="M134" s="29">
        <f>SUM('план на 2016'!$L135:M135)-SUM('членские взносы'!$M135:'членские взносы'!M135)</f>
        <v>13800</v>
      </c>
      <c r="N134" s="29">
        <f>SUM('план на 2016'!$L135:N135)-SUM('членские взносы'!$M135:'членские взносы'!N135)</f>
        <v>14600</v>
      </c>
      <c r="O134" s="29">
        <f>SUM('план на 2016'!$L135:O135)-SUM('членские взносы'!$M135:'членские взносы'!O135)</f>
        <v>15400</v>
      </c>
      <c r="P134" s="29">
        <f>SUM('план на 2016'!$L135:P135)-SUM('членские взносы'!$M135:'членские взносы'!P135)</f>
        <v>16200</v>
      </c>
      <c r="Q134" s="29">
        <f>SUM('план на 2016'!$L135:Q135)-SUM('членские взносы'!$M135:'членские взносы'!Q135)</f>
        <v>17000</v>
      </c>
      <c r="R134" s="29">
        <f>SUM('план на 2016'!$L135:R135)-SUM('членские взносы'!$M135:'членские взносы'!R135)</f>
        <v>17800</v>
      </c>
      <c r="S134" s="29">
        <f>SUM('план на 2016'!$L135:S135)-SUM('членские взносы'!$M135:'членские взносы'!S135)</f>
        <v>18600</v>
      </c>
      <c r="T134" s="29">
        <f>SUM('план на 2016'!$L135:T135)-SUM('членские взносы'!$M135:'членские взносы'!T135)</f>
        <v>19400</v>
      </c>
      <c r="U134" s="29">
        <f>SUM('план на 2016'!$L135:U135)-SUM('членские взносы'!$M135:'членские взносы'!U135)</f>
        <v>20200</v>
      </c>
      <c r="V134" s="29">
        <f>SUM('план на 2016'!$L135:V135)-SUM('членские взносы'!$M135:'членские взносы'!V135)</f>
        <v>21000</v>
      </c>
      <c r="W134" s="29">
        <f>SUM('план на 2016'!$L135:W135)-SUM('членские взносы'!$M135:'членские взносы'!W135)</f>
        <v>21800</v>
      </c>
      <c r="X134" s="29">
        <f>SUM('план на 2016'!$L135:X135)-SUM('членские взносы'!$M135:'членские взносы'!X135)</f>
        <v>22600</v>
      </c>
      <c r="Y134" s="18">
        <f t="shared" si="17"/>
        <v>22600</v>
      </c>
    </row>
    <row r="135" spans="1:25">
      <c r="A135" s="41">
        <f>VLOOKUP(B135,справочник!$B$2:$E$322,4,FALSE)</f>
        <v>123</v>
      </c>
      <c r="B135" t="str">
        <f t="shared" si="14"/>
        <v>128Кондратьева Юлия Викторовна</v>
      </c>
      <c r="C135" s="1">
        <v>128</v>
      </c>
      <c r="D135" s="2" t="s">
        <v>126</v>
      </c>
      <c r="E135" s="1" t="s">
        <v>444</v>
      </c>
      <c r="F135" s="16">
        <v>40960</v>
      </c>
      <c r="G135" s="16">
        <v>40940</v>
      </c>
      <c r="H135" s="17">
        <f t="shared" si="15"/>
        <v>47</v>
      </c>
      <c r="I135" s="1">
        <f t="shared" si="10"/>
        <v>47000</v>
      </c>
      <c r="J135" s="17">
        <v>34000</v>
      </c>
      <c r="K135" s="17"/>
      <c r="L135" s="18">
        <f t="shared" si="16"/>
        <v>13000</v>
      </c>
      <c r="M135" s="29">
        <f>SUM('план на 2016'!$L136:M136)-SUM('членские взносы'!$M136:'членские взносы'!M136)</f>
        <v>13800</v>
      </c>
      <c r="N135" s="29">
        <f>SUM('план на 2016'!$L136:N136)-SUM('членские взносы'!$M136:'членские взносы'!N136)</f>
        <v>14600</v>
      </c>
      <c r="O135" s="29">
        <f>SUM('план на 2016'!$L136:O136)-SUM('членские взносы'!$M136:'членские взносы'!O136)</f>
        <v>15400</v>
      </c>
      <c r="P135" s="29">
        <f>SUM('план на 2016'!$L136:P136)-SUM('членские взносы'!$M136:'членские взносы'!P136)</f>
        <v>16200</v>
      </c>
      <c r="Q135" s="29">
        <f>SUM('план на 2016'!$L136:Q136)-SUM('членские взносы'!$M136:'членские взносы'!Q136)</f>
        <v>17000</v>
      </c>
      <c r="R135" s="29">
        <f>SUM('план на 2016'!$L136:R136)-SUM('членские взносы'!$M136:'членские взносы'!R136)</f>
        <v>17800</v>
      </c>
      <c r="S135" s="29">
        <f>SUM('план на 2016'!$L136:S136)-SUM('членские взносы'!$M136:'членские взносы'!S136)</f>
        <v>-1400</v>
      </c>
      <c r="T135" s="29">
        <f>SUM('план на 2016'!$L136:T136)-SUM('членские взносы'!$M136:'членские взносы'!T136)</f>
        <v>-600</v>
      </c>
      <c r="U135" s="29">
        <f>SUM('план на 2016'!$L136:U136)-SUM('членские взносы'!$M136:'членские взносы'!U136)</f>
        <v>200</v>
      </c>
      <c r="V135" s="29">
        <f>SUM('план на 2016'!$L136:V136)-SUM('членские взносы'!$M136:'членские взносы'!V136)</f>
        <v>1000</v>
      </c>
      <c r="W135" s="29">
        <f>SUM('план на 2016'!$L136:W136)-SUM('членские взносы'!$M136:'членские взносы'!W136)</f>
        <v>1800</v>
      </c>
      <c r="X135" s="29">
        <f>SUM('план на 2016'!$L136:X136)-SUM('членские взносы'!$M136:'членские взносы'!X136)</f>
        <v>2600</v>
      </c>
      <c r="Y135" s="18">
        <f t="shared" si="17"/>
        <v>2600</v>
      </c>
    </row>
    <row r="136" spans="1:25" ht="25.5">
      <c r="A136" s="41">
        <f>VLOOKUP(B136,справочник!$B$2:$E$322,4,FALSE)</f>
        <v>163</v>
      </c>
      <c r="B136" t="str">
        <f t="shared" si="14"/>
        <v>171Кондратюк Наталья Петровна 1/2,  Соболев Олег Юрьевич 1/2</v>
      </c>
      <c r="C136" s="1">
        <v>171</v>
      </c>
      <c r="D136" s="2" t="s">
        <v>127</v>
      </c>
      <c r="E136" s="1"/>
      <c r="F136" s="16">
        <v>41809</v>
      </c>
      <c r="G136" s="16">
        <v>41821</v>
      </c>
      <c r="H136" s="17">
        <f t="shared" si="15"/>
        <v>18</v>
      </c>
      <c r="I136" s="1">
        <f t="shared" si="10"/>
        <v>18000</v>
      </c>
      <c r="J136" s="17">
        <f>5000+4000</f>
        <v>9000</v>
      </c>
      <c r="K136" s="17"/>
      <c r="L136" s="18">
        <f t="shared" si="16"/>
        <v>9000</v>
      </c>
      <c r="M136" s="29">
        <f>SUM('план на 2016'!$L137:M137)-SUM('членские взносы'!$M137:'членские взносы'!M137)</f>
        <v>9800</v>
      </c>
      <c r="N136" s="29">
        <f>SUM('план на 2016'!$L137:N137)-SUM('членские взносы'!$M137:'членские взносы'!N137)</f>
        <v>10600</v>
      </c>
      <c r="O136" s="29">
        <f>SUM('план на 2016'!$L137:O137)-SUM('членские взносы'!$M137:'членские взносы'!O137)</f>
        <v>11400</v>
      </c>
      <c r="P136" s="29">
        <f>SUM('план на 2016'!$L137:P137)-SUM('членские взносы'!$M137:'членские взносы'!P137)</f>
        <v>12200</v>
      </c>
      <c r="Q136" s="29">
        <f>SUM('план на 2016'!$L137:Q137)-SUM('членские взносы'!$M137:'членские взносы'!Q137)</f>
        <v>13000</v>
      </c>
      <c r="R136" s="29">
        <f>SUM('план на 2016'!$L137:R137)-SUM('членские взносы'!$M137:'членские взносы'!R137)</f>
        <v>13800</v>
      </c>
      <c r="S136" s="29">
        <f>SUM('план на 2016'!$L137:S137)-SUM('членские взносы'!$M137:'членские взносы'!S137)</f>
        <v>14600</v>
      </c>
      <c r="T136" s="29">
        <f>SUM('план на 2016'!$L137:T137)-SUM('членские взносы'!$M137:'членские взносы'!T137)</f>
        <v>9300</v>
      </c>
      <c r="U136" s="29">
        <f>SUM('план на 2016'!$L137:U137)-SUM('членские взносы'!$M137:'членские взносы'!U137)</f>
        <v>10100</v>
      </c>
      <c r="V136" s="29">
        <f>SUM('план на 2016'!$L137:V137)-SUM('членские взносы'!$M137:'членские взносы'!V137)</f>
        <v>10900</v>
      </c>
      <c r="W136" s="29">
        <f>SUM('план на 2016'!$L137:W137)-SUM('членские взносы'!$M137:'членские взносы'!W137)</f>
        <v>11700</v>
      </c>
      <c r="X136" s="29">
        <f>SUM('план на 2016'!$L137:X137)-SUM('членские взносы'!$M137:'членские взносы'!X137)</f>
        <v>12500</v>
      </c>
      <c r="Y136" s="18">
        <f t="shared" si="17"/>
        <v>12500</v>
      </c>
    </row>
    <row r="137" spans="1:25">
      <c r="A137" s="41">
        <f>VLOOKUP(B137,справочник!$B$2:$E$322,4,FALSE)</f>
        <v>110</v>
      </c>
      <c r="B137" t="str">
        <f t="shared" si="14"/>
        <v>115Кондрашов Роман Вячеславович</v>
      </c>
      <c r="C137" s="1">
        <v>115</v>
      </c>
      <c r="D137" s="2" t="s">
        <v>128</v>
      </c>
      <c r="E137" s="1" t="s">
        <v>445</v>
      </c>
      <c r="F137" s="16">
        <v>41101</v>
      </c>
      <c r="G137" s="16">
        <v>41091</v>
      </c>
      <c r="H137" s="17">
        <f t="shared" si="15"/>
        <v>42</v>
      </c>
      <c r="I137" s="1">
        <f t="shared" si="10"/>
        <v>42000</v>
      </c>
      <c r="J137" s="17">
        <v>23000</v>
      </c>
      <c r="K137" s="17"/>
      <c r="L137" s="18">
        <f t="shared" si="16"/>
        <v>19000</v>
      </c>
      <c r="M137" s="29">
        <f>SUM('план на 2016'!$L138:M138)-SUM('членские взносы'!$M138:'членские взносы'!M138)</f>
        <v>19800</v>
      </c>
      <c r="N137" s="29">
        <f>SUM('план на 2016'!$L138:N138)-SUM('членские взносы'!$M138:'членские взносы'!N138)</f>
        <v>20600</v>
      </c>
      <c r="O137" s="29">
        <f>SUM('план на 2016'!$L138:O138)-SUM('членские взносы'!$M138:'членские взносы'!O138)</f>
        <v>21400</v>
      </c>
      <c r="P137" s="29">
        <f>SUM('план на 2016'!$L138:P138)-SUM('членские взносы'!$M138:'членские взносы'!P138)</f>
        <v>22200</v>
      </c>
      <c r="Q137" s="29">
        <f>SUM('план на 2016'!$L138:Q138)-SUM('членские взносы'!$M138:'членские взносы'!Q138)</f>
        <v>23000</v>
      </c>
      <c r="R137" s="29">
        <f>SUM('план на 2016'!$L138:R138)-SUM('членские взносы'!$M138:'членские взносы'!R138)</f>
        <v>23800</v>
      </c>
      <c r="S137" s="29">
        <f>SUM('план на 2016'!$L138:S138)-SUM('членские взносы'!$M138:'членские взносы'!S138)</f>
        <v>22200</v>
      </c>
      <c r="T137" s="29">
        <f>SUM('план на 2016'!$L138:T138)-SUM('членские взносы'!$M138:'членские взносы'!T138)</f>
        <v>19400</v>
      </c>
      <c r="U137" s="29">
        <f>SUM('план на 2016'!$L138:U138)-SUM('членские взносы'!$M138:'членские взносы'!U138)</f>
        <v>20200</v>
      </c>
      <c r="V137" s="29">
        <f>SUM('план на 2016'!$L138:V138)-SUM('членские взносы'!$M138:'членские взносы'!V138)</f>
        <v>19400</v>
      </c>
      <c r="W137" s="29">
        <f>SUM('план на 2016'!$L138:W138)-SUM('членские взносы'!$M138:'членские взносы'!W138)</f>
        <v>20200</v>
      </c>
      <c r="X137" s="29">
        <f>SUM('план на 2016'!$L138:X138)-SUM('членские взносы'!$M138:'членские взносы'!X138)</f>
        <v>12000</v>
      </c>
      <c r="Y137" s="18">
        <f t="shared" si="17"/>
        <v>12000</v>
      </c>
    </row>
    <row r="138" spans="1:25" ht="25.5">
      <c r="A138" s="41">
        <f>VLOOKUP(B138,справочник!$B$2:$E$322,4,FALSE)</f>
        <v>112</v>
      </c>
      <c r="B138" t="str">
        <f t="shared" si="14"/>
        <v>117Кондрашов Сергей Вячеславович//Балыкин Александр Иванович</v>
      </c>
      <c r="C138" s="1">
        <v>117</v>
      </c>
      <c r="D138" s="2" t="s">
        <v>129</v>
      </c>
      <c r="E138" s="1"/>
      <c r="F138" s="16">
        <v>41101</v>
      </c>
      <c r="G138" s="16">
        <v>41091</v>
      </c>
      <c r="H138" s="17">
        <f t="shared" si="15"/>
        <v>42</v>
      </c>
      <c r="I138" s="1">
        <f t="shared" si="10"/>
        <v>42000</v>
      </c>
      <c r="J138" s="17">
        <f>25000</f>
        <v>25000</v>
      </c>
      <c r="K138" s="17"/>
      <c r="L138" s="18">
        <f t="shared" si="16"/>
        <v>17000</v>
      </c>
      <c r="M138" s="29">
        <f>SUM('план на 2016'!$L139:M139)-SUM('членские взносы'!$M139:'членские взносы'!M139)</f>
        <v>17800</v>
      </c>
      <c r="N138" s="29">
        <f>SUM('план на 2016'!$L139:N139)-SUM('членские взносы'!$M139:'членские взносы'!N139)</f>
        <v>13800</v>
      </c>
      <c r="O138" s="29">
        <f>SUM('план на 2016'!$L139:O139)-SUM('членские взносы'!$M139:'членские взносы'!O139)</f>
        <v>14600</v>
      </c>
      <c r="P138" s="29">
        <f>SUM('план на 2016'!$L139:P139)-SUM('членские взносы'!$M139:'членские взносы'!P139)</f>
        <v>15400</v>
      </c>
      <c r="Q138" s="29">
        <f>SUM('план на 2016'!$L139:Q139)-SUM('членские взносы'!$M139:'членские взносы'!Q139)</f>
        <v>16200</v>
      </c>
      <c r="R138" s="29">
        <f>SUM('план на 2016'!$L139:R139)-SUM('членские взносы'!$M139:'членские взносы'!R139)</f>
        <v>17000</v>
      </c>
      <c r="S138" s="29">
        <f>SUM('план на 2016'!$L139:S139)-SUM('членские взносы'!$M139:'членские взносы'!S139)</f>
        <v>13000</v>
      </c>
      <c r="T138" s="29">
        <f>SUM('план на 2016'!$L139:T139)-SUM('членские взносы'!$M139:'членские взносы'!T139)</f>
        <v>13800</v>
      </c>
      <c r="U138" s="29">
        <f>SUM('план на 2016'!$L139:U139)-SUM('членские взносы'!$M139:'членские взносы'!U139)</f>
        <v>14600</v>
      </c>
      <c r="V138" s="29">
        <f>SUM('план на 2016'!$L139:V139)-SUM('членские взносы'!$M139:'членские взносы'!V139)</f>
        <v>15400</v>
      </c>
      <c r="W138" s="29">
        <f>SUM('план на 2016'!$L139:W139)-SUM('членские взносы'!$M139:'членские взносы'!W139)</f>
        <v>16200</v>
      </c>
      <c r="X138" s="29">
        <f>SUM('план на 2016'!$L139:X139)-SUM('членские взносы'!$M139:'членские взносы'!X139)</f>
        <v>12200</v>
      </c>
      <c r="Y138" s="18">
        <f t="shared" si="17"/>
        <v>12200</v>
      </c>
    </row>
    <row r="139" spans="1:25">
      <c r="A139" s="41">
        <f>VLOOKUP(B139,справочник!$B$2:$E$322,4,FALSE)</f>
        <v>190</v>
      </c>
      <c r="B139" t="str">
        <f t="shared" si="14"/>
        <v>198Коновальцев Олег Серафимович</v>
      </c>
      <c r="C139" s="1">
        <v>198</v>
      </c>
      <c r="D139" s="2" t="s">
        <v>130</v>
      </c>
      <c r="E139" s="1" t="s">
        <v>446</v>
      </c>
      <c r="F139" s="16">
        <v>41407</v>
      </c>
      <c r="G139" s="16">
        <v>41426</v>
      </c>
      <c r="H139" s="17">
        <f t="shared" si="15"/>
        <v>31</v>
      </c>
      <c r="I139" s="1">
        <f t="shared" ref="I139:I185" si="18">H139*1000</f>
        <v>31000</v>
      </c>
      <c r="J139" s="17">
        <v>15000</v>
      </c>
      <c r="K139" s="17"/>
      <c r="L139" s="18">
        <f t="shared" si="16"/>
        <v>16000</v>
      </c>
      <c r="M139" s="29">
        <f>SUM('план на 2016'!$L140:M140)-SUM('членские взносы'!$M140:'членские взносы'!M140)</f>
        <v>16800</v>
      </c>
      <c r="N139" s="29">
        <f>SUM('план на 2016'!$L140:N140)-SUM('членские взносы'!$M140:'членские взносы'!N140)</f>
        <v>17600</v>
      </c>
      <c r="O139" s="29">
        <f>SUM('план на 2016'!$L140:O140)-SUM('членские взносы'!$M140:'членские взносы'!O140)</f>
        <v>18400</v>
      </c>
      <c r="P139" s="29">
        <f>SUM('план на 2016'!$L140:P140)-SUM('членские взносы'!$M140:'членские взносы'!P140)</f>
        <v>19200</v>
      </c>
      <c r="Q139" s="29">
        <f>SUM('план на 2016'!$L140:Q140)-SUM('членские взносы'!$M140:'членские взносы'!Q140)</f>
        <v>20000</v>
      </c>
      <c r="R139" s="29">
        <f>SUM('план на 2016'!$L140:R140)-SUM('членские взносы'!$M140:'членские взносы'!R140)</f>
        <v>20000</v>
      </c>
      <c r="S139" s="29">
        <f>SUM('план на 2016'!$L140:S140)-SUM('членские взносы'!$M140:'членские взносы'!S140)</f>
        <v>20800</v>
      </c>
      <c r="T139" s="29">
        <f>SUM('план на 2016'!$L140:T140)-SUM('членские взносы'!$M140:'членские взносы'!T140)</f>
        <v>21600</v>
      </c>
      <c r="U139" s="29">
        <f>SUM('план на 2016'!$L140:U140)-SUM('членские взносы'!$M140:'членские взносы'!U140)</f>
        <v>22400</v>
      </c>
      <c r="V139" s="29">
        <f>SUM('план на 2016'!$L140:V140)-SUM('членские взносы'!$M140:'членские взносы'!V140)</f>
        <v>23200</v>
      </c>
      <c r="W139" s="29">
        <f>SUM('план на 2016'!$L140:W140)-SUM('членские взносы'!$M140:'членские взносы'!W140)</f>
        <v>24000</v>
      </c>
      <c r="X139" s="29">
        <f>SUM('план на 2016'!$L140:X140)-SUM('членские взносы'!$M140:'членские взносы'!X140)</f>
        <v>24800</v>
      </c>
      <c r="Y139" s="18">
        <f t="shared" si="17"/>
        <v>24800</v>
      </c>
    </row>
    <row r="140" spans="1:25">
      <c r="A140" s="41">
        <f>VLOOKUP(B140,справочник!$B$2:$E$322,4,FALSE)</f>
        <v>83</v>
      </c>
      <c r="B140" t="str">
        <f t="shared" si="14"/>
        <v>88Кононенко Алла Николаевна (Александр)</v>
      </c>
      <c r="C140" s="1">
        <v>88</v>
      </c>
      <c r="D140" s="2" t="s">
        <v>131</v>
      </c>
      <c r="E140" s="1" t="s">
        <v>447</v>
      </c>
      <c r="F140" s="16">
        <v>40675</v>
      </c>
      <c r="G140" s="16">
        <v>40695</v>
      </c>
      <c r="H140" s="17">
        <f t="shared" si="15"/>
        <v>55</v>
      </c>
      <c r="I140" s="1">
        <f t="shared" si="18"/>
        <v>55000</v>
      </c>
      <c r="J140" s="17">
        <f>1000+49000</f>
        <v>50000</v>
      </c>
      <c r="K140" s="17"/>
      <c r="L140" s="18">
        <f t="shared" si="16"/>
        <v>5000</v>
      </c>
      <c r="M140" s="29">
        <f>SUM('план на 2016'!$L141:M141)-SUM('членские взносы'!$M141:'членские взносы'!M141)</f>
        <v>3000</v>
      </c>
      <c r="N140" s="29">
        <f>SUM('план на 2016'!$L141:N141)-SUM('членские взносы'!$M141:'членские взносы'!N141)</f>
        <v>3000</v>
      </c>
      <c r="O140" s="29">
        <f>SUM('план на 2016'!$L141:O141)-SUM('членские взносы'!$M141:'членские взносы'!O141)</f>
        <v>3000</v>
      </c>
      <c r="P140" s="29">
        <f>SUM('план на 2016'!$L141:P141)-SUM('членские взносы'!$M141:'членские взносы'!P141)</f>
        <v>3000</v>
      </c>
      <c r="Q140" s="29">
        <f>SUM('план на 2016'!$L141:Q141)-SUM('членские взносы'!$M141:'членские взносы'!Q141)</f>
        <v>3000</v>
      </c>
      <c r="R140" s="29">
        <f>SUM('план на 2016'!$L141:R141)-SUM('членские взносы'!$M141:'членские взносы'!R141)</f>
        <v>3000</v>
      </c>
      <c r="S140" s="29">
        <f>SUM('план на 2016'!$L141:S141)-SUM('членские взносы'!$M141:'членские взносы'!S141)</f>
        <v>3000</v>
      </c>
      <c r="T140" s="29">
        <f>SUM('план на 2016'!$L141:T141)-SUM('членские взносы'!$M141:'членские взносы'!T141)</f>
        <v>3000</v>
      </c>
      <c r="U140" s="29">
        <f>SUM('план на 2016'!$L141:U141)-SUM('членские взносы'!$M141:'членские взносы'!U141)</f>
        <v>3800</v>
      </c>
      <c r="V140" s="29">
        <f>SUM('план на 2016'!$L141:V141)-SUM('членские взносы'!$M141:'членские взносы'!V141)</f>
        <v>3000</v>
      </c>
      <c r="W140" s="29">
        <f>SUM('план на 2016'!$L141:W141)-SUM('членские взносы'!$M141:'членские взносы'!W141)</f>
        <v>3000</v>
      </c>
      <c r="X140" s="29">
        <f>SUM('план на 2016'!$L141:X141)-SUM('членские взносы'!$M141:'членские взносы'!X141)</f>
        <v>3000</v>
      </c>
      <c r="Y140" s="18">
        <f t="shared" si="17"/>
        <v>3000</v>
      </c>
    </row>
    <row r="141" spans="1:25">
      <c r="A141" s="41">
        <f>VLOOKUP(B141,справочник!$B$2:$E$322,4,FALSE)</f>
        <v>133</v>
      </c>
      <c r="B141" t="str">
        <f t="shared" si="14"/>
        <v>140Короткевич Наталья Владимировна</v>
      </c>
      <c r="C141" s="1">
        <v>140</v>
      </c>
      <c r="D141" s="2" t="s">
        <v>132</v>
      </c>
      <c r="E141" s="1" t="s">
        <v>448</v>
      </c>
      <c r="F141" s="16">
        <v>41008</v>
      </c>
      <c r="G141" s="16">
        <v>41000</v>
      </c>
      <c r="H141" s="17">
        <f t="shared" si="15"/>
        <v>45</v>
      </c>
      <c r="I141" s="1">
        <f t="shared" si="18"/>
        <v>45000</v>
      </c>
      <c r="J141" s="17">
        <v>41000</v>
      </c>
      <c r="K141" s="17">
        <v>4000</v>
      </c>
      <c r="L141" s="18">
        <f t="shared" si="16"/>
        <v>0</v>
      </c>
      <c r="M141" s="29">
        <f>SUM('план на 2016'!$L142:M142)-SUM('членские взносы'!$M142:'членские взносы'!M142)</f>
        <v>800</v>
      </c>
      <c r="N141" s="29">
        <f>SUM('план на 2016'!$L142:N142)-SUM('членские взносы'!$M142:'членские взносы'!N142)</f>
        <v>600</v>
      </c>
      <c r="O141" s="29">
        <f>SUM('план на 2016'!$L142:O142)-SUM('членские взносы'!$M142:'членские взносы'!O142)</f>
        <v>400</v>
      </c>
      <c r="P141" s="29">
        <f>SUM('план на 2016'!$L142:P142)-SUM('членские взносы'!$M142:'членские взносы'!P142)</f>
        <v>200</v>
      </c>
      <c r="Q141" s="29">
        <f>SUM('план на 2016'!$L142:Q142)-SUM('членские взносы'!$M142:'членские взносы'!Q142)</f>
        <v>0</v>
      </c>
      <c r="R141" s="29">
        <f>SUM('план на 2016'!$L142:R142)-SUM('членские взносы'!$M142:'членские взносы'!R142)</f>
        <v>-200</v>
      </c>
      <c r="S141" s="29">
        <f>SUM('план на 2016'!$L142:S142)-SUM('членские взносы'!$M142:'членские взносы'!S142)</f>
        <v>-400</v>
      </c>
      <c r="T141" s="29">
        <f>SUM('план на 2016'!$L142:T142)-SUM('членские взносы'!$M142:'членские взносы'!T142)</f>
        <v>-600</v>
      </c>
      <c r="U141" s="29">
        <f>SUM('план на 2016'!$L142:U142)-SUM('членские взносы'!$M142:'членские взносы'!U142)</f>
        <v>-800</v>
      </c>
      <c r="V141" s="29">
        <f>SUM('план на 2016'!$L142:V142)-SUM('членские взносы'!$M142:'членские взносы'!V142)</f>
        <v>-1000</v>
      </c>
      <c r="W141" s="29">
        <f>SUM('план на 2016'!$L142:W142)-SUM('членские взносы'!$M142:'членские взносы'!W142)</f>
        <v>-200</v>
      </c>
      <c r="X141" s="29">
        <f>SUM('план на 2016'!$L142:X142)-SUM('членские взносы'!$M142:'членские взносы'!X142)</f>
        <v>600</v>
      </c>
      <c r="Y141" s="18">
        <f t="shared" si="17"/>
        <v>600</v>
      </c>
    </row>
    <row r="142" spans="1:25">
      <c r="A142" s="41">
        <f>VLOOKUP(B142,справочник!$B$2:$E$322,4,FALSE)</f>
        <v>202</v>
      </c>
      <c r="B142" t="str">
        <f t="shared" si="14"/>
        <v>212Корчинская Ирина Анатольевна</v>
      </c>
      <c r="C142" s="1">
        <v>212</v>
      </c>
      <c r="D142" s="2" t="s">
        <v>133</v>
      </c>
      <c r="E142" s="1" t="s">
        <v>449</v>
      </c>
      <c r="F142" s="16">
        <v>41100</v>
      </c>
      <c r="G142" s="16">
        <v>41091</v>
      </c>
      <c r="H142" s="17">
        <f t="shared" si="15"/>
        <v>42</v>
      </c>
      <c r="I142" s="1">
        <f t="shared" si="18"/>
        <v>42000</v>
      </c>
      <c r="J142" s="17">
        <v>18000</v>
      </c>
      <c r="K142" s="17"/>
      <c r="L142" s="18">
        <f t="shared" si="16"/>
        <v>24000</v>
      </c>
      <c r="M142" s="29">
        <f>SUM('план на 2016'!$L143:M143)-SUM('членские взносы'!$M143:'членские взносы'!M143)</f>
        <v>24800</v>
      </c>
      <c r="N142" s="29">
        <f>SUM('план на 2016'!$L143:N143)-SUM('членские взносы'!$M143:'членские взносы'!N143)</f>
        <v>25600</v>
      </c>
      <c r="O142" s="29">
        <f>SUM('план на 2016'!$L143:O143)-SUM('членские взносы'!$M143:'членские взносы'!O143)</f>
        <v>26400</v>
      </c>
      <c r="P142" s="29">
        <f>SUM('план на 2016'!$L143:P143)-SUM('членские взносы'!$M143:'членские взносы'!P143)</f>
        <v>27200</v>
      </c>
      <c r="Q142" s="29">
        <f>SUM('план на 2016'!$L143:Q143)-SUM('членские взносы'!$M143:'членские взносы'!Q143)</f>
        <v>28000</v>
      </c>
      <c r="R142" s="29">
        <f>SUM('план на 2016'!$L143:R143)-SUM('членские взносы'!$M143:'членские взносы'!R143)</f>
        <v>28800</v>
      </c>
      <c r="S142" s="29">
        <f>SUM('план на 2016'!$L143:S143)-SUM('членские взносы'!$M143:'членские взносы'!S143)</f>
        <v>29600</v>
      </c>
      <c r="T142" s="29">
        <f>SUM('план на 2016'!$L143:T143)-SUM('членские взносы'!$M143:'членские взносы'!T143)</f>
        <v>30400</v>
      </c>
      <c r="U142" s="29">
        <f>SUM('план на 2016'!$L143:U143)-SUM('членские взносы'!$M143:'членские взносы'!U143)</f>
        <v>31200</v>
      </c>
      <c r="V142" s="29">
        <f>SUM('план на 2016'!$L143:V143)-SUM('членские взносы'!$M143:'членские взносы'!V143)</f>
        <v>32000</v>
      </c>
      <c r="W142" s="29">
        <f>SUM('план на 2016'!$L143:W143)-SUM('членские взносы'!$M143:'членские взносы'!W143)</f>
        <v>32800</v>
      </c>
      <c r="X142" s="29">
        <f>SUM('план на 2016'!$L143:X143)-SUM('членские взносы'!$M143:'членские взносы'!X143)</f>
        <v>33600</v>
      </c>
      <c r="Y142" s="18">
        <f t="shared" si="17"/>
        <v>33600</v>
      </c>
    </row>
    <row r="143" spans="1:25">
      <c r="A143" s="41">
        <f>VLOOKUP(B143,справочник!$B$2:$E$322,4,FALSE)</f>
        <v>192</v>
      </c>
      <c r="B143" t="str">
        <f t="shared" si="14"/>
        <v>200Косенков Степан Фед-ч(Галактионова)</v>
      </c>
      <c r="C143" s="1">
        <v>200</v>
      </c>
      <c r="D143" s="2" t="s">
        <v>134</v>
      </c>
      <c r="E143" s="1" t="s">
        <v>450</v>
      </c>
      <c r="F143" s="16">
        <v>41829</v>
      </c>
      <c r="G143" s="16">
        <v>41852</v>
      </c>
      <c r="H143" s="17">
        <f t="shared" si="15"/>
        <v>17</v>
      </c>
      <c r="I143" s="1">
        <f t="shared" si="18"/>
        <v>17000</v>
      </c>
      <c r="J143" s="17"/>
      <c r="K143" s="17"/>
      <c r="L143" s="18">
        <f t="shared" si="16"/>
        <v>17000</v>
      </c>
      <c r="M143" s="29">
        <f>SUM('план на 2016'!$L144:M144)-SUM('членские взносы'!$M144:'членские взносы'!M144)</f>
        <v>17800</v>
      </c>
      <c r="N143" s="29">
        <f>SUM('план на 2016'!$L144:N144)-SUM('членские взносы'!$M144:'членские взносы'!N144)</f>
        <v>18600</v>
      </c>
      <c r="O143" s="29">
        <f>SUM('план на 2016'!$L144:O144)-SUM('членские взносы'!$M144:'членские взносы'!O144)</f>
        <v>19400</v>
      </c>
      <c r="P143" s="29">
        <f>SUM('план на 2016'!$L144:P144)-SUM('членские взносы'!$M144:'членские взносы'!P144)</f>
        <v>20200</v>
      </c>
      <c r="Q143" s="29">
        <f>SUM('план на 2016'!$L144:Q144)-SUM('членские взносы'!$M144:'членские взносы'!Q144)</f>
        <v>21000</v>
      </c>
      <c r="R143" s="29">
        <f>SUM('план на 2016'!$L144:R144)-SUM('членские взносы'!$M144:'членские взносы'!R144)</f>
        <v>21800</v>
      </c>
      <c r="S143" s="29">
        <f>SUM('план на 2016'!$L144:S144)-SUM('членские взносы'!$M144:'членские взносы'!S144)</f>
        <v>22600</v>
      </c>
      <c r="T143" s="29">
        <f>SUM('план на 2016'!$L144:T144)-SUM('членские взносы'!$M144:'членские взносы'!T144)</f>
        <v>23400</v>
      </c>
      <c r="U143" s="29">
        <f>SUM('план на 2016'!$L144:U144)-SUM('членские взносы'!$M144:'членские взносы'!U144)</f>
        <v>24200</v>
      </c>
      <c r="V143" s="29">
        <f>SUM('план на 2016'!$L144:V144)-SUM('членские взносы'!$M144:'членские взносы'!V144)</f>
        <v>25000</v>
      </c>
      <c r="W143" s="29">
        <f>SUM('план на 2016'!$L144:W144)-SUM('членские взносы'!$M144:'членские взносы'!W144)</f>
        <v>25800</v>
      </c>
      <c r="X143" s="29">
        <f>SUM('план на 2016'!$L144:X144)-SUM('членские взносы'!$M144:'членские взносы'!X144)</f>
        <v>26600</v>
      </c>
      <c r="Y143" s="18">
        <f t="shared" si="17"/>
        <v>26600</v>
      </c>
    </row>
    <row r="144" spans="1:25">
      <c r="A144" s="41">
        <f>VLOOKUP(B144,справочник!$B$2:$E$322,4,FALSE)</f>
        <v>289</v>
      </c>
      <c r="B144" t="str">
        <f t="shared" si="14"/>
        <v>301Косенкова Елизавета Евгеньевна</v>
      </c>
      <c r="C144" s="1">
        <v>301</v>
      </c>
      <c r="D144" s="2" t="s">
        <v>135</v>
      </c>
      <c r="E144" s="1" t="s">
        <v>451</v>
      </c>
      <c r="F144" s="16">
        <v>41976</v>
      </c>
      <c r="G144" s="16">
        <v>42005</v>
      </c>
      <c r="H144" s="17">
        <f t="shared" si="15"/>
        <v>12</v>
      </c>
      <c r="I144" s="1">
        <f t="shared" si="18"/>
        <v>12000</v>
      </c>
      <c r="J144" s="17">
        <v>3000</v>
      </c>
      <c r="K144" s="17"/>
      <c r="L144" s="18">
        <f t="shared" si="16"/>
        <v>9000</v>
      </c>
      <c r="M144" s="29">
        <f>SUM('план на 2016'!$L145:M145)-SUM('членские взносы'!$M145:'членские взносы'!M145)</f>
        <v>9800</v>
      </c>
      <c r="N144" s="29">
        <f>SUM('план на 2016'!$L145:N145)-SUM('членские взносы'!$M145:'членские взносы'!N145)</f>
        <v>10600</v>
      </c>
      <c r="O144" s="29">
        <f>SUM('план на 2016'!$L145:O145)-SUM('членские взносы'!$M145:'членские взносы'!O145)</f>
        <v>11400</v>
      </c>
      <c r="P144" s="29">
        <f>SUM('план на 2016'!$L145:P145)-SUM('членские взносы'!$M145:'членские взносы'!P145)</f>
        <v>12200</v>
      </c>
      <c r="Q144" s="29">
        <f>SUM('план на 2016'!$L145:Q145)-SUM('членские взносы'!$M145:'членские взносы'!Q145)</f>
        <v>13000</v>
      </c>
      <c r="R144" s="29">
        <f>SUM('план на 2016'!$L145:R145)-SUM('членские взносы'!$M145:'членские взносы'!R145)</f>
        <v>13800</v>
      </c>
      <c r="S144" s="29">
        <f>SUM('план на 2016'!$L145:S145)-SUM('членские взносы'!$M145:'членские взносы'!S145)</f>
        <v>14600</v>
      </c>
      <c r="T144" s="29">
        <f>SUM('план на 2016'!$L145:T145)-SUM('членские взносы'!$M145:'членские взносы'!T145)</f>
        <v>15400</v>
      </c>
      <c r="U144" s="29">
        <f>SUM('план на 2016'!$L145:U145)-SUM('членские взносы'!$M145:'членские взносы'!U145)</f>
        <v>16200</v>
      </c>
      <c r="V144" s="29">
        <f>SUM('план на 2016'!$L145:V145)-SUM('членские взносы'!$M145:'членские взносы'!V145)</f>
        <v>7000</v>
      </c>
      <c r="W144" s="29">
        <f>SUM('план на 2016'!$L145:W145)-SUM('членские взносы'!$M145:'членские взносы'!W145)</f>
        <v>7800</v>
      </c>
      <c r="X144" s="29">
        <f>SUM('план на 2016'!$L145:X145)-SUM('членские взносы'!$M145:'членские взносы'!X145)</f>
        <v>8600</v>
      </c>
      <c r="Y144" s="18">
        <f t="shared" si="17"/>
        <v>8600</v>
      </c>
    </row>
    <row r="145" spans="1:25">
      <c r="A145" s="41">
        <f>VLOOKUP(B145,справочник!$B$2:$E$322,4,FALSE)</f>
        <v>143</v>
      </c>
      <c r="B145" t="str">
        <f t="shared" si="14"/>
        <v>151Красникова Раиса Михайловна</v>
      </c>
      <c r="C145" s="1">
        <v>151</v>
      </c>
      <c r="D145" s="2" t="s">
        <v>136</v>
      </c>
      <c r="E145" s="1" t="s">
        <v>452</v>
      </c>
      <c r="F145" s="16">
        <v>40841</v>
      </c>
      <c r="G145" s="16">
        <v>40848</v>
      </c>
      <c r="H145" s="17">
        <f t="shared" si="15"/>
        <v>50</v>
      </c>
      <c r="I145" s="1">
        <f t="shared" si="18"/>
        <v>50000</v>
      </c>
      <c r="J145" s="17">
        <v>37000</v>
      </c>
      <c r="K145" s="17"/>
      <c r="L145" s="18">
        <f t="shared" si="16"/>
        <v>13000</v>
      </c>
      <c r="M145" s="29">
        <f>SUM('план на 2016'!$L146:M146)-SUM('членские взносы'!$M146:'членские взносы'!M146)</f>
        <v>13800</v>
      </c>
      <c r="N145" s="29">
        <f>SUM('план на 2016'!$L146:N146)-SUM('членские взносы'!$M146:'членские взносы'!N146)</f>
        <v>14600</v>
      </c>
      <c r="O145" s="29">
        <f>SUM('план на 2016'!$L146:O146)-SUM('членские взносы'!$M146:'членские взносы'!O146)</f>
        <v>15400</v>
      </c>
      <c r="P145" s="29">
        <f>SUM('план на 2016'!$L146:P146)-SUM('членские взносы'!$M146:'членские взносы'!P146)</f>
        <v>16200</v>
      </c>
      <c r="Q145" s="29">
        <f>SUM('план на 2016'!$L146:Q146)-SUM('членские взносы'!$M146:'членские взносы'!Q146)</f>
        <v>17000</v>
      </c>
      <c r="R145" s="29">
        <f>SUM('план на 2016'!$L146:R146)-SUM('членские взносы'!$M146:'членские взносы'!R146)</f>
        <v>13000</v>
      </c>
      <c r="S145" s="29">
        <f>SUM('план на 2016'!$L146:S146)-SUM('членские взносы'!$M146:'членские взносы'!S146)</f>
        <v>13800</v>
      </c>
      <c r="T145" s="29">
        <f>SUM('план на 2016'!$L146:T146)-SUM('членские взносы'!$M146:'членские взносы'!T146)</f>
        <v>14600</v>
      </c>
      <c r="U145" s="29">
        <f>SUM('план на 2016'!$L146:U146)-SUM('членские взносы'!$M146:'членские взносы'!U146)</f>
        <v>15400</v>
      </c>
      <c r="V145" s="29">
        <f>SUM('план на 2016'!$L146:V146)-SUM('членские взносы'!$M146:'членские взносы'!V146)</f>
        <v>13300</v>
      </c>
      <c r="W145" s="29">
        <f>SUM('план на 2016'!$L146:W146)-SUM('членские взносы'!$M146:'членские взносы'!W146)</f>
        <v>14100</v>
      </c>
      <c r="X145" s="29">
        <f>SUM('план на 2016'!$L146:X146)-SUM('членские взносы'!$M146:'членские взносы'!X146)</f>
        <v>12500</v>
      </c>
      <c r="Y145" s="18">
        <f t="shared" si="17"/>
        <v>12500</v>
      </c>
    </row>
    <row r="146" spans="1:25">
      <c r="A146" s="41">
        <f>VLOOKUP(B146,справочник!$B$2:$E$322,4,FALSE)</f>
        <v>62</v>
      </c>
      <c r="B146" t="str">
        <f t="shared" si="14"/>
        <v>64Кривой Владимир Аркадьевич</v>
      </c>
      <c r="C146" s="1">
        <v>64</v>
      </c>
      <c r="D146" s="2" t="s">
        <v>137</v>
      </c>
      <c r="E146" s="1" t="s">
        <v>453</v>
      </c>
      <c r="F146" s="16">
        <v>40816</v>
      </c>
      <c r="G146" s="16">
        <v>40817</v>
      </c>
      <c r="H146" s="17">
        <f t="shared" si="15"/>
        <v>51</v>
      </c>
      <c r="I146" s="1">
        <f t="shared" si="18"/>
        <v>51000</v>
      </c>
      <c r="J146" s="17">
        <f>1000+47000</f>
        <v>48000</v>
      </c>
      <c r="K146" s="17">
        <v>3000</v>
      </c>
      <c r="L146" s="18">
        <f t="shared" si="16"/>
        <v>0</v>
      </c>
      <c r="M146" s="29">
        <f>SUM('план на 2016'!$L147:M147)-SUM('членские взносы'!$M147:'членские взносы'!M147)</f>
        <v>800</v>
      </c>
      <c r="N146" s="29">
        <f>SUM('план на 2016'!$L147:N147)-SUM('членские взносы'!$M147:'членские взносы'!N147)</f>
        <v>1600</v>
      </c>
      <c r="O146" s="29">
        <f>SUM('план на 2016'!$L147:O147)-SUM('членские взносы'!$M147:'членские взносы'!O147)</f>
        <v>-800</v>
      </c>
      <c r="P146" s="29">
        <f>SUM('план на 2016'!$L147:P147)-SUM('членские взносы'!$M147:'членские взносы'!P147)</f>
        <v>0</v>
      </c>
      <c r="Q146" s="29">
        <f>SUM('план на 2016'!$L147:Q147)-SUM('членские взносы'!$M147:'членские взносы'!Q147)</f>
        <v>800</v>
      </c>
      <c r="R146" s="29">
        <f>SUM('план на 2016'!$L147:R147)-SUM('членские взносы'!$M147:'членские взносы'!R147)</f>
        <v>1600</v>
      </c>
      <c r="S146" s="29">
        <f>SUM('план на 2016'!$L147:S147)-SUM('членские взносы'!$M147:'членские взносы'!S147)</f>
        <v>2400</v>
      </c>
      <c r="T146" s="29">
        <f>SUM('план на 2016'!$L147:T147)-SUM('членские взносы'!$M147:'членские взносы'!T147)</f>
        <v>0</v>
      </c>
      <c r="U146" s="29">
        <f>SUM('план на 2016'!$L147:U147)-SUM('членские взносы'!$M147:'членские взносы'!U147)</f>
        <v>800</v>
      </c>
      <c r="V146" s="29">
        <f>SUM('план на 2016'!$L147:V147)-SUM('членские взносы'!$M147:'членские взносы'!V147)</f>
        <v>1600</v>
      </c>
      <c r="W146" s="29">
        <f>SUM('план на 2016'!$L147:W147)-SUM('членские взносы'!$M147:'членские взносы'!W147)</f>
        <v>2400</v>
      </c>
      <c r="X146" s="29">
        <f>SUM('план на 2016'!$L147:X147)-SUM('членские взносы'!$M147:'членские взносы'!X147)</f>
        <v>0</v>
      </c>
      <c r="Y146" s="18">
        <f t="shared" si="17"/>
        <v>0</v>
      </c>
    </row>
    <row r="147" spans="1:25">
      <c r="A147" s="41">
        <f>VLOOKUP(B147,справочник!$B$2:$E$322,4,FALSE)</f>
        <v>225</v>
      </c>
      <c r="B147" t="str">
        <f t="shared" si="14"/>
        <v>234Крупник Андрей Валерьевич</v>
      </c>
      <c r="C147" s="1">
        <v>234</v>
      </c>
      <c r="D147" s="2" t="s">
        <v>138</v>
      </c>
      <c r="E147" s="1" t="s">
        <v>454</v>
      </c>
      <c r="F147" s="16">
        <v>41871</v>
      </c>
      <c r="G147" s="16">
        <v>41883</v>
      </c>
      <c r="H147" s="17">
        <f t="shared" si="15"/>
        <v>16</v>
      </c>
      <c r="I147" s="1">
        <f t="shared" si="18"/>
        <v>16000</v>
      </c>
      <c r="J147" s="17"/>
      <c r="K147" s="17"/>
      <c r="L147" s="18">
        <f t="shared" si="16"/>
        <v>16000</v>
      </c>
      <c r="M147" s="29">
        <f>SUM('план на 2016'!$L148:M148)-SUM('членские взносы'!$M148:'членские взносы'!M148)</f>
        <v>16800</v>
      </c>
      <c r="N147" s="29">
        <f>SUM('план на 2016'!$L148:N148)-SUM('членские взносы'!$M148:'членские взносы'!N148)</f>
        <v>17600</v>
      </c>
      <c r="O147" s="29">
        <f>SUM('план на 2016'!$L148:O148)-SUM('членские взносы'!$M148:'членские взносы'!O148)</f>
        <v>18400</v>
      </c>
      <c r="P147" s="29">
        <f>SUM('план на 2016'!$L148:P148)-SUM('членские взносы'!$M148:'членские взносы'!P148)</f>
        <v>19200</v>
      </c>
      <c r="Q147" s="29">
        <f>SUM('план на 2016'!$L148:Q148)-SUM('членские взносы'!$M148:'членские взносы'!Q148)</f>
        <v>20000</v>
      </c>
      <c r="R147" s="29">
        <f>SUM('план на 2016'!$L148:R148)-SUM('членские взносы'!$M148:'членские взносы'!R148)</f>
        <v>20800</v>
      </c>
      <c r="S147" s="29">
        <f>SUM('план на 2016'!$L148:S148)-SUM('членские взносы'!$M148:'членские взносы'!S148)</f>
        <v>5600</v>
      </c>
      <c r="T147" s="29">
        <f>SUM('план на 2016'!$L148:T148)-SUM('членские взносы'!$M148:'членские взносы'!T148)</f>
        <v>6400</v>
      </c>
      <c r="U147" s="29">
        <f>SUM('план на 2016'!$L148:U148)-SUM('членские взносы'!$M148:'членские взносы'!U148)</f>
        <v>7200</v>
      </c>
      <c r="V147" s="29">
        <f>SUM('план на 2016'!$L148:V148)-SUM('членские взносы'!$M148:'членские взносы'!V148)</f>
        <v>8000</v>
      </c>
      <c r="W147" s="29">
        <f>SUM('план на 2016'!$L148:W148)-SUM('членские взносы'!$M148:'членские взносы'!W148)</f>
        <v>8800</v>
      </c>
      <c r="X147" s="29">
        <f>SUM('план на 2016'!$L148:X148)-SUM('членские взносы'!$M148:'членские взносы'!X148)</f>
        <v>9600</v>
      </c>
      <c r="Y147" s="18">
        <f t="shared" si="17"/>
        <v>9600</v>
      </c>
    </row>
    <row r="148" spans="1:25">
      <c r="A148" s="41">
        <f>VLOOKUP(B148,справочник!$B$2:$E$322,4,FALSE)</f>
        <v>266</v>
      </c>
      <c r="B148" t="str">
        <f t="shared" si="14"/>
        <v>279Кудревцев Евгений Александрович</v>
      </c>
      <c r="C148" s="1">
        <v>279</v>
      </c>
      <c r="D148" s="2" t="s">
        <v>139</v>
      </c>
      <c r="E148" s="1" t="s">
        <v>455</v>
      </c>
      <c r="F148" s="16">
        <v>40799</v>
      </c>
      <c r="G148" s="16">
        <v>40787</v>
      </c>
      <c r="H148" s="17">
        <f t="shared" si="15"/>
        <v>52</v>
      </c>
      <c r="I148" s="1">
        <f t="shared" si="18"/>
        <v>52000</v>
      </c>
      <c r="J148" s="17">
        <f>40000+1000</f>
        <v>41000</v>
      </c>
      <c r="K148" s="17"/>
      <c r="L148" s="18">
        <f t="shared" si="16"/>
        <v>11000</v>
      </c>
      <c r="M148" s="29">
        <f>SUM('план на 2016'!$L149:M149)-SUM('членские взносы'!$M149:'членские взносы'!M149)</f>
        <v>11800</v>
      </c>
      <c r="N148" s="29">
        <f>SUM('план на 2016'!$L149:N149)-SUM('членские взносы'!$M149:'членские взносы'!N149)</f>
        <v>12600</v>
      </c>
      <c r="O148" s="29">
        <f>SUM('план на 2016'!$L149:O149)-SUM('членские взносы'!$M149:'членские взносы'!O149)</f>
        <v>13400</v>
      </c>
      <c r="P148" s="29">
        <f>SUM('план на 2016'!$L149:P149)-SUM('членские взносы'!$M149:'членские взносы'!P149)</f>
        <v>14200</v>
      </c>
      <c r="Q148" s="29">
        <f>SUM('план на 2016'!$L149:Q149)-SUM('членские взносы'!$M149:'членские взносы'!Q149)</f>
        <v>15000</v>
      </c>
      <c r="R148" s="29">
        <f>SUM('план на 2016'!$L149:R149)-SUM('членские взносы'!$M149:'членские взносы'!R149)</f>
        <v>15800</v>
      </c>
      <c r="S148" s="29">
        <f>SUM('план на 2016'!$L149:S149)-SUM('членские взносы'!$M149:'членские взносы'!S149)</f>
        <v>16600</v>
      </c>
      <c r="T148" s="29">
        <f>SUM('план на 2016'!$L149:T149)-SUM('членские взносы'!$M149:'членские взносы'!T149)</f>
        <v>17400</v>
      </c>
      <c r="U148" s="29">
        <f>SUM('план на 2016'!$L149:U149)-SUM('членские взносы'!$M149:'членские взносы'!U149)</f>
        <v>18200</v>
      </c>
      <c r="V148" s="29">
        <f>SUM('план на 2016'!$L149:V149)-SUM('членские взносы'!$M149:'членские взносы'!V149)</f>
        <v>19000</v>
      </c>
      <c r="W148" s="29">
        <f>SUM('план на 2016'!$L149:W149)-SUM('членские взносы'!$M149:'членские взносы'!W149)</f>
        <v>1800</v>
      </c>
      <c r="X148" s="29">
        <f>SUM('план на 2016'!$L149:X149)-SUM('членские взносы'!$M149:'членские взносы'!X149)</f>
        <v>2600</v>
      </c>
      <c r="Y148" s="18">
        <f t="shared" si="17"/>
        <v>2600</v>
      </c>
    </row>
    <row r="149" spans="1:25">
      <c r="A149" s="41">
        <f>VLOOKUP(B149,справочник!$B$2:$E$322,4,FALSE)</f>
        <v>157</v>
      </c>
      <c r="B149" t="str">
        <f t="shared" si="14"/>
        <v>165Кудрявцева Наталья Викторовна</v>
      </c>
      <c r="C149" s="1">
        <v>165</v>
      </c>
      <c r="D149" s="2" t="s">
        <v>140</v>
      </c>
      <c r="E149" s="1" t="s">
        <v>456</v>
      </c>
      <c r="F149" s="16">
        <v>40885</v>
      </c>
      <c r="G149" s="16">
        <v>40878</v>
      </c>
      <c r="H149" s="17">
        <f t="shared" si="15"/>
        <v>49</v>
      </c>
      <c r="I149" s="1">
        <f t="shared" si="18"/>
        <v>49000</v>
      </c>
      <c r="J149" s="17">
        <f>12000+13000</f>
        <v>25000</v>
      </c>
      <c r="K149" s="17"/>
      <c r="L149" s="18">
        <f t="shared" si="16"/>
        <v>24000</v>
      </c>
      <c r="M149" s="29">
        <f>SUM('план на 2016'!$L150:M150)-SUM('членские взносы'!$M150:'членские взносы'!M150)</f>
        <v>23800</v>
      </c>
      <c r="N149" s="29">
        <f>SUM('план на 2016'!$L150:N150)-SUM('членские взносы'!$M150:'членские взносы'!N150)</f>
        <v>24600</v>
      </c>
      <c r="O149" s="29">
        <f>SUM('план на 2016'!$L150:O150)-SUM('членские взносы'!$M150:'членские взносы'!O150)</f>
        <v>25400</v>
      </c>
      <c r="P149" s="29">
        <f>SUM('план на 2016'!$L150:P150)-SUM('членские взносы'!$M150:'членские взносы'!P150)</f>
        <v>26200</v>
      </c>
      <c r="Q149" s="29">
        <f>SUM('план на 2016'!$L150:Q150)-SUM('членские взносы'!$M150:'членские взносы'!Q150)</f>
        <v>27000</v>
      </c>
      <c r="R149" s="29">
        <f>SUM('план на 2016'!$L150:R150)-SUM('членские взносы'!$M150:'членские взносы'!R150)</f>
        <v>27800</v>
      </c>
      <c r="S149" s="29">
        <f>SUM('план на 2016'!$L150:S150)-SUM('членские взносы'!$M150:'членские взносы'!S150)</f>
        <v>28600</v>
      </c>
      <c r="T149" s="29">
        <f>SUM('план на 2016'!$L150:T150)-SUM('членские взносы'!$M150:'членские взносы'!T150)</f>
        <v>17400</v>
      </c>
      <c r="U149" s="29">
        <f>SUM('план на 2016'!$L150:U150)-SUM('членские взносы'!$M150:'членские взносы'!U150)</f>
        <v>6200</v>
      </c>
      <c r="V149" s="29">
        <f>SUM('план на 2016'!$L150:V150)-SUM('членские взносы'!$M150:'членские взносы'!V150)</f>
        <v>7000</v>
      </c>
      <c r="W149" s="29">
        <f>SUM('план на 2016'!$L150:W150)-SUM('членские взносы'!$M150:'членские взносы'!W150)</f>
        <v>7800</v>
      </c>
      <c r="X149" s="29">
        <f>SUM('план на 2016'!$L150:X150)-SUM('членские взносы'!$M150:'членские взносы'!X150)</f>
        <v>8600</v>
      </c>
      <c r="Y149" s="18">
        <f t="shared" si="17"/>
        <v>8600</v>
      </c>
    </row>
    <row r="150" spans="1:25">
      <c r="A150" s="41">
        <f>VLOOKUP(B150,справочник!$B$2:$E$322,4,FALSE)</f>
        <v>194</v>
      </c>
      <c r="B150" t="str">
        <f t="shared" si="14"/>
        <v>202Куликов Александр Владимирович</v>
      </c>
      <c r="C150" s="1">
        <v>202</v>
      </c>
      <c r="D150" s="2" t="s">
        <v>141</v>
      </c>
      <c r="E150" s="1" t="s">
        <v>457</v>
      </c>
      <c r="F150" s="16">
        <v>41898</v>
      </c>
      <c r="G150" s="16">
        <v>41913</v>
      </c>
      <c r="H150" s="17">
        <f t="shared" si="15"/>
        <v>15</v>
      </c>
      <c r="I150" s="1">
        <f t="shared" si="18"/>
        <v>15000</v>
      </c>
      <c r="J150" s="17">
        <v>11000</v>
      </c>
      <c r="K150" s="17"/>
      <c r="L150" s="18">
        <f t="shared" si="16"/>
        <v>4000</v>
      </c>
      <c r="M150" s="29">
        <f>SUM('план на 2016'!$L151:M151)-SUM('членские взносы'!$M151:'членские взносы'!M151)</f>
        <v>4800</v>
      </c>
      <c r="N150" s="29">
        <f>SUM('план на 2016'!$L151:N151)-SUM('членские взносы'!$M151:'членские взносы'!N151)</f>
        <v>600</v>
      </c>
      <c r="O150" s="29">
        <f>SUM('план на 2016'!$L151:O151)-SUM('членские взносы'!$M151:'членские взносы'!O151)</f>
        <v>1400</v>
      </c>
      <c r="P150" s="29">
        <f>SUM('план на 2016'!$L151:P151)-SUM('членские взносы'!$M151:'членские взносы'!P151)</f>
        <v>2200</v>
      </c>
      <c r="Q150" s="29">
        <f>SUM('план на 2016'!$L151:Q151)-SUM('членские взносы'!$M151:'членские взносы'!Q151)</f>
        <v>3000</v>
      </c>
      <c r="R150" s="29">
        <f>SUM('план на 2016'!$L151:R151)-SUM('членские взносы'!$M151:'членские взносы'!R151)</f>
        <v>3800</v>
      </c>
      <c r="S150" s="29">
        <f>SUM('план на 2016'!$L151:S151)-SUM('членские взносы'!$M151:'членские взносы'!S151)</f>
        <v>4600</v>
      </c>
      <c r="T150" s="29">
        <f>SUM('план на 2016'!$L151:T151)-SUM('членские взносы'!$M151:'членские взносы'!T151)</f>
        <v>5400</v>
      </c>
      <c r="U150" s="29">
        <f>SUM('план на 2016'!$L151:U151)-SUM('членские взносы'!$M151:'членские взносы'!U151)</f>
        <v>-3400</v>
      </c>
      <c r="V150" s="29">
        <f>SUM('план на 2016'!$L151:V151)-SUM('членские взносы'!$M151:'членские взносы'!V151)</f>
        <v>-2600</v>
      </c>
      <c r="W150" s="29">
        <f>SUM('план на 2016'!$L151:W151)-SUM('членские взносы'!$M151:'членские взносы'!W151)</f>
        <v>-1800</v>
      </c>
      <c r="X150" s="29">
        <f>SUM('план на 2016'!$L151:X151)-SUM('членские взносы'!$M151:'членские взносы'!X151)</f>
        <v>-1000</v>
      </c>
      <c r="Y150" s="18">
        <f t="shared" si="17"/>
        <v>-1000</v>
      </c>
    </row>
    <row r="151" spans="1:25">
      <c r="A151" s="41">
        <f>VLOOKUP(B151,справочник!$B$2:$E$322,4,FALSE)</f>
        <v>65</v>
      </c>
      <c r="B151" t="str">
        <f t="shared" si="14"/>
        <v xml:space="preserve">67Куликова Наталья Александровна </v>
      </c>
      <c r="C151" s="1">
        <v>67</v>
      </c>
      <c r="D151" s="2" t="s">
        <v>142</v>
      </c>
      <c r="E151" s="1" t="s">
        <v>458</v>
      </c>
      <c r="F151" s="16">
        <v>40872</v>
      </c>
      <c r="G151" s="16">
        <v>40848</v>
      </c>
      <c r="H151" s="17">
        <f t="shared" si="15"/>
        <v>50</v>
      </c>
      <c r="I151" s="1">
        <f t="shared" si="18"/>
        <v>50000</v>
      </c>
      <c r="J151" s="17">
        <f>30000</f>
        <v>30000</v>
      </c>
      <c r="K151" s="17"/>
      <c r="L151" s="18">
        <f t="shared" si="16"/>
        <v>20000</v>
      </c>
      <c r="M151" s="29">
        <f>SUM('план на 2016'!$L152:M152)-SUM('членские взносы'!$M152:'членские взносы'!M152)</f>
        <v>20800</v>
      </c>
      <c r="N151" s="29">
        <f>SUM('план на 2016'!$L152:N152)-SUM('членские взносы'!$M152:'членские взносы'!N152)</f>
        <v>21600</v>
      </c>
      <c r="O151" s="29">
        <f>SUM('план на 2016'!$L152:O152)-SUM('членские взносы'!$M152:'членские взносы'!O152)</f>
        <v>22400</v>
      </c>
      <c r="P151" s="29">
        <f>SUM('план на 2016'!$L152:P152)-SUM('членские взносы'!$M152:'членские взносы'!P152)</f>
        <v>23200</v>
      </c>
      <c r="Q151" s="29">
        <f>SUM('план на 2016'!$L152:Q152)-SUM('членские взносы'!$M152:'членские взносы'!Q152)</f>
        <v>24000</v>
      </c>
      <c r="R151" s="29">
        <f>SUM('план на 2016'!$L152:R152)-SUM('членские взносы'!$M152:'членские взносы'!R152)</f>
        <v>24800</v>
      </c>
      <c r="S151" s="29">
        <f>SUM('план на 2016'!$L152:S152)-SUM('членские взносы'!$M152:'членские взносы'!S152)</f>
        <v>25600</v>
      </c>
      <c r="T151" s="29">
        <f>SUM('план на 2016'!$L152:T152)-SUM('членские взносы'!$M152:'членские взносы'!T152)</f>
        <v>26400</v>
      </c>
      <c r="U151" s="29">
        <f>SUM('план на 2016'!$L152:U152)-SUM('членские взносы'!$M152:'членские взносы'!U152)</f>
        <v>27200</v>
      </c>
      <c r="V151" s="29">
        <f>SUM('план на 2016'!$L152:V152)-SUM('членские взносы'!$M152:'членские взносы'!V152)</f>
        <v>28000</v>
      </c>
      <c r="W151" s="29">
        <f>SUM('план на 2016'!$L152:W152)-SUM('членские взносы'!$M152:'членские взносы'!W152)</f>
        <v>28800</v>
      </c>
      <c r="X151" s="29">
        <f>SUM('план на 2016'!$L152:X152)-SUM('членские взносы'!$M152:'членские взносы'!X152)</f>
        <v>29600</v>
      </c>
      <c r="Y151" s="18">
        <f t="shared" si="17"/>
        <v>29600</v>
      </c>
    </row>
    <row r="152" spans="1:25">
      <c r="A152" s="41">
        <f>VLOOKUP(B152,справочник!$B$2:$E$322,4,FALSE)</f>
        <v>216</v>
      </c>
      <c r="B152" t="str">
        <f t="shared" si="14"/>
        <v xml:space="preserve">225Кулиш Сергей Александрович       </v>
      </c>
      <c r="C152" s="1">
        <v>225</v>
      </c>
      <c r="D152" s="8" t="s">
        <v>143</v>
      </c>
      <c r="E152" s="1" t="s">
        <v>459</v>
      </c>
      <c r="F152" s="16">
        <v>41773</v>
      </c>
      <c r="G152" s="16">
        <v>41760</v>
      </c>
      <c r="H152" s="17">
        <f t="shared" si="15"/>
        <v>20</v>
      </c>
      <c r="I152" s="1">
        <f t="shared" si="18"/>
        <v>20000</v>
      </c>
      <c r="J152" s="17">
        <v>20000</v>
      </c>
      <c r="K152" s="17"/>
      <c r="L152" s="18">
        <f t="shared" si="16"/>
        <v>0</v>
      </c>
      <c r="M152" s="29">
        <f>SUM('план на 2016'!$L153:M153)-SUM('членские взносы'!$M153:'членские взносы'!M153)</f>
        <v>800</v>
      </c>
      <c r="N152" s="29">
        <f>SUM('план на 2016'!$L153:N153)-SUM('членские взносы'!$M153:'членские взносы'!N153)</f>
        <v>-3600</v>
      </c>
      <c r="O152" s="29">
        <f>SUM('план на 2016'!$L153:O153)-SUM('членские взносы'!$M153:'членские взносы'!O153)</f>
        <v>-2800</v>
      </c>
      <c r="P152" s="29">
        <f>SUM('план на 2016'!$L153:P153)-SUM('членские взносы'!$M153:'членские взносы'!P153)</f>
        <v>-2000</v>
      </c>
      <c r="Q152" s="29">
        <f>SUM('план на 2016'!$L153:Q153)-SUM('членские взносы'!$M153:'членские взносы'!Q153)</f>
        <v>-1200</v>
      </c>
      <c r="R152" s="29">
        <f>SUM('план на 2016'!$L153:R153)-SUM('членские взносы'!$M153:'членские взносы'!R153)</f>
        <v>-400</v>
      </c>
      <c r="S152" s="29">
        <f>SUM('план на 2016'!$L153:S153)-SUM('членские взносы'!$M153:'членские взносы'!S153)</f>
        <v>400</v>
      </c>
      <c r="T152" s="29">
        <f>SUM('план на 2016'!$L153:T153)-SUM('членские взносы'!$M153:'членские взносы'!T153)</f>
        <v>1200</v>
      </c>
      <c r="U152" s="29">
        <f>SUM('план на 2016'!$L153:U153)-SUM('членские взносы'!$M153:'членские взносы'!U153)</f>
        <v>2000</v>
      </c>
      <c r="V152" s="29">
        <f>SUM('план на 2016'!$L153:V153)-SUM('членские взносы'!$M153:'членские взносы'!V153)</f>
        <v>2800</v>
      </c>
      <c r="W152" s="29">
        <f>SUM('план на 2016'!$L153:W153)-SUM('членские взносы'!$M153:'членские взносы'!W153)</f>
        <v>-800</v>
      </c>
      <c r="X152" s="29">
        <f>SUM('план на 2016'!$L153:X153)-SUM('членские взносы'!$M153:'членские взносы'!X153)</f>
        <v>0</v>
      </c>
      <c r="Y152" s="18">
        <f t="shared" si="17"/>
        <v>0</v>
      </c>
    </row>
    <row r="153" spans="1:25">
      <c r="A153" s="41">
        <f>VLOOKUP(B153,справочник!$B$2:$E$322,4,FALSE)</f>
        <v>216</v>
      </c>
      <c r="B153" t="str">
        <f t="shared" si="14"/>
        <v xml:space="preserve">226Кулиш Сергей Александрович       </v>
      </c>
      <c r="C153" s="1">
        <v>226</v>
      </c>
      <c r="D153" s="8" t="s">
        <v>143</v>
      </c>
      <c r="E153" s="1" t="s">
        <v>460</v>
      </c>
      <c r="F153" s="16">
        <v>41773</v>
      </c>
      <c r="G153" s="16">
        <v>41760</v>
      </c>
      <c r="H153" s="17">
        <f t="shared" si="15"/>
        <v>20</v>
      </c>
      <c r="I153" s="1">
        <f t="shared" si="18"/>
        <v>20000</v>
      </c>
      <c r="J153" s="17">
        <v>20000</v>
      </c>
      <c r="K153" s="17"/>
      <c r="L153" s="18">
        <f t="shared" si="16"/>
        <v>0</v>
      </c>
      <c r="M153" s="29">
        <f>SUM('план на 2016'!$L154:M154)-SUM('членские взносы'!$M154:'членские взносы'!M154)</f>
        <v>0</v>
      </c>
      <c r="N153" s="29">
        <f>SUM('план на 2016'!$L154:N154)-SUM('членские взносы'!$M154:'членские взносы'!N154)</f>
        <v>0</v>
      </c>
      <c r="O153" s="29">
        <f>SUM('план на 2016'!$L154:O154)-SUM('членские взносы'!$M154:'членские взносы'!O154)</f>
        <v>0</v>
      </c>
      <c r="P153" s="29">
        <f>SUM('план на 2016'!$L154:P154)-SUM('членские взносы'!$M154:'членские взносы'!P154)</f>
        <v>0</v>
      </c>
      <c r="Q153" s="29">
        <f>SUM('план на 2016'!$L154:Q154)-SUM('членские взносы'!$M154:'членские взносы'!Q154)</f>
        <v>0</v>
      </c>
      <c r="R153" s="29">
        <f>SUM('план на 2016'!$L154:R154)-SUM('членские взносы'!$M154:'членские взносы'!R154)</f>
        <v>0</v>
      </c>
      <c r="S153" s="29">
        <f>SUM('план на 2016'!$L154:S154)-SUM('членские взносы'!$M154:'членские взносы'!S154)</f>
        <v>0</v>
      </c>
      <c r="T153" s="29">
        <f>SUM('план на 2016'!$L154:T154)-SUM('членские взносы'!$M154:'членские взносы'!T154)</f>
        <v>0</v>
      </c>
      <c r="U153" s="29">
        <f>SUM('план на 2016'!$L154:U154)-SUM('членские взносы'!$M154:'членские взносы'!U154)</f>
        <v>0</v>
      </c>
      <c r="V153" s="29">
        <f>SUM('план на 2016'!$L154:V154)-SUM('членские взносы'!$M154:'членские взносы'!V154)</f>
        <v>0</v>
      </c>
      <c r="W153" s="29">
        <f>SUM('план на 2016'!$L154:W154)-SUM('членские взносы'!$M154:'членские взносы'!W154)</f>
        <v>0</v>
      </c>
      <c r="X153" s="29">
        <f>SUM('план на 2016'!$L154:X154)-SUM('членские взносы'!$M154:'членские взносы'!X154)</f>
        <v>0</v>
      </c>
      <c r="Y153" s="18">
        <f t="shared" si="17"/>
        <v>0</v>
      </c>
    </row>
    <row r="154" spans="1:25">
      <c r="A154" s="41">
        <f>VLOOKUP(B154,справочник!$B$2:$E$322,4,FALSE)</f>
        <v>56</v>
      </c>
      <c r="B154" t="str">
        <f t="shared" si="14"/>
        <v>58Кушваха Виджай Шанкар</v>
      </c>
      <c r="C154" s="1">
        <v>58</v>
      </c>
      <c r="D154" s="2" t="s">
        <v>144</v>
      </c>
      <c r="E154" s="1" t="s">
        <v>461</v>
      </c>
      <c r="F154" s="16">
        <v>40715</v>
      </c>
      <c r="G154" s="16">
        <v>40725</v>
      </c>
      <c r="H154" s="17">
        <f t="shared" si="15"/>
        <v>54</v>
      </c>
      <c r="I154" s="1">
        <f t="shared" si="18"/>
        <v>54000</v>
      </c>
      <c r="J154" s="17">
        <v>1000</v>
      </c>
      <c r="K154" s="17"/>
      <c r="L154" s="18">
        <f t="shared" si="16"/>
        <v>53000</v>
      </c>
      <c r="M154" s="29">
        <f>SUM('план на 2016'!$L155:M155)-SUM('членские взносы'!$M155:'членские взносы'!M155)</f>
        <v>53800</v>
      </c>
      <c r="N154" s="29">
        <f>SUM('план на 2016'!$L155:N155)-SUM('членские взносы'!$M155:'членские взносы'!N155)</f>
        <v>54600</v>
      </c>
      <c r="O154" s="29">
        <f>SUM('план на 2016'!$L155:O155)-SUM('членские взносы'!$M155:'членские взносы'!O155)</f>
        <v>55400</v>
      </c>
      <c r="P154" s="29">
        <f>SUM('план на 2016'!$L155:P155)-SUM('членские взносы'!$M155:'членские взносы'!P155)</f>
        <v>56200</v>
      </c>
      <c r="Q154" s="29">
        <f>SUM('план на 2016'!$L155:Q155)-SUM('членские взносы'!$M155:'членские взносы'!Q155)</f>
        <v>57000</v>
      </c>
      <c r="R154" s="29">
        <f>SUM('план на 2016'!$L155:R155)-SUM('членские взносы'!$M155:'членские взносы'!R155)</f>
        <v>57800</v>
      </c>
      <c r="S154" s="29">
        <f>SUM('план на 2016'!$L155:S155)-SUM('членские взносы'!$M155:'членские взносы'!S155)</f>
        <v>58600</v>
      </c>
      <c r="T154" s="29">
        <f>SUM('план на 2016'!$L155:T155)-SUM('членские взносы'!$M155:'членские взносы'!T155)</f>
        <v>59400</v>
      </c>
      <c r="U154" s="29">
        <f>SUM('план на 2016'!$L155:U155)-SUM('членские взносы'!$M155:'членские взносы'!U155)</f>
        <v>60200</v>
      </c>
      <c r="V154" s="29">
        <f>SUM('план на 2016'!$L155:V155)-SUM('членские взносы'!$M155:'членские взносы'!V155)</f>
        <v>61000</v>
      </c>
      <c r="W154" s="29">
        <f>SUM('план на 2016'!$L155:W155)-SUM('членские взносы'!$M155:'членские взносы'!W155)</f>
        <v>61800</v>
      </c>
      <c r="X154" s="29">
        <f>SUM('план на 2016'!$L155:X155)-SUM('членские взносы'!$M155:'членские взносы'!X155)</f>
        <v>62600</v>
      </c>
      <c r="Y154" s="18">
        <f t="shared" si="17"/>
        <v>62600</v>
      </c>
    </row>
    <row r="155" spans="1:25">
      <c r="A155" s="41">
        <f>VLOOKUP(B155,справочник!$B$2:$E$322,4,FALSE)</f>
        <v>150</v>
      </c>
      <c r="B155" t="str">
        <f t="shared" si="14"/>
        <v>158Лайпанов Рустам Сеитбиевич</v>
      </c>
      <c r="C155" s="1">
        <v>158</v>
      </c>
      <c r="D155" s="2" t="s">
        <v>145</v>
      </c>
      <c r="E155" s="1" t="s">
        <v>462</v>
      </c>
      <c r="F155" s="16">
        <v>40770</v>
      </c>
      <c r="G155" s="16">
        <v>40787</v>
      </c>
      <c r="H155" s="17">
        <f t="shared" si="15"/>
        <v>52</v>
      </c>
      <c r="I155" s="1">
        <f t="shared" si="18"/>
        <v>52000</v>
      </c>
      <c r="J155" s="17">
        <f>21000+1000</f>
        <v>22000</v>
      </c>
      <c r="K155" s="17"/>
      <c r="L155" s="18">
        <f t="shared" si="16"/>
        <v>30000</v>
      </c>
      <c r="M155" s="29">
        <f>SUM('план на 2016'!$L156:M156)-SUM('членские взносы'!$M156:'членские взносы'!M156)</f>
        <v>30800</v>
      </c>
      <c r="N155" s="29">
        <f>SUM('план на 2016'!$L156:N156)-SUM('членские взносы'!$M156:'членские взносы'!N156)</f>
        <v>31600</v>
      </c>
      <c r="O155" s="29">
        <f>SUM('план на 2016'!$L156:O156)-SUM('членские взносы'!$M156:'членские взносы'!O156)</f>
        <v>32400</v>
      </c>
      <c r="P155" s="29">
        <f>SUM('план на 2016'!$L156:P156)-SUM('членские взносы'!$M156:'членские взносы'!P156)</f>
        <v>33200</v>
      </c>
      <c r="Q155" s="29">
        <f>SUM('план на 2016'!$L156:Q156)-SUM('членские взносы'!$M156:'членские взносы'!Q156)</f>
        <v>34000</v>
      </c>
      <c r="R155" s="29">
        <f>SUM('план на 2016'!$L156:R156)-SUM('членские взносы'!$M156:'членские взносы'!R156)</f>
        <v>34800</v>
      </c>
      <c r="S155" s="29">
        <f>SUM('план на 2016'!$L156:S156)-SUM('членские взносы'!$M156:'членские взносы'!S156)</f>
        <v>35600</v>
      </c>
      <c r="T155" s="29">
        <f>SUM('план на 2016'!$L156:T156)-SUM('членские взносы'!$M156:'членские взносы'!T156)</f>
        <v>31600</v>
      </c>
      <c r="U155" s="29">
        <f>SUM('план на 2016'!$L156:U156)-SUM('членские взносы'!$M156:'членские взносы'!U156)</f>
        <v>26400</v>
      </c>
      <c r="V155" s="29">
        <f>SUM('план на 2016'!$L156:V156)-SUM('членские взносы'!$M156:'членские взносы'!V156)</f>
        <v>27200</v>
      </c>
      <c r="W155" s="29">
        <f>SUM('план на 2016'!$L156:W156)-SUM('членские взносы'!$M156:'членские взносы'!W156)</f>
        <v>28000</v>
      </c>
      <c r="X155" s="29">
        <f>SUM('план на 2016'!$L156:X156)-SUM('членские взносы'!$M156:'членские взносы'!X156)</f>
        <v>24000</v>
      </c>
      <c r="Y155" s="18">
        <f t="shared" si="17"/>
        <v>24000</v>
      </c>
    </row>
    <row r="156" spans="1:25">
      <c r="A156" s="41">
        <f>VLOOKUP(B156,справочник!$B$2:$E$322,4,FALSE)</f>
        <v>243</v>
      </c>
      <c r="B156" t="str">
        <f t="shared" si="14"/>
        <v>254Лапшин Сергей Николаевич</v>
      </c>
      <c r="C156" s="1">
        <v>254</v>
      </c>
      <c r="D156" s="2" t="s">
        <v>146</v>
      </c>
      <c r="E156" s="1" t="s">
        <v>463</v>
      </c>
      <c r="F156" s="16">
        <v>40791</v>
      </c>
      <c r="G156" s="16">
        <v>40787</v>
      </c>
      <c r="H156" s="17">
        <f t="shared" si="15"/>
        <v>52</v>
      </c>
      <c r="I156" s="1">
        <f t="shared" si="18"/>
        <v>52000</v>
      </c>
      <c r="J156" s="17">
        <f>1000</f>
        <v>1000</v>
      </c>
      <c r="K156" s="17">
        <v>45000</v>
      </c>
      <c r="L156" s="18">
        <f t="shared" si="16"/>
        <v>6000</v>
      </c>
      <c r="M156" s="29">
        <f>SUM('план на 2016'!$L157:M157)-SUM('членские взносы'!$M157:'членские взносы'!M157)</f>
        <v>1800</v>
      </c>
      <c r="N156" s="29">
        <f>SUM('план на 2016'!$L157:N157)-SUM('членские взносы'!$M157:'членские взносы'!N157)</f>
        <v>-2200</v>
      </c>
      <c r="O156" s="29">
        <f>SUM('план на 2016'!$L157:O157)-SUM('членские взносы'!$M157:'членские взносы'!O157)</f>
        <v>-1400</v>
      </c>
      <c r="P156" s="29">
        <f>SUM('план на 2016'!$L157:P157)-SUM('членские взносы'!$M157:'членские взносы'!P157)</f>
        <v>-600</v>
      </c>
      <c r="Q156" s="29">
        <f>SUM('план на 2016'!$L157:Q157)-SUM('членские взносы'!$M157:'членские взносы'!Q157)</f>
        <v>200</v>
      </c>
      <c r="R156" s="29">
        <f>SUM('план на 2016'!$L157:R157)-SUM('членские взносы'!$M157:'членские взносы'!R157)</f>
        <v>-3800</v>
      </c>
      <c r="S156" s="29">
        <f>SUM('план на 2016'!$L157:S157)-SUM('членские взносы'!$M157:'членские взносы'!S157)</f>
        <v>-3000</v>
      </c>
      <c r="T156" s="29">
        <f>SUM('план на 2016'!$L157:T157)-SUM('членские взносы'!$M157:'членские взносы'!T157)</f>
        <v>-2200</v>
      </c>
      <c r="U156" s="29">
        <f>SUM('план на 2016'!$L157:U157)-SUM('членские взносы'!$M157:'членские взносы'!U157)</f>
        <v>-1400</v>
      </c>
      <c r="V156" s="29">
        <f>SUM('план на 2016'!$L157:V157)-SUM('членские взносы'!$M157:'членские взносы'!V157)</f>
        <v>-600</v>
      </c>
      <c r="W156" s="29">
        <f>SUM('план на 2016'!$L157:W157)-SUM('членские взносы'!$M157:'членские взносы'!W157)</f>
        <v>200</v>
      </c>
      <c r="X156" s="29">
        <f>SUM('план на 2016'!$L157:X157)-SUM('членские взносы'!$M157:'членские взносы'!X157)</f>
        <v>1000</v>
      </c>
      <c r="Y156" s="18">
        <f t="shared" si="17"/>
        <v>1000</v>
      </c>
    </row>
    <row r="157" spans="1:25">
      <c r="A157" s="41">
        <f>VLOOKUP(B157,справочник!$B$2:$E$322,4,FALSE)</f>
        <v>220</v>
      </c>
      <c r="B157" t="str">
        <f t="shared" si="14"/>
        <v>229Ларионова Наталья Владимировна</v>
      </c>
      <c r="C157" s="1">
        <v>229</v>
      </c>
      <c r="D157" s="2" t="s">
        <v>147</v>
      </c>
      <c r="E157" s="1" t="s">
        <v>464</v>
      </c>
      <c r="F157" s="16">
        <v>41800</v>
      </c>
      <c r="G157" s="16">
        <v>41821</v>
      </c>
      <c r="H157" s="17">
        <f t="shared" si="15"/>
        <v>18</v>
      </c>
      <c r="I157" s="1">
        <f t="shared" si="18"/>
        <v>18000</v>
      </c>
      <c r="J157" s="17">
        <f>1000</f>
        <v>1000</v>
      </c>
      <c r="K157" s="17"/>
      <c r="L157" s="18">
        <f t="shared" si="16"/>
        <v>17000</v>
      </c>
      <c r="M157" s="29">
        <f>SUM('план на 2016'!$L158:M158)-SUM('членские взносы'!$M158:'членские взносы'!M158)</f>
        <v>17800</v>
      </c>
      <c r="N157" s="29">
        <f>SUM('план на 2016'!$L158:N158)-SUM('членские взносы'!$M158:'членские взносы'!N158)</f>
        <v>18600</v>
      </c>
      <c r="O157" s="29">
        <f>SUM('план на 2016'!$L158:O158)-SUM('членские взносы'!$M158:'членские взносы'!O158)</f>
        <v>19400</v>
      </c>
      <c r="P157" s="29">
        <f>SUM('план на 2016'!$L158:P158)-SUM('членские взносы'!$M158:'членские взносы'!P158)</f>
        <v>20200</v>
      </c>
      <c r="Q157" s="29">
        <f>SUM('план на 2016'!$L158:Q158)-SUM('членские взносы'!$M158:'членские взносы'!Q158)</f>
        <v>21000</v>
      </c>
      <c r="R157" s="29">
        <f>SUM('план на 2016'!$L158:R158)-SUM('членские взносы'!$M158:'членские взносы'!R158)</f>
        <v>21800</v>
      </c>
      <c r="S157" s="29">
        <f>SUM('план на 2016'!$L158:S158)-SUM('членские взносы'!$M158:'членские взносы'!S158)</f>
        <v>22600</v>
      </c>
      <c r="T157" s="29">
        <f>SUM('план на 2016'!$L158:T158)-SUM('членские взносы'!$M158:'членские взносы'!T158)</f>
        <v>23400</v>
      </c>
      <c r="U157" s="29">
        <f>SUM('план на 2016'!$L158:U158)-SUM('членские взносы'!$M158:'членские взносы'!U158)</f>
        <v>24200</v>
      </c>
      <c r="V157" s="29">
        <f>SUM('план на 2016'!$L158:V158)-SUM('членские взносы'!$M158:'членские взносы'!V158)</f>
        <v>25000</v>
      </c>
      <c r="W157" s="29">
        <f>SUM('план на 2016'!$L158:W158)-SUM('членские взносы'!$M158:'членские взносы'!W158)</f>
        <v>25800</v>
      </c>
      <c r="X157" s="29">
        <f>SUM('план на 2016'!$L158:X158)-SUM('членские взносы'!$M158:'членские взносы'!X158)</f>
        <v>26600</v>
      </c>
      <c r="Y157" s="18">
        <f t="shared" si="17"/>
        <v>26600</v>
      </c>
    </row>
    <row r="158" spans="1:25">
      <c r="A158" s="41">
        <f>VLOOKUP(B158,справочник!$B$2:$E$322,4,FALSE)</f>
        <v>3</v>
      </c>
      <c r="B158" t="str">
        <f t="shared" si="14"/>
        <v>3Лебедев Андрей Анатольевич</v>
      </c>
      <c r="C158" s="1">
        <v>3</v>
      </c>
      <c r="D158" s="2" t="s">
        <v>148</v>
      </c>
      <c r="E158" s="1" t="s">
        <v>465</v>
      </c>
      <c r="F158" s="16">
        <v>41954</v>
      </c>
      <c r="G158" s="16">
        <v>41609</v>
      </c>
      <c r="H158" s="17">
        <f t="shared" si="15"/>
        <v>25</v>
      </c>
      <c r="I158" s="1">
        <f t="shared" si="18"/>
        <v>25000</v>
      </c>
      <c r="J158" s="17">
        <f>4000</f>
        <v>4000</v>
      </c>
      <c r="K158" s="17"/>
      <c r="L158" s="18">
        <f t="shared" si="16"/>
        <v>21000</v>
      </c>
      <c r="M158" s="29">
        <f>SUM('план на 2016'!$L159:M159)-SUM('членские взносы'!$M159:'членские взносы'!M159)</f>
        <v>21800</v>
      </c>
      <c r="N158" s="29">
        <f>SUM('план на 2016'!$L159:N159)-SUM('членские взносы'!$M159:'членские взносы'!N159)</f>
        <v>22600</v>
      </c>
      <c r="O158" s="29">
        <f>SUM('план на 2016'!$L159:O159)-SUM('членские взносы'!$M159:'членские взносы'!O159)</f>
        <v>23400</v>
      </c>
      <c r="P158" s="29">
        <f>SUM('план на 2016'!$L159:P159)-SUM('членские взносы'!$M159:'членские взносы'!P159)</f>
        <v>24200</v>
      </c>
      <c r="Q158" s="29">
        <f>SUM('план на 2016'!$L159:Q159)-SUM('членские взносы'!$M159:'членские взносы'!Q159)</f>
        <v>25000</v>
      </c>
      <c r="R158" s="29">
        <f>SUM('план на 2016'!$L159:R159)-SUM('членские взносы'!$M159:'членские взносы'!R159)</f>
        <v>25800</v>
      </c>
      <c r="S158" s="29">
        <f>SUM('план на 2016'!$L159:S159)-SUM('членские взносы'!$M159:'членские взносы'!S159)</f>
        <v>26600</v>
      </c>
      <c r="T158" s="29">
        <f>SUM('план на 2016'!$L159:T159)-SUM('членские взносы'!$M159:'членские взносы'!T159)</f>
        <v>27400</v>
      </c>
      <c r="U158" s="29">
        <f>SUM('план на 2016'!$L159:U159)-SUM('членские взносы'!$M159:'членские взносы'!U159)</f>
        <v>13200</v>
      </c>
      <c r="V158" s="29">
        <f>SUM('план на 2016'!$L159:V159)-SUM('членские взносы'!$M159:'членские взносы'!V159)</f>
        <v>14000</v>
      </c>
      <c r="W158" s="29">
        <f>SUM('план на 2016'!$L159:W159)-SUM('членские взносы'!$M159:'членские взносы'!W159)</f>
        <v>14800</v>
      </c>
      <c r="X158" s="29">
        <f>SUM('план на 2016'!$L159:X159)-SUM('членские взносы'!$M159:'членские взносы'!X159)</f>
        <v>15600</v>
      </c>
      <c r="Y158" s="18">
        <f t="shared" si="17"/>
        <v>15600</v>
      </c>
    </row>
    <row r="159" spans="1:25">
      <c r="A159" s="41">
        <f>VLOOKUP(B159,справочник!$B$2:$E$322,4,FALSE)</f>
        <v>158</v>
      </c>
      <c r="B159" t="str">
        <f t="shared" si="14"/>
        <v>166Лебедева Елена Александровна</v>
      </c>
      <c r="C159" s="1">
        <v>166</v>
      </c>
      <c r="D159" s="2" t="s">
        <v>149</v>
      </c>
      <c r="E159" s="1" t="s">
        <v>466</v>
      </c>
      <c r="F159" s="16">
        <v>41660</v>
      </c>
      <c r="G159" s="16">
        <v>41671</v>
      </c>
      <c r="H159" s="17">
        <f t="shared" si="15"/>
        <v>23</v>
      </c>
      <c r="I159" s="1">
        <f t="shared" si="18"/>
        <v>23000</v>
      </c>
      <c r="J159" s="17">
        <f>1000</f>
        <v>1000</v>
      </c>
      <c r="K159" s="17"/>
      <c r="L159" s="18">
        <f t="shared" si="16"/>
        <v>22000</v>
      </c>
      <c r="M159" s="29">
        <f>SUM('план на 2016'!$L160:M160)-SUM('членские взносы'!$M160:'членские взносы'!M160)</f>
        <v>22800</v>
      </c>
      <c r="N159" s="29">
        <f>SUM('план на 2016'!$L160:N160)-SUM('членские взносы'!$M160:'членские взносы'!N160)</f>
        <v>23600</v>
      </c>
      <c r="O159" s="29">
        <f>SUM('план на 2016'!$L160:O160)-SUM('членские взносы'!$M160:'членские взносы'!O160)</f>
        <v>24400</v>
      </c>
      <c r="P159" s="29">
        <f>SUM('план на 2016'!$L160:P160)-SUM('членские взносы'!$M160:'членские взносы'!P160)</f>
        <v>25200</v>
      </c>
      <c r="Q159" s="29">
        <f>SUM('план на 2016'!$L160:Q160)-SUM('членские взносы'!$M160:'членские взносы'!Q160)</f>
        <v>26000</v>
      </c>
      <c r="R159" s="29">
        <f>SUM('план на 2016'!$L160:R160)-SUM('членские взносы'!$M160:'членские взносы'!R160)</f>
        <v>26800</v>
      </c>
      <c r="S159" s="29">
        <f>SUM('план на 2016'!$L160:S160)-SUM('членские взносы'!$M160:'членские взносы'!S160)</f>
        <v>27600</v>
      </c>
      <c r="T159" s="29">
        <f>SUM('план на 2016'!$L160:T160)-SUM('членские взносы'!$M160:'членские взносы'!T160)</f>
        <v>28400</v>
      </c>
      <c r="U159" s="29">
        <f>SUM('план на 2016'!$L160:U160)-SUM('членские взносы'!$M160:'членские взносы'!U160)</f>
        <v>29200</v>
      </c>
      <c r="V159" s="29">
        <f>SUM('план на 2016'!$L160:V160)-SUM('членские взносы'!$M160:'членские взносы'!V160)</f>
        <v>30000</v>
      </c>
      <c r="W159" s="29">
        <f>SUM('план на 2016'!$L160:W160)-SUM('членские взносы'!$M160:'членские взносы'!W160)</f>
        <v>30800</v>
      </c>
      <c r="X159" s="29">
        <f>SUM('план на 2016'!$L160:X160)-SUM('членские взносы'!$M160:'членские взносы'!X160)</f>
        <v>31600</v>
      </c>
      <c r="Y159" s="18">
        <f t="shared" si="17"/>
        <v>31600</v>
      </c>
    </row>
    <row r="160" spans="1:25">
      <c r="A160" s="41">
        <f>VLOOKUP(B160,справочник!$B$2:$E$322,4,FALSE)</f>
        <v>139</v>
      </c>
      <c r="B160" t="str">
        <f t="shared" si="14"/>
        <v>149Левина Елена Александровна (Дмитрий)</v>
      </c>
      <c r="C160" s="1">
        <v>149</v>
      </c>
      <c r="D160" s="2" t="s">
        <v>150</v>
      </c>
      <c r="E160" s="1" t="s">
        <v>467</v>
      </c>
      <c r="F160" s="19">
        <v>40715</v>
      </c>
      <c r="G160" s="19">
        <v>40725</v>
      </c>
      <c r="H160" s="20">
        <f t="shared" si="15"/>
        <v>54</v>
      </c>
      <c r="I160" s="5">
        <f t="shared" si="18"/>
        <v>54000</v>
      </c>
      <c r="J160" s="20">
        <v>54000</v>
      </c>
      <c r="K160" s="20"/>
      <c r="L160" s="21">
        <f t="shared" si="16"/>
        <v>0</v>
      </c>
      <c r="M160" s="29">
        <f>SUM('план на 2016'!$L161:M161)-SUM('членские взносы'!$M161:'членские взносы'!M161)</f>
        <v>0</v>
      </c>
      <c r="N160" s="29">
        <f>SUM('план на 2016'!$L161:N161)-SUM('членские взносы'!$M161:'членские взносы'!N161)</f>
        <v>0</v>
      </c>
      <c r="O160" s="29">
        <f>SUM('план на 2016'!$L161:O161)-SUM('членские взносы'!$M161:'членские взносы'!O161)</f>
        <v>0</v>
      </c>
      <c r="P160" s="29">
        <f>SUM('план на 2016'!$L161:P161)-SUM('членские взносы'!$M161:'членские взносы'!P161)</f>
        <v>0</v>
      </c>
      <c r="Q160" s="29">
        <f>SUM('план на 2016'!$L161:Q161)-SUM('членские взносы'!$M161:'членские взносы'!Q161)</f>
        <v>-4800</v>
      </c>
      <c r="R160" s="29">
        <f>SUM('план на 2016'!$L161:R161)-SUM('членские взносы'!$M161:'членские взносы'!R161)</f>
        <v>-4800</v>
      </c>
      <c r="S160" s="29">
        <f>SUM('план на 2016'!$L161:S161)-SUM('членские взносы'!$M161:'членские взносы'!S161)</f>
        <v>-4800</v>
      </c>
      <c r="T160" s="29">
        <f>SUM('план на 2016'!$L161:T161)-SUM('членские взносы'!$M161:'членские взносы'!T161)</f>
        <v>-9600</v>
      </c>
      <c r="U160" s="29">
        <f>SUM('план на 2016'!$L161:U161)-SUM('членские взносы'!$M161:'членские взносы'!U161)</f>
        <v>-9600</v>
      </c>
      <c r="V160" s="29">
        <f>SUM('план на 2016'!$L161:V161)-SUM('членские взносы'!$M161:'членские взносы'!V161)</f>
        <v>-9600</v>
      </c>
      <c r="W160" s="29">
        <f>SUM('план на 2016'!$L161:W161)-SUM('членские взносы'!$M161:'членские взносы'!W161)</f>
        <v>-9600</v>
      </c>
      <c r="X160" s="29">
        <f>SUM('план на 2016'!$L161:X161)-SUM('членские взносы'!$M161:'членские взносы'!X161)</f>
        <v>-9600</v>
      </c>
      <c r="Y160" s="18">
        <f t="shared" si="17"/>
        <v>-9600</v>
      </c>
    </row>
    <row r="161" spans="1:25">
      <c r="A161" s="41">
        <f>VLOOKUP(B161,справочник!$B$2:$E$322,4,FALSE)</f>
        <v>139</v>
      </c>
      <c r="B161" t="str">
        <f t="shared" si="14"/>
        <v>147Левина Елена Александровна (Дмитрий)</v>
      </c>
      <c r="C161" s="1">
        <v>147</v>
      </c>
      <c r="D161" s="2" t="s">
        <v>150</v>
      </c>
      <c r="E161" s="1" t="s">
        <v>468</v>
      </c>
      <c r="F161" s="19">
        <v>40715</v>
      </c>
      <c r="G161" s="19">
        <v>40725</v>
      </c>
      <c r="H161" s="20">
        <f t="shared" si="15"/>
        <v>54</v>
      </c>
      <c r="I161" s="5">
        <f t="shared" si="18"/>
        <v>54000</v>
      </c>
      <c r="J161" s="20">
        <v>54000</v>
      </c>
      <c r="K161" s="20"/>
      <c r="L161" s="21">
        <f t="shared" si="16"/>
        <v>0</v>
      </c>
      <c r="M161" s="29">
        <f>SUM('план на 2016'!$L162:M162)-SUM('членские взносы'!$M162:'членские взносы'!M162)</f>
        <v>0</v>
      </c>
      <c r="N161" s="29">
        <f>SUM('план на 2016'!$L162:N162)-SUM('членские взносы'!$M162:'членские взносы'!N162)</f>
        <v>0</v>
      </c>
      <c r="O161" s="29">
        <f>SUM('план на 2016'!$L162:O162)-SUM('членские взносы'!$M162:'членские взносы'!O162)</f>
        <v>0</v>
      </c>
      <c r="P161" s="29">
        <f>SUM('план на 2016'!$L162:P162)-SUM('членские взносы'!$M162:'членские взносы'!P162)</f>
        <v>0</v>
      </c>
      <c r="Q161" s="29">
        <f>SUM('план на 2016'!$L162:Q162)-SUM('членские взносы'!$M162:'членские взносы'!Q162)</f>
        <v>0</v>
      </c>
      <c r="R161" s="29">
        <f>SUM('план на 2016'!$L162:R162)-SUM('членские взносы'!$M162:'членские взносы'!R162)</f>
        <v>0</v>
      </c>
      <c r="S161" s="29">
        <f>SUM('план на 2016'!$L162:S162)-SUM('членские взносы'!$M162:'членские взносы'!S162)</f>
        <v>0</v>
      </c>
      <c r="T161" s="29">
        <f>SUM('план на 2016'!$L162:T162)-SUM('членские взносы'!$M162:'членские взносы'!T162)</f>
        <v>0</v>
      </c>
      <c r="U161" s="29">
        <f>SUM('план на 2016'!$L162:U162)-SUM('членские взносы'!$M162:'членские взносы'!U162)</f>
        <v>0</v>
      </c>
      <c r="V161" s="29">
        <f>SUM('план на 2016'!$L162:V162)-SUM('членские взносы'!$M162:'членские взносы'!V162)</f>
        <v>0</v>
      </c>
      <c r="W161" s="29">
        <f>SUM('план на 2016'!$L162:W162)-SUM('членские взносы'!$M162:'членские взносы'!W162)</f>
        <v>0</v>
      </c>
      <c r="X161" s="29">
        <f>SUM('план на 2016'!$L162:X162)-SUM('членские взносы'!$M162:'членские взносы'!X162)</f>
        <v>0</v>
      </c>
      <c r="Y161" s="18">
        <f t="shared" si="17"/>
        <v>0</v>
      </c>
    </row>
    <row r="162" spans="1:25">
      <c r="A162" s="41">
        <f>VLOOKUP(B162,справочник!$B$2:$E$322,4,FALSE)</f>
        <v>139</v>
      </c>
      <c r="B162" t="str">
        <f t="shared" si="14"/>
        <v>148Левина Елена Александровна (Дмитрий)</v>
      </c>
      <c r="C162" s="1">
        <v>148</v>
      </c>
      <c r="D162" s="2" t="s">
        <v>150</v>
      </c>
      <c r="E162" s="1" t="s">
        <v>469</v>
      </c>
      <c r="F162" s="19">
        <v>40715</v>
      </c>
      <c r="G162" s="19">
        <v>40725</v>
      </c>
      <c r="H162" s="20">
        <f t="shared" si="15"/>
        <v>54</v>
      </c>
      <c r="I162" s="5">
        <f t="shared" si="18"/>
        <v>54000</v>
      </c>
      <c r="J162" s="20">
        <f>11000+4000</f>
        <v>15000</v>
      </c>
      <c r="K162" s="20"/>
      <c r="L162" s="21">
        <f t="shared" si="16"/>
        <v>39000</v>
      </c>
      <c r="M162" s="29">
        <f>SUM('план на 2016'!$L163:M163)-SUM('членские взносы'!$M163:'членские взносы'!M163)</f>
        <v>39800</v>
      </c>
      <c r="N162" s="29">
        <f>SUM('план на 2016'!$L163:N163)-SUM('членские взносы'!$M163:'членские взносы'!N163)</f>
        <v>40600</v>
      </c>
      <c r="O162" s="29">
        <f>SUM('план на 2016'!$L163:O163)-SUM('членские взносы'!$M163:'членские взносы'!O163)</f>
        <v>41400</v>
      </c>
      <c r="P162" s="29">
        <f>SUM('план на 2016'!$L163:P163)-SUM('членские взносы'!$M163:'членские взносы'!P163)</f>
        <v>42200</v>
      </c>
      <c r="Q162" s="29">
        <f>SUM('план на 2016'!$L163:Q163)-SUM('членские взносы'!$M163:'членские взносы'!Q163)</f>
        <v>43000</v>
      </c>
      <c r="R162" s="29">
        <f>SUM('план на 2016'!$L163:R163)-SUM('членские взносы'!$M163:'членские взносы'!R163)</f>
        <v>43800</v>
      </c>
      <c r="S162" s="29">
        <f>SUM('план на 2016'!$L163:S163)-SUM('членские взносы'!$M163:'членские взносы'!S163)</f>
        <v>44600</v>
      </c>
      <c r="T162" s="29">
        <f>SUM('план на 2016'!$L163:T163)-SUM('членские взносы'!$M163:'членские взносы'!T163)</f>
        <v>45400</v>
      </c>
      <c r="U162" s="29">
        <f>SUM('план на 2016'!$L163:U163)-SUM('членские взносы'!$M163:'членские взносы'!U163)</f>
        <v>46200</v>
      </c>
      <c r="V162" s="29">
        <f>SUM('план на 2016'!$L163:V163)-SUM('членские взносы'!$M163:'членские взносы'!V163)</f>
        <v>47000</v>
      </c>
      <c r="W162" s="29">
        <f>SUM('план на 2016'!$L163:W163)-SUM('членские взносы'!$M163:'членские взносы'!W163)</f>
        <v>47800</v>
      </c>
      <c r="X162" s="29">
        <f>SUM('план на 2016'!$L163:X163)-SUM('членские взносы'!$M163:'членские взносы'!X163)</f>
        <v>48600</v>
      </c>
      <c r="Y162" s="18">
        <f t="shared" si="17"/>
        <v>48600</v>
      </c>
    </row>
    <row r="163" spans="1:25">
      <c r="A163" s="41">
        <f>VLOOKUP(B163,справочник!$B$2:$E$322,4,FALSE)</f>
        <v>261</v>
      </c>
      <c r="B163" t="str">
        <f t="shared" si="14"/>
        <v>274Леськов Олег Петрович</v>
      </c>
      <c r="C163" s="1">
        <v>274</v>
      </c>
      <c r="D163" s="2" t="s">
        <v>151</v>
      </c>
      <c r="E163" s="1" t="s">
        <v>470</v>
      </c>
      <c r="F163" s="19">
        <v>41373</v>
      </c>
      <c r="G163" s="19">
        <v>41395</v>
      </c>
      <c r="H163" s="20">
        <f t="shared" si="15"/>
        <v>32</v>
      </c>
      <c r="I163" s="5">
        <f t="shared" si="18"/>
        <v>32000</v>
      </c>
      <c r="J163" s="20">
        <v>19000</v>
      </c>
      <c r="K163" s="20"/>
      <c r="L163" s="21">
        <f t="shared" si="16"/>
        <v>13000</v>
      </c>
      <c r="M163" s="29">
        <f>SUM('план на 2016'!$L164:M164)-SUM('членские взносы'!$M164:'членские взносы'!M164)</f>
        <v>10600</v>
      </c>
      <c r="N163" s="29">
        <f>SUM('план на 2016'!$L164:N164)-SUM('членские взносы'!$M164:'членские взносы'!N164)</f>
        <v>10600</v>
      </c>
      <c r="O163" s="29">
        <f>SUM('план на 2016'!$L164:O164)-SUM('членские взносы'!$M164:'членские взносы'!O164)</f>
        <v>10600</v>
      </c>
      <c r="P163" s="29">
        <f>SUM('план на 2016'!$L164:P164)-SUM('членские взносы'!$M164:'членские взносы'!P164)</f>
        <v>8200</v>
      </c>
      <c r="Q163" s="29">
        <f>SUM('план на 2016'!$L164:Q164)-SUM('членские взносы'!$M164:'членские взносы'!Q164)</f>
        <v>8200</v>
      </c>
      <c r="R163" s="29">
        <f>SUM('план на 2016'!$L164:R164)-SUM('членские взносы'!$M164:'членские взносы'!R164)</f>
        <v>8200</v>
      </c>
      <c r="S163" s="29">
        <f>SUM('план на 2016'!$L164:S164)-SUM('членские взносы'!$M164:'членские взносы'!S164)</f>
        <v>5000</v>
      </c>
      <c r="T163" s="29">
        <f>SUM('план на 2016'!$L164:T164)-SUM('членские взносы'!$M164:'членские взносы'!T164)</f>
        <v>5000</v>
      </c>
      <c r="U163" s="29">
        <f>SUM('план на 2016'!$L164:U164)-SUM('членские взносы'!$M164:'членские взносы'!U164)</f>
        <v>5000</v>
      </c>
      <c r="V163" s="29">
        <f>SUM('план на 2016'!$L164:V164)-SUM('членские взносы'!$M164:'членские взносы'!V164)</f>
        <v>5000</v>
      </c>
      <c r="W163" s="29">
        <f>SUM('план на 2016'!$L164:W164)-SUM('членские взносы'!$M164:'членские взносы'!W164)</f>
        <v>5000</v>
      </c>
      <c r="X163" s="29">
        <f>SUM('план на 2016'!$L164:X164)-SUM('членские взносы'!$M164:'членские взносы'!X164)</f>
        <v>1000</v>
      </c>
      <c r="Y163" s="18">
        <f t="shared" si="17"/>
        <v>1000</v>
      </c>
    </row>
    <row r="164" spans="1:25">
      <c r="A164" s="41">
        <f>VLOOKUP(B164,справочник!$B$2:$E$322,4,FALSE)</f>
        <v>261</v>
      </c>
      <c r="B164" t="str">
        <f t="shared" si="14"/>
        <v>275Леськов Олег Петрович</v>
      </c>
      <c r="C164" s="1">
        <v>275</v>
      </c>
      <c r="D164" s="2" t="s">
        <v>151</v>
      </c>
      <c r="E164" s="1"/>
      <c r="F164" s="19">
        <v>41016</v>
      </c>
      <c r="G164" s="19">
        <v>41000</v>
      </c>
      <c r="H164" s="20">
        <f t="shared" si="15"/>
        <v>45</v>
      </c>
      <c r="I164" s="5">
        <f t="shared" si="18"/>
        <v>45000</v>
      </c>
      <c r="J164" s="20">
        <f>9000+19000</f>
        <v>28000</v>
      </c>
      <c r="K164" s="20"/>
      <c r="L164" s="21">
        <f t="shared" si="16"/>
        <v>17000</v>
      </c>
      <c r="M164" s="29">
        <f>SUM('план на 2016'!$L165:M165)-SUM('членские взносы'!$M165:'членские взносы'!M165)</f>
        <v>17800</v>
      </c>
      <c r="N164" s="29">
        <f>SUM('план на 2016'!$L165:N165)-SUM('членские взносы'!$M165:'членские взносы'!N165)</f>
        <v>18600</v>
      </c>
      <c r="O164" s="29">
        <f>SUM('план на 2016'!$L165:O165)-SUM('членские взносы'!$M165:'членские взносы'!O165)</f>
        <v>19400</v>
      </c>
      <c r="P164" s="29">
        <f>SUM('план на 2016'!$L165:P165)-SUM('членские взносы'!$M165:'членские взносы'!P165)</f>
        <v>20200</v>
      </c>
      <c r="Q164" s="29">
        <f>SUM('план на 2016'!$L165:Q165)-SUM('членские взносы'!$M165:'членские взносы'!Q165)</f>
        <v>21000</v>
      </c>
      <c r="R164" s="29">
        <f>SUM('план на 2016'!$L165:R165)-SUM('членские взносы'!$M165:'членские взносы'!R165)</f>
        <v>21800</v>
      </c>
      <c r="S164" s="29">
        <f>SUM('план на 2016'!$L165:S165)-SUM('членские взносы'!$M165:'членские взносы'!S165)</f>
        <v>22600</v>
      </c>
      <c r="T164" s="29">
        <f>SUM('план на 2016'!$L165:T165)-SUM('членские взносы'!$M165:'членские взносы'!T165)</f>
        <v>23400</v>
      </c>
      <c r="U164" s="29">
        <f>SUM('план на 2016'!$L165:U165)-SUM('членские взносы'!$M165:'членские взносы'!U165)</f>
        <v>24200</v>
      </c>
      <c r="V164" s="29">
        <f>SUM('план на 2016'!$L165:V165)-SUM('членские взносы'!$M165:'членские взносы'!V165)</f>
        <v>25000</v>
      </c>
      <c r="W164" s="29">
        <f>SUM('план на 2016'!$L165:W165)-SUM('членские взносы'!$M165:'членские взносы'!W165)</f>
        <v>25800</v>
      </c>
      <c r="X164" s="29">
        <f>SUM('план на 2016'!$L165:X165)-SUM('членские взносы'!$M165:'членские взносы'!X165)</f>
        <v>26600</v>
      </c>
      <c r="Y164" s="18">
        <f t="shared" si="17"/>
        <v>26600</v>
      </c>
    </row>
    <row r="165" spans="1:25">
      <c r="A165" s="41">
        <f>VLOOKUP(B165,справочник!$B$2:$E$322,4,FALSE)</f>
        <v>288</v>
      </c>
      <c r="B165" t="str">
        <f t="shared" si="14"/>
        <v>300Ли Наталья Сергеевна</v>
      </c>
      <c r="C165" s="1">
        <v>300</v>
      </c>
      <c r="D165" s="2" t="s">
        <v>152</v>
      </c>
      <c r="E165" s="1" t="s">
        <v>471</v>
      </c>
      <c r="F165" s="16">
        <v>41513</v>
      </c>
      <c r="G165" s="16">
        <v>41518</v>
      </c>
      <c r="H165" s="17">
        <f t="shared" si="15"/>
        <v>28</v>
      </c>
      <c r="I165" s="1">
        <f t="shared" si="18"/>
        <v>28000</v>
      </c>
      <c r="J165" s="17"/>
      <c r="K165" s="17"/>
      <c r="L165" s="18">
        <f t="shared" si="16"/>
        <v>28000</v>
      </c>
      <c r="M165" s="29">
        <f>SUM('план на 2016'!$L166:M166)-SUM('членские взносы'!$M166:'членские взносы'!M166)</f>
        <v>28800</v>
      </c>
      <c r="N165" s="29">
        <f>SUM('план на 2016'!$L166:N166)-SUM('членские взносы'!$M166:'членские взносы'!N166)</f>
        <v>29600</v>
      </c>
      <c r="O165" s="29">
        <f>SUM('план на 2016'!$L166:O166)-SUM('членские взносы'!$M166:'членские взносы'!O166)</f>
        <v>30400</v>
      </c>
      <c r="P165" s="29">
        <f>SUM('план на 2016'!$L166:P166)-SUM('членские взносы'!$M166:'членские взносы'!P166)</f>
        <v>31200</v>
      </c>
      <c r="Q165" s="29">
        <f>SUM('план на 2016'!$L166:Q166)-SUM('членские взносы'!$M166:'членские взносы'!Q166)</f>
        <v>32000</v>
      </c>
      <c r="R165" s="29">
        <f>SUM('план на 2016'!$L166:R166)-SUM('членские взносы'!$M166:'членские взносы'!R166)</f>
        <v>32800</v>
      </c>
      <c r="S165" s="29">
        <f>SUM('план на 2016'!$L166:S166)-SUM('членские взносы'!$M166:'членские взносы'!S166)</f>
        <v>33600</v>
      </c>
      <c r="T165" s="29">
        <f>SUM('план на 2016'!$L166:T166)-SUM('членские взносы'!$M166:'членские взносы'!T166)</f>
        <v>34400</v>
      </c>
      <c r="U165" s="29">
        <f>SUM('план на 2016'!$L166:U166)-SUM('членские взносы'!$M166:'членские взносы'!U166)</f>
        <v>35200</v>
      </c>
      <c r="V165" s="29">
        <f>SUM('план на 2016'!$L166:V166)-SUM('членские взносы'!$M166:'членские взносы'!V166)</f>
        <v>36000</v>
      </c>
      <c r="W165" s="29">
        <f>SUM('план на 2016'!$L166:W166)-SUM('членские взносы'!$M166:'членские взносы'!W166)</f>
        <v>36800</v>
      </c>
      <c r="X165" s="29">
        <f>SUM('план на 2016'!$L166:X166)-SUM('членские взносы'!$M166:'членские взносы'!X166)</f>
        <v>37600</v>
      </c>
      <c r="Y165" s="18">
        <f t="shared" si="17"/>
        <v>37600</v>
      </c>
    </row>
    <row r="166" spans="1:25">
      <c r="A166" s="41">
        <f>VLOOKUP(B166,справочник!$B$2:$E$322,4,FALSE)</f>
        <v>166</v>
      </c>
      <c r="B166" t="str">
        <f t="shared" si="14"/>
        <v>174Ловыгина Татьяна Александровна</v>
      </c>
      <c r="C166" s="1">
        <v>174</v>
      </c>
      <c r="D166" s="2" t="s">
        <v>153</v>
      </c>
      <c r="E166" s="1" t="s">
        <v>472</v>
      </c>
      <c r="F166" s="16">
        <v>41829</v>
      </c>
      <c r="G166" s="16">
        <v>41852</v>
      </c>
      <c r="H166" s="17">
        <f t="shared" si="15"/>
        <v>17</v>
      </c>
      <c r="I166" s="1">
        <f t="shared" si="18"/>
        <v>17000</v>
      </c>
      <c r="J166" s="17">
        <v>5000</v>
      </c>
      <c r="K166" s="17"/>
      <c r="L166" s="18">
        <f t="shared" si="16"/>
        <v>12000</v>
      </c>
      <c r="M166" s="29">
        <f>SUM('план на 2016'!$L167:M167)-SUM('членские взносы'!$M167:'членские взносы'!M167)</f>
        <v>12800</v>
      </c>
      <c r="N166" s="29">
        <f>SUM('план на 2016'!$L167:N167)-SUM('членские взносы'!$M167:'членские взносы'!N167)</f>
        <v>13600</v>
      </c>
      <c r="O166" s="29">
        <f>SUM('план на 2016'!$L167:O167)-SUM('членские взносы'!$M167:'членские взносы'!O167)</f>
        <v>14400</v>
      </c>
      <c r="P166" s="29">
        <f>SUM('план на 2016'!$L167:P167)-SUM('членские взносы'!$M167:'членские взносы'!P167)</f>
        <v>15200</v>
      </c>
      <c r="Q166" s="29">
        <f>SUM('план на 2016'!$L167:Q167)-SUM('членские взносы'!$M167:'членские взносы'!Q167)</f>
        <v>16000</v>
      </c>
      <c r="R166" s="29">
        <f>SUM('план на 2016'!$L167:R167)-SUM('членские взносы'!$M167:'членские взносы'!R167)</f>
        <v>16800</v>
      </c>
      <c r="S166" s="29">
        <f>SUM('план на 2016'!$L167:S167)-SUM('членские взносы'!$M167:'членские взносы'!S167)</f>
        <v>10800</v>
      </c>
      <c r="T166" s="29">
        <f>SUM('план на 2016'!$L167:T167)-SUM('членские взносы'!$M167:'членские взносы'!T167)</f>
        <v>6600</v>
      </c>
      <c r="U166" s="29">
        <f>SUM('план на 2016'!$L167:U167)-SUM('членские взносы'!$M167:'членские взносы'!U167)</f>
        <v>5000</v>
      </c>
      <c r="V166" s="29">
        <f>SUM('план на 2016'!$L167:V167)-SUM('членские взносы'!$M167:'членские взносы'!V167)</f>
        <v>5800</v>
      </c>
      <c r="W166" s="29">
        <f>SUM('план на 2016'!$L167:W167)-SUM('членские взносы'!$M167:'членские взносы'!W167)</f>
        <v>6600</v>
      </c>
      <c r="X166" s="29">
        <f>SUM('план на 2016'!$L167:X167)-SUM('членские взносы'!$M167:'членские взносы'!X167)</f>
        <v>7400</v>
      </c>
      <c r="Y166" s="18">
        <f t="shared" si="17"/>
        <v>7400</v>
      </c>
    </row>
    <row r="167" spans="1:25">
      <c r="A167" s="41">
        <f>VLOOKUP(B167,справочник!$B$2:$E$322,4,FALSE)</f>
        <v>118</v>
      </c>
      <c r="B167" t="str">
        <f t="shared" si="14"/>
        <v>123Лопухинова Надежда Михайловна</v>
      </c>
      <c r="C167" s="1">
        <v>123</v>
      </c>
      <c r="D167" s="2" t="s">
        <v>154</v>
      </c>
      <c r="E167" s="1" t="s">
        <v>473</v>
      </c>
      <c r="F167" s="16">
        <v>41435</v>
      </c>
      <c r="G167" s="16">
        <v>41456</v>
      </c>
      <c r="H167" s="17">
        <f t="shared" si="15"/>
        <v>30</v>
      </c>
      <c r="I167" s="1">
        <f t="shared" si="18"/>
        <v>30000</v>
      </c>
      <c r="J167" s="17">
        <v>23000</v>
      </c>
      <c r="K167" s="17"/>
      <c r="L167" s="18">
        <f t="shared" si="16"/>
        <v>7000</v>
      </c>
      <c r="M167" s="29">
        <f>SUM('план на 2016'!$L168:M168)-SUM('членские взносы'!$M168:'членские взносы'!M168)</f>
        <v>7800</v>
      </c>
      <c r="N167" s="29">
        <f>SUM('план на 2016'!$L168:N168)-SUM('членские взносы'!$M168:'членские взносы'!N168)</f>
        <v>8600</v>
      </c>
      <c r="O167" s="29">
        <f>SUM('план на 2016'!$L168:O168)-SUM('членские взносы'!$M168:'членские взносы'!O168)</f>
        <v>9400</v>
      </c>
      <c r="P167" s="29">
        <f>SUM('план на 2016'!$L168:P168)-SUM('членские взносы'!$M168:'членские взносы'!P168)</f>
        <v>10200</v>
      </c>
      <c r="Q167" s="29">
        <f>SUM('план на 2016'!$L168:Q168)-SUM('членские взносы'!$M168:'членские взносы'!Q168)</f>
        <v>11000</v>
      </c>
      <c r="R167" s="29">
        <f>SUM('план на 2016'!$L168:R168)-SUM('членские взносы'!$M168:'членские взносы'!R168)</f>
        <v>11800</v>
      </c>
      <c r="S167" s="29">
        <f>SUM('план на 2016'!$L168:S168)-SUM('членские взносы'!$M168:'членские взносы'!S168)</f>
        <v>600</v>
      </c>
      <c r="T167" s="29">
        <f>SUM('план на 2016'!$L168:T168)-SUM('членские взносы'!$M168:'членские взносы'!T168)</f>
        <v>1400</v>
      </c>
      <c r="U167" s="29">
        <f>SUM('план на 2016'!$L168:U168)-SUM('членские взносы'!$M168:'членские взносы'!U168)</f>
        <v>2200</v>
      </c>
      <c r="V167" s="29">
        <f>SUM('план на 2016'!$L168:V168)-SUM('членские взносы'!$M168:'членские взносы'!V168)</f>
        <v>3000</v>
      </c>
      <c r="W167" s="29">
        <f>SUM('план на 2016'!$L168:W168)-SUM('членские взносы'!$M168:'членские взносы'!W168)</f>
        <v>3800</v>
      </c>
      <c r="X167" s="29">
        <f>SUM('план на 2016'!$L168:X168)-SUM('членские взносы'!$M168:'членские взносы'!X168)</f>
        <v>4600</v>
      </c>
      <c r="Y167" s="18">
        <f t="shared" si="17"/>
        <v>4600</v>
      </c>
    </row>
    <row r="168" spans="1:25">
      <c r="A168" s="41">
        <f>VLOOKUP(B168,справочник!$B$2:$E$322,4,FALSE)</f>
        <v>199</v>
      </c>
      <c r="B168" t="str">
        <f t="shared" si="14"/>
        <v>207Лошкарев Виктор Ильич</v>
      </c>
      <c r="C168" s="1">
        <v>207</v>
      </c>
      <c r="D168" s="2" t="s">
        <v>155</v>
      </c>
      <c r="E168" s="1" t="s">
        <v>474</v>
      </c>
      <c r="F168" s="19">
        <v>41036</v>
      </c>
      <c r="G168" s="19">
        <v>41030</v>
      </c>
      <c r="H168" s="20">
        <f t="shared" si="15"/>
        <v>44</v>
      </c>
      <c r="I168" s="5">
        <f t="shared" si="18"/>
        <v>44000</v>
      </c>
      <c r="J168" s="20">
        <v>1000</v>
      </c>
      <c r="K168" s="20"/>
      <c r="L168" s="21">
        <f t="shared" si="16"/>
        <v>43000</v>
      </c>
      <c r="M168" s="29">
        <f>SUM('план на 2016'!$L169:M169)-SUM('членские взносы'!$M169:'членские взносы'!M169)</f>
        <v>43800</v>
      </c>
      <c r="N168" s="29">
        <f>SUM('план на 2016'!$L169:N169)-SUM('членские взносы'!$M169:'членские взносы'!N169)</f>
        <v>44600</v>
      </c>
      <c r="O168" s="29">
        <f>SUM('план на 2016'!$L169:O169)-SUM('членские взносы'!$M169:'членские взносы'!O169)</f>
        <v>45400</v>
      </c>
      <c r="P168" s="29">
        <f>SUM('план на 2016'!$L169:P169)-SUM('членские взносы'!$M169:'членские взносы'!P169)</f>
        <v>46200</v>
      </c>
      <c r="Q168" s="29">
        <f>SUM('план на 2016'!$L169:Q169)-SUM('членские взносы'!$M169:'членские взносы'!Q169)</f>
        <v>47000</v>
      </c>
      <c r="R168" s="29">
        <f>SUM('план на 2016'!$L169:R169)-SUM('членские взносы'!$M169:'членские взносы'!R169)</f>
        <v>47800</v>
      </c>
      <c r="S168" s="29">
        <f>SUM('план на 2016'!$L169:S169)-SUM('членские взносы'!$M169:'членские взносы'!S169)</f>
        <v>48600</v>
      </c>
      <c r="T168" s="29">
        <f>SUM('план на 2016'!$L169:T169)-SUM('членские взносы'!$M169:'членские взносы'!T169)</f>
        <v>49400</v>
      </c>
      <c r="U168" s="29">
        <f>SUM('план на 2016'!$L169:U169)-SUM('членские взносы'!$M169:'членские взносы'!U169)</f>
        <v>50200</v>
      </c>
      <c r="V168" s="29">
        <f>SUM('план на 2016'!$L169:V169)-SUM('членские взносы'!$M169:'членские взносы'!V169)</f>
        <v>51000</v>
      </c>
      <c r="W168" s="29">
        <f>SUM('план на 2016'!$L169:W169)-SUM('членские взносы'!$M169:'членские взносы'!W169)</f>
        <v>51800</v>
      </c>
      <c r="X168" s="29">
        <f>SUM('план на 2016'!$L169:X169)-SUM('членские взносы'!$M169:'членские взносы'!X169)</f>
        <v>52600</v>
      </c>
      <c r="Y168" s="18">
        <f t="shared" si="17"/>
        <v>52600</v>
      </c>
    </row>
    <row r="169" spans="1:25">
      <c r="A169" s="41">
        <f>VLOOKUP(B169,справочник!$B$2:$E$322,4,FALSE)</f>
        <v>199</v>
      </c>
      <c r="B169" t="str">
        <f t="shared" si="14"/>
        <v>208Лошкарев Виктор Ильич</v>
      </c>
      <c r="C169" s="1">
        <v>208</v>
      </c>
      <c r="D169" s="2" t="s">
        <v>155</v>
      </c>
      <c r="E169" s="1" t="s">
        <v>448</v>
      </c>
      <c r="F169" s="19">
        <v>41036</v>
      </c>
      <c r="G169" s="19">
        <v>41030</v>
      </c>
      <c r="H169" s="20">
        <f t="shared" si="15"/>
        <v>44</v>
      </c>
      <c r="I169" s="5">
        <f t="shared" si="18"/>
        <v>44000</v>
      </c>
      <c r="J169" s="20">
        <v>1000</v>
      </c>
      <c r="K169" s="20"/>
      <c r="L169" s="21">
        <f t="shared" si="16"/>
        <v>43000</v>
      </c>
      <c r="M169" s="29">
        <f>SUM('план на 2016'!$L170:M170)-SUM('членские взносы'!$M170:'членские взносы'!M170)</f>
        <v>43000</v>
      </c>
      <c r="N169" s="29">
        <f>SUM('план на 2016'!$L170:N170)-SUM('членские взносы'!$M170:'членские взносы'!N170)</f>
        <v>43000</v>
      </c>
      <c r="O169" s="29">
        <f>SUM('план на 2016'!$L170:O170)-SUM('членские взносы'!$M170:'членские взносы'!O170)</f>
        <v>43000</v>
      </c>
      <c r="P169" s="29">
        <f>SUM('план на 2016'!$L170:P170)-SUM('членские взносы'!$M170:'членские взносы'!P170)</f>
        <v>43000</v>
      </c>
      <c r="Q169" s="29">
        <f>SUM('план на 2016'!$L170:Q170)-SUM('членские взносы'!$M170:'членские взносы'!Q170)</f>
        <v>43000</v>
      </c>
      <c r="R169" s="29">
        <f>SUM('план на 2016'!$L170:R170)-SUM('членские взносы'!$M170:'членские взносы'!R170)</f>
        <v>43000</v>
      </c>
      <c r="S169" s="29">
        <f>SUM('план на 2016'!$L170:S170)-SUM('членские взносы'!$M170:'членские взносы'!S170)</f>
        <v>43000</v>
      </c>
      <c r="T169" s="29">
        <f>SUM('план на 2016'!$L170:T170)-SUM('членские взносы'!$M170:'членские взносы'!T170)</f>
        <v>43000</v>
      </c>
      <c r="U169" s="29">
        <f>SUM('план на 2016'!$L170:U170)-SUM('членские взносы'!$M170:'членские взносы'!U170)</f>
        <v>43000</v>
      </c>
      <c r="V169" s="29">
        <f>SUM('план на 2016'!$L170:V170)-SUM('членские взносы'!$M170:'членские взносы'!V170)</f>
        <v>43000</v>
      </c>
      <c r="W169" s="29">
        <f>SUM('план на 2016'!$L170:W170)-SUM('членские взносы'!$M170:'членские взносы'!W170)</f>
        <v>43000</v>
      </c>
      <c r="X169" s="29">
        <f>SUM('план на 2016'!$L170:X170)-SUM('членские взносы'!$M170:'членские взносы'!X170)</f>
        <v>43000</v>
      </c>
      <c r="Y169" s="18">
        <f t="shared" si="17"/>
        <v>43000</v>
      </c>
    </row>
    <row r="170" spans="1:25">
      <c r="A170" s="41">
        <f>VLOOKUP(B170,справочник!$B$2:$E$322,4,FALSE)</f>
        <v>164</v>
      </c>
      <c r="B170" t="str">
        <f t="shared" si="14"/>
        <v>172Лунёв Денис Александрович</v>
      </c>
      <c r="C170" s="1">
        <v>172</v>
      </c>
      <c r="D170" s="2" t="s">
        <v>156</v>
      </c>
      <c r="E170" s="1" t="s">
        <v>475</v>
      </c>
      <c r="F170" s="16">
        <v>41576</v>
      </c>
      <c r="G170" s="16">
        <v>41579</v>
      </c>
      <c r="H170" s="17">
        <f t="shared" si="15"/>
        <v>26</v>
      </c>
      <c r="I170" s="1">
        <f t="shared" si="18"/>
        <v>26000</v>
      </c>
      <c r="J170" s="17">
        <v>1000</v>
      </c>
      <c r="K170" s="17"/>
      <c r="L170" s="18">
        <f t="shared" si="16"/>
        <v>25000</v>
      </c>
      <c r="M170" s="29">
        <f>SUM('план на 2016'!$L171:M171)-SUM('членские взносы'!$M171:'членские взносы'!M171)</f>
        <v>25800</v>
      </c>
      <c r="N170" s="29">
        <f>SUM('план на 2016'!$L171:N171)-SUM('членские взносы'!$M171:'членские взносы'!N171)</f>
        <v>26600</v>
      </c>
      <c r="O170" s="29">
        <f>SUM('план на 2016'!$L171:O171)-SUM('членские взносы'!$M171:'членские взносы'!O171)</f>
        <v>27400</v>
      </c>
      <c r="P170" s="29">
        <f>SUM('план на 2016'!$L171:P171)-SUM('членские взносы'!$M171:'членские взносы'!P171)</f>
        <v>28200</v>
      </c>
      <c r="Q170" s="29">
        <f>SUM('план на 2016'!$L171:Q171)-SUM('членские взносы'!$M171:'членские взносы'!Q171)</f>
        <v>29000</v>
      </c>
      <c r="R170" s="29">
        <f>SUM('план на 2016'!$L171:R171)-SUM('членские взносы'!$M171:'членские взносы'!R171)</f>
        <v>29800</v>
      </c>
      <c r="S170" s="29">
        <f>SUM('план на 2016'!$L171:S171)-SUM('членские взносы'!$M171:'членские взносы'!S171)</f>
        <v>30600</v>
      </c>
      <c r="T170" s="29">
        <f>SUM('план на 2016'!$L171:T171)-SUM('членские взносы'!$M171:'членские взносы'!T171)</f>
        <v>31400</v>
      </c>
      <c r="U170" s="29">
        <f>SUM('план на 2016'!$L171:U171)-SUM('членские взносы'!$M171:'членские взносы'!U171)</f>
        <v>32200</v>
      </c>
      <c r="V170" s="29">
        <f>SUM('план на 2016'!$L171:V171)-SUM('членские взносы'!$M171:'членские взносы'!V171)</f>
        <v>33000</v>
      </c>
      <c r="W170" s="29">
        <f>SUM('план на 2016'!$L171:W171)-SUM('членские взносы'!$M171:'членские взносы'!W171)</f>
        <v>23200</v>
      </c>
      <c r="X170" s="29">
        <f>SUM('план на 2016'!$L171:X171)-SUM('членские взносы'!$M171:'членские взносы'!X171)</f>
        <v>24000</v>
      </c>
      <c r="Y170" s="18">
        <f t="shared" si="17"/>
        <v>24000</v>
      </c>
    </row>
    <row r="171" spans="1:25">
      <c r="A171" s="41">
        <f>VLOOKUP(B171,справочник!$B$2:$E$322,4,FALSE)</f>
        <v>34</v>
      </c>
      <c r="B171" t="str">
        <f t="shared" si="14"/>
        <v>34Лунева Ольга Петровна</v>
      </c>
      <c r="C171" s="1">
        <v>34</v>
      </c>
      <c r="D171" s="2" t="s">
        <v>157</v>
      </c>
      <c r="E171" s="1" t="s">
        <v>476</v>
      </c>
      <c r="F171" s="16">
        <v>40781</v>
      </c>
      <c r="G171" s="16">
        <v>40787</v>
      </c>
      <c r="H171" s="17">
        <f t="shared" si="15"/>
        <v>52</v>
      </c>
      <c r="I171" s="1">
        <f t="shared" si="18"/>
        <v>52000</v>
      </c>
      <c r="J171" s="17">
        <v>55000</v>
      </c>
      <c r="K171" s="17"/>
      <c r="L171" s="18">
        <f t="shared" si="16"/>
        <v>-3000</v>
      </c>
      <c r="M171" s="29">
        <f>SUM('план на 2016'!$L172:M172)-SUM('членские взносы'!$M172:'членские взносы'!M172)</f>
        <v>-2200</v>
      </c>
      <c r="N171" s="29">
        <f>SUM('план на 2016'!$L172:N172)-SUM('членские взносы'!$M172:'членские взносы'!N172)</f>
        <v>-1400</v>
      </c>
      <c r="O171" s="29">
        <f>SUM('план на 2016'!$L172:O172)-SUM('членские взносы'!$M172:'членские взносы'!O172)</f>
        <v>-600</v>
      </c>
      <c r="P171" s="29">
        <f>SUM('план на 2016'!$L172:P172)-SUM('членские взносы'!$M172:'членские взносы'!P172)</f>
        <v>200</v>
      </c>
      <c r="Q171" s="29">
        <f>SUM('план на 2016'!$L172:Q172)-SUM('членские взносы'!$M172:'членские взносы'!Q172)</f>
        <v>1000</v>
      </c>
      <c r="R171" s="29">
        <f>SUM('план на 2016'!$L172:R172)-SUM('членские взносы'!$M172:'членские взносы'!R172)</f>
        <v>1800</v>
      </c>
      <c r="S171" s="29">
        <f>SUM('план на 2016'!$L172:S172)-SUM('членские взносы'!$M172:'членские взносы'!S172)</f>
        <v>2600</v>
      </c>
      <c r="T171" s="29">
        <f>SUM('план на 2016'!$L172:T172)-SUM('членские взносы'!$M172:'членские взносы'!T172)</f>
        <v>3400</v>
      </c>
      <c r="U171" s="29">
        <f>SUM('план на 2016'!$L172:U172)-SUM('членские взносы'!$M172:'членские взносы'!U172)</f>
        <v>4200</v>
      </c>
      <c r="V171" s="29">
        <f>SUM('план на 2016'!$L172:V172)-SUM('членские взносы'!$M172:'членские взносы'!V172)</f>
        <v>5000</v>
      </c>
      <c r="W171" s="29">
        <f>SUM('план на 2016'!$L172:W172)-SUM('членские взносы'!$M172:'членские взносы'!W172)</f>
        <v>5800</v>
      </c>
      <c r="X171" s="29">
        <f>SUM('план на 2016'!$L172:X172)-SUM('членские взносы'!$M172:'членские взносы'!X172)</f>
        <v>6600</v>
      </c>
      <c r="Y171" s="18">
        <f t="shared" si="17"/>
        <v>6600</v>
      </c>
    </row>
    <row r="172" spans="1:25">
      <c r="A172" s="41">
        <f>VLOOKUP(B172,справочник!$B$2:$E$322,4,FALSE)</f>
        <v>13</v>
      </c>
      <c r="B172" t="str">
        <f t="shared" si="14"/>
        <v>13Малов Алексей Викторович</v>
      </c>
      <c r="C172" s="1">
        <v>13</v>
      </c>
      <c r="D172" s="2" t="s">
        <v>158</v>
      </c>
      <c r="E172" s="1" t="s">
        <v>477</v>
      </c>
      <c r="F172" s="16">
        <v>41464</v>
      </c>
      <c r="G172" s="16">
        <v>41487</v>
      </c>
      <c r="H172" s="17">
        <f t="shared" si="15"/>
        <v>29</v>
      </c>
      <c r="I172" s="1">
        <f t="shared" si="18"/>
        <v>29000</v>
      </c>
      <c r="J172" s="17">
        <v>13000</v>
      </c>
      <c r="K172" s="17"/>
      <c r="L172" s="18">
        <f t="shared" si="16"/>
        <v>16000</v>
      </c>
      <c r="M172" s="29">
        <f>SUM('план на 2016'!$L173:M173)-SUM('членские взносы'!$M173:'членские взносы'!M173)</f>
        <v>16800</v>
      </c>
      <c r="N172" s="29">
        <f>SUM('план на 2016'!$L173:N173)-SUM('членские взносы'!$M173:'членские взносы'!N173)</f>
        <v>17600</v>
      </c>
      <c r="O172" s="29">
        <f>SUM('план на 2016'!$L173:O173)-SUM('членские взносы'!$M173:'членские взносы'!O173)</f>
        <v>18400</v>
      </c>
      <c r="P172" s="29">
        <f>SUM('план на 2016'!$L173:P173)-SUM('членские взносы'!$M173:'членские взносы'!P173)</f>
        <v>19200</v>
      </c>
      <c r="Q172" s="29">
        <f>SUM('план на 2016'!$L173:Q173)-SUM('членские взносы'!$M173:'членские взносы'!Q173)</f>
        <v>20000</v>
      </c>
      <c r="R172" s="29">
        <f>SUM('план на 2016'!$L173:R173)-SUM('членские взносы'!$M173:'членские взносы'!R173)</f>
        <v>20800</v>
      </c>
      <c r="S172" s="29">
        <f>SUM('план на 2016'!$L173:S173)-SUM('членские взносы'!$M173:'членские взносы'!S173)</f>
        <v>1600</v>
      </c>
      <c r="T172" s="29">
        <f>SUM('план на 2016'!$L173:T173)-SUM('членские взносы'!$M173:'членские взносы'!T173)</f>
        <v>2400</v>
      </c>
      <c r="U172" s="29">
        <f>SUM('план на 2016'!$L173:U173)-SUM('членские взносы'!$M173:'членские взносы'!U173)</f>
        <v>3200</v>
      </c>
      <c r="V172" s="29">
        <f>SUM('план на 2016'!$L173:V173)-SUM('членские взносы'!$M173:'членские взносы'!V173)</f>
        <v>4000</v>
      </c>
      <c r="W172" s="29">
        <f>SUM('план на 2016'!$L173:W173)-SUM('членские взносы'!$M173:'членские взносы'!W173)</f>
        <v>4800</v>
      </c>
      <c r="X172" s="29">
        <f>SUM('план на 2016'!$L173:X173)-SUM('членские взносы'!$M173:'членские взносы'!X173)</f>
        <v>5600</v>
      </c>
      <c r="Y172" s="18">
        <f t="shared" si="17"/>
        <v>5600</v>
      </c>
    </row>
    <row r="173" spans="1:25">
      <c r="A173" s="41">
        <f>VLOOKUP(B173,справочник!$B$2:$E$322,4,FALSE)</f>
        <v>273</v>
      </c>
      <c r="B173" t="str">
        <f t="shared" si="14"/>
        <v>286Маргиева Марина Евгеньевна</v>
      </c>
      <c r="C173" s="1">
        <v>286</v>
      </c>
      <c r="D173" s="11" t="s">
        <v>159</v>
      </c>
      <c r="E173" s="1" t="s">
        <v>478</v>
      </c>
      <c r="F173" s="16">
        <v>41992</v>
      </c>
      <c r="G173" s="16">
        <v>42005</v>
      </c>
      <c r="H173" s="17">
        <f t="shared" si="15"/>
        <v>12</v>
      </c>
      <c r="I173" s="1">
        <f t="shared" si="18"/>
        <v>12000</v>
      </c>
      <c r="J173" s="17">
        <v>8000</v>
      </c>
      <c r="K173" s="17"/>
      <c r="L173" s="18">
        <f t="shared" si="16"/>
        <v>4000</v>
      </c>
      <c r="M173" s="29">
        <f>SUM('план на 2016'!$L174:M174)-SUM('членские взносы'!$M174:'членские взносы'!M174)</f>
        <v>4800</v>
      </c>
      <c r="N173" s="29">
        <f>SUM('план на 2016'!$L174:N174)-SUM('членские взносы'!$M174:'членские взносы'!N174)</f>
        <v>5600</v>
      </c>
      <c r="O173" s="29">
        <f>SUM('план на 2016'!$L174:O174)-SUM('членские взносы'!$M174:'членские взносы'!O174)</f>
        <v>6400</v>
      </c>
      <c r="P173" s="29">
        <f>SUM('план на 2016'!$L174:P174)-SUM('членские взносы'!$M174:'членские взносы'!P174)</f>
        <v>7200</v>
      </c>
      <c r="Q173" s="29">
        <f>SUM('план на 2016'!$L174:Q174)-SUM('членские взносы'!$M174:'членские взносы'!Q174)</f>
        <v>8000</v>
      </c>
      <c r="R173" s="29">
        <f>SUM('план на 2016'!$L174:R174)-SUM('членские взносы'!$M174:'членские взносы'!R174)</f>
        <v>800</v>
      </c>
      <c r="S173" s="29">
        <f>SUM('план на 2016'!$L174:S174)-SUM('членские взносы'!$M174:'членские взносы'!S174)</f>
        <v>1600</v>
      </c>
      <c r="T173" s="29">
        <f>SUM('план на 2016'!$L174:T174)-SUM('членские взносы'!$M174:'членские взносы'!T174)</f>
        <v>2400</v>
      </c>
      <c r="U173" s="29">
        <f>SUM('план на 2016'!$L174:U174)-SUM('членские взносы'!$M174:'членские взносы'!U174)</f>
        <v>1600</v>
      </c>
      <c r="V173" s="29">
        <f>SUM('план на 2016'!$L174:V174)-SUM('членские взносы'!$M174:'членские взносы'!V174)</f>
        <v>2400</v>
      </c>
      <c r="W173" s="29">
        <f>SUM('план на 2016'!$L174:W174)-SUM('членские взносы'!$M174:'членские взносы'!W174)</f>
        <v>3200</v>
      </c>
      <c r="X173" s="29">
        <f>SUM('план на 2016'!$L174:X174)-SUM('членские взносы'!$M174:'членские взносы'!X174)</f>
        <v>800</v>
      </c>
      <c r="Y173" s="18">
        <f t="shared" si="17"/>
        <v>800</v>
      </c>
    </row>
    <row r="174" spans="1:25">
      <c r="A174" s="41">
        <f>VLOOKUP(B174,справочник!$B$2:$E$322,4,FALSE)</f>
        <v>87</v>
      </c>
      <c r="B174" t="str">
        <f t="shared" si="14"/>
        <v>92Маркина Людмила Николаевна, Марина</v>
      </c>
      <c r="C174" s="1">
        <v>92</v>
      </c>
      <c r="D174" s="2" t="s">
        <v>160</v>
      </c>
      <c r="E174" s="1" t="s">
        <v>479</v>
      </c>
      <c r="F174" s="16">
        <v>41144</v>
      </c>
      <c r="G174" s="16">
        <v>41153</v>
      </c>
      <c r="H174" s="17">
        <f t="shared" si="15"/>
        <v>40</v>
      </c>
      <c r="I174" s="1">
        <f t="shared" si="18"/>
        <v>40000</v>
      </c>
      <c r="J174" s="17">
        <v>37000</v>
      </c>
      <c r="K174" s="17"/>
      <c r="L174" s="18">
        <f t="shared" si="16"/>
        <v>3000</v>
      </c>
      <c r="M174" s="29">
        <f>SUM('план на 2016'!$L175:M175)-SUM('членские взносы'!$M175:'членские взносы'!M175)</f>
        <v>3800</v>
      </c>
      <c r="N174" s="29">
        <f>SUM('план на 2016'!$L175:N175)-SUM('членские взносы'!$M175:'членские взносы'!N175)</f>
        <v>4600</v>
      </c>
      <c r="O174" s="29">
        <f>SUM('план на 2016'!$L175:O175)-SUM('членские взносы'!$M175:'членские взносы'!O175)</f>
        <v>5400</v>
      </c>
      <c r="P174" s="29">
        <f>SUM('план на 2016'!$L175:P175)-SUM('членские взносы'!$M175:'членские взносы'!P175)</f>
        <v>6200</v>
      </c>
      <c r="Q174" s="29">
        <f>SUM('план на 2016'!$L175:Q175)-SUM('членские взносы'!$M175:'членские взносы'!Q175)</f>
        <v>7000</v>
      </c>
      <c r="R174" s="29">
        <f>SUM('план на 2016'!$L175:R175)-SUM('членские взносы'!$M175:'членские взносы'!R175)</f>
        <v>7800</v>
      </c>
      <c r="S174" s="29">
        <f>SUM('план на 2016'!$L175:S175)-SUM('членские взносы'!$M175:'членские взносы'!S175)</f>
        <v>8600</v>
      </c>
      <c r="T174" s="29">
        <f>SUM('план на 2016'!$L175:T175)-SUM('членские взносы'!$M175:'членские взносы'!T175)</f>
        <v>9400</v>
      </c>
      <c r="U174" s="29">
        <f>SUM('план на 2016'!$L175:U175)-SUM('членские взносы'!$M175:'членские взносы'!U175)</f>
        <v>10200</v>
      </c>
      <c r="V174" s="29">
        <f>SUM('план на 2016'!$L175:V175)-SUM('членские взносы'!$M175:'членские взносы'!V175)</f>
        <v>11000</v>
      </c>
      <c r="W174" s="29">
        <f>SUM('план на 2016'!$L175:W175)-SUM('членские взносы'!$M175:'членские взносы'!W175)</f>
        <v>11800</v>
      </c>
      <c r="X174" s="29">
        <f>SUM('план на 2016'!$L175:X175)-SUM('членские взносы'!$M175:'членские взносы'!X175)</f>
        <v>12600</v>
      </c>
      <c r="Y174" s="18">
        <f t="shared" si="17"/>
        <v>12600</v>
      </c>
    </row>
    <row r="175" spans="1:25">
      <c r="A175" s="41">
        <f>VLOOKUP(B175,справочник!$B$2:$E$322,4,FALSE)</f>
        <v>154</v>
      </c>
      <c r="B175" t="str">
        <f t="shared" si="14"/>
        <v>162Марков Максим Юрьевич</v>
      </c>
      <c r="C175" s="1">
        <v>162</v>
      </c>
      <c r="D175" s="2" t="s">
        <v>161</v>
      </c>
      <c r="E175" s="1" t="s">
        <v>462</v>
      </c>
      <c r="F175" s="16">
        <v>40720</v>
      </c>
      <c r="G175" s="16">
        <v>40725</v>
      </c>
      <c r="H175" s="17">
        <f t="shared" si="15"/>
        <v>54</v>
      </c>
      <c r="I175" s="1">
        <f t="shared" si="18"/>
        <v>54000</v>
      </c>
      <c r="J175" s="17">
        <v>50000</v>
      </c>
      <c r="K175" s="17"/>
      <c r="L175" s="18">
        <f t="shared" si="16"/>
        <v>4000</v>
      </c>
      <c r="M175" s="29">
        <f>SUM('план на 2016'!$L176:M176)-SUM('членские взносы'!$M176:'членские взносы'!M176)</f>
        <v>4800</v>
      </c>
      <c r="N175" s="29">
        <f>SUM('план на 2016'!$L176:N176)-SUM('членские взносы'!$M176:'членские взносы'!N176)</f>
        <v>5600</v>
      </c>
      <c r="O175" s="29">
        <f>SUM('план на 2016'!$L176:O176)-SUM('членские взносы'!$M176:'членские взносы'!O176)</f>
        <v>6400</v>
      </c>
      <c r="P175" s="29">
        <f>SUM('план на 2016'!$L176:P176)-SUM('членские взносы'!$M176:'членские взносы'!P176)</f>
        <v>4800</v>
      </c>
      <c r="Q175" s="29">
        <f>SUM('план на 2016'!$L176:Q176)-SUM('членские взносы'!$M176:'членские взносы'!Q176)</f>
        <v>4800</v>
      </c>
      <c r="R175" s="29">
        <f>SUM('план на 2016'!$L176:R176)-SUM('членские взносы'!$M176:'членские взносы'!R176)</f>
        <v>4000</v>
      </c>
      <c r="S175" s="29">
        <f>SUM('план на 2016'!$L176:S176)-SUM('членские взносы'!$M176:'членские взносы'!S176)</f>
        <v>4000</v>
      </c>
      <c r="T175" s="29">
        <f>SUM('план на 2016'!$L176:T176)-SUM('членские взносы'!$M176:'членские взносы'!T176)</f>
        <v>4000</v>
      </c>
      <c r="U175" s="29">
        <f>SUM('план на 2016'!$L176:U176)-SUM('членские взносы'!$M176:'членские взносы'!U176)</f>
        <v>4000</v>
      </c>
      <c r="V175" s="29">
        <f>SUM('план на 2016'!$L176:V176)-SUM('членские взносы'!$M176:'членские взносы'!V176)</f>
        <v>4000</v>
      </c>
      <c r="W175" s="29">
        <f>SUM('план на 2016'!$L176:W176)-SUM('членские взносы'!$M176:'членские взносы'!W176)</f>
        <v>4000</v>
      </c>
      <c r="X175" s="29">
        <f>SUM('план на 2016'!$L176:X176)-SUM('членские взносы'!$M176:'членские взносы'!X176)</f>
        <v>4000</v>
      </c>
      <c r="Y175" s="18">
        <f t="shared" si="17"/>
        <v>4000</v>
      </c>
    </row>
    <row r="176" spans="1:25">
      <c r="A176" s="41">
        <f>VLOOKUP(B176,справочник!$B$2:$E$322,4,FALSE)</f>
        <v>270</v>
      </c>
      <c r="B176" t="str">
        <f t="shared" si="14"/>
        <v>283Маркова Тамара Ивановна</v>
      </c>
      <c r="C176" s="1">
        <v>283</v>
      </c>
      <c r="D176" s="2" t="s">
        <v>162</v>
      </c>
      <c r="E176" s="1" t="s">
        <v>480</v>
      </c>
      <c r="F176" s="16">
        <v>41422</v>
      </c>
      <c r="G176" s="16">
        <v>41456</v>
      </c>
      <c r="H176" s="17">
        <f t="shared" si="15"/>
        <v>30</v>
      </c>
      <c r="I176" s="1">
        <f t="shared" si="18"/>
        <v>30000</v>
      </c>
      <c r="J176" s="17">
        <v>20000</v>
      </c>
      <c r="K176" s="17"/>
      <c r="L176" s="18">
        <f t="shared" si="16"/>
        <v>10000</v>
      </c>
      <c r="M176" s="29">
        <f>SUM('план на 2016'!$L177:M177)-SUM('членские взносы'!$M177:'членские взносы'!M177)</f>
        <v>10800</v>
      </c>
      <c r="N176" s="29">
        <f>SUM('план на 2016'!$L177:N177)-SUM('членские взносы'!$M177:'членские взносы'!N177)</f>
        <v>11600</v>
      </c>
      <c r="O176" s="29">
        <f>SUM('план на 2016'!$L177:O177)-SUM('членские взносы'!$M177:'членские взносы'!O177)</f>
        <v>12400</v>
      </c>
      <c r="P176" s="29">
        <f>SUM('план на 2016'!$L177:P177)-SUM('членские взносы'!$M177:'членские взносы'!P177)</f>
        <v>13200</v>
      </c>
      <c r="Q176" s="29">
        <f>SUM('план на 2016'!$L177:Q177)-SUM('членские взносы'!$M177:'членские взносы'!Q177)</f>
        <v>14000</v>
      </c>
      <c r="R176" s="29">
        <f>SUM('план на 2016'!$L177:R177)-SUM('членские взносы'!$M177:'членские взносы'!R177)</f>
        <v>14800</v>
      </c>
      <c r="S176" s="29">
        <f>SUM('план на 2016'!$L177:S177)-SUM('членские взносы'!$M177:'членские взносы'!S177)</f>
        <v>15600</v>
      </c>
      <c r="T176" s="29">
        <f>SUM('план на 2016'!$L177:T177)-SUM('членские взносы'!$M177:'членские взносы'!T177)</f>
        <v>1600</v>
      </c>
      <c r="U176" s="29">
        <f>SUM('план на 2016'!$L177:U177)-SUM('членские взносы'!$M177:'членские взносы'!U177)</f>
        <v>2400</v>
      </c>
      <c r="V176" s="29">
        <f>SUM('план на 2016'!$L177:V177)-SUM('членские взносы'!$M177:'членские взносы'!V177)</f>
        <v>3200</v>
      </c>
      <c r="W176" s="29">
        <f>SUM('план на 2016'!$L177:W177)-SUM('членские взносы'!$M177:'членские взносы'!W177)</f>
        <v>4000</v>
      </c>
      <c r="X176" s="29">
        <f>SUM('план на 2016'!$L177:X177)-SUM('членские взносы'!$M177:'членские взносы'!X177)</f>
        <v>4800</v>
      </c>
      <c r="Y176" s="18">
        <f t="shared" si="17"/>
        <v>4800</v>
      </c>
    </row>
    <row r="177" spans="1:25">
      <c r="A177" s="41">
        <f>VLOOKUP(B177,справочник!$B$2:$E$322,4,FALSE)</f>
        <v>9</v>
      </c>
      <c r="B177" t="str">
        <f t="shared" si="14"/>
        <v>9Марковнина Светлана Викторовна</v>
      </c>
      <c r="C177" s="1">
        <v>9</v>
      </c>
      <c r="D177" s="2" t="s">
        <v>163</v>
      </c>
      <c r="E177" s="1" t="s">
        <v>481</v>
      </c>
      <c r="F177" s="16">
        <v>41114</v>
      </c>
      <c r="G177" s="16">
        <v>41122</v>
      </c>
      <c r="H177" s="17">
        <f t="shared" si="15"/>
        <v>41</v>
      </c>
      <c r="I177" s="1">
        <f t="shared" si="18"/>
        <v>41000</v>
      </c>
      <c r="J177" s="17">
        <v>18000</v>
      </c>
      <c r="K177" s="17"/>
      <c r="L177" s="18">
        <f t="shared" si="16"/>
        <v>23000</v>
      </c>
      <c r="M177" s="29">
        <f>SUM('план на 2016'!$L178:M178)-SUM('членские взносы'!$M178:'членские взносы'!M178)</f>
        <v>23800</v>
      </c>
      <c r="N177" s="29">
        <f>SUM('план на 2016'!$L178:N178)-SUM('членские взносы'!$M178:'членские взносы'!N178)</f>
        <v>24600</v>
      </c>
      <c r="O177" s="29">
        <f>SUM('план на 2016'!$L178:O178)-SUM('членские взносы'!$M178:'членские взносы'!O178)</f>
        <v>25400</v>
      </c>
      <c r="P177" s="29">
        <f>SUM('план на 2016'!$L178:P178)-SUM('членские взносы'!$M178:'членские взносы'!P178)</f>
        <v>26200</v>
      </c>
      <c r="Q177" s="29">
        <f>SUM('план на 2016'!$L178:Q178)-SUM('членские взносы'!$M178:'членские взносы'!Q178)</f>
        <v>18000</v>
      </c>
      <c r="R177" s="29">
        <f>SUM('план на 2016'!$L178:R178)-SUM('членские взносы'!$M178:'членские взносы'!R178)</f>
        <v>17200</v>
      </c>
      <c r="S177" s="29">
        <f>SUM('план на 2016'!$L178:S178)-SUM('членские взносы'!$M178:'членские взносы'!S178)</f>
        <v>17000</v>
      </c>
      <c r="T177" s="29">
        <f>SUM('план на 2016'!$L178:T178)-SUM('членские взносы'!$M178:'членские взносы'!T178)</f>
        <v>6800</v>
      </c>
      <c r="U177" s="29">
        <f>SUM('план на 2016'!$L178:U178)-SUM('членские взносы'!$M178:'членские взносы'!U178)</f>
        <v>7600</v>
      </c>
      <c r="V177" s="29">
        <f>SUM('план на 2016'!$L178:V178)-SUM('членские взносы'!$M178:'членские взносы'!V178)</f>
        <v>1400</v>
      </c>
      <c r="W177" s="29">
        <f>SUM('план на 2016'!$L178:W178)-SUM('членские взносы'!$M178:'членские взносы'!W178)</f>
        <v>2200</v>
      </c>
      <c r="X177" s="29">
        <f>SUM('план на 2016'!$L178:X178)-SUM('членские взносы'!$M178:'членские взносы'!X178)</f>
        <v>0</v>
      </c>
      <c r="Y177" s="18">
        <f t="shared" si="17"/>
        <v>0</v>
      </c>
    </row>
    <row r="178" spans="1:25">
      <c r="A178" s="41">
        <f>VLOOKUP(B178,справочник!$B$2:$E$322,4,FALSE)</f>
        <v>129</v>
      </c>
      <c r="B178" t="str">
        <f t="shared" si="14"/>
        <v>136Маслов Александр Александрович</v>
      </c>
      <c r="C178" s="1">
        <v>136</v>
      </c>
      <c r="D178" s="2" t="s">
        <v>164</v>
      </c>
      <c r="E178" s="1" t="s">
        <v>482</v>
      </c>
      <c r="F178" s="16">
        <v>41352</v>
      </c>
      <c r="G178" s="16">
        <v>41365</v>
      </c>
      <c r="H178" s="17">
        <f t="shared" si="15"/>
        <v>33</v>
      </c>
      <c r="I178" s="1">
        <f t="shared" si="18"/>
        <v>33000</v>
      </c>
      <c r="J178" s="17">
        <v>31000</v>
      </c>
      <c r="K178" s="17"/>
      <c r="L178" s="18">
        <f t="shared" si="16"/>
        <v>2000</v>
      </c>
      <c r="M178" s="29">
        <f>SUM('план на 2016'!$L179:M179)-SUM('членские взносы'!$M179:'членские взносы'!M179)</f>
        <v>2800</v>
      </c>
      <c r="N178" s="29">
        <f>SUM('план на 2016'!$L179:N179)-SUM('членские взносы'!$M179:'членские взносы'!N179)</f>
        <v>600</v>
      </c>
      <c r="O178" s="29">
        <f>SUM('план на 2016'!$L179:O179)-SUM('членские взносы'!$M179:'членские взносы'!O179)</f>
        <v>1400</v>
      </c>
      <c r="P178" s="29">
        <f>SUM('план на 2016'!$L179:P179)-SUM('членские взносы'!$M179:'членские взносы'!P179)</f>
        <v>-800</v>
      </c>
      <c r="Q178" s="29">
        <f>SUM('план на 2016'!$L179:Q179)-SUM('членские взносы'!$M179:'членские взносы'!Q179)</f>
        <v>0</v>
      </c>
      <c r="R178" s="29">
        <f>SUM('план на 2016'!$L179:R179)-SUM('членские взносы'!$M179:'членские взносы'!R179)</f>
        <v>800</v>
      </c>
      <c r="S178" s="29">
        <f>SUM('план на 2016'!$L179:S179)-SUM('членские взносы'!$M179:'членские взносы'!S179)</f>
        <v>-1400</v>
      </c>
      <c r="T178" s="29">
        <f>SUM('план на 2016'!$L179:T179)-SUM('членские взносы'!$M179:'членские взносы'!T179)</f>
        <v>-600</v>
      </c>
      <c r="U178" s="29">
        <f>SUM('план на 2016'!$L179:U179)-SUM('членские взносы'!$M179:'членские взносы'!U179)</f>
        <v>200</v>
      </c>
      <c r="V178" s="29">
        <f>SUM('план на 2016'!$L179:V179)-SUM('членские взносы'!$M179:'членские взносы'!V179)</f>
        <v>1000</v>
      </c>
      <c r="W178" s="29">
        <f>SUM('план на 2016'!$L179:W179)-SUM('членские взносы'!$M179:'членские взносы'!W179)</f>
        <v>1800</v>
      </c>
      <c r="X178" s="29">
        <f>SUM('план на 2016'!$L179:X179)-SUM('членские взносы'!$M179:'членские взносы'!X179)</f>
        <v>2600</v>
      </c>
      <c r="Y178" s="18">
        <f t="shared" si="17"/>
        <v>2600</v>
      </c>
    </row>
    <row r="179" spans="1:25" ht="25.5">
      <c r="A179" s="41">
        <f>VLOOKUP(B179,справочник!$B$2:$E$322,4,FALSE)</f>
        <v>42</v>
      </c>
      <c r="B179" t="str">
        <f t="shared" si="14"/>
        <v>42Маслов Андрей Геннадьевич (1/2)                 Щербакова Надежда Михайловна (1/2)</v>
      </c>
      <c r="C179" s="1">
        <v>42</v>
      </c>
      <c r="D179" s="2" t="s">
        <v>165</v>
      </c>
      <c r="E179" s="1" t="s">
        <v>483</v>
      </c>
      <c r="F179" s="16">
        <v>40785</v>
      </c>
      <c r="G179" s="16">
        <v>40787</v>
      </c>
      <c r="H179" s="17">
        <f t="shared" si="15"/>
        <v>52</v>
      </c>
      <c r="I179" s="1">
        <f t="shared" si="18"/>
        <v>52000</v>
      </c>
      <c r="J179" s="17">
        <f>19500+500+4500+23500</f>
        <v>48000</v>
      </c>
      <c r="K179" s="17"/>
      <c r="L179" s="18">
        <f t="shared" si="16"/>
        <v>4000</v>
      </c>
      <c r="M179" s="29">
        <f>SUM('план на 2016'!$L180:M180)-SUM('членские взносы'!$M180:'членские взносы'!M180)</f>
        <v>-200</v>
      </c>
      <c r="N179" s="29">
        <f>SUM('план на 2016'!$L180:N180)-SUM('членские взносы'!$M180:'членские взносы'!N180)</f>
        <v>-800</v>
      </c>
      <c r="O179" s="29">
        <f>SUM('план на 2016'!$L180:O180)-SUM('членские взносы'!$M180:'членские взносы'!O180)</f>
        <v>0</v>
      </c>
      <c r="P179" s="29">
        <f>SUM('план на 2016'!$L180:P180)-SUM('членские взносы'!$M180:'членские взносы'!P180)</f>
        <v>-800</v>
      </c>
      <c r="Q179" s="29">
        <f>SUM('план на 2016'!$L180:Q180)-SUM('членские взносы'!$M180:'членские взносы'!Q180)</f>
        <v>0</v>
      </c>
      <c r="R179" s="29">
        <f>SUM('план на 2016'!$L180:R180)-SUM('членские взносы'!$M180:'членские взносы'!R180)</f>
        <v>-800</v>
      </c>
      <c r="S179" s="29">
        <f>SUM('план на 2016'!$L180:S180)-SUM('членские взносы'!$M180:'членские взносы'!S180)</f>
        <v>0</v>
      </c>
      <c r="T179" s="29">
        <f>SUM('план на 2016'!$L180:T180)-SUM('членские взносы'!$M180:'членские взносы'!T180)</f>
        <v>800</v>
      </c>
      <c r="U179" s="29">
        <f>SUM('план на 2016'!$L180:U180)-SUM('членские взносы'!$M180:'членские взносы'!U180)</f>
        <v>1600</v>
      </c>
      <c r="V179" s="29">
        <f>SUM('план на 2016'!$L180:V180)-SUM('членские взносы'!$M180:'членские взносы'!V180)</f>
        <v>0</v>
      </c>
      <c r="W179" s="29">
        <f>SUM('план на 2016'!$L180:W180)-SUM('членские взносы'!$M180:'членские взносы'!W180)</f>
        <v>800</v>
      </c>
      <c r="X179" s="29">
        <f>SUM('план на 2016'!$L180:X180)-SUM('членские взносы'!$M180:'членские взносы'!X180)</f>
        <v>0</v>
      </c>
      <c r="Y179" s="18">
        <f t="shared" si="17"/>
        <v>0</v>
      </c>
    </row>
    <row r="180" spans="1:25">
      <c r="A180" s="41">
        <f>VLOOKUP(B180,справочник!$B$2:$E$322,4,FALSE)</f>
        <v>96</v>
      </c>
      <c r="B180" t="str">
        <f t="shared" si="14"/>
        <v>101Маслова Валентина Петровна</v>
      </c>
      <c r="C180" s="1">
        <v>101</v>
      </c>
      <c r="D180" s="2" t="s">
        <v>166</v>
      </c>
      <c r="E180" s="1" t="s">
        <v>484</v>
      </c>
      <c r="F180" s="19">
        <v>40708</v>
      </c>
      <c r="G180" s="19">
        <v>40725</v>
      </c>
      <c r="H180" s="20">
        <f t="shared" si="15"/>
        <v>54</v>
      </c>
      <c r="I180" s="5">
        <f t="shared" si="18"/>
        <v>54000</v>
      </c>
      <c r="J180" s="20">
        <v>41012</v>
      </c>
      <c r="K180" s="20"/>
      <c r="L180" s="21">
        <f t="shared" si="16"/>
        <v>12988</v>
      </c>
      <c r="M180" s="29">
        <f>SUM('план на 2016'!$L181:M181)-SUM('членские взносы'!$M181:'членские взносы'!M181)</f>
        <v>3988</v>
      </c>
      <c r="N180" s="29">
        <f>SUM('план на 2016'!$L181:N181)-SUM('членские взносы'!$M181:'членские взносы'!N181)</f>
        <v>3988</v>
      </c>
      <c r="O180" s="29">
        <f>SUM('план на 2016'!$L181:O181)-SUM('членские взносы'!$M181:'членские взносы'!O181)</f>
        <v>3988</v>
      </c>
      <c r="P180" s="29">
        <f>SUM('план на 2016'!$L181:P181)-SUM('членские взносы'!$M181:'членские взносы'!P181)</f>
        <v>1988</v>
      </c>
      <c r="Q180" s="29">
        <f>SUM('план на 2016'!$L181:Q181)-SUM('членские взносы'!$M181:'членские взносы'!Q181)</f>
        <v>1988</v>
      </c>
      <c r="R180" s="29">
        <f>SUM('план на 2016'!$L181:R181)-SUM('членские взносы'!$M181:'членские взносы'!R181)</f>
        <v>-12</v>
      </c>
      <c r="S180" s="29">
        <f>SUM('план на 2016'!$L181:S181)-SUM('членские взносы'!$M181:'членские взносы'!S181)</f>
        <v>-12</v>
      </c>
      <c r="T180" s="29">
        <f>SUM('план на 2016'!$L181:T181)-SUM('членские взносы'!$M181:'членские взносы'!T181)</f>
        <v>-2012</v>
      </c>
      <c r="U180" s="29">
        <f>SUM('план на 2016'!$L181:U181)-SUM('членские взносы'!$M181:'членские взносы'!U181)</f>
        <v>-2012</v>
      </c>
      <c r="V180" s="29">
        <f>SUM('план на 2016'!$L181:V181)-SUM('членские взносы'!$M181:'членские взносы'!V181)</f>
        <v>-4012</v>
      </c>
      <c r="W180" s="29">
        <f>SUM('план на 2016'!$L181:W181)-SUM('членские взносы'!$M181:'членские взносы'!W181)</f>
        <v>-4012</v>
      </c>
      <c r="X180" s="29">
        <f>SUM('план на 2016'!$L181:X181)-SUM('членские взносы'!$M181:'членские взносы'!X181)</f>
        <v>-6012</v>
      </c>
      <c r="Y180" s="18">
        <f t="shared" si="17"/>
        <v>-6012</v>
      </c>
    </row>
    <row r="181" spans="1:25">
      <c r="A181" s="41">
        <f>VLOOKUP(B181,справочник!$B$2:$E$322,4,FALSE)</f>
        <v>96</v>
      </c>
      <c r="B181" t="str">
        <f t="shared" si="14"/>
        <v>102Маслова Валентина Петровна</v>
      </c>
      <c r="C181" s="1">
        <v>102</v>
      </c>
      <c r="D181" s="2" t="s">
        <v>166</v>
      </c>
      <c r="E181" s="1"/>
      <c r="F181" s="19">
        <v>40708</v>
      </c>
      <c r="G181" s="19">
        <v>40725</v>
      </c>
      <c r="H181" s="20">
        <f t="shared" si="15"/>
        <v>54</v>
      </c>
      <c r="I181" s="5">
        <f t="shared" si="18"/>
        <v>54000</v>
      </c>
      <c r="J181" s="20">
        <v>41000</v>
      </c>
      <c r="K181" s="20"/>
      <c r="L181" s="21">
        <f t="shared" si="16"/>
        <v>13000</v>
      </c>
      <c r="M181" s="29">
        <f>SUM('план на 2016'!$L182:M182)-SUM('членские взносы'!$M182:'членские взносы'!M182)</f>
        <v>13800</v>
      </c>
      <c r="N181" s="29">
        <f>SUM('план на 2016'!$L182:N182)-SUM('членские взносы'!$M182:'членские взносы'!N182)</f>
        <v>14600</v>
      </c>
      <c r="O181" s="29">
        <f>SUM('план на 2016'!$L182:O182)-SUM('членские взносы'!$M182:'членские взносы'!O182)</f>
        <v>15400</v>
      </c>
      <c r="P181" s="29">
        <f>SUM('план на 2016'!$L182:P182)-SUM('членские взносы'!$M182:'членские взносы'!P182)</f>
        <v>16200</v>
      </c>
      <c r="Q181" s="29">
        <f>SUM('план на 2016'!$L182:Q182)-SUM('членские взносы'!$M182:'членские взносы'!Q182)</f>
        <v>17000</v>
      </c>
      <c r="R181" s="29">
        <f>SUM('план на 2016'!$L182:R182)-SUM('членские взносы'!$M182:'членские взносы'!R182)</f>
        <v>17800</v>
      </c>
      <c r="S181" s="29">
        <f>SUM('план на 2016'!$L182:S182)-SUM('членские взносы'!$M182:'членские взносы'!S182)</f>
        <v>18600</v>
      </c>
      <c r="T181" s="29">
        <f>SUM('план на 2016'!$L182:T182)-SUM('членские взносы'!$M182:'членские взносы'!T182)</f>
        <v>19400</v>
      </c>
      <c r="U181" s="29">
        <f>SUM('план на 2016'!$L182:U182)-SUM('членские взносы'!$M182:'членские взносы'!U182)</f>
        <v>20200</v>
      </c>
      <c r="V181" s="29">
        <f>SUM('план на 2016'!$L182:V182)-SUM('членские взносы'!$M182:'членские взносы'!V182)</f>
        <v>21000</v>
      </c>
      <c r="W181" s="29">
        <f>SUM('план на 2016'!$L182:W182)-SUM('членские взносы'!$M182:'членские взносы'!W182)</f>
        <v>21800</v>
      </c>
      <c r="X181" s="29">
        <f>SUM('план на 2016'!$L182:X182)-SUM('членские взносы'!$M182:'членские взносы'!X182)</f>
        <v>22600</v>
      </c>
      <c r="Y181" s="18">
        <f t="shared" si="17"/>
        <v>22600</v>
      </c>
    </row>
    <row r="182" spans="1:25">
      <c r="A182" s="41">
        <f>VLOOKUP(B182,справочник!$B$2:$E$322,4,FALSE)</f>
        <v>292</v>
      </c>
      <c r="B182" t="str">
        <f t="shared" si="14"/>
        <v>305Матвеев Денис Львович</v>
      </c>
      <c r="C182" s="1">
        <v>305</v>
      </c>
      <c r="D182" s="2" t="s">
        <v>167</v>
      </c>
      <c r="E182" s="1" t="s">
        <v>485</v>
      </c>
      <c r="F182" s="16">
        <v>42018</v>
      </c>
      <c r="G182" s="16">
        <v>42036</v>
      </c>
      <c r="H182" s="17">
        <f t="shared" si="15"/>
        <v>11</v>
      </c>
      <c r="I182" s="1">
        <f t="shared" si="18"/>
        <v>11000</v>
      </c>
      <c r="J182" s="17"/>
      <c r="K182" s="17"/>
      <c r="L182" s="18">
        <f t="shared" si="16"/>
        <v>11000</v>
      </c>
      <c r="M182" s="29">
        <f>SUM('план на 2016'!$L183:M183)-SUM('членские взносы'!$M183:'членские взносы'!M183)</f>
        <v>11800</v>
      </c>
      <c r="N182" s="29">
        <f>SUM('план на 2016'!$L183:N183)-SUM('членские взносы'!$M183:'членские взносы'!N183)</f>
        <v>12600</v>
      </c>
      <c r="O182" s="29">
        <f>SUM('план на 2016'!$L183:O183)-SUM('членские взносы'!$M183:'членские взносы'!O183)</f>
        <v>13400</v>
      </c>
      <c r="P182" s="29">
        <f>SUM('план на 2016'!$L183:P183)-SUM('членские взносы'!$M183:'членские взносы'!P183)</f>
        <v>14200</v>
      </c>
      <c r="Q182" s="29">
        <f>SUM('план на 2016'!$L183:Q183)-SUM('членские взносы'!$M183:'членские взносы'!Q183)</f>
        <v>15000</v>
      </c>
      <c r="R182" s="29">
        <f>SUM('план на 2016'!$L183:R183)-SUM('членские взносы'!$M183:'членские взносы'!R183)</f>
        <v>15800</v>
      </c>
      <c r="S182" s="29">
        <f>SUM('план на 2016'!$L183:S183)-SUM('членские взносы'!$M183:'членские взносы'!S183)</f>
        <v>16600</v>
      </c>
      <c r="T182" s="29">
        <f>SUM('план на 2016'!$L183:T183)-SUM('членские взносы'!$M183:'членские взносы'!T183)</f>
        <v>17400</v>
      </c>
      <c r="U182" s="29">
        <f>SUM('план на 2016'!$L183:U183)-SUM('членские взносы'!$M183:'членские взносы'!U183)</f>
        <v>18200</v>
      </c>
      <c r="V182" s="29">
        <f>SUM('план на 2016'!$L183:V183)-SUM('членские взносы'!$M183:'членские взносы'!V183)</f>
        <v>19000</v>
      </c>
      <c r="W182" s="29">
        <f>SUM('план на 2016'!$L183:W183)-SUM('членские взносы'!$M183:'членские взносы'!W183)</f>
        <v>19800</v>
      </c>
      <c r="X182" s="29">
        <f>SUM('план на 2016'!$L183:X183)-SUM('членские взносы'!$M183:'членские взносы'!X183)</f>
        <v>20600</v>
      </c>
      <c r="Y182" s="18">
        <f t="shared" si="17"/>
        <v>20600</v>
      </c>
    </row>
    <row r="183" spans="1:25">
      <c r="A183" s="41">
        <f>VLOOKUP(B183,справочник!$B$2:$E$322,4,FALSE)</f>
        <v>209</v>
      </c>
      <c r="B183" t="str">
        <f t="shared" si="14"/>
        <v>219Мельников Михаил Вячеславович / Диденко</v>
      </c>
      <c r="C183" s="1">
        <v>219</v>
      </c>
      <c r="D183" s="2" t="s">
        <v>168</v>
      </c>
      <c r="E183" s="1"/>
      <c r="F183" s="16">
        <v>41248</v>
      </c>
      <c r="G183" s="16">
        <v>41334</v>
      </c>
      <c r="H183" s="17">
        <v>20</v>
      </c>
      <c r="I183" s="1">
        <f t="shared" si="18"/>
        <v>20000</v>
      </c>
      <c r="J183" s="17"/>
      <c r="K183" s="17"/>
      <c r="L183" s="18">
        <f t="shared" si="16"/>
        <v>20000</v>
      </c>
      <c r="M183" s="29">
        <f>SUM('план на 2016'!$L184:M184)-SUM('членские взносы'!$M184:'членские взносы'!M184)</f>
        <v>20800</v>
      </c>
      <c r="N183" s="29">
        <f>SUM('план на 2016'!$L184:N184)-SUM('членские взносы'!$M184:'членские взносы'!N184)</f>
        <v>21600</v>
      </c>
      <c r="O183" s="29">
        <f>SUM('план на 2016'!$L184:O184)-SUM('членские взносы'!$M184:'членские взносы'!O184)</f>
        <v>22400</v>
      </c>
      <c r="P183" s="29">
        <f>SUM('план на 2016'!$L184:P184)-SUM('членские взносы'!$M184:'членские взносы'!P184)</f>
        <v>23200</v>
      </c>
      <c r="Q183" s="29">
        <f>SUM('план на 2016'!$L184:Q184)-SUM('членские взносы'!$M184:'членские взносы'!Q184)</f>
        <v>22000</v>
      </c>
      <c r="R183" s="29">
        <f>SUM('план на 2016'!$L184:R184)-SUM('членские взносы'!$M184:'членские взносы'!R184)</f>
        <v>19800</v>
      </c>
      <c r="S183" s="29">
        <f>SUM('план на 2016'!$L184:S184)-SUM('членские взносы'!$M184:'членские взносы'!S184)</f>
        <v>20600</v>
      </c>
      <c r="T183" s="29">
        <f>SUM('план на 2016'!$L184:T184)-SUM('членские взносы'!$M184:'членские взносы'!T184)</f>
        <v>18400</v>
      </c>
      <c r="U183" s="29">
        <f>SUM('план на 2016'!$L184:U184)-SUM('членские взносы'!$M184:'членские взносы'!U184)</f>
        <v>19200</v>
      </c>
      <c r="V183" s="29">
        <f>SUM('план на 2016'!$L184:V184)-SUM('членские взносы'!$M184:'членские взносы'!V184)</f>
        <v>17000</v>
      </c>
      <c r="W183" s="29">
        <f>SUM('план на 2016'!$L184:W184)-SUM('членские взносы'!$M184:'членские взносы'!W184)</f>
        <v>15800</v>
      </c>
      <c r="X183" s="29">
        <f>SUM('план на 2016'!$L184:X184)-SUM('членские взносы'!$M184:'членские взносы'!X184)</f>
        <v>16600</v>
      </c>
      <c r="Y183" s="18">
        <f t="shared" si="17"/>
        <v>16600</v>
      </c>
    </row>
    <row r="184" spans="1:25">
      <c r="A184" s="41">
        <f>VLOOKUP(B184,справочник!$B$2:$E$322,4,FALSE)</f>
        <v>257</v>
      </c>
      <c r="B184" t="str">
        <f t="shared" si="14"/>
        <v>270Месхидзе Оксана Валерьевна</v>
      </c>
      <c r="C184" s="1">
        <v>270</v>
      </c>
      <c r="D184" s="2" t="s">
        <v>169</v>
      </c>
      <c r="E184" s="1" t="s">
        <v>486</v>
      </c>
      <c r="F184" s="16">
        <v>41526</v>
      </c>
      <c r="G184" s="16">
        <v>41548</v>
      </c>
      <c r="H184" s="17">
        <f>INT(($H$326-G184)/30)</f>
        <v>27</v>
      </c>
      <c r="I184" s="1">
        <f t="shared" si="18"/>
        <v>27000</v>
      </c>
      <c r="J184" s="17">
        <v>1000</v>
      </c>
      <c r="K184" s="17"/>
      <c r="L184" s="18">
        <f t="shared" si="16"/>
        <v>26000</v>
      </c>
      <c r="M184" s="29">
        <f>SUM('план на 2016'!$L185:M185)-SUM('членские взносы'!$M185:'членские взносы'!M185)</f>
        <v>26800</v>
      </c>
      <c r="N184" s="29">
        <f>SUM('план на 2016'!$L185:N185)-SUM('членские взносы'!$M185:'членские взносы'!N185)</f>
        <v>27600</v>
      </c>
      <c r="O184" s="29">
        <f>SUM('план на 2016'!$L185:O185)-SUM('членские взносы'!$M185:'членские взносы'!O185)</f>
        <v>28400</v>
      </c>
      <c r="P184" s="29">
        <f>SUM('план на 2016'!$L185:P185)-SUM('членские взносы'!$M185:'членские взносы'!P185)</f>
        <v>29200</v>
      </c>
      <c r="Q184" s="29">
        <f>SUM('план на 2016'!$L185:Q185)-SUM('членские взносы'!$M185:'членские взносы'!Q185)</f>
        <v>30000</v>
      </c>
      <c r="R184" s="29">
        <f>SUM('план на 2016'!$L185:R185)-SUM('членские взносы'!$M185:'членские взносы'!R185)</f>
        <v>30800</v>
      </c>
      <c r="S184" s="29">
        <f>SUM('план на 2016'!$L185:S185)-SUM('членские взносы'!$M185:'членские взносы'!S185)</f>
        <v>31600</v>
      </c>
      <c r="T184" s="29">
        <f>SUM('план на 2016'!$L185:T185)-SUM('членские взносы'!$M185:'членские взносы'!T185)</f>
        <v>32400</v>
      </c>
      <c r="U184" s="29">
        <f>SUM('план на 2016'!$L185:U185)-SUM('членские взносы'!$M185:'членские взносы'!U185)</f>
        <v>33200</v>
      </c>
      <c r="V184" s="29">
        <f>SUM('план на 2016'!$L185:V185)-SUM('членские взносы'!$M185:'членские взносы'!V185)</f>
        <v>34000</v>
      </c>
      <c r="W184" s="29">
        <f>SUM('план на 2016'!$L185:W185)-SUM('членские взносы'!$M185:'членские взносы'!W185)</f>
        <v>34800</v>
      </c>
      <c r="X184" s="29">
        <f>SUM('план на 2016'!$L185:X185)-SUM('членские взносы'!$M185:'членские взносы'!X185)</f>
        <v>35600</v>
      </c>
      <c r="Y184" s="18">
        <f t="shared" si="17"/>
        <v>35600</v>
      </c>
    </row>
    <row r="185" spans="1:25">
      <c r="A185" s="41">
        <f>VLOOKUP(B185,справочник!$B$2:$E$322,4,FALSE)</f>
        <v>212</v>
      </c>
      <c r="B185" t="str">
        <f t="shared" si="14"/>
        <v>221Милишенко Надежда Ивановна</v>
      </c>
      <c r="C185" s="1">
        <v>221</v>
      </c>
      <c r="D185" s="2" t="s">
        <v>170</v>
      </c>
      <c r="E185" s="1" t="s">
        <v>487</v>
      </c>
      <c r="F185" s="16">
        <v>41552</v>
      </c>
      <c r="G185" s="16">
        <v>41579</v>
      </c>
      <c r="H185" s="17">
        <f>INT(($H$326-G185)/30)</f>
        <v>26</v>
      </c>
      <c r="I185" s="1">
        <f t="shared" si="18"/>
        <v>26000</v>
      </c>
      <c r="J185" s="17">
        <v>23000</v>
      </c>
      <c r="K185" s="17"/>
      <c r="L185" s="18">
        <f t="shared" si="16"/>
        <v>3000</v>
      </c>
      <c r="M185" s="29">
        <f>SUM('план на 2016'!$L186:M186)-SUM('членские взносы'!$M186:'членские взносы'!M186)</f>
        <v>3200</v>
      </c>
      <c r="N185" s="29">
        <f>SUM('план на 2016'!$L186:N186)-SUM('членские взносы'!$M186:'членские взносы'!N186)</f>
        <v>4000</v>
      </c>
      <c r="O185" s="29">
        <f>SUM('план на 2016'!$L186:O186)-SUM('членские взносы'!$M186:'членские взносы'!O186)</f>
        <v>3200</v>
      </c>
      <c r="P185" s="29">
        <f>SUM('план на 2016'!$L186:P186)-SUM('членские взносы'!$M186:'членские взносы'!P186)</f>
        <v>3200</v>
      </c>
      <c r="Q185" s="29">
        <f>SUM('план на 2016'!$L186:Q186)-SUM('членские взносы'!$M186:'членские взносы'!Q186)</f>
        <v>4000</v>
      </c>
      <c r="R185" s="29">
        <f>SUM('план на 2016'!$L186:R186)-SUM('членские взносы'!$M186:'членские взносы'!R186)</f>
        <v>4800</v>
      </c>
      <c r="S185" s="29">
        <f>SUM('план на 2016'!$L186:S186)-SUM('членские взносы'!$M186:'членские взносы'!S186)</f>
        <v>4800</v>
      </c>
      <c r="T185" s="29">
        <f>SUM('план на 2016'!$L186:T186)-SUM('членские взносы'!$M186:'членские взносы'!T186)</f>
        <v>4800</v>
      </c>
      <c r="U185" s="29">
        <f>SUM('план на 2016'!$L186:U186)-SUM('членские взносы'!$M186:'членские взносы'!U186)</f>
        <v>5600</v>
      </c>
      <c r="V185" s="29">
        <f>SUM('план на 2016'!$L186:V186)-SUM('членские взносы'!$M186:'членские взносы'!V186)</f>
        <v>4800</v>
      </c>
      <c r="W185" s="29">
        <f>SUM('план на 2016'!$L186:W186)-SUM('членские взносы'!$M186:'членские взносы'!W186)</f>
        <v>5600</v>
      </c>
      <c r="X185" s="29">
        <f>SUM('план на 2016'!$L186:X186)-SUM('членские взносы'!$M186:'членские взносы'!X186)</f>
        <v>4800</v>
      </c>
      <c r="Y185" s="18">
        <f t="shared" si="17"/>
        <v>4800</v>
      </c>
    </row>
    <row r="186" spans="1:25">
      <c r="A186" s="41">
        <f>VLOOKUP(B186,справочник!$B$2:$E$322,4,FALSE)</f>
        <v>320</v>
      </c>
      <c r="B186" t="str">
        <f t="shared" si="14"/>
        <v>Милоянин Алексей Леонидович</v>
      </c>
      <c r="C186" s="1"/>
      <c r="D186" s="2" t="s">
        <v>171</v>
      </c>
      <c r="E186" s="1"/>
      <c r="F186" s="16"/>
      <c r="G186" s="16"/>
      <c r="H186" s="17"/>
      <c r="I186" s="1"/>
      <c r="J186" s="17"/>
      <c r="K186" s="17"/>
      <c r="L186" s="18"/>
      <c r="M186" s="29">
        <f>SUM('план на 2016'!$L187:M187)-SUM('членские взносы'!$M187:'членские взносы'!M187)</f>
        <v>800</v>
      </c>
      <c r="N186" s="29">
        <f>SUM('план на 2016'!$L187:N187)-SUM('членские взносы'!$M187:'членские взносы'!N187)</f>
        <v>1600</v>
      </c>
      <c r="O186" s="29">
        <f>SUM('план на 2016'!$L187:O187)-SUM('членские взносы'!$M187:'членские взносы'!O187)</f>
        <v>2400</v>
      </c>
      <c r="P186" s="29">
        <f>SUM('план на 2016'!$L187:P187)-SUM('членские взносы'!$M187:'членские взносы'!P187)</f>
        <v>0</v>
      </c>
      <c r="Q186" s="29">
        <f>SUM('план на 2016'!$L187:Q187)-SUM('членские взносы'!$M187:'членские взносы'!Q187)</f>
        <v>800</v>
      </c>
      <c r="R186" s="29">
        <f>SUM('план на 2016'!$L187:R187)-SUM('членские взносы'!$M187:'членские взносы'!R187)</f>
        <v>1600</v>
      </c>
      <c r="S186" s="29">
        <f>SUM('план на 2016'!$L187:S187)-SUM('членские взносы'!$M187:'членские взносы'!S187)</f>
        <v>2400</v>
      </c>
      <c r="T186" s="29">
        <f>SUM('план на 2016'!$L187:T187)-SUM('членские взносы'!$M187:'членские взносы'!T187)</f>
        <v>3200</v>
      </c>
      <c r="U186" s="29">
        <f>SUM('план на 2016'!$L187:U187)-SUM('членские взносы'!$M187:'членские взносы'!U187)</f>
        <v>4000</v>
      </c>
      <c r="V186" s="29">
        <f>SUM('план на 2016'!$L187:V187)-SUM('членские взносы'!$M187:'членские взносы'!V187)</f>
        <v>4800</v>
      </c>
      <c r="W186" s="29">
        <f>SUM('план на 2016'!$L187:W187)-SUM('членские взносы'!$M187:'членские взносы'!W187)</f>
        <v>-800</v>
      </c>
      <c r="X186" s="29">
        <f>SUM('план на 2016'!$L187:X187)-SUM('членские взносы'!$M187:'членские взносы'!X187)</f>
        <v>0</v>
      </c>
      <c r="Y186" s="18">
        <f t="shared" si="17"/>
        <v>0</v>
      </c>
    </row>
    <row r="187" spans="1:25" ht="25.5">
      <c r="A187" s="41">
        <f>VLOOKUP(B187,справочник!$B$2:$E$322,4,FALSE)</f>
        <v>186</v>
      </c>
      <c r="B187" t="str">
        <f t="shared" si="14"/>
        <v>194Мирошниченко Андрей Иванович Захарова Елена Александровна</v>
      </c>
      <c r="C187" s="1">
        <v>194</v>
      </c>
      <c r="D187" s="2" t="s">
        <v>172</v>
      </c>
      <c r="E187" s="1" t="s">
        <v>488</v>
      </c>
      <c r="F187" s="16">
        <v>41872</v>
      </c>
      <c r="G187" s="16">
        <v>41883</v>
      </c>
      <c r="H187" s="17">
        <f t="shared" ref="H187:H203" si="19">INT(($H$326-G187)/30)</f>
        <v>16</v>
      </c>
      <c r="I187" s="1">
        <f t="shared" ref="I187:I226" si="20">H187*1000</f>
        <v>16000</v>
      </c>
      <c r="J187" s="17">
        <v>12000</v>
      </c>
      <c r="K187" s="17"/>
      <c r="L187" s="18">
        <f t="shared" ref="L187:L250" si="21">I187-J187-K187</f>
        <v>4000</v>
      </c>
      <c r="M187" s="29">
        <f>SUM('план на 2016'!$L188:M188)-SUM('членские взносы'!$M188:'членские взносы'!M188)</f>
        <v>4800</v>
      </c>
      <c r="N187" s="29">
        <f>SUM('план на 2016'!$L188:N188)-SUM('членские взносы'!$M188:'членские взносы'!N188)</f>
        <v>5600</v>
      </c>
      <c r="O187" s="29">
        <f>SUM('план на 2016'!$L188:O188)-SUM('членские взносы'!$M188:'членские взносы'!O188)</f>
        <v>6400</v>
      </c>
      <c r="P187" s="29">
        <f>SUM('план на 2016'!$L188:P188)-SUM('членские взносы'!$M188:'членские взносы'!P188)</f>
        <v>2200</v>
      </c>
      <c r="Q187" s="29">
        <f>SUM('план на 2016'!$L188:Q188)-SUM('членские взносы'!$M188:'членские взносы'!Q188)</f>
        <v>3000</v>
      </c>
      <c r="R187" s="29">
        <f>SUM('план на 2016'!$L188:R188)-SUM('членские взносы'!$M188:'членские взносы'!R188)</f>
        <v>3800</v>
      </c>
      <c r="S187" s="29">
        <f>SUM('план на 2016'!$L188:S188)-SUM('членские взносы'!$M188:'членские взносы'!S188)</f>
        <v>4600</v>
      </c>
      <c r="T187" s="29">
        <f>SUM('план на 2016'!$L188:T188)-SUM('членские взносы'!$M188:'членские взносы'!T188)</f>
        <v>5400</v>
      </c>
      <c r="U187" s="29">
        <f>SUM('план на 2016'!$L188:U188)-SUM('членские взносы'!$M188:'членские взносы'!U188)</f>
        <v>6200</v>
      </c>
      <c r="V187" s="29">
        <f>SUM('план на 2016'!$L188:V188)-SUM('членские взносы'!$M188:'членские взносы'!V188)</f>
        <v>7000</v>
      </c>
      <c r="W187" s="29">
        <f>SUM('план на 2016'!$L188:W188)-SUM('членские взносы'!$M188:'членские взносы'!W188)</f>
        <v>7800</v>
      </c>
      <c r="X187" s="29">
        <f>SUM('план на 2016'!$L188:X188)-SUM('членские взносы'!$M188:'членские взносы'!X188)</f>
        <v>8600</v>
      </c>
      <c r="Y187" s="18">
        <f t="shared" si="17"/>
        <v>8600</v>
      </c>
    </row>
    <row r="188" spans="1:25">
      <c r="A188" s="41">
        <f>VLOOKUP(B188,справочник!$B$2:$E$322,4,FALSE)</f>
        <v>187</v>
      </c>
      <c r="B188" t="str">
        <f t="shared" si="14"/>
        <v>195Мирошниченко Екатерина Олеговна</v>
      </c>
      <c r="C188" s="1">
        <v>195</v>
      </c>
      <c r="D188" s="2" t="s">
        <v>173</v>
      </c>
      <c r="E188" s="1" t="s">
        <v>489</v>
      </c>
      <c r="F188" s="16">
        <v>41542</v>
      </c>
      <c r="G188" s="16">
        <v>41548</v>
      </c>
      <c r="H188" s="17">
        <f t="shared" si="19"/>
        <v>27</v>
      </c>
      <c r="I188" s="1">
        <f t="shared" si="20"/>
        <v>27000</v>
      </c>
      <c r="J188" s="17"/>
      <c r="K188" s="17"/>
      <c r="L188" s="18">
        <f t="shared" si="21"/>
        <v>27000</v>
      </c>
      <c r="M188" s="29">
        <f>SUM('план на 2016'!$L189:M189)-SUM('членские взносы'!$M189:'членские взносы'!M189)</f>
        <v>27800</v>
      </c>
      <c r="N188" s="29">
        <f>SUM('план на 2016'!$L189:N189)-SUM('членские взносы'!$M189:'членские взносы'!N189)</f>
        <v>28600</v>
      </c>
      <c r="O188" s="29">
        <f>SUM('план на 2016'!$L189:O189)-SUM('членские взносы'!$M189:'членские взносы'!O189)</f>
        <v>29400</v>
      </c>
      <c r="P188" s="29">
        <f>SUM('план на 2016'!$L189:P189)-SUM('членские взносы'!$M189:'членские взносы'!P189)</f>
        <v>25200</v>
      </c>
      <c r="Q188" s="29">
        <f>SUM('план на 2016'!$L189:Q189)-SUM('членские взносы'!$M189:'членские взносы'!Q189)</f>
        <v>26000</v>
      </c>
      <c r="R188" s="29">
        <f>SUM('план на 2016'!$L189:R189)-SUM('членские взносы'!$M189:'членские взносы'!R189)</f>
        <v>26800</v>
      </c>
      <c r="S188" s="29">
        <f>SUM('план на 2016'!$L189:S189)-SUM('членские взносы'!$M189:'членские взносы'!S189)</f>
        <v>27600</v>
      </c>
      <c r="T188" s="29">
        <f>SUM('план на 2016'!$L189:T189)-SUM('членские взносы'!$M189:'членские взносы'!T189)</f>
        <v>23400</v>
      </c>
      <c r="U188" s="29">
        <f>SUM('план на 2016'!$L189:U189)-SUM('членские взносы'!$M189:'членские взносы'!U189)</f>
        <v>24200</v>
      </c>
      <c r="V188" s="29">
        <f>SUM('план на 2016'!$L189:V189)-SUM('членские взносы'!$M189:'членские взносы'!V189)</f>
        <v>25000</v>
      </c>
      <c r="W188" s="29">
        <f>SUM('план на 2016'!$L189:W189)-SUM('членские взносы'!$M189:'членские взносы'!W189)</f>
        <v>25800</v>
      </c>
      <c r="X188" s="29">
        <f>SUM('план на 2016'!$L189:X189)-SUM('членские взносы'!$M189:'членские взносы'!X189)</f>
        <v>26600</v>
      </c>
      <c r="Y188" s="18">
        <f t="shared" si="17"/>
        <v>26600</v>
      </c>
    </row>
    <row r="189" spans="1:25">
      <c r="A189" s="41">
        <f>VLOOKUP(B189,справочник!$B$2:$E$322,4,FALSE)</f>
        <v>211</v>
      </c>
      <c r="B189" t="str">
        <f t="shared" si="14"/>
        <v>220Модин Игорь Николаевич</v>
      </c>
      <c r="C189" s="1">
        <v>220</v>
      </c>
      <c r="D189" s="2" t="s">
        <v>174</v>
      </c>
      <c r="E189" s="1" t="s">
        <v>490</v>
      </c>
      <c r="F189" s="16">
        <v>41417</v>
      </c>
      <c r="G189" s="16">
        <v>41426</v>
      </c>
      <c r="H189" s="17">
        <f t="shared" si="19"/>
        <v>31</v>
      </c>
      <c r="I189" s="1">
        <f t="shared" si="20"/>
        <v>31000</v>
      </c>
      <c r="J189" s="17">
        <v>26000</v>
      </c>
      <c r="K189" s="17">
        <v>7000</v>
      </c>
      <c r="L189" s="18">
        <f t="shared" si="21"/>
        <v>-2000</v>
      </c>
      <c r="M189" s="29">
        <f>SUM('план на 2016'!$L190:M190)-SUM('членские взносы'!$M190:'членские взносы'!M190)</f>
        <v>-1200</v>
      </c>
      <c r="N189" s="29">
        <f>SUM('план на 2016'!$L190:N190)-SUM('членские взносы'!$M190:'членские взносы'!N190)</f>
        <v>-400</v>
      </c>
      <c r="O189" s="29">
        <f>SUM('план на 2016'!$L190:O190)-SUM('членские взносы'!$M190:'членские взносы'!O190)</f>
        <v>400</v>
      </c>
      <c r="P189" s="29">
        <f>SUM('план на 2016'!$L190:P190)-SUM('членские взносы'!$M190:'членские взносы'!P190)</f>
        <v>1200</v>
      </c>
      <c r="Q189" s="29">
        <f>SUM('план на 2016'!$L190:Q190)-SUM('членские взносы'!$M190:'членские взносы'!Q190)</f>
        <v>2000</v>
      </c>
      <c r="R189" s="29">
        <f>SUM('план на 2016'!$L190:R190)-SUM('членские взносы'!$M190:'членские взносы'!R190)</f>
        <v>2800</v>
      </c>
      <c r="S189" s="29">
        <f>SUM('план на 2016'!$L190:S190)-SUM('членские взносы'!$M190:'членские взносы'!S190)</f>
        <v>3600</v>
      </c>
      <c r="T189" s="29">
        <f>SUM('план на 2016'!$L190:T190)-SUM('членские взносы'!$M190:'членские взносы'!T190)</f>
        <v>4400</v>
      </c>
      <c r="U189" s="29">
        <f>SUM('план на 2016'!$L190:U190)-SUM('членские взносы'!$M190:'членские взносы'!U190)</f>
        <v>5200</v>
      </c>
      <c r="V189" s="29">
        <f>SUM('план на 2016'!$L190:V190)-SUM('членские взносы'!$M190:'членские взносы'!V190)</f>
        <v>-3600</v>
      </c>
      <c r="W189" s="29">
        <f>SUM('план на 2016'!$L190:W190)-SUM('членские взносы'!$M190:'членские взносы'!W190)</f>
        <v>-2800</v>
      </c>
      <c r="X189" s="29">
        <f>SUM('план на 2016'!$L190:X190)-SUM('членские взносы'!$M190:'членские взносы'!X190)</f>
        <v>-2000</v>
      </c>
      <c r="Y189" s="18">
        <f t="shared" si="17"/>
        <v>-2000</v>
      </c>
    </row>
    <row r="190" spans="1:25" ht="25.5" customHeight="1">
      <c r="A190" s="41">
        <f>VLOOKUP(B190,справочник!$B$2:$E$322,4,FALSE)</f>
        <v>242</v>
      </c>
      <c r="B190" t="str">
        <f t="shared" si="14"/>
        <v>253Моисеев Андрей Валентинович</v>
      </c>
      <c r="C190" s="1">
        <v>253</v>
      </c>
      <c r="D190" s="2" t="s">
        <v>175</v>
      </c>
      <c r="E190" s="1" t="s">
        <v>491</v>
      </c>
      <c r="F190" s="16">
        <v>41352</v>
      </c>
      <c r="G190" s="16">
        <v>41365</v>
      </c>
      <c r="H190" s="17">
        <f t="shared" si="19"/>
        <v>33</v>
      </c>
      <c r="I190" s="1">
        <f t="shared" si="20"/>
        <v>33000</v>
      </c>
      <c r="J190" s="17">
        <v>4000</v>
      </c>
      <c r="K190" s="17"/>
      <c r="L190" s="18">
        <f t="shared" si="21"/>
        <v>29000</v>
      </c>
      <c r="M190" s="29">
        <f>SUM('план на 2016'!$L191:M191)-SUM('членские взносы'!$M191:'членские взносы'!M191)</f>
        <v>29800</v>
      </c>
      <c r="N190" s="29">
        <f>SUM('план на 2016'!$L191:N191)-SUM('членские взносы'!$M191:'членские взносы'!N191)</f>
        <v>30600</v>
      </c>
      <c r="O190" s="29">
        <f>SUM('план на 2016'!$L191:O191)-SUM('членские взносы'!$M191:'членские взносы'!O191)</f>
        <v>31400</v>
      </c>
      <c r="P190" s="29">
        <f>SUM('план на 2016'!$L191:P191)-SUM('членские взносы'!$M191:'членские взносы'!P191)</f>
        <v>32200</v>
      </c>
      <c r="Q190" s="29">
        <f>SUM('план на 2016'!$L191:Q191)-SUM('членские взносы'!$M191:'членские взносы'!Q191)</f>
        <v>33000</v>
      </c>
      <c r="R190" s="29">
        <f>SUM('план на 2016'!$L191:R191)-SUM('членские взносы'!$M191:'членские взносы'!R191)</f>
        <v>33800</v>
      </c>
      <c r="S190" s="29">
        <f>SUM('план на 2016'!$L191:S191)-SUM('членские взносы'!$M191:'членские взносы'!S191)</f>
        <v>34600</v>
      </c>
      <c r="T190" s="29">
        <f>SUM('план на 2016'!$L191:T191)-SUM('членские взносы'!$M191:'членские взносы'!T191)</f>
        <v>35400</v>
      </c>
      <c r="U190" s="29">
        <f>SUM('план на 2016'!$L191:U191)-SUM('членские взносы'!$M191:'членские взносы'!U191)</f>
        <v>36200</v>
      </c>
      <c r="V190" s="29">
        <f>SUM('план на 2016'!$L191:V191)-SUM('членские взносы'!$M191:'членские взносы'!V191)</f>
        <v>37000</v>
      </c>
      <c r="W190" s="29">
        <f>SUM('план на 2016'!$L191:W191)-SUM('членские взносы'!$M191:'членские взносы'!W191)</f>
        <v>37800</v>
      </c>
      <c r="X190" s="29">
        <f>SUM('план на 2016'!$L191:X191)-SUM('членские взносы'!$M191:'членские взносы'!X191)</f>
        <v>38600</v>
      </c>
      <c r="Y190" s="18">
        <f t="shared" si="17"/>
        <v>38600</v>
      </c>
    </row>
    <row r="191" spans="1:25">
      <c r="A191" s="41">
        <f>VLOOKUP(B191,справочник!$B$2:$E$322,4,FALSE)</f>
        <v>218</v>
      </c>
      <c r="B191" t="str">
        <f t="shared" si="14"/>
        <v>227Молчанова Ирина Владимировна</v>
      </c>
      <c r="C191" s="10">
        <v>227</v>
      </c>
      <c r="D191" s="2" t="s">
        <v>176</v>
      </c>
      <c r="E191" s="1" t="s">
        <v>492</v>
      </c>
      <c r="F191" s="16">
        <v>40793</v>
      </c>
      <c r="G191" s="16">
        <v>40787</v>
      </c>
      <c r="H191" s="17">
        <f t="shared" si="19"/>
        <v>52</v>
      </c>
      <c r="I191" s="1">
        <f t="shared" si="20"/>
        <v>52000</v>
      </c>
      <c r="J191" s="17">
        <v>33000</v>
      </c>
      <c r="K191" s="17">
        <v>5000</v>
      </c>
      <c r="L191" s="18">
        <f t="shared" si="21"/>
        <v>14000</v>
      </c>
      <c r="M191" s="29">
        <f>SUM('план на 2016'!$L192:M192)-SUM('членские взносы'!$M192:'членские взносы'!M192)</f>
        <v>14800</v>
      </c>
      <c r="N191" s="29">
        <f>SUM('план на 2016'!$L192:N192)-SUM('членские взносы'!$M192:'членские взносы'!N192)</f>
        <v>15600</v>
      </c>
      <c r="O191" s="29">
        <f>SUM('план на 2016'!$L192:O192)-SUM('членские взносы'!$M192:'членские взносы'!O192)</f>
        <v>15400</v>
      </c>
      <c r="P191" s="29">
        <f>SUM('план на 2016'!$L192:P192)-SUM('членские взносы'!$M192:'членские взносы'!P192)</f>
        <v>16200</v>
      </c>
      <c r="Q191" s="29">
        <f>SUM('план на 2016'!$L192:Q192)-SUM('членские взносы'!$M192:'членские взносы'!Q192)</f>
        <v>17000</v>
      </c>
      <c r="R191" s="29">
        <f>SUM('план на 2016'!$L192:R192)-SUM('членские взносы'!$M192:'членские взносы'!R192)</f>
        <v>12800</v>
      </c>
      <c r="S191" s="29">
        <f>SUM('план на 2016'!$L192:S192)-SUM('членские взносы'!$M192:'членские взносы'!S192)</f>
        <v>1600</v>
      </c>
      <c r="T191" s="29">
        <f>SUM('план на 2016'!$L192:T192)-SUM('членские взносы'!$M192:'членские взносы'!T192)</f>
        <v>2400</v>
      </c>
      <c r="U191" s="29">
        <f>SUM('план на 2016'!$L192:U192)-SUM('членские взносы'!$M192:'членские взносы'!U192)</f>
        <v>0</v>
      </c>
      <c r="V191" s="29">
        <f>SUM('план на 2016'!$L192:V192)-SUM('членские взносы'!$M192:'членские взносы'!V192)</f>
        <v>800</v>
      </c>
      <c r="W191" s="29">
        <f>SUM('план на 2016'!$L192:W192)-SUM('членские взносы'!$M192:'членские взносы'!W192)</f>
        <v>1600</v>
      </c>
      <c r="X191" s="29">
        <f>SUM('план на 2016'!$L192:X192)-SUM('членские взносы'!$M192:'членские взносы'!X192)</f>
        <v>0</v>
      </c>
      <c r="Y191" s="18">
        <f t="shared" si="17"/>
        <v>0</v>
      </c>
    </row>
    <row r="192" spans="1:25">
      <c r="A192" s="41">
        <f>VLOOKUP(B192,справочник!$B$2:$E$322,4,FALSE)</f>
        <v>120</v>
      </c>
      <c r="B192" t="str">
        <f t="shared" si="14"/>
        <v>125Мудрак Владимир Григорьевич (Марина)</v>
      </c>
      <c r="C192" s="1">
        <v>125</v>
      </c>
      <c r="D192" s="2" t="s">
        <v>177</v>
      </c>
      <c r="E192" s="1" t="s">
        <v>493</v>
      </c>
      <c r="F192" s="16">
        <v>41417</v>
      </c>
      <c r="G192" s="16">
        <v>41426</v>
      </c>
      <c r="H192" s="17">
        <f t="shared" si="19"/>
        <v>31</v>
      </c>
      <c r="I192" s="1">
        <f t="shared" si="20"/>
        <v>31000</v>
      </c>
      <c r="J192" s="17">
        <v>21000</v>
      </c>
      <c r="K192" s="17"/>
      <c r="L192" s="18">
        <f t="shared" si="21"/>
        <v>10000</v>
      </c>
      <c r="M192" s="29">
        <f>SUM('план на 2016'!$L193:M193)-SUM('членские взносы'!$M193:'членские взносы'!M193)</f>
        <v>5800</v>
      </c>
      <c r="N192" s="29">
        <f>SUM('план на 2016'!$L193:N193)-SUM('членские взносы'!$M193:'членские взносы'!N193)</f>
        <v>0</v>
      </c>
      <c r="O192" s="29">
        <f>SUM('план на 2016'!$L193:O193)-SUM('членские взносы'!$M193:'членские взносы'!O193)</f>
        <v>-1200</v>
      </c>
      <c r="P192" s="29">
        <f>SUM('план на 2016'!$L193:P193)-SUM('членские взносы'!$M193:'членские взносы'!P193)</f>
        <v>-400</v>
      </c>
      <c r="Q192" s="29">
        <f>SUM('план на 2016'!$L193:Q193)-SUM('членские взносы'!$M193:'членские взносы'!Q193)</f>
        <v>400</v>
      </c>
      <c r="R192" s="29">
        <f>SUM('план на 2016'!$L193:R193)-SUM('членские взносы'!$M193:'членские взносы'!R193)</f>
        <v>0</v>
      </c>
      <c r="S192" s="29">
        <f>SUM('план на 2016'!$L193:S193)-SUM('членские взносы'!$M193:'членские взносы'!S193)</f>
        <v>800</v>
      </c>
      <c r="T192" s="29">
        <f>SUM('план на 2016'!$L193:T193)-SUM('членские взносы'!$M193:'членские взносы'!T193)</f>
        <v>1600</v>
      </c>
      <c r="U192" s="29">
        <f>SUM('план на 2016'!$L193:U193)-SUM('членские взносы'!$M193:'членские взносы'!U193)</f>
        <v>2400</v>
      </c>
      <c r="V192" s="29">
        <f>SUM('план на 2016'!$L193:V193)-SUM('членские взносы'!$M193:'членские взносы'!V193)</f>
        <v>0</v>
      </c>
      <c r="W192" s="29">
        <f>SUM('план на 2016'!$L193:W193)-SUM('членские взносы'!$M193:'членские взносы'!W193)</f>
        <v>800</v>
      </c>
      <c r="X192" s="29">
        <f>SUM('план на 2016'!$L193:X193)-SUM('членские взносы'!$M193:'членские взносы'!X193)</f>
        <v>0</v>
      </c>
      <c r="Y192" s="18">
        <f t="shared" si="17"/>
        <v>0</v>
      </c>
    </row>
    <row r="193" spans="1:25">
      <c r="A193" s="41">
        <f>VLOOKUP(B193,справочник!$B$2:$E$322,4,FALSE)</f>
        <v>287</v>
      </c>
      <c r="B193" t="str">
        <f t="shared" si="14"/>
        <v>299Мурадова Альбина Сергеевна</v>
      </c>
      <c r="C193" s="1">
        <v>299</v>
      </c>
      <c r="D193" s="2" t="s">
        <v>178</v>
      </c>
      <c r="E193" s="1" t="s">
        <v>494</v>
      </c>
      <c r="F193" s="16">
        <v>41897</v>
      </c>
      <c r="G193" s="16">
        <v>41913</v>
      </c>
      <c r="H193" s="17">
        <f t="shared" si="19"/>
        <v>15</v>
      </c>
      <c r="I193" s="1">
        <f t="shared" si="20"/>
        <v>15000</v>
      </c>
      <c r="J193" s="17">
        <v>13000</v>
      </c>
      <c r="K193" s="17"/>
      <c r="L193" s="18">
        <f t="shared" si="21"/>
        <v>2000</v>
      </c>
      <c r="M193" s="29">
        <f>SUM('план на 2016'!$L194:M194)-SUM('членские взносы'!$M194:'членские взносы'!M194)</f>
        <v>2800</v>
      </c>
      <c r="N193" s="29">
        <f>SUM('план на 2016'!$L194:N194)-SUM('членские взносы'!$M194:'членские взносы'!N194)</f>
        <v>3600</v>
      </c>
      <c r="O193" s="29">
        <f>SUM('план на 2016'!$L194:O194)-SUM('членские взносы'!$M194:'членские взносы'!O194)</f>
        <v>4400</v>
      </c>
      <c r="P193" s="29">
        <f>SUM('план на 2016'!$L194:P194)-SUM('членские взносы'!$M194:'членские взносы'!P194)</f>
        <v>5200</v>
      </c>
      <c r="Q193" s="29">
        <f>SUM('план на 2016'!$L194:Q194)-SUM('членские взносы'!$M194:'членские взносы'!Q194)</f>
        <v>6000</v>
      </c>
      <c r="R193" s="29">
        <f>SUM('план на 2016'!$L194:R194)-SUM('членские взносы'!$M194:'членские взносы'!R194)</f>
        <v>6800</v>
      </c>
      <c r="S193" s="29">
        <f>SUM('план на 2016'!$L194:S194)-SUM('членские взносы'!$M194:'членские взносы'!S194)</f>
        <v>2400</v>
      </c>
      <c r="T193" s="29">
        <f>SUM('план на 2016'!$L194:T194)-SUM('членские взносы'!$M194:'членские взносы'!T194)</f>
        <v>3200</v>
      </c>
      <c r="U193" s="29">
        <f>SUM('план на 2016'!$L194:U194)-SUM('членские взносы'!$M194:'членские взносы'!U194)</f>
        <v>4000</v>
      </c>
      <c r="V193" s="29">
        <f>SUM('план на 2016'!$L194:V194)-SUM('членские взносы'!$M194:'членские взносы'!V194)</f>
        <v>4800</v>
      </c>
      <c r="W193" s="29">
        <f>SUM('план на 2016'!$L194:W194)-SUM('членские взносы'!$M194:'членские взносы'!W194)</f>
        <v>5600</v>
      </c>
      <c r="X193" s="29">
        <f>SUM('план на 2016'!$L194:X194)-SUM('членские взносы'!$M194:'членские взносы'!X194)</f>
        <v>800</v>
      </c>
      <c r="Y193" s="18">
        <f t="shared" si="17"/>
        <v>800</v>
      </c>
    </row>
    <row r="194" spans="1:25">
      <c r="A194" s="41">
        <f>VLOOKUP(B194,справочник!$B$2:$E$322,4,FALSE)</f>
        <v>170</v>
      </c>
      <c r="B194" t="str">
        <f t="shared" si="14"/>
        <v>178Науменко Дмитрий Александрович</v>
      </c>
      <c r="C194" s="1">
        <v>178</v>
      </c>
      <c r="D194" s="2" t="s">
        <v>179</v>
      </c>
      <c r="E194" s="5" t="s">
        <v>495</v>
      </c>
      <c r="F194" s="19">
        <v>41414</v>
      </c>
      <c r="G194" s="19">
        <v>41456</v>
      </c>
      <c r="H194" s="20">
        <f t="shared" si="19"/>
        <v>30</v>
      </c>
      <c r="I194" s="5">
        <f t="shared" si="20"/>
        <v>30000</v>
      </c>
      <c r="J194" s="20">
        <v>29000</v>
      </c>
      <c r="K194" s="20">
        <v>1000</v>
      </c>
      <c r="L194" s="21">
        <f t="shared" si="21"/>
        <v>0</v>
      </c>
      <c r="M194" s="29">
        <f>SUM('план на 2016'!$L195:M195)-SUM('членские взносы'!$M195:'членские взносы'!M195)</f>
        <v>-2400</v>
      </c>
      <c r="N194" s="29">
        <f>SUM('план на 2016'!$L195:N195)-SUM('членские взносы'!$M195:'членские взносы'!N195)</f>
        <v>-2400</v>
      </c>
      <c r="O194" s="29">
        <f>SUM('план на 2016'!$L195:O195)-SUM('членские взносы'!$M195:'членские взносы'!O195)</f>
        <v>-4800</v>
      </c>
      <c r="P194" s="29">
        <f>SUM('план на 2016'!$L195:P195)-SUM('членские взносы'!$M195:'членские взносы'!P195)</f>
        <v>-4800</v>
      </c>
      <c r="Q194" s="29">
        <f>SUM('план на 2016'!$L195:Q195)-SUM('членские взносы'!$M195:'членские взносы'!Q195)</f>
        <v>-4800</v>
      </c>
      <c r="R194" s="29">
        <f>SUM('план на 2016'!$L195:R195)-SUM('членские взносы'!$M195:'членские взносы'!R195)</f>
        <v>-7200</v>
      </c>
      <c r="S194" s="29">
        <f>SUM('план на 2016'!$L195:S195)-SUM('членские взносы'!$M195:'членские взносы'!S195)</f>
        <v>-7200</v>
      </c>
      <c r="T194" s="29">
        <f>SUM('план на 2016'!$L195:T195)-SUM('членские взносы'!$M195:'членские взносы'!T195)</f>
        <v>-7200</v>
      </c>
      <c r="U194" s="29">
        <f>SUM('план на 2016'!$L195:U195)-SUM('членские взносы'!$M195:'членские взносы'!U195)</f>
        <v>-7200</v>
      </c>
      <c r="V194" s="29">
        <f>SUM('план на 2016'!$L195:V195)-SUM('членские взносы'!$M195:'членские взносы'!V195)</f>
        <v>-9600</v>
      </c>
      <c r="W194" s="29">
        <f>SUM('план на 2016'!$L195:W195)-SUM('членские взносы'!$M195:'членские взносы'!W195)</f>
        <v>-9600</v>
      </c>
      <c r="X194" s="29">
        <f>SUM('план на 2016'!$L195:X195)-SUM('членские взносы'!$M195:'членские взносы'!X195)</f>
        <v>-12000</v>
      </c>
      <c r="Y194" s="18">
        <f t="shared" si="17"/>
        <v>-12000</v>
      </c>
    </row>
    <row r="195" spans="1:25">
      <c r="A195" s="41">
        <f>VLOOKUP(B195,справочник!$B$2:$E$322,4,FALSE)</f>
        <v>170</v>
      </c>
      <c r="B195" t="str">
        <f t="shared" si="14"/>
        <v>179Науменко Дмитрий Александрович</v>
      </c>
      <c r="C195" s="1">
        <v>179</v>
      </c>
      <c r="D195" s="2" t="s">
        <v>179</v>
      </c>
      <c r="E195" s="5" t="s">
        <v>496</v>
      </c>
      <c r="F195" s="19">
        <v>41414</v>
      </c>
      <c r="G195" s="19">
        <v>41456</v>
      </c>
      <c r="H195" s="20">
        <f t="shared" si="19"/>
        <v>30</v>
      </c>
      <c r="I195" s="5">
        <f t="shared" si="20"/>
        <v>30000</v>
      </c>
      <c r="J195" s="20">
        <v>29000</v>
      </c>
      <c r="K195" s="20">
        <v>1000</v>
      </c>
      <c r="L195" s="21">
        <f t="shared" si="21"/>
        <v>0</v>
      </c>
      <c r="M195" s="29">
        <f>SUM('план на 2016'!$L196:M196)-SUM('членские взносы'!$M196:'членские взносы'!M196)</f>
        <v>800</v>
      </c>
      <c r="N195" s="29">
        <f>SUM('план на 2016'!$L196:N196)-SUM('членские взносы'!$M196:'членские взносы'!N196)</f>
        <v>1600</v>
      </c>
      <c r="O195" s="29">
        <f>SUM('план на 2016'!$L196:O196)-SUM('членские взносы'!$M196:'членские взносы'!O196)</f>
        <v>2400</v>
      </c>
      <c r="P195" s="29">
        <f>SUM('план на 2016'!$L196:P196)-SUM('членские взносы'!$M196:'членские взносы'!P196)</f>
        <v>3200</v>
      </c>
      <c r="Q195" s="29">
        <f>SUM('план на 2016'!$L196:Q196)-SUM('членские взносы'!$M196:'членские взносы'!Q196)</f>
        <v>4000</v>
      </c>
      <c r="R195" s="29">
        <f>SUM('план на 2016'!$L196:R196)-SUM('членские взносы'!$M196:'членские взносы'!R196)</f>
        <v>4800</v>
      </c>
      <c r="S195" s="29">
        <f>SUM('план на 2016'!$L196:S196)-SUM('членские взносы'!$M196:'членские взносы'!S196)</f>
        <v>5600</v>
      </c>
      <c r="T195" s="29">
        <f>SUM('план на 2016'!$L196:T196)-SUM('членские взносы'!$M196:'членские взносы'!T196)</f>
        <v>6400</v>
      </c>
      <c r="U195" s="29">
        <f>SUM('план на 2016'!$L196:U196)-SUM('членские взносы'!$M196:'членские взносы'!U196)</f>
        <v>7200</v>
      </c>
      <c r="V195" s="29">
        <f>SUM('план на 2016'!$L196:V196)-SUM('членские взносы'!$M196:'членские взносы'!V196)</f>
        <v>8000</v>
      </c>
      <c r="W195" s="29">
        <f>SUM('план на 2016'!$L196:W196)-SUM('членские взносы'!$M196:'членские взносы'!W196)</f>
        <v>8800</v>
      </c>
      <c r="X195" s="29">
        <f>SUM('план на 2016'!$L196:X196)-SUM('членские взносы'!$M196:'членские взносы'!X196)</f>
        <v>9600</v>
      </c>
      <c r="Y195" s="18">
        <f t="shared" si="17"/>
        <v>9600</v>
      </c>
    </row>
    <row r="196" spans="1:25">
      <c r="A196" s="41">
        <f>VLOOKUP(B196,справочник!$B$2:$E$322,4,FALSE)</f>
        <v>290</v>
      </c>
      <c r="B196" t="str">
        <f t="shared" si="14"/>
        <v>303Недосенко Татьяна Сергеевна (Олег)</v>
      </c>
      <c r="C196" s="1">
        <v>303</v>
      </c>
      <c r="D196" s="2" t="s">
        <v>180</v>
      </c>
      <c r="E196" s="1" t="s">
        <v>497</v>
      </c>
      <c r="F196" s="16">
        <v>40959</v>
      </c>
      <c r="G196" s="16">
        <v>40940</v>
      </c>
      <c r="H196" s="17">
        <f t="shared" si="19"/>
        <v>47</v>
      </c>
      <c r="I196" s="1">
        <f t="shared" si="20"/>
        <v>47000</v>
      </c>
      <c r="J196" s="17">
        <v>42000</v>
      </c>
      <c r="K196" s="17">
        <v>5000</v>
      </c>
      <c r="L196" s="18">
        <f t="shared" si="21"/>
        <v>0</v>
      </c>
      <c r="M196" s="29">
        <f>SUM('план на 2016'!$L197:M197)-SUM('членские взносы'!$M197:'членские взносы'!M197)</f>
        <v>800</v>
      </c>
      <c r="N196" s="29">
        <f>SUM('план на 2016'!$L197:N197)-SUM('членские взносы'!$M197:'членские взносы'!N197)</f>
        <v>1600</v>
      </c>
      <c r="O196" s="29">
        <f>SUM('план на 2016'!$L197:O197)-SUM('членские взносы'!$M197:'членские взносы'!O197)</f>
        <v>2400</v>
      </c>
      <c r="P196" s="29">
        <f>SUM('план на 2016'!$L197:P197)-SUM('членские взносы'!$M197:'членские взносы'!P197)</f>
        <v>3200</v>
      </c>
      <c r="Q196" s="29">
        <f>SUM('план на 2016'!$L197:Q197)-SUM('членские взносы'!$M197:'членские взносы'!Q197)</f>
        <v>-1000</v>
      </c>
      <c r="R196" s="29">
        <f>SUM('план на 2016'!$L197:R197)-SUM('членские взносы'!$M197:'членские взносы'!R197)</f>
        <v>-200</v>
      </c>
      <c r="S196" s="29">
        <f>SUM('план на 2016'!$L197:S197)-SUM('членские взносы'!$M197:'членские взносы'!S197)</f>
        <v>600</v>
      </c>
      <c r="T196" s="29">
        <f>SUM('план на 2016'!$L197:T197)-SUM('членские взносы'!$M197:'членские взносы'!T197)</f>
        <v>1400</v>
      </c>
      <c r="U196" s="29">
        <f>SUM('план на 2016'!$L197:U197)-SUM('членские взносы'!$M197:'членские взносы'!U197)</f>
        <v>-2800</v>
      </c>
      <c r="V196" s="29">
        <f>SUM('план на 2016'!$L197:V197)-SUM('членские взносы'!$M197:'членские взносы'!V197)</f>
        <v>-2000</v>
      </c>
      <c r="W196" s="29">
        <f>SUM('план на 2016'!$L197:W197)-SUM('членские взносы'!$M197:'членские взносы'!W197)</f>
        <v>-1200</v>
      </c>
      <c r="X196" s="29">
        <f>SUM('план на 2016'!$L197:X197)-SUM('членские взносы'!$M197:'членские взносы'!X197)</f>
        <v>-400</v>
      </c>
      <c r="Y196" s="18">
        <f t="shared" si="17"/>
        <v>-400</v>
      </c>
    </row>
    <row r="197" spans="1:25">
      <c r="A197" s="41">
        <f>VLOOKUP(B197,справочник!$B$2:$E$322,4,FALSE)</f>
        <v>81</v>
      </c>
      <c r="B197" t="str">
        <f t="shared" ref="B197:B260" si="22">CONCATENATE(C197,D197)</f>
        <v>86Нелюбов Сергей Владимирович</v>
      </c>
      <c r="C197" s="1">
        <v>86</v>
      </c>
      <c r="D197" s="2" t="s">
        <v>181</v>
      </c>
      <c r="E197" s="1" t="s">
        <v>498</v>
      </c>
      <c r="F197" s="16">
        <v>40949</v>
      </c>
      <c r="G197" s="16">
        <v>40940</v>
      </c>
      <c r="H197" s="17">
        <f t="shared" si="19"/>
        <v>47</v>
      </c>
      <c r="I197" s="1">
        <f t="shared" si="20"/>
        <v>47000</v>
      </c>
      <c r="J197" s="17">
        <v>44000</v>
      </c>
      <c r="K197" s="17">
        <v>3000</v>
      </c>
      <c r="L197" s="18">
        <f t="shared" si="21"/>
        <v>0</v>
      </c>
      <c r="M197" s="29">
        <f>SUM('план на 2016'!$L198:M198)-SUM('членские взносы'!$M198:'членские взносы'!M198)</f>
        <v>800</v>
      </c>
      <c r="N197" s="29">
        <f>SUM('план на 2016'!$L198:N198)-SUM('членские взносы'!$M198:'членские взносы'!N198)</f>
        <v>1600</v>
      </c>
      <c r="O197" s="29">
        <f>SUM('план на 2016'!$L198:O198)-SUM('членские взносы'!$M198:'членские взносы'!O198)</f>
        <v>-800</v>
      </c>
      <c r="P197" s="29">
        <f>SUM('план на 2016'!$L198:P198)-SUM('членские взносы'!$M198:'членские взносы'!P198)</f>
        <v>0</v>
      </c>
      <c r="Q197" s="29">
        <f>SUM('план на 2016'!$L198:Q198)-SUM('членские взносы'!$M198:'членские взносы'!Q198)</f>
        <v>800</v>
      </c>
      <c r="R197" s="29">
        <f>SUM('план на 2016'!$L198:R198)-SUM('членские взносы'!$M198:'членские взносы'!R198)</f>
        <v>1600</v>
      </c>
      <c r="S197" s="29">
        <f>SUM('план на 2016'!$L198:S198)-SUM('членские взносы'!$M198:'членские взносы'!S198)</f>
        <v>2400</v>
      </c>
      <c r="T197" s="29">
        <f>SUM('план на 2016'!$L198:T198)-SUM('членские взносы'!$M198:'членские взносы'!T198)</f>
        <v>0</v>
      </c>
      <c r="U197" s="29">
        <f>SUM('план на 2016'!$L198:U198)-SUM('членские взносы'!$M198:'членские взносы'!U198)</f>
        <v>800</v>
      </c>
      <c r="V197" s="29">
        <f>SUM('план на 2016'!$L198:V198)-SUM('членские взносы'!$M198:'членские взносы'!V198)</f>
        <v>1600</v>
      </c>
      <c r="W197" s="29">
        <f>SUM('план на 2016'!$L198:W198)-SUM('членские взносы'!$M198:'членские взносы'!W198)</f>
        <v>2400</v>
      </c>
      <c r="X197" s="29">
        <f>SUM('план на 2016'!$L198:X198)-SUM('членские взносы'!$M198:'членские взносы'!X198)</f>
        <v>0</v>
      </c>
      <c r="Y197" s="18">
        <f t="shared" ref="Y197:Y260" si="23">X197</f>
        <v>0</v>
      </c>
    </row>
    <row r="198" spans="1:25">
      <c r="A198" s="41">
        <f>VLOOKUP(B198,справочник!$B$2:$E$322,4,FALSE)</f>
        <v>31</v>
      </c>
      <c r="B198" t="str">
        <f t="shared" si="22"/>
        <v>31Нефедов Михаил Владимирович</v>
      </c>
      <c r="C198" s="1">
        <v>31</v>
      </c>
      <c r="D198" s="2" t="s">
        <v>182</v>
      </c>
      <c r="E198" s="1" t="s">
        <v>499</v>
      </c>
      <c r="F198" s="16">
        <v>40786</v>
      </c>
      <c r="G198" s="16">
        <v>40787</v>
      </c>
      <c r="H198" s="17">
        <f t="shared" si="19"/>
        <v>52</v>
      </c>
      <c r="I198" s="1">
        <f t="shared" si="20"/>
        <v>52000</v>
      </c>
      <c r="J198" s="17">
        <f>10000+42000</f>
        <v>52000</v>
      </c>
      <c r="K198" s="17"/>
      <c r="L198" s="18">
        <f t="shared" si="21"/>
        <v>0</v>
      </c>
      <c r="M198" s="29">
        <f>SUM('план на 2016'!$L199:M199)-SUM('членские взносы'!$M199:'членские взносы'!M199)</f>
        <v>800</v>
      </c>
      <c r="N198" s="29">
        <f>SUM('план на 2016'!$L199:N199)-SUM('членские взносы'!$M199:'членские взносы'!N199)</f>
        <v>1600</v>
      </c>
      <c r="O198" s="29">
        <f>SUM('план на 2016'!$L199:O199)-SUM('членские взносы'!$M199:'членские взносы'!O199)</f>
        <v>2400</v>
      </c>
      <c r="P198" s="29">
        <f>SUM('план на 2016'!$L199:P199)-SUM('членские взносы'!$M199:'членские взносы'!P199)</f>
        <v>800</v>
      </c>
      <c r="Q198" s="29">
        <f>SUM('план на 2016'!$L199:Q199)-SUM('членские взносы'!$M199:'членские взносы'!Q199)</f>
        <v>-800</v>
      </c>
      <c r="R198" s="29">
        <f>SUM('план на 2016'!$L199:R199)-SUM('членские взносы'!$M199:'членские взносы'!R199)</f>
        <v>0</v>
      </c>
      <c r="S198" s="29">
        <f>SUM('план на 2016'!$L199:S199)-SUM('членские взносы'!$M199:'членские взносы'!S199)</f>
        <v>800</v>
      </c>
      <c r="T198" s="29">
        <f>SUM('план на 2016'!$L199:T199)-SUM('членские взносы'!$M199:'членские взносы'!T199)</f>
        <v>-3200</v>
      </c>
      <c r="U198" s="29">
        <f>SUM('план на 2016'!$L199:U199)-SUM('членские взносы'!$M199:'членские взносы'!U199)</f>
        <v>-2400</v>
      </c>
      <c r="V198" s="29">
        <f>SUM('план на 2016'!$L199:V199)-SUM('членские взносы'!$M199:'членские взносы'!V199)</f>
        <v>-1600</v>
      </c>
      <c r="W198" s="29">
        <f>SUM('план на 2016'!$L199:W199)-SUM('членские взносы'!$M199:'членские взносы'!W199)</f>
        <v>-800</v>
      </c>
      <c r="X198" s="29">
        <f>SUM('план на 2016'!$L199:X199)-SUM('членские взносы'!$M199:'членские взносы'!X199)</f>
        <v>0</v>
      </c>
      <c r="Y198" s="18">
        <f t="shared" si="23"/>
        <v>0</v>
      </c>
    </row>
    <row r="199" spans="1:25">
      <c r="A199" s="41">
        <f>VLOOKUP(B199,справочник!$B$2:$E$322,4,FALSE)</f>
        <v>104</v>
      </c>
      <c r="B199" t="str">
        <f t="shared" si="22"/>
        <v>109Никифоров Андрей Леонидович</v>
      </c>
      <c r="C199" s="1">
        <v>109</v>
      </c>
      <c r="D199" s="2" t="s">
        <v>183</v>
      </c>
      <c r="E199" s="1" t="s">
        <v>500</v>
      </c>
      <c r="F199" s="16">
        <v>40893</v>
      </c>
      <c r="G199" s="16">
        <v>40878</v>
      </c>
      <c r="H199" s="17">
        <f t="shared" si="19"/>
        <v>49</v>
      </c>
      <c r="I199" s="1">
        <f t="shared" si="20"/>
        <v>49000</v>
      </c>
      <c r="J199" s="17">
        <f>1000+45000</f>
        <v>46000</v>
      </c>
      <c r="K199" s="17"/>
      <c r="L199" s="18">
        <f t="shared" si="21"/>
        <v>3000</v>
      </c>
      <c r="M199" s="29">
        <f>SUM('план на 2016'!$L200:M200)-SUM('членские взносы'!$M200:'членские взносы'!M200)</f>
        <v>3800</v>
      </c>
      <c r="N199" s="29">
        <f>SUM('план на 2016'!$L200:N200)-SUM('членские взносы'!$M200:'членские взносы'!N200)</f>
        <v>4600</v>
      </c>
      <c r="O199" s="29">
        <f>SUM('план на 2016'!$L200:O200)-SUM('членские взносы'!$M200:'членские взносы'!O200)</f>
        <v>5400</v>
      </c>
      <c r="P199" s="29">
        <f>SUM('план на 2016'!$L200:P200)-SUM('членские взносы'!$M200:'членские взносы'!P200)</f>
        <v>6200</v>
      </c>
      <c r="Q199" s="29">
        <f>SUM('план на 2016'!$L200:Q200)-SUM('членские взносы'!$M200:'членские взносы'!Q200)</f>
        <v>7000</v>
      </c>
      <c r="R199" s="29">
        <f>SUM('план на 2016'!$L200:R200)-SUM('членские взносы'!$M200:'членские взносы'!R200)</f>
        <v>7800</v>
      </c>
      <c r="S199" s="29">
        <f>SUM('план на 2016'!$L200:S200)-SUM('членские взносы'!$M200:'членские взносы'!S200)</f>
        <v>8600</v>
      </c>
      <c r="T199" s="29">
        <f>SUM('план на 2016'!$L200:T200)-SUM('членские взносы'!$M200:'членские взносы'!T200)</f>
        <v>9400</v>
      </c>
      <c r="U199" s="29">
        <f>SUM('план на 2016'!$L200:U200)-SUM('членские взносы'!$M200:'членские взносы'!U200)</f>
        <v>10200</v>
      </c>
      <c r="V199" s="29">
        <f>SUM('план на 2016'!$L200:V200)-SUM('членские взносы'!$M200:'членские взносы'!V200)</f>
        <v>11000</v>
      </c>
      <c r="W199" s="29">
        <f>SUM('план на 2016'!$L200:W200)-SUM('членские взносы'!$M200:'членские взносы'!W200)</f>
        <v>11800</v>
      </c>
      <c r="X199" s="29">
        <f>SUM('план на 2016'!$L200:X200)-SUM('членские взносы'!$M200:'членские взносы'!X200)</f>
        <v>12600</v>
      </c>
      <c r="Y199" s="18">
        <f t="shared" si="23"/>
        <v>12600</v>
      </c>
    </row>
    <row r="200" spans="1:25" ht="25.5" customHeight="1">
      <c r="A200" s="41">
        <f>VLOOKUP(B200,справочник!$B$2:$E$322,4,FALSE)</f>
        <v>85</v>
      </c>
      <c r="B200" t="str">
        <f t="shared" si="22"/>
        <v>90Новиков Виктор Викторович</v>
      </c>
      <c r="C200" s="1">
        <v>90</v>
      </c>
      <c r="D200" s="2" t="s">
        <v>184</v>
      </c>
      <c r="E200" s="1" t="s">
        <v>501</v>
      </c>
      <c r="F200" s="16">
        <v>40695</v>
      </c>
      <c r="G200" s="16">
        <v>40725</v>
      </c>
      <c r="H200" s="17">
        <f t="shared" si="19"/>
        <v>54</v>
      </c>
      <c r="I200" s="1">
        <f t="shared" si="20"/>
        <v>54000</v>
      </c>
      <c r="J200" s="17">
        <f>1000+53000</f>
        <v>54000</v>
      </c>
      <c r="K200" s="17"/>
      <c r="L200" s="18">
        <f t="shared" si="21"/>
        <v>0</v>
      </c>
      <c r="M200" s="29">
        <f>SUM('план на 2016'!$L201:M201)-SUM('членские взносы'!$M201:'членские взносы'!M201)</f>
        <v>800</v>
      </c>
      <c r="N200" s="29">
        <f>SUM('план на 2016'!$L201:N201)-SUM('членские взносы'!$M201:'членские взносы'!N201)</f>
        <v>1600</v>
      </c>
      <c r="O200" s="29">
        <f>SUM('план на 2016'!$L201:O201)-SUM('членские взносы'!$M201:'членские взносы'!O201)</f>
        <v>2400</v>
      </c>
      <c r="P200" s="29">
        <f>SUM('план на 2016'!$L201:P201)-SUM('членские взносы'!$M201:'членские взносы'!P201)</f>
        <v>-1600</v>
      </c>
      <c r="Q200" s="29">
        <f>SUM('план на 2016'!$L201:Q201)-SUM('членские взносы'!$M201:'членские взносы'!Q201)</f>
        <v>-800</v>
      </c>
      <c r="R200" s="29">
        <f>SUM('план на 2016'!$L201:R201)-SUM('членские взносы'!$M201:'членские взносы'!R201)</f>
        <v>0</v>
      </c>
      <c r="S200" s="29">
        <f>SUM('план на 2016'!$L201:S201)-SUM('членские взносы'!$M201:'членские взносы'!S201)</f>
        <v>800</v>
      </c>
      <c r="T200" s="29">
        <f>SUM('план на 2016'!$L201:T201)-SUM('членские взносы'!$M201:'членские взносы'!T201)</f>
        <v>1600</v>
      </c>
      <c r="U200" s="29">
        <f>SUM('план на 2016'!$L201:U201)-SUM('членские взносы'!$M201:'членские взносы'!U201)</f>
        <v>2400</v>
      </c>
      <c r="V200" s="29">
        <f>SUM('план на 2016'!$L201:V201)-SUM('членские взносы'!$M201:'членские взносы'!V201)</f>
        <v>3200</v>
      </c>
      <c r="W200" s="29">
        <f>SUM('план на 2016'!$L201:W201)-SUM('членские взносы'!$M201:'членские взносы'!W201)</f>
        <v>4000</v>
      </c>
      <c r="X200" s="29">
        <f>SUM('план на 2016'!$L201:X201)-SUM('членские взносы'!$M201:'членские взносы'!X201)</f>
        <v>4800</v>
      </c>
      <c r="Y200" s="18">
        <f t="shared" si="23"/>
        <v>4800</v>
      </c>
    </row>
    <row r="201" spans="1:25" ht="25.5" customHeight="1">
      <c r="A201" s="41">
        <f>VLOOKUP(B201,справочник!$B$2:$E$322,4,FALSE)</f>
        <v>300</v>
      </c>
      <c r="B201" t="str">
        <f t="shared" si="22"/>
        <v>315Новикова Наталья Петровна</v>
      </c>
      <c r="C201" s="1">
        <v>315</v>
      </c>
      <c r="D201" s="2" t="s">
        <v>185</v>
      </c>
      <c r="E201" s="1" t="s">
        <v>502</v>
      </c>
      <c r="F201" s="16">
        <v>41999</v>
      </c>
      <c r="G201" s="16">
        <v>42005</v>
      </c>
      <c r="H201" s="17">
        <f t="shared" si="19"/>
        <v>12</v>
      </c>
      <c r="I201" s="1">
        <f t="shared" si="20"/>
        <v>12000</v>
      </c>
      <c r="J201" s="17">
        <v>1000</v>
      </c>
      <c r="K201" s="17"/>
      <c r="L201" s="18">
        <f t="shared" si="21"/>
        <v>11000</v>
      </c>
      <c r="M201" s="29">
        <f>SUM('план на 2016'!$L202:M202)-SUM('членские взносы'!$M202:'членские взносы'!M202)</f>
        <v>11800</v>
      </c>
      <c r="N201" s="29">
        <f>SUM('план на 2016'!$L202:N202)-SUM('членские взносы'!$M202:'членские взносы'!N202)</f>
        <v>12600</v>
      </c>
      <c r="O201" s="29">
        <f>SUM('план на 2016'!$L202:O202)-SUM('членские взносы'!$M202:'членские взносы'!O202)</f>
        <v>13400</v>
      </c>
      <c r="P201" s="29">
        <f>SUM('план на 2016'!$L202:P202)-SUM('членские взносы'!$M202:'членские взносы'!P202)</f>
        <v>14200</v>
      </c>
      <c r="Q201" s="29">
        <f>SUM('план на 2016'!$L202:Q202)-SUM('членские взносы'!$M202:'членские взносы'!Q202)</f>
        <v>15000</v>
      </c>
      <c r="R201" s="29">
        <f>SUM('план на 2016'!$L202:R202)-SUM('членские взносы'!$M202:'членские взносы'!R202)</f>
        <v>15800</v>
      </c>
      <c r="S201" s="29">
        <f>SUM('план на 2016'!$L202:S202)-SUM('членские взносы'!$M202:'членские взносы'!S202)</f>
        <v>16600</v>
      </c>
      <c r="T201" s="29">
        <f>SUM('план на 2016'!$L202:T202)-SUM('членские взносы'!$M202:'членские взносы'!T202)</f>
        <v>17400</v>
      </c>
      <c r="U201" s="29">
        <f>SUM('план на 2016'!$L202:U202)-SUM('членские взносы'!$M202:'членские взносы'!U202)</f>
        <v>18200</v>
      </c>
      <c r="V201" s="29">
        <f>SUM('план на 2016'!$L202:V202)-SUM('членские взносы'!$M202:'членские взносы'!V202)</f>
        <v>19000</v>
      </c>
      <c r="W201" s="29">
        <f>SUM('план на 2016'!$L202:W202)-SUM('членские взносы'!$M202:'членские взносы'!W202)</f>
        <v>19800</v>
      </c>
      <c r="X201" s="29">
        <f>SUM('план на 2016'!$L202:X202)-SUM('членские взносы'!$M202:'членские взносы'!X202)</f>
        <v>20600</v>
      </c>
      <c r="Y201" s="18">
        <f t="shared" si="23"/>
        <v>20600</v>
      </c>
    </row>
    <row r="202" spans="1:25" ht="25.5">
      <c r="A202" s="41">
        <f>VLOOKUP(B202,справочник!$B$2:$E$322,4,FALSE)</f>
        <v>47</v>
      </c>
      <c r="B202" t="str">
        <f t="shared" si="22"/>
        <v>47Новикова Светлана Владимировна (Анатолий)</v>
      </c>
      <c r="C202" s="1">
        <v>47</v>
      </c>
      <c r="D202" s="2" t="s">
        <v>186</v>
      </c>
      <c r="E202" s="1" t="s">
        <v>503</v>
      </c>
      <c r="F202" s="16">
        <v>41375</v>
      </c>
      <c r="G202" s="16">
        <v>41395</v>
      </c>
      <c r="H202" s="17">
        <f t="shared" si="19"/>
        <v>32</v>
      </c>
      <c r="I202" s="1">
        <f t="shared" si="20"/>
        <v>32000</v>
      </c>
      <c r="J202" s="17">
        <v>9000</v>
      </c>
      <c r="K202" s="17"/>
      <c r="L202" s="18">
        <f t="shared" si="21"/>
        <v>23000</v>
      </c>
      <c r="M202" s="29">
        <f>SUM('план на 2016'!$L203:M203)-SUM('членские взносы'!$M203:'членские взносы'!M203)</f>
        <v>23800</v>
      </c>
      <c r="N202" s="29">
        <f>SUM('план на 2016'!$L203:N203)-SUM('членские взносы'!$M203:'членские взносы'!N203)</f>
        <v>24600</v>
      </c>
      <c r="O202" s="29">
        <f>SUM('план на 2016'!$L203:O203)-SUM('членские взносы'!$M203:'членские взносы'!O203)</f>
        <v>25400</v>
      </c>
      <c r="P202" s="29">
        <f>SUM('план на 2016'!$L203:P203)-SUM('членские взносы'!$M203:'членские взносы'!P203)</f>
        <v>26200</v>
      </c>
      <c r="Q202" s="29">
        <f>SUM('план на 2016'!$L203:Q203)-SUM('членские взносы'!$M203:'членские взносы'!Q203)</f>
        <v>27000</v>
      </c>
      <c r="R202" s="29">
        <f>SUM('план на 2016'!$L203:R203)-SUM('членские взносы'!$M203:'членские взносы'!R203)</f>
        <v>27800</v>
      </c>
      <c r="S202" s="29">
        <f>SUM('план на 2016'!$L203:S203)-SUM('членские взносы'!$M203:'членские взносы'!S203)</f>
        <v>28600</v>
      </c>
      <c r="T202" s="29">
        <f>SUM('план на 2016'!$L203:T203)-SUM('членские взносы'!$M203:'членские взносы'!T203)</f>
        <v>29400</v>
      </c>
      <c r="U202" s="29">
        <f>SUM('план на 2016'!$L203:U203)-SUM('членские взносы'!$M203:'членские взносы'!U203)</f>
        <v>30200</v>
      </c>
      <c r="V202" s="29">
        <f>SUM('план на 2016'!$L203:V203)-SUM('членские взносы'!$M203:'членские взносы'!V203)</f>
        <v>31000</v>
      </c>
      <c r="W202" s="29">
        <f>SUM('план на 2016'!$L203:W203)-SUM('членские взносы'!$M203:'членские взносы'!W203)</f>
        <v>31800</v>
      </c>
      <c r="X202" s="29">
        <f>SUM('план на 2016'!$L203:X203)-SUM('членские взносы'!$M203:'членские взносы'!X203)</f>
        <v>32600</v>
      </c>
      <c r="Y202" s="18">
        <f t="shared" si="23"/>
        <v>32600</v>
      </c>
    </row>
    <row r="203" spans="1:25">
      <c r="A203" s="41">
        <f>VLOOKUP(B203,справочник!$B$2:$E$322,4,FALSE)</f>
        <v>282</v>
      </c>
      <c r="B203" t="str">
        <f t="shared" si="22"/>
        <v xml:space="preserve">294Нормуротов Анваржон Абдирайимович    </v>
      </c>
      <c r="C203" s="1">
        <v>294</v>
      </c>
      <c r="D203" s="2" t="s">
        <v>187</v>
      </c>
      <c r="E203" s="23" t="s">
        <v>474</v>
      </c>
      <c r="F203" s="24">
        <v>41716</v>
      </c>
      <c r="G203" s="24">
        <v>41730</v>
      </c>
      <c r="H203" s="17">
        <f t="shared" si="19"/>
        <v>21</v>
      </c>
      <c r="I203" s="1">
        <f t="shared" si="20"/>
        <v>21000</v>
      </c>
      <c r="J203" s="17">
        <v>18000</v>
      </c>
      <c r="K203" s="17"/>
      <c r="L203" s="18">
        <f t="shared" si="21"/>
        <v>3000</v>
      </c>
      <c r="M203" s="29">
        <f>SUM('план на 2016'!$L204:M204)-SUM('членские взносы'!$M204:'членские взносы'!M204)</f>
        <v>3800</v>
      </c>
      <c r="N203" s="29">
        <f>SUM('план на 2016'!$L204:N204)-SUM('членские взносы'!$M204:'членские взносы'!N204)</f>
        <v>4600</v>
      </c>
      <c r="O203" s="29">
        <f>SUM('план на 2016'!$L204:O204)-SUM('членские взносы'!$M204:'членские взносы'!O204)</f>
        <v>5400</v>
      </c>
      <c r="P203" s="29">
        <f>SUM('план на 2016'!$L204:P204)-SUM('членские взносы'!$M204:'членские взносы'!P204)</f>
        <v>6200</v>
      </c>
      <c r="Q203" s="29">
        <f>SUM('план на 2016'!$L204:Q204)-SUM('членские взносы'!$M204:'членские взносы'!Q204)</f>
        <v>7000</v>
      </c>
      <c r="R203" s="29">
        <f>SUM('план на 2016'!$L204:R204)-SUM('членские взносы'!$M204:'членские взносы'!R204)</f>
        <v>7800</v>
      </c>
      <c r="S203" s="29">
        <f>SUM('план на 2016'!$L204:S204)-SUM('членские взносы'!$M204:'членские взносы'!S204)</f>
        <v>8600</v>
      </c>
      <c r="T203" s="29">
        <f>SUM('план на 2016'!$L204:T204)-SUM('членские взносы'!$M204:'членские взносы'!T204)</f>
        <v>9400</v>
      </c>
      <c r="U203" s="29">
        <f>SUM('план на 2016'!$L204:U204)-SUM('членские взносы'!$M204:'членские взносы'!U204)</f>
        <v>10200</v>
      </c>
      <c r="V203" s="29">
        <f>SUM('план на 2016'!$L204:V204)-SUM('членские взносы'!$M204:'членские взносы'!V204)</f>
        <v>11000</v>
      </c>
      <c r="W203" s="29">
        <f>SUM('план на 2016'!$L204:W204)-SUM('членские взносы'!$M204:'членские взносы'!W204)</f>
        <v>11800</v>
      </c>
      <c r="X203" s="29">
        <f>SUM('план на 2016'!$L204:X204)-SUM('членские взносы'!$M204:'членские взносы'!X204)</f>
        <v>12600</v>
      </c>
      <c r="Y203" s="18">
        <f t="shared" si="23"/>
        <v>12600</v>
      </c>
    </row>
    <row r="204" spans="1:25" ht="25.5" customHeight="1">
      <c r="A204" s="41">
        <f>VLOOKUP(B204,справочник!$B$2:$E$322,4,FALSE)</f>
        <v>204</v>
      </c>
      <c r="B204" t="str">
        <f t="shared" si="22"/>
        <v xml:space="preserve">214Носикова Александра Васильевна </v>
      </c>
      <c r="C204" s="1">
        <v>214</v>
      </c>
      <c r="D204" s="2" t="s">
        <v>188</v>
      </c>
      <c r="E204" s="1" t="s">
        <v>504</v>
      </c>
      <c r="F204" s="1"/>
      <c r="G204" s="1"/>
      <c r="H204" s="17"/>
      <c r="I204" s="1">
        <f t="shared" si="20"/>
        <v>0</v>
      </c>
      <c r="J204" s="17"/>
      <c r="K204" s="17"/>
      <c r="L204" s="18">
        <f t="shared" si="21"/>
        <v>0</v>
      </c>
      <c r="M204" s="29">
        <f>SUM('план на 2016'!$L205:M205)-SUM('членские взносы'!$M205:'членские взносы'!M205)</f>
        <v>800</v>
      </c>
      <c r="N204" s="29">
        <f>SUM('план на 2016'!$L205:N205)-SUM('членские взносы'!$M205:'членские взносы'!N205)</f>
        <v>1600</v>
      </c>
      <c r="O204" s="29">
        <f>SUM('план на 2016'!$L205:O205)-SUM('членские взносы'!$M205:'членские взносы'!O205)</f>
        <v>2400</v>
      </c>
      <c r="P204" s="29">
        <f>SUM('план на 2016'!$L205:P205)-SUM('членские взносы'!$M205:'членские взносы'!P205)</f>
        <v>3200</v>
      </c>
      <c r="Q204" s="29">
        <f>SUM('план на 2016'!$L205:Q205)-SUM('членские взносы'!$M205:'членские взносы'!Q205)</f>
        <v>4000</v>
      </c>
      <c r="R204" s="29">
        <f>SUM('план на 2016'!$L205:R205)-SUM('членские взносы'!$M205:'членские взносы'!R205)</f>
        <v>4800</v>
      </c>
      <c r="S204" s="29">
        <f>SUM('план на 2016'!$L205:S205)-SUM('членские взносы'!$M205:'членские взносы'!S205)</f>
        <v>5600</v>
      </c>
      <c r="T204" s="29">
        <f>SUM('план на 2016'!$L205:T205)-SUM('членские взносы'!$M205:'членские взносы'!T205)</f>
        <v>6400</v>
      </c>
      <c r="U204" s="29">
        <f>SUM('план на 2016'!$L205:U205)-SUM('членские взносы'!$M205:'членские взносы'!U205)</f>
        <v>7200</v>
      </c>
      <c r="V204" s="29">
        <f>SUM('план на 2016'!$L205:V205)-SUM('членские взносы'!$M205:'членские взносы'!V205)</f>
        <v>8000</v>
      </c>
      <c r="W204" s="29">
        <f>SUM('план на 2016'!$L205:W205)-SUM('членские взносы'!$M205:'членские взносы'!W205)</f>
        <v>8800</v>
      </c>
      <c r="X204" s="29">
        <f>SUM('план на 2016'!$L205:X205)-SUM('членские взносы'!$M205:'членские взносы'!X205)</f>
        <v>9600</v>
      </c>
      <c r="Y204" s="18">
        <f t="shared" si="23"/>
        <v>9600</v>
      </c>
    </row>
    <row r="205" spans="1:25">
      <c r="A205" s="41">
        <f>VLOOKUP(B205,справочник!$B$2:$E$322,4,FALSE)</f>
        <v>291</v>
      </c>
      <c r="B205" t="str">
        <f t="shared" si="22"/>
        <v>304Носикова Мария Леонидовна</v>
      </c>
      <c r="C205" s="1">
        <v>304</v>
      </c>
      <c r="D205" s="2" t="s">
        <v>189</v>
      </c>
      <c r="E205" s="1" t="s">
        <v>505</v>
      </c>
      <c r="F205" s="1"/>
      <c r="G205" s="1"/>
      <c r="H205" s="17"/>
      <c r="I205" s="1">
        <f t="shared" si="20"/>
        <v>0</v>
      </c>
      <c r="J205" s="17"/>
      <c r="K205" s="17"/>
      <c r="L205" s="18">
        <f t="shared" si="21"/>
        <v>0</v>
      </c>
      <c r="M205" s="29">
        <f>SUM('план на 2016'!$L206:M206)-SUM('членские взносы'!$M206:'членские взносы'!M206)</f>
        <v>800</v>
      </c>
      <c r="N205" s="29">
        <f>SUM('план на 2016'!$L206:N206)-SUM('членские взносы'!$M206:'членские взносы'!N206)</f>
        <v>1600</v>
      </c>
      <c r="O205" s="29">
        <f>SUM('план на 2016'!$L206:O206)-SUM('членские взносы'!$M206:'членские взносы'!O206)</f>
        <v>2400</v>
      </c>
      <c r="P205" s="29">
        <f>SUM('план на 2016'!$L206:P206)-SUM('членские взносы'!$M206:'членские взносы'!P206)</f>
        <v>3200</v>
      </c>
      <c r="Q205" s="29">
        <f>SUM('план на 2016'!$L206:Q206)-SUM('членские взносы'!$M206:'членские взносы'!Q206)</f>
        <v>4000</v>
      </c>
      <c r="R205" s="29">
        <f>SUM('план на 2016'!$L206:R206)-SUM('членские взносы'!$M206:'членские взносы'!R206)</f>
        <v>4800</v>
      </c>
      <c r="S205" s="29">
        <f>SUM('план на 2016'!$L206:S206)-SUM('членские взносы'!$M206:'членские взносы'!S206)</f>
        <v>5600</v>
      </c>
      <c r="T205" s="29">
        <f>SUM('план на 2016'!$L206:T206)-SUM('членские взносы'!$M206:'членские взносы'!T206)</f>
        <v>6400</v>
      </c>
      <c r="U205" s="29">
        <f>SUM('план на 2016'!$L206:U206)-SUM('членские взносы'!$M206:'членские взносы'!U206)</f>
        <v>7200</v>
      </c>
      <c r="V205" s="29">
        <f>SUM('план на 2016'!$L206:V206)-SUM('членские взносы'!$M206:'членские взносы'!V206)</f>
        <v>8000</v>
      </c>
      <c r="W205" s="29">
        <f>SUM('план на 2016'!$L206:W206)-SUM('членские взносы'!$M206:'членские взносы'!W206)</f>
        <v>8800</v>
      </c>
      <c r="X205" s="29">
        <f>SUM('план на 2016'!$L206:X206)-SUM('членские взносы'!$M206:'членские взносы'!X206)</f>
        <v>9600</v>
      </c>
      <c r="Y205" s="18">
        <f t="shared" si="23"/>
        <v>9600</v>
      </c>
    </row>
    <row r="206" spans="1:25">
      <c r="A206" s="41">
        <f>VLOOKUP(B206,справочник!$B$2:$E$322,4,FALSE)</f>
        <v>89</v>
      </c>
      <c r="B206" t="str">
        <f t="shared" si="22"/>
        <v xml:space="preserve">94Олег (Гусев Николай Михайлович — был) </v>
      </c>
      <c r="C206" s="1">
        <v>94</v>
      </c>
      <c r="D206" s="2" t="s">
        <v>190</v>
      </c>
      <c r="E206" s="1" t="s">
        <v>506</v>
      </c>
      <c r="F206" s="16">
        <v>41106</v>
      </c>
      <c r="G206" s="16">
        <v>41091</v>
      </c>
      <c r="H206" s="17">
        <f t="shared" ref="H206:H212" si="24">INT(($H$326-G206)/30)</f>
        <v>42</v>
      </c>
      <c r="I206" s="1">
        <f t="shared" si="20"/>
        <v>42000</v>
      </c>
      <c r="J206" s="17">
        <f>21000</f>
        <v>21000</v>
      </c>
      <c r="K206" s="17"/>
      <c r="L206" s="18">
        <f t="shared" si="21"/>
        <v>21000</v>
      </c>
      <c r="M206" s="29">
        <f>SUM('план на 2016'!$L207:M207)-SUM('членские взносы'!$M207:'членские взносы'!M207)</f>
        <v>21800</v>
      </c>
      <c r="N206" s="29">
        <f>SUM('план на 2016'!$L207:N207)-SUM('членские взносы'!$M207:'членские взносы'!N207)</f>
        <v>22600</v>
      </c>
      <c r="O206" s="29">
        <f>SUM('план на 2016'!$L207:O207)-SUM('членские взносы'!$M207:'членские взносы'!O207)</f>
        <v>23400</v>
      </c>
      <c r="P206" s="29">
        <f>SUM('план на 2016'!$L207:P207)-SUM('членские взносы'!$M207:'членские взносы'!P207)</f>
        <v>24200</v>
      </c>
      <c r="Q206" s="29">
        <f>SUM('план на 2016'!$L207:Q207)-SUM('членские взносы'!$M207:'членские взносы'!Q207)</f>
        <v>25000</v>
      </c>
      <c r="R206" s="29">
        <f>SUM('план на 2016'!$L207:R207)-SUM('членские взносы'!$M207:'членские взносы'!R207)</f>
        <v>25800</v>
      </c>
      <c r="S206" s="29">
        <f>SUM('план на 2016'!$L207:S207)-SUM('членские взносы'!$M207:'членские взносы'!S207)</f>
        <v>26600</v>
      </c>
      <c r="T206" s="29">
        <f>SUM('план на 2016'!$L207:T207)-SUM('членские взносы'!$M207:'членские взносы'!T207)</f>
        <v>27400</v>
      </c>
      <c r="U206" s="29">
        <f>SUM('план на 2016'!$L207:U207)-SUM('членские взносы'!$M207:'членские взносы'!U207)</f>
        <v>28200</v>
      </c>
      <c r="V206" s="29">
        <f>SUM('план на 2016'!$L207:V207)-SUM('членские взносы'!$M207:'членские взносы'!V207)</f>
        <v>29000</v>
      </c>
      <c r="W206" s="29">
        <f>SUM('план на 2016'!$L207:W207)-SUM('членские взносы'!$M207:'членские взносы'!W207)</f>
        <v>29800</v>
      </c>
      <c r="X206" s="29">
        <f>SUM('план на 2016'!$L207:X207)-SUM('членские взносы'!$M207:'членские взносы'!X207)</f>
        <v>30600</v>
      </c>
      <c r="Y206" s="18">
        <f t="shared" si="23"/>
        <v>30600</v>
      </c>
    </row>
    <row r="207" spans="1:25">
      <c r="A207" s="41">
        <f>VLOOKUP(B207,справочник!$B$2:$E$322,4,FALSE)</f>
        <v>26</v>
      </c>
      <c r="B207" t="str">
        <f t="shared" si="22"/>
        <v xml:space="preserve">26Олейников Дмитрий Александрович </v>
      </c>
      <c r="C207" s="1">
        <v>26</v>
      </c>
      <c r="D207" s="2" t="s">
        <v>191</v>
      </c>
      <c r="E207" s="1" t="s">
        <v>507</v>
      </c>
      <c r="F207" s="16">
        <v>40788</v>
      </c>
      <c r="G207" s="16">
        <v>40787</v>
      </c>
      <c r="H207" s="17">
        <f t="shared" si="24"/>
        <v>52</v>
      </c>
      <c r="I207" s="1">
        <f t="shared" si="20"/>
        <v>52000</v>
      </c>
      <c r="J207" s="17"/>
      <c r="K207" s="17"/>
      <c r="L207" s="18">
        <f t="shared" si="21"/>
        <v>52000</v>
      </c>
      <c r="M207" s="29">
        <f>SUM('план на 2016'!$L208:M208)-SUM('членские взносы'!$M208:'членские взносы'!M208)</f>
        <v>52800</v>
      </c>
      <c r="N207" s="29">
        <f>SUM('план на 2016'!$L208:N208)-SUM('членские взносы'!$M208:'членские взносы'!N208)</f>
        <v>53600</v>
      </c>
      <c r="O207" s="29">
        <f>SUM('план на 2016'!$L208:O208)-SUM('членские взносы'!$M208:'членские взносы'!O208)</f>
        <v>54400</v>
      </c>
      <c r="P207" s="29">
        <f>SUM('план на 2016'!$L208:P208)-SUM('членские взносы'!$M208:'членские взносы'!P208)</f>
        <v>55200</v>
      </c>
      <c r="Q207" s="29">
        <f>SUM('план на 2016'!$L208:Q208)-SUM('членские взносы'!$M208:'членские взносы'!Q208)</f>
        <v>56000</v>
      </c>
      <c r="R207" s="29">
        <f>SUM('план на 2016'!$L208:R208)-SUM('членские взносы'!$M208:'членские взносы'!R208)</f>
        <v>56800</v>
      </c>
      <c r="S207" s="29">
        <f>SUM('план на 2016'!$L208:S208)-SUM('членские взносы'!$M208:'членские взносы'!S208)</f>
        <v>57600</v>
      </c>
      <c r="T207" s="29">
        <f>SUM('план на 2016'!$L208:T208)-SUM('членские взносы'!$M208:'членские взносы'!T208)</f>
        <v>58400</v>
      </c>
      <c r="U207" s="29">
        <f>SUM('план на 2016'!$L208:U208)-SUM('членские взносы'!$M208:'членские взносы'!U208)</f>
        <v>59200</v>
      </c>
      <c r="V207" s="29">
        <f>SUM('план на 2016'!$L208:V208)-SUM('членские взносы'!$M208:'членские взносы'!V208)</f>
        <v>60000</v>
      </c>
      <c r="W207" s="29">
        <f>SUM('план на 2016'!$L208:W208)-SUM('членские взносы'!$M208:'членские взносы'!W208)</f>
        <v>60800</v>
      </c>
      <c r="X207" s="29">
        <f>SUM('план на 2016'!$L208:X208)-SUM('членские взносы'!$M208:'членские взносы'!X208)</f>
        <v>61600</v>
      </c>
      <c r="Y207" s="18">
        <f t="shared" si="23"/>
        <v>61600</v>
      </c>
    </row>
    <row r="208" spans="1:25">
      <c r="A208" s="41">
        <f>VLOOKUP(B208,справочник!$B$2:$E$322,4,FALSE)</f>
        <v>71</v>
      </c>
      <c r="B208" t="str">
        <f t="shared" si="22"/>
        <v>77Олейникова Евгения Александровна</v>
      </c>
      <c r="C208" s="1">
        <v>77</v>
      </c>
      <c r="D208" s="2" t="s">
        <v>192</v>
      </c>
      <c r="E208" s="1" t="s">
        <v>508</v>
      </c>
      <c r="F208" s="16">
        <v>40788</v>
      </c>
      <c r="G208" s="16">
        <v>40787</v>
      </c>
      <c r="H208" s="17">
        <f t="shared" si="24"/>
        <v>52</v>
      </c>
      <c r="I208" s="1">
        <f t="shared" si="20"/>
        <v>52000</v>
      </c>
      <c r="J208" s="17">
        <f>36000+4000</f>
        <v>40000</v>
      </c>
      <c r="K208" s="17"/>
      <c r="L208" s="18">
        <f t="shared" si="21"/>
        <v>12000</v>
      </c>
      <c r="M208" s="29">
        <f>SUM('план на 2016'!$L209:M209)-SUM('членские взносы'!$M209:'членские взносы'!M209)</f>
        <v>12800</v>
      </c>
      <c r="N208" s="29">
        <f>SUM('план на 2016'!$L209:N209)-SUM('членские взносы'!$M209:'членские взносы'!N209)</f>
        <v>13600</v>
      </c>
      <c r="O208" s="29">
        <f>SUM('план на 2016'!$L209:O209)-SUM('членские взносы'!$M209:'членские взносы'!O209)</f>
        <v>14400</v>
      </c>
      <c r="P208" s="29">
        <f>SUM('план на 2016'!$L209:P209)-SUM('членские взносы'!$M209:'членские взносы'!P209)</f>
        <v>15200</v>
      </c>
      <c r="Q208" s="29">
        <f>SUM('план на 2016'!$L209:Q209)-SUM('членские взносы'!$M209:'членские взносы'!Q209)</f>
        <v>16000</v>
      </c>
      <c r="R208" s="29">
        <f>SUM('план на 2016'!$L209:R209)-SUM('членские взносы'!$M209:'членские взносы'!R209)</f>
        <v>16800</v>
      </c>
      <c r="S208" s="29">
        <f>SUM('план на 2016'!$L209:S209)-SUM('членские взносы'!$M209:'членские взносы'!S209)</f>
        <v>17600</v>
      </c>
      <c r="T208" s="29">
        <f>SUM('план на 2016'!$L209:T209)-SUM('членские взносы'!$M209:'членские взносы'!T209)</f>
        <v>18400</v>
      </c>
      <c r="U208" s="29">
        <f>SUM('план на 2016'!$L209:U209)-SUM('членские взносы'!$M209:'членские взносы'!U209)</f>
        <v>19200</v>
      </c>
      <c r="V208" s="29">
        <f>SUM('план на 2016'!$L209:V209)-SUM('членские взносы'!$M209:'членские взносы'!V209)</f>
        <v>20000</v>
      </c>
      <c r="W208" s="29">
        <f>SUM('план на 2016'!$L209:W209)-SUM('членские взносы'!$M209:'членские взносы'!W209)</f>
        <v>20800</v>
      </c>
      <c r="X208" s="29">
        <f>SUM('план на 2016'!$L209:X209)-SUM('членские взносы'!$M209:'членские взносы'!X209)</f>
        <v>21600</v>
      </c>
      <c r="Y208" s="18">
        <f t="shared" si="23"/>
        <v>21600</v>
      </c>
    </row>
    <row r="209" spans="1:25" ht="25.5" customHeight="1">
      <c r="A209" s="41">
        <f>VLOOKUP(B209,справочник!$B$2:$E$322,4,FALSE)</f>
        <v>6</v>
      </c>
      <c r="B209" t="str">
        <f t="shared" si="22"/>
        <v>6Осадчев Константин Владимирович</v>
      </c>
      <c r="C209" s="1">
        <v>6</v>
      </c>
      <c r="D209" s="2" t="s">
        <v>193</v>
      </c>
      <c r="E209" s="1" t="s">
        <v>509</v>
      </c>
      <c r="F209" s="16">
        <v>41939</v>
      </c>
      <c r="G209" s="16">
        <v>41944</v>
      </c>
      <c r="H209" s="17">
        <f t="shared" si="24"/>
        <v>14</v>
      </c>
      <c r="I209" s="1">
        <f t="shared" si="20"/>
        <v>14000</v>
      </c>
      <c r="J209" s="17"/>
      <c r="K209" s="17"/>
      <c r="L209" s="18">
        <f t="shared" si="21"/>
        <v>14000</v>
      </c>
      <c r="M209" s="29">
        <f>SUM('план на 2016'!$L210:M210)-SUM('членские взносы'!$M210:'членские взносы'!M210)</f>
        <v>14800</v>
      </c>
      <c r="N209" s="29">
        <f>SUM('план на 2016'!$L210:N210)-SUM('членские взносы'!$M210:'членские взносы'!N210)</f>
        <v>15600</v>
      </c>
      <c r="O209" s="29">
        <f>SUM('план на 2016'!$L210:O210)-SUM('членские взносы'!$M210:'членские взносы'!O210)</f>
        <v>16400</v>
      </c>
      <c r="P209" s="29">
        <f>SUM('план на 2016'!$L210:P210)-SUM('членские взносы'!$M210:'членские взносы'!P210)</f>
        <v>17200</v>
      </c>
      <c r="Q209" s="29">
        <f>SUM('план на 2016'!$L210:Q210)-SUM('членские взносы'!$M210:'членские взносы'!Q210)</f>
        <v>14000</v>
      </c>
      <c r="R209" s="29">
        <f>SUM('план на 2016'!$L210:R210)-SUM('членские взносы'!$M210:'членские взносы'!R210)</f>
        <v>14800</v>
      </c>
      <c r="S209" s="29">
        <f>SUM('план на 2016'!$L210:S210)-SUM('членские взносы'!$M210:'членские взносы'!S210)</f>
        <v>15600</v>
      </c>
      <c r="T209" s="29">
        <f>SUM('план на 2016'!$L210:T210)-SUM('членские взносы'!$M210:'членские взносы'!T210)</f>
        <v>16400</v>
      </c>
      <c r="U209" s="29">
        <f>SUM('план на 2016'!$L210:U210)-SUM('членские взносы'!$M210:'членские взносы'!U210)</f>
        <v>17200</v>
      </c>
      <c r="V209" s="29">
        <f>SUM('план на 2016'!$L210:V210)-SUM('членские взносы'!$M210:'членские взносы'!V210)</f>
        <v>18000</v>
      </c>
      <c r="W209" s="29">
        <f>SUM('план на 2016'!$L210:W210)-SUM('членские взносы'!$M210:'членские взносы'!W210)</f>
        <v>18800</v>
      </c>
      <c r="X209" s="29">
        <f>SUM('план на 2016'!$L210:X210)-SUM('членские взносы'!$M210:'членские взносы'!X210)</f>
        <v>1600</v>
      </c>
      <c r="Y209" s="18">
        <f t="shared" si="23"/>
        <v>1600</v>
      </c>
    </row>
    <row r="210" spans="1:25" ht="25.5" customHeight="1">
      <c r="A210" s="41">
        <f>VLOOKUP(B210,справочник!$B$2:$E$322,4,FALSE)</f>
        <v>80</v>
      </c>
      <c r="B210" t="str">
        <f t="shared" si="22"/>
        <v>85Острикова Наталья Львовна</v>
      </c>
      <c r="C210" s="1">
        <v>85</v>
      </c>
      <c r="D210" s="2" t="s">
        <v>194</v>
      </c>
      <c r="E210" s="1" t="s">
        <v>510</v>
      </c>
      <c r="F210" s="16">
        <v>40995</v>
      </c>
      <c r="G210" s="16">
        <v>41000</v>
      </c>
      <c r="H210" s="17">
        <f t="shared" si="24"/>
        <v>45</v>
      </c>
      <c r="I210" s="1">
        <f t="shared" si="20"/>
        <v>45000</v>
      </c>
      <c r="J210" s="17">
        <v>45000</v>
      </c>
      <c r="K210" s="17"/>
      <c r="L210" s="18">
        <f t="shared" si="21"/>
        <v>0</v>
      </c>
      <c r="M210" s="29">
        <f>SUM('план на 2016'!$L211:M211)-SUM('членские взносы'!$M211:'членские взносы'!M211)</f>
        <v>800</v>
      </c>
      <c r="N210" s="29">
        <f>SUM('план на 2016'!$L211:N211)-SUM('членские взносы'!$M211:'членские взносы'!N211)</f>
        <v>1600</v>
      </c>
      <c r="O210" s="29">
        <f>SUM('план на 2016'!$L211:O211)-SUM('членские взносы'!$M211:'членские взносы'!O211)</f>
        <v>2400</v>
      </c>
      <c r="P210" s="29">
        <f>SUM('план на 2016'!$L211:P211)-SUM('членские взносы'!$M211:'членские взносы'!P211)</f>
        <v>3200</v>
      </c>
      <c r="Q210" s="29">
        <f>SUM('план на 2016'!$L211:Q211)-SUM('членские взносы'!$M211:'членские взносы'!Q211)</f>
        <v>4000</v>
      </c>
      <c r="R210" s="29">
        <f>SUM('план на 2016'!$L211:R211)-SUM('членские взносы'!$M211:'членские взносы'!R211)</f>
        <v>800</v>
      </c>
      <c r="S210" s="29">
        <f>SUM('план на 2016'!$L211:S211)-SUM('членские взносы'!$M211:'членские взносы'!S211)</f>
        <v>-400</v>
      </c>
      <c r="T210" s="29">
        <f>SUM('план на 2016'!$L211:T211)-SUM('членские взносы'!$M211:'членские взносы'!T211)</f>
        <v>-1600</v>
      </c>
      <c r="U210" s="29">
        <f>SUM('план на 2016'!$L211:U211)-SUM('членские взносы'!$M211:'членские взносы'!U211)</f>
        <v>-800</v>
      </c>
      <c r="V210" s="29">
        <f>SUM('план на 2016'!$L211:V211)-SUM('членские взносы'!$M211:'членские взносы'!V211)</f>
        <v>0</v>
      </c>
      <c r="W210" s="29">
        <f>SUM('план на 2016'!$L211:W211)-SUM('членские взносы'!$M211:'членские взносы'!W211)</f>
        <v>800</v>
      </c>
      <c r="X210" s="29">
        <f>SUM('план на 2016'!$L211:X211)-SUM('членские взносы'!$M211:'членские взносы'!X211)</f>
        <v>1600</v>
      </c>
      <c r="Y210" s="18">
        <f t="shared" si="23"/>
        <v>1600</v>
      </c>
    </row>
    <row r="211" spans="1:25" ht="38.25" customHeight="1">
      <c r="A211" s="41">
        <f>VLOOKUP(B211,справочник!$B$2:$E$322,4,FALSE)</f>
        <v>201</v>
      </c>
      <c r="B211" t="str">
        <f t="shared" si="22"/>
        <v>209Пархачева Эльвира Валентиновна (Алксандр)</v>
      </c>
      <c r="C211" s="1">
        <v>209</v>
      </c>
      <c r="D211" s="2" t="s">
        <v>195</v>
      </c>
      <c r="E211" s="1" t="s">
        <v>511</v>
      </c>
      <c r="F211" s="16">
        <v>40974</v>
      </c>
      <c r="G211" s="16">
        <v>40969</v>
      </c>
      <c r="H211" s="17">
        <f t="shared" si="24"/>
        <v>46</v>
      </c>
      <c r="I211" s="1">
        <f t="shared" si="20"/>
        <v>46000</v>
      </c>
      <c r="J211" s="17">
        <v>38000</v>
      </c>
      <c r="K211" s="17"/>
      <c r="L211" s="18">
        <f t="shared" si="21"/>
        <v>8000</v>
      </c>
      <c r="M211" s="29">
        <f>SUM('план на 2016'!$L212:M212)-SUM('членские взносы'!$M212:'членские взносы'!M212)</f>
        <v>4800</v>
      </c>
      <c r="N211" s="29">
        <f>SUM('план на 2016'!$L212:N212)-SUM('членские взносы'!$M212:'членские взносы'!N212)</f>
        <v>5600</v>
      </c>
      <c r="O211" s="29">
        <f>SUM('план на 2016'!$L212:O212)-SUM('членские взносы'!$M212:'членские взносы'!O212)</f>
        <v>6400</v>
      </c>
      <c r="P211" s="29">
        <f>SUM('план на 2016'!$L212:P212)-SUM('членские взносы'!$M212:'членские взносы'!P212)</f>
        <v>7200</v>
      </c>
      <c r="Q211" s="29">
        <f>SUM('план на 2016'!$L212:Q212)-SUM('членские взносы'!$M212:'членские взносы'!Q212)</f>
        <v>4800</v>
      </c>
      <c r="R211" s="29">
        <f>SUM('план на 2016'!$L212:R212)-SUM('членские взносы'!$M212:'членские взносы'!R212)</f>
        <v>5600</v>
      </c>
      <c r="S211" s="29">
        <f>SUM('план на 2016'!$L212:S212)-SUM('членские взносы'!$M212:'членские взносы'!S212)</f>
        <v>5600</v>
      </c>
      <c r="T211" s="29">
        <f>SUM('план на 2016'!$L212:T212)-SUM('членские взносы'!$M212:'членские взносы'!T212)</f>
        <v>4800</v>
      </c>
      <c r="U211" s="29">
        <f>SUM('план на 2016'!$L212:U212)-SUM('членские взносы'!$M212:'членские взносы'!U212)</f>
        <v>5600</v>
      </c>
      <c r="V211" s="29">
        <f>SUM('план на 2016'!$L212:V212)-SUM('членские взносы'!$M212:'членские взносы'!V212)</f>
        <v>6400</v>
      </c>
      <c r="W211" s="29">
        <f>SUM('план на 2016'!$L212:W212)-SUM('членские взносы'!$M212:'членские взносы'!W212)</f>
        <v>7200</v>
      </c>
      <c r="X211" s="29">
        <f>SUM('план на 2016'!$L212:X212)-SUM('членские взносы'!$M212:'членские взносы'!X212)</f>
        <v>4000</v>
      </c>
      <c r="Y211" s="18">
        <f t="shared" si="23"/>
        <v>4000</v>
      </c>
    </row>
    <row r="212" spans="1:25">
      <c r="A212" s="41">
        <f>VLOOKUP(B212,справочник!$B$2:$E$322,4,FALSE)</f>
        <v>147</v>
      </c>
      <c r="B212" t="str">
        <f t="shared" si="22"/>
        <v>155Пахарева Ольга Александровна (Дмитрий)</v>
      </c>
      <c r="C212" s="1">
        <v>155</v>
      </c>
      <c r="D212" s="2" t="s">
        <v>196</v>
      </c>
      <c r="E212" s="1" t="s">
        <v>512</v>
      </c>
      <c r="F212" s="16">
        <v>40952</v>
      </c>
      <c r="G212" s="16">
        <v>40940</v>
      </c>
      <c r="H212" s="17">
        <f t="shared" si="24"/>
        <v>47</v>
      </c>
      <c r="I212" s="1">
        <f t="shared" si="20"/>
        <v>47000</v>
      </c>
      <c r="J212" s="17">
        <v>32000</v>
      </c>
      <c r="K212" s="17"/>
      <c r="L212" s="18">
        <f t="shared" si="21"/>
        <v>15000</v>
      </c>
      <c r="M212" s="29">
        <f>SUM('план на 2016'!$L213:M213)-SUM('членские взносы'!$M213:'членские взносы'!M213)</f>
        <v>15800</v>
      </c>
      <c r="N212" s="29">
        <f>SUM('план на 2016'!$L213:N213)-SUM('членские взносы'!$M213:'членские взносы'!N213)</f>
        <v>16600</v>
      </c>
      <c r="O212" s="29">
        <f>SUM('план на 2016'!$L213:O213)-SUM('членские взносы'!$M213:'членские взносы'!O213)</f>
        <v>17400</v>
      </c>
      <c r="P212" s="29">
        <f>SUM('план на 2016'!$L213:P213)-SUM('членские взносы'!$M213:'членские взносы'!P213)</f>
        <v>18200</v>
      </c>
      <c r="Q212" s="29">
        <f>SUM('план на 2016'!$L213:Q213)-SUM('членские взносы'!$M213:'членские взносы'!Q213)</f>
        <v>19000</v>
      </c>
      <c r="R212" s="29">
        <f>SUM('план на 2016'!$L213:R213)-SUM('членские взносы'!$M213:'членские взносы'!R213)</f>
        <v>19800</v>
      </c>
      <c r="S212" s="29">
        <f>SUM('план на 2016'!$L213:S213)-SUM('членские взносы'!$M213:'членские взносы'!S213)</f>
        <v>19600</v>
      </c>
      <c r="T212" s="29">
        <f>SUM('план на 2016'!$L213:T213)-SUM('членские взносы'!$M213:'членские взносы'!T213)</f>
        <v>19400</v>
      </c>
      <c r="U212" s="29">
        <f>SUM('план на 2016'!$L213:U213)-SUM('членские взносы'!$M213:'членские взносы'!U213)</f>
        <v>19200</v>
      </c>
      <c r="V212" s="29">
        <f>SUM('план на 2016'!$L213:V213)-SUM('членские взносы'!$M213:'членские взносы'!V213)</f>
        <v>20000</v>
      </c>
      <c r="W212" s="29">
        <f>SUM('план на 2016'!$L213:W213)-SUM('членские взносы'!$M213:'членские взносы'!W213)</f>
        <v>20800</v>
      </c>
      <c r="X212" s="29">
        <f>SUM('план на 2016'!$L213:X213)-SUM('членские взносы'!$M213:'членские взносы'!X213)</f>
        <v>20600</v>
      </c>
      <c r="Y212" s="18">
        <f t="shared" si="23"/>
        <v>20600</v>
      </c>
    </row>
    <row r="213" spans="1:25">
      <c r="A213" s="41" t="e">
        <f>VLOOKUP(B213,справочник!$B$2:$E$322,4,FALSE)</f>
        <v>#N/A</v>
      </c>
      <c r="B213" t="str">
        <f t="shared" si="22"/>
        <v>29_Петрик Наталья Вячеславовна</v>
      </c>
      <c r="C213" s="1" t="s">
        <v>703</v>
      </c>
      <c r="D213" s="46" t="s">
        <v>707</v>
      </c>
      <c r="E213" s="1" t="s">
        <v>513</v>
      </c>
      <c r="F213" s="16">
        <v>40923</v>
      </c>
      <c r="G213" s="16">
        <v>40909</v>
      </c>
      <c r="H213" s="17">
        <v>7</v>
      </c>
      <c r="I213" s="1">
        <f t="shared" si="20"/>
        <v>7000</v>
      </c>
      <c r="J213" s="17">
        <v>7000</v>
      </c>
      <c r="K213" s="17"/>
      <c r="L213" s="18">
        <f t="shared" si="21"/>
        <v>0</v>
      </c>
      <c r="M213" s="29" t="e">
        <f>SUM('план на 2016'!$L214:M214)-SUM('членские взносы'!#REF!:'членские взносы'!#REF!)</f>
        <v>#REF!</v>
      </c>
      <c r="N213" s="29" t="e">
        <f>SUM('план на 2016'!$L214:N214)-SUM('членские взносы'!#REF!:'членские взносы'!#REF!)</f>
        <v>#REF!</v>
      </c>
      <c r="O213" s="29" t="e">
        <f>SUM('план на 2016'!$L214:O214)-SUM('членские взносы'!#REF!:'членские взносы'!#REF!)</f>
        <v>#REF!</v>
      </c>
      <c r="P213" s="29" t="e">
        <f>SUM('план на 2016'!$L214:P214)-SUM('членские взносы'!#REF!:'членские взносы'!#REF!)</f>
        <v>#REF!</v>
      </c>
      <c r="Q213" s="29" t="e">
        <f>SUM('план на 2016'!$L214:Q214)-SUM('членские взносы'!#REF!:'членские взносы'!#REF!)</f>
        <v>#REF!</v>
      </c>
      <c r="R213" s="29" t="e">
        <f>SUM('план на 2016'!$L214:R214)-SUM('членские взносы'!#REF!:'членские взносы'!#REF!)</f>
        <v>#REF!</v>
      </c>
      <c r="S213" s="29" t="e">
        <f>SUM('план на 2016'!$L214:S214)-SUM('членские взносы'!#REF!:'членские взносы'!#REF!)</f>
        <v>#REF!</v>
      </c>
      <c r="T213" s="29" t="e">
        <f>SUM('план на 2016'!$L214:T214)-SUM('членские взносы'!#REF!:'членские взносы'!#REF!)</f>
        <v>#REF!</v>
      </c>
      <c r="U213" s="29" t="e">
        <f>SUM('план на 2016'!$L214:U214)-SUM('членские взносы'!#REF!:'членские взносы'!#REF!)</f>
        <v>#REF!</v>
      </c>
      <c r="V213" s="29" t="e">
        <f>SUM('план на 2016'!$L214:V214)-SUM('членские взносы'!#REF!:'членские взносы'!#REF!)</f>
        <v>#REF!</v>
      </c>
      <c r="W213" s="29" t="e">
        <f>SUM('план на 2016'!$L214:W214)-SUM('членские взносы'!#REF!:'членские взносы'!#REF!)</f>
        <v>#REF!</v>
      </c>
      <c r="X213" s="29" t="e">
        <f>SUM('план на 2016'!$L214:X214)-SUM('членские взносы'!#REF!:'членские взносы'!#REF!)</f>
        <v>#REF!</v>
      </c>
      <c r="Y213" s="18" t="e">
        <f t="shared" si="23"/>
        <v>#REF!</v>
      </c>
    </row>
    <row r="214" spans="1:25">
      <c r="A214" s="41">
        <f>VLOOKUP(B214,справочник!$B$2:$E$322,4,FALSE)</f>
        <v>33</v>
      </c>
      <c r="B214" t="str">
        <f t="shared" si="22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ref="H214:H223" si="25">INT(($H$326-G214)/30)</f>
        <v>52</v>
      </c>
      <c r="I214" s="1">
        <f t="shared" si="20"/>
        <v>52000</v>
      </c>
      <c r="J214" s="17">
        <f>1000+44000</f>
        <v>45000</v>
      </c>
      <c r="K214" s="17"/>
      <c r="L214" s="18">
        <f t="shared" si="21"/>
        <v>7000</v>
      </c>
      <c r="M214" s="29">
        <f>SUM('план на 2016'!$L215:M215)-SUM('членские взносы'!$M214:'членские взносы'!M214)</f>
        <v>7800</v>
      </c>
      <c r="N214" s="29">
        <f>SUM('план на 2016'!$L215:N215)-SUM('членские взносы'!$M214:'членские взносы'!N214)</f>
        <v>8600</v>
      </c>
      <c r="O214" s="29">
        <f>SUM('план на 2016'!$L215:O215)-SUM('членские взносы'!$M214:'членские взносы'!O214)</f>
        <v>9400</v>
      </c>
      <c r="P214" s="29">
        <f>SUM('план на 2016'!$L215:P215)-SUM('членские взносы'!$M214:'членские взносы'!P214)</f>
        <v>10200</v>
      </c>
      <c r="Q214" s="29">
        <f>SUM('план на 2016'!$L215:Q215)-SUM('членские взносы'!$M214:'членские взносы'!Q214)</f>
        <v>950</v>
      </c>
      <c r="R214" s="29">
        <f>SUM('план на 2016'!$L215:R215)-SUM('членские взносы'!$M214:'членские взносы'!R214)</f>
        <v>1750</v>
      </c>
      <c r="S214" s="29">
        <f>SUM('план на 2016'!$L215:S215)-SUM('членские взносы'!$M214:'членские взносы'!S214)</f>
        <v>2550</v>
      </c>
      <c r="T214" s="29">
        <f>SUM('план на 2016'!$L215:T215)-SUM('членские взносы'!$M214:'членские взносы'!T214)</f>
        <v>3350</v>
      </c>
      <c r="U214" s="29">
        <f>SUM('план на 2016'!$L215:U215)-SUM('членские взносы'!$M214:'членские взносы'!U214)</f>
        <v>4150</v>
      </c>
      <c r="V214" s="29">
        <f>SUM('план на 2016'!$L215:V215)-SUM('членские взносы'!$M214:'членские взносы'!V214)</f>
        <v>4950</v>
      </c>
      <c r="W214" s="29">
        <f>SUM('план на 2016'!$L215:W215)-SUM('членские взносы'!$M214:'членские взносы'!W214)</f>
        <v>5750</v>
      </c>
      <c r="X214" s="29">
        <f>SUM('план на 2016'!$L215:X215)-SUM('членские взносы'!$M214:'членские взносы'!X214)</f>
        <v>6550</v>
      </c>
      <c r="Y214" s="18">
        <f t="shared" si="23"/>
        <v>6550</v>
      </c>
    </row>
    <row r="215" spans="1:25">
      <c r="A215" s="41">
        <f>VLOOKUP(B215,справочник!$B$2:$E$322,4,FALSE)</f>
        <v>169</v>
      </c>
      <c r="B215" t="str">
        <f t="shared" si="22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25"/>
        <v>25</v>
      </c>
      <c r="I215" s="1">
        <f t="shared" si="20"/>
        <v>25000</v>
      </c>
      <c r="J215" s="17">
        <v>21000</v>
      </c>
      <c r="K215" s="17"/>
      <c r="L215" s="18">
        <f t="shared" si="21"/>
        <v>4000</v>
      </c>
      <c r="M215" s="29">
        <f>SUM('план на 2016'!$L216:M216)-SUM('членские взносы'!$M215:'членские взносы'!M215)</f>
        <v>4800</v>
      </c>
      <c r="N215" s="29">
        <f>SUM('план на 2016'!$L216:N216)-SUM('членские взносы'!$M215:'членские взносы'!N215)</f>
        <v>5600</v>
      </c>
      <c r="O215" s="29">
        <f>SUM('план на 2016'!$L216:O216)-SUM('членские взносы'!$M215:'членские взносы'!O215)</f>
        <v>1000</v>
      </c>
      <c r="P215" s="29">
        <f>SUM('план на 2016'!$L216:P216)-SUM('членские взносы'!$M215:'членские взносы'!P215)</f>
        <v>1800</v>
      </c>
      <c r="Q215" s="29">
        <f>SUM('план на 2016'!$L216:Q216)-SUM('членские взносы'!$M215:'членские взносы'!Q215)</f>
        <v>200</v>
      </c>
      <c r="R215" s="29">
        <f>SUM('план на 2016'!$L216:R216)-SUM('членские взносы'!$M215:'членские взносы'!R215)</f>
        <v>1000</v>
      </c>
      <c r="S215" s="29">
        <f>SUM('план на 2016'!$L216:S216)-SUM('членские взносы'!$M215:'членские взносы'!S215)</f>
        <v>1800</v>
      </c>
      <c r="T215" s="29">
        <f>SUM('план на 2016'!$L216:T216)-SUM('членские взносы'!$M215:'членские взносы'!T215)</f>
        <v>2600</v>
      </c>
      <c r="U215" s="29">
        <f>SUM('план на 2016'!$L216:U216)-SUM('членские взносы'!$M215:'членские взносы'!U215)</f>
        <v>3400</v>
      </c>
      <c r="V215" s="29">
        <f>SUM('план на 2016'!$L216:V216)-SUM('членские взносы'!$M215:'членские взносы'!V215)</f>
        <v>1800</v>
      </c>
      <c r="W215" s="29">
        <f>SUM('план на 2016'!$L216:W216)-SUM('членские взносы'!$M215:'членские взносы'!W215)</f>
        <v>200</v>
      </c>
      <c r="X215" s="29">
        <f>SUM('план на 2016'!$L216:X216)-SUM('членские взносы'!$M215:'членские взносы'!X215)</f>
        <v>1000</v>
      </c>
      <c r="Y215" s="18">
        <f t="shared" si="23"/>
        <v>1000</v>
      </c>
    </row>
    <row r="216" spans="1:25">
      <c r="A216" s="41">
        <f>VLOOKUP(B216,справочник!$B$2:$E$322,4,FALSE)</f>
        <v>185</v>
      </c>
      <c r="B216" t="str">
        <f t="shared" si="22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25"/>
        <v>28</v>
      </c>
      <c r="I216" s="1">
        <f t="shared" si="20"/>
        <v>28000</v>
      </c>
      <c r="J216" s="17">
        <v>14000</v>
      </c>
      <c r="K216" s="17"/>
      <c r="L216" s="18">
        <f t="shared" si="21"/>
        <v>14000</v>
      </c>
      <c r="M216" s="29">
        <f>SUM('план на 2016'!$L217:M217)-SUM('членские взносы'!$M216:'членские взносы'!M216)</f>
        <v>14800</v>
      </c>
      <c r="N216" s="29">
        <f>SUM('план на 2016'!$L217:N217)-SUM('членские взносы'!$M216:'членские взносы'!N216)</f>
        <v>15600</v>
      </c>
      <c r="O216" s="29">
        <f>SUM('план на 2016'!$L217:O217)-SUM('членские взносы'!$M216:'членские взносы'!O216)</f>
        <v>16400</v>
      </c>
      <c r="P216" s="29">
        <f>SUM('план на 2016'!$L217:P217)-SUM('членские взносы'!$M216:'членские взносы'!P216)</f>
        <v>17200</v>
      </c>
      <c r="Q216" s="29">
        <f>SUM('план на 2016'!$L217:Q217)-SUM('членские взносы'!$M216:'членские взносы'!Q216)</f>
        <v>18000</v>
      </c>
      <c r="R216" s="29">
        <f>SUM('план на 2016'!$L217:R217)-SUM('членские взносы'!$M216:'членские взносы'!R216)</f>
        <v>18800</v>
      </c>
      <c r="S216" s="29">
        <f>SUM('план на 2016'!$L217:S217)-SUM('членские взносы'!$M216:'членские взносы'!S216)</f>
        <v>19600</v>
      </c>
      <c r="T216" s="29">
        <f>SUM('план на 2016'!$L217:T217)-SUM('членские взносы'!$M216:'членские взносы'!T216)</f>
        <v>20400</v>
      </c>
      <c r="U216" s="29">
        <f>SUM('план на 2016'!$L217:U217)-SUM('членские взносы'!$M216:'членские взносы'!U216)</f>
        <v>21200</v>
      </c>
      <c r="V216" s="29">
        <f>SUM('план на 2016'!$L217:V217)-SUM('членские взносы'!$M216:'членские взносы'!V216)</f>
        <v>22000</v>
      </c>
      <c r="W216" s="29">
        <f>SUM('план на 2016'!$L217:W217)-SUM('членские взносы'!$M216:'членские взносы'!W216)</f>
        <v>22800</v>
      </c>
      <c r="X216" s="29">
        <f>SUM('план на 2016'!$L217:X217)-SUM('членские взносы'!$M216:'членские взносы'!X216)</f>
        <v>23600</v>
      </c>
      <c r="Y216" s="18">
        <f t="shared" si="23"/>
        <v>23600</v>
      </c>
    </row>
    <row r="217" spans="1:25">
      <c r="A217" s="41">
        <f>VLOOKUP(B217,справочник!$B$2:$E$322,4,FALSE)</f>
        <v>176</v>
      </c>
      <c r="B217" t="str">
        <f t="shared" si="22"/>
        <v>184Пикалёва Алла Григорьевна (Юрий)</v>
      </c>
      <c r="C217" s="1">
        <v>184</v>
      </c>
      <c r="D217" s="2" t="s">
        <v>201</v>
      </c>
      <c r="E217" s="1" t="s">
        <v>517</v>
      </c>
      <c r="F217" s="16">
        <v>41734</v>
      </c>
      <c r="G217" s="16">
        <v>41760</v>
      </c>
      <c r="H217" s="17">
        <f t="shared" si="25"/>
        <v>20</v>
      </c>
      <c r="I217" s="1">
        <f t="shared" si="20"/>
        <v>20000</v>
      </c>
      <c r="J217" s="17">
        <v>3000</v>
      </c>
      <c r="K217" s="17"/>
      <c r="L217" s="18">
        <f t="shared" si="21"/>
        <v>17000</v>
      </c>
      <c r="M217" s="29">
        <f>SUM('план на 2016'!$L218:M218)-SUM('членские взносы'!$M217:'членские взносы'!M217)</f>
        <v>12800</v>
      </c>
      <c r="N217" s="29">
        <f>SUM('план на 2016'!$L218:N218)-SUM('членские взносы'!$M217:'членские взносы'!N217)</f>
        <v>10600</v>
      </c>
      <c r="O217" s="29">
        <f>SUM('план на 2016'!$L218:O218)-SUM('членские взносы'!$M217:'членские взносы'!O217)</f>
        <v>11400</v>
      </c>
      <c r="P217" s="29">
        <f>SUM('план на 2016'!$L218:P218)-SUM('членские взносы'!$M217:'членские взносы'!P217)</f>
        <v>12200</v>
      </c>
      <c r="Q217" s="29">
        <f>SUM('план на 2016'!$L218:Q218)-SUM('членские взносы'!$M217:'членские взносы'!Q217)</f>
        <v>10000</v>
      </c>
      <c r="R217" s="29">
        <f>SUM('план на 2016'!$L218:R218)-SUM('членские взносы'!$M217:'членские взносы'!R217)</f>
        <v>7300</v>
      </c>
      <c r="S217" s="29">
        <f>SUM('план на 2016'!$L218:S218)-SUM('членские взносы'!$M217:'членские взносы'!S217)</f>
        <v>8100</v>
      </c>
      <c r="T217" s="29">
        <f>SUM('план на 2016'!$L218:T218)-SUM('членские взносы'!$M217:'членские взносы'!T217)</f>
        <v>8900</v>
      </c>
      <c r="U217" s="29">
        <f>SUM('план на 2016'!$L218:U218)-SUM('членские взносы'!$M217:'членские взносы'!U217)</f>
        <v>9700</v>
      </c>
      <c r="V217" s="29">
        <f>SUM('план на 2016'!$L218:V218)-SUM('членские взносы'!$M217:'членские взносы'!V217)</f>
        <v>10500</v>
      </c>
      <c r="W217" s="29">
        <f>SUM('план на 2016'!$L218:W218)-SUM('членские взносы'!$M217:'членские взносы'!W217)</f>
        <v>11300</v>
      </c>
      <c r="X217" s="29">
        <f>SUM('план на 2016'!$L218:X218)-SUM('членские взносы'!$M217:'членские взносы'!X217)</f>
        <v>12100</v>
      </c>
      <c r="Y217" s="18">
        <f t="shared" si="23"/>
        <v>12100</v>
      </c>
    </row>
    <row r="218" spans="1:25">
      <c r="A218" s="41">
        <f>VLOOKUP(B218,справочник!$B$2:$E$322,4,FALSE)</f>
        <v>307</v>
      </c>
      <c r="B218" t="str">
        <f t="shared" si="22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25"/>
        <v>41</v>
      </c>
      <c r="I218" s="1">
        <f t="shared" si="20"/>
        <v>41000</v>
      </c>
      <c r="J218" s="17">
        <v>27000</v>
      </c>
      <c r="K218" s="17"/>
      <c r="L218" s="18">
        <f t="shared" si="21"/>
        <v>14000</v>
      </c>
      <c r="M218" s="29">
        <f>SUM('план на 2016'!$L219:M219)-SUM('членские взносы'!$M218:'членские взносы'!M218)</f>
        <v>14800</v>
      </c>
      <c r="N218" s="29">
        <f>SUM('план на 2016'!$L219:N219)-SUM('членские взносы'!$M218:'членские взносы'!N218)</f>
        <v>15600</v>
      </c>
      <c r="O218" s="29">
        <f>SUM('план на 2016'!$L219:O219)-SUM('членские взносы'!$M218:'членские взносы'!O218)</f>
        <v>16400</v>
      </c>
      <c r="P218" s="29">
        <f>SUM('план на 2016'!$L219:P219)-SUM('членские взносы'!$M218:'членские взносы'!P218)</f>
        <v>17200</v>
      </c>
      <c r="Q218" s="29">
        <f>SUM('план на 2016'!$L219:Q219)-SUM('членские взносы'!$M218:'членские взносы'!Q218)</f>
        <v>10000</v>
      </c>
      <c r="R218" s="29">
        <f>SUM('план на 2016'!$L219:R219)-SUM('членские взносы'!$M218:'членские взносы'!R218)</f>
        <v>10800</v>
      </c>
      <c r="S218" s="29">
        <f>SUM('план на 2016'!$L219:S219)-SUM('членские взносы'!$M218:'членские взносы'!S218)</f>
        <v>11600</v>
      </c>
      <c r="T218" s="29">
        <f>SUM('план на 2016'!$L219:T219)-SUM('членские взносы'!$M218:'членские взносы'!T218)</f>
        <v>12400</v>
      </c>
      <c r="U218" s="29">
        <f>SUM('план на 2016'!$L219:U219)-SUM('членские взносы'!$M218:'членские взносы'!U218)</f>
        <v>13200</v>
      </c>
      <c r="V218" s="29">
        <f>SUM('план на 2016'!$L219:V219)-SUM('членские взносы'!$M218:'членские взносы'!V218)</f>
        <v>14000</v>
      </c>
      <c r="W218" s="29">
        <f>SUM('план на 2016'!$L219:W219)-SUM('членские взносы'!$M218:'членские взносы'!W218)</f>
        <v>14800</v>
      </c>
      <c r="X218" s="29">
        <f>SUM('план на 2016'!$L219:X219)-SUM('членские взносы'!$M218:'членские взносы'!X218)</f>
        <v>15600</v>
      </c>
      <c r="Y218" s="18">
        <f t="shared" si="23"/>
        <v>15600</v>
      </c>
    </row>
    <row r="219" spans="1:25">
      <c r="A219" s="41">
        <f>VLOOKUP(B219,справочник!$B$2:$E$322,4,FALSE)</f>
        <v>177</v>
      </c>
      <c r="B219" t="str">
        <f t="shared" si="22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25"/>
        <v>15</v>
      </c>
      <c r="I219" s="1">
        <f t="shared" si="20"/>
        <v>15000</v>
      </c>
      <c r="J219" s="17">
        <v>12000</v>
      </c>
      <c r="K219" s="17"/>
      <c r="L219" s="18">
        <f t="shared" si="21"/>
        <v>3000</v>
      </c>
      <c r="M219" s="29">
        <f>SUM('план на 2016'!$L220:M220)-SUM('членские взносы'!$M219:'членские взносы'!M219)</f>
        <v>3800</v>
      </c>
      <c r="N219" s="29">
        <f>SUM('план на 2016'!$L220:N220)-SUM('членские взносы'!$M219:'членские взносы'!N219)</f>
        <v>4600</v>
      </c>
      <c r="O219" s="29">
        <f>SUM('план на 2016'!$L220:O220)-SUM('членские взносы'!$M219:'членские взносы'!O219)</f>
        <v>5400</v>
      </c>
      <c r="P219" s="29">
        <f>SUM('план на 2016'!$L220:P220)-SUM('членские взносы'!$M219:'членские взносы'!P219)</f>
        <v>6200</v>
      </c>
      <c r="Q219" s="29">
        <f>SUM('план на 2016'!$L220:Q220)-SUM('членские взносы'!$M219:'членские взносы'!Q219)</f>
        <v>7000</v>
      </c>
      <c r="R219" s="29">
        <f>SUM('план на 2016'!$L220:R220)-SUM('членские взносы'!$M219:'членские взносы'!R219)</f>
        <v>7800</v>
      </c>
      <c r="S219" s="29">
        <f>SUM('план на 2016'!$L220:S220)-SUM('членские взносы'!$M219:'членские взносы'!S219)</f>
        <v>8600</v>
      </c>
      <c r="T219" s="29">
        <f>SUM('план на 2016'!$L220:T220)-SUM('членские взносы'!$M219:'членские взносы'!T219)</f>
        <v>9400</v>
      </c>
      <c r="U219" s="29">
        <f>SUM('план на 2016'!$L220:U220)-SUM('членские взносы'!$M219:'членские взносы'!U219)</f>
        <v>10200</v>
      </c>
      <c r="V219" s="29">
        <f>SUM('план на 2016'!$L220:V220)-SUM('членские взносы'!$M219:'членские взносы'!V219)</f>
        <v>11000</v>
      </c>
      <c r="W219" s="29">
        <f>SUM('план на 2016'!$L220:W220)-SUM('членские взносы'!$M219:'членские взносы'!W219)</f>
        <v>6800</v>
      </c>
      <c r="X219" s="29">
        <f>SUM('план на 2016'!$L220:X220)-SUM('членские взносы'!$M219:'членские взносы'!X219)</f>
        <v>7600</v>
      </c>
      <c r="Y219" s="18">
        <f t="shared" si="23"/>
        <v>7600</v>
      </c>
    </row>
    <row r="220" spans="1:25">
      <c r="A220" s="41">
        <f>VLOOKUP(B220,справочник!$B$2:$E$322,4,FALSE)</f>
        <v>160</v>
      </c>
      <c r="B220" t="str">
        <f t="shared" si="22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25"/>
        <v>42</v>
      </c>
      <c r="I220" s="1">
        <f t="shared" si="20"/>
        <v>42000</v>
      </c>
      <c r="J220" s="17">
        <v>21000</v>
      </c>
      <c r="K220" s="17"/>
      <c r="L220" s="18">
        <f t="shared" si="21"/>
        <v>21000</v>
      </c>
      <c r="M220" s="29">
        <f>SUM('план на 2016'!$L221:M221)-SUM('членские взносы'!$M220:'членские взносы'!M220)</f>
        <v>21800</v>
      </c>
      <c r="N220" s="29">
        <f>SUM('план на 2016'!$L221:N221)-SUM('членские взносы'!$M220:'членские взносы'!N220)</f>
        <v>22600</v>
      </c>
      <c r="O220" s="29">
        <f>SUM('план на 2016'!$L221:O221)-SUM('членские взносы'!$M220:'членские взносы'!O220)</f>
        <v>23400</v>
      </c>
      <c r="P220" s="29">
        <f>SUM('план на 2016'!$L221:P221)-SUM('членские взносы'!$M220:'членские взносы'!P220)</f>
        <v>24200</v>
      </c>
      <c r="Q220" s="29">
        <f>SUM('план на 2016'!$L221:Q221)-SUM('членские взносы'!$M220:'членские взносы'!Q220)</f>
        <v>25000</v>
      </c>
      <c r="R220" s="29">
        <f>SUM('план на 2016'!$L221:R221)-SUM('членские взносы'!$M220:'членские взносы'!R220)</f>
        <v>25800</v>
      </c>
      <c r="S220" s="29">
        <f>SUM('план на 2016'!$L221:S221)-SUM('членские взносы'!$M220:'членские взносы'!S220)</f>
        <v>26600</v>
      </c>
      <c r="T220" s="29">
        <f>SUM('план на 2016'!$L221:T221)-SUM('членские взносы'!$M220:'членские взносы'!T220)</f>
        <v>27400</v>
      </c>
      <c r="U220" s="29">
        <f>SUM('план на 2016'!$L221:U221)-SUM('членские взносы'!$M220:'членские взносы'!U220)</f>
        <v>28200</v>
      </c>
      <c r="V220" s="29">
        <f>SUM('план на 2016'!$L221:V221)-SUM('членские взносы'!$M220:'членские взносы'!V220)</f>
        <v>24200</v>
      </c>
      <c r="W220" s="29">
        <f>SUM('план на 2016'!$L221:W221)-SUM('членские взносы'!$M220:'членские взносы'!W220)</f>
        <v>25000</v>
      </c>
      <c r="X220" s="29">
        <f>SUM('план на 2016'!$L221:X221)-SUM('членские взносы'!$M220:'членские взносы'!X220)</f>
        <v>21000</v>
      </c>
      <c r="Y220" s="18">
        <f t="shared" si="23"/>
        <v>21000</v>
      </c>
    </row>
    <row r="221" spans="1:25" ht="25.5" customHeight="1">
      <c r="A221" s="41">
        <f>VLOOKUP(B221,справочник!$B$2:$E$322,4,FALSE)</f>
        <v>53</v>
      </c>
      <c r="B221" t="str">
        <f t="shared" si="22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25"/>
        <v>12</v>
      </c>
      <c r="I221" s="1">
        <f t="shared" si="20"/>
        <v>12000</v>
      </c>
      <c r="J221" s="17">
        <v>12000</v>
      </c>
      <c r="K221" s="17"/>
      <c r="L221" s="18">
        <f t="shared" si="21"/>
        <v>0</v>
      </c>
      <c r="M221" s="29">
        <f>SUM('план на 2016'!$L222:M222)-SUM('членские взносы'!$M221:'членские взносы'!M221)</f>
        <v>800</v>
      </c>
      <c r="N221" s="29">
        <f>SUM('план на 2016'!$L222:N222)-SUM('членские взносы'!$M221:'членские взносы'!N221)</f>
        <v>1600</v>
      </c>
      <c r="O221" s="29">
        <f>SUM('план на 2016'!$L222:O222)-SUM('членские взносы'!$M221:'членские взносы'!O221)</f>
        <v>2400</v>
      </c>
      <c r="P221" s="29">
        <f>SUM('план на 2016'!$L222:P222)-SUM('членские взносы'!$M221:'членские взносы'!P221)</f>
        <v>3200</v>
      </c>
      <c r="Q221" s="29">
        <f>SUM('план на 2016'!$L222:Q222)-SUM('членские взносы'!$M221:'членские взносы'!Q221)</f>
        <v>4000</v>
      </c>
      <c r="R221" s="29">
        <f>SUM('план на 2016'!$L222:R222)-SUM('членские взносы'!$M221:'членские взносы'!R221)</f>
        <v>4800</v>
      </c>
      <c r="S221" s="29">
        <f>SUM('план на 2016'!$L222:S222)-SUM('членские взносы'!$M221:'членские взносы'!S221)</f>
        <v>5600</v>
      </c>
      <c r="T221" s="29">
        <f>SUM('план на 2016'!$L222:T222)-SUM('членские взносы'!$M221:'членские взносы'!T221)</f>
        <v>6400</v>
      </c>
      <c r="U221" s="29">
        <f>SUM('план на 2016'!$L222:U222)-SUM('членские взносы'!$M221:'членские взносы'!U221)</f>
        <v>7200</v>
      </c>
      <c r="V221" s="29">
        <f>SUM('план на 2016'!$L222:V222)-SUM('членские взносы'!$M221:'членские взносы'!V221)</f>
        <v>8000</v>
      </c>
      <c r="W221" s="29">
        <f>SUM('план на 2016'!$L222:W222)-SUM('членские взносы'!$M221:'членские взносы'!W221)</f>
        <v>8800</v>
      </c>
      <c r="X221" s="29">
        <f>SUM('план на 2016'!$L222:X222)-SUM('членские взносы'!$M221:'членские взносы'!X221)</f>
        <v>9600</v>
      </c>
      <c r="Y221" s="18">
        <f t="shared" si="23"/>
        <v>9600</v>
      </c>
    </row>
    <row r="222" spans="1:25">
      <c r="A222" s="41">
        <f>VLOOKUP(B222,справочник!$B$2:$E$322,4,FALSE)</f>
        <v>102</v>
      </c>
      <c r="B222" t="str">
        <f t="shared" si="22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25"/>
        <v>53</v>
      </c>
      <c r="I222" s="1">
        <f t="shared" si="20"/>
        <v>53000</v>
      </c>
      <c r="J222" s="17">
        <f>52000+1000</f>
        <v>53000</v>
      </c>
      <c r="K222" s="17"/>
      <c r="L222" s="18">
        <f t="shared" si="21"/>
        <v>0</v>
      </c>
      <c r="M222" s="29">
        <f>SUM('план на 2016'!$L223:M223)-SUM('членские взносы'!$M222:'членские взносы'!M222)</f>
        <v>0</v>
      </c>
      <c r="N222" s="29">
        <f>SUM('план на 2016'!$L223:N223)-SUM('членские взносы'!$M222:'членские взносы'!N222)</f>
        <v>0</v>
      </c>
      <c r="O222" s="29">
        <f>SUM('план на 2016'!$L223:O223)-SUM('членские взносы'!$M222:'членские взносы'!O222)</f>
        <v>0</v>
      </c>
      <c r="P222" s="29">
        <f>SUM('план на 2016'!$L223:P223)-SUM('членские взносы'!$M222:'членские взносы'!P222)</f>
        <v>0</v>
      </c>
      <c r="Q222" s="29">
        <f>SUM('план на 2016'!$L223:Q223)-SUM('членские взносы'!$M222:'членские взносы'!Q222)</f>
        <v>800</v>
      </c>
      <c r="R222" s="29">
        <f>SUM('план на 2016'!$L223:R223)-SUM('членские взносы'!$M222:'членские взносы'!R222)</f>
        <v>800</v>
      </c>
      <c r="S222" s="29">
        <f>SUM('план на 2016'!$L223:S223)-SUM('членские взносы'!$M222:'членские взносы'!S222)</f>
        <v>800</v>
      </c>
      <c r="T222" s="29">
        <f>SUM('план на 2016'!$L223:T223)-SUM('членские взносы'!$M222:'членские взносы'!T222)</f>
        <v>0</v>
      </c>
      <c r="U222" s="29">
        <f>SUM('план на 2016'!$L223:U223)-SUM('членские взносы'!$M222:'членские взносы'!U222)</f>
        <v>0</v>
      </c>
      <c r="V222" s="29">
        <f>SUM('план на 2016'!$L223:V223)-SUM('членские взносы'!$M222:'членские взносы'!V222)</f>
        <v>0</v>
      </c>
      <c r="W222" s="29">
        <f>SUM('план на 2016'!$L223:W223)-SUM('членские взносы'!$M222:'членские взносы'!W222)</f>
        <v>0</v>
      </c>
      <c r="X222" s="29">
        <f>SUM('план на 2016'!$L223:X223)-SUM('членские взносы'!$M222:'членские взносы'!X222)</f>
        <v>0</v>
      </c>
      <c r="Y222" s="18">
        <f t="shared" si="23"/>
        <v>0</v>
      </c>
    </row>
    <row r="223" spans="1:25">
      <c r="A223" s="41">
        <f>VLOOKUP(B223,справочник!$B$2:$E$322,4,FALSE)</f>
        <v>174</v>
      </c>
      <c r="B223" t="str">
        <f t="shared" si="22"/>
        <v>182Просянов Александр Александрович</v>
      </c>
      <c r="C223" s="1">
        <v>182</v>
      </c>
      <c r="D223" s="2" t="s">
        <v>207</v>
      </c>
      <c r="E223" s="1" t="s">
        <v>523</v>
      </c>
      <c r="F223" s="16">
        <v>41352</v>
      </c>
      <c r="G223" s="16">
        <v>41365</v>
      </c>
      <c r="H223" s="17">
        <f t="shared" si="25"/>
        <v>33</v>
      </c>
      <c r="I223" s="1">
        <f t="shared" si="20"/>
        <v>33000</v>
      </c>
      <c r="J223" s="17">
        <v>33000</v>
      </c>
      <c r="K223" s="17"/>
      <c r="L223" s="18">
        <f t="shared" si="21"/>
        <v>0</v>
      </c>
      <c r="M223" s="29">
        <f>SUM('план на 2016'!$L224:M224)-SUM('членские взносы'!$M223:'членские взносы'!M223)</f>
        <v>-200</v>
      </c>
      <c r="N223" s="29">
        <f>SUM('план на 2016'!$L224:N224)-SUM('членские взносы'!$M223:'членские взносы'!N223)</f>
        <v>600</v>
      </c>
      <c r="O223" s="29">
        <f>SUM('план на 2016'!$L224:O224)-SUM('членские взносы'!$M223:'членские взносы'!O223)</f>
        <v>1400</v>
      </c>
      <c r="P223" s="29">
        <f>SUM('план на 2016'!$L224:P224)-SUM('членские взносы'!$M223:'членские взносы'!P223)</f>
        <v>2200</v>
      </c>
      <c r="Q223" s="29">
        <f>SUM('план на 2016'!$L224:Q224)-SUM('членские взносы'!$M223:'членские взносы'!Q223)</f>
        <v>0</v>
      </c>
      <c r="R223" s="29">
        <f>SUM('план на 2016'!$L224:R224)-SUM('членские взносы'!$M223:'членские взносы'!R223)</f>
        <v>800</v>
      </c>
      <c r="S223" s="29">
        <f>SUM('план на 2016'!$L224:S224)-SUM('членские взносы'!$M223:'членские взносы'!S223)</f>
        <v>0</v>
      </c>
      <c r="T223" s="29">
        <f>SUM('план на 2016'!$L224:T224)-SUM('членские взносы'!$M223:'членские взносы'!T223)</f>
        <v>800</v>
      </c>
      <c r="U223" s="29">
        <f>SUM('план на 2016'!$L224:U224)-SUM('членские взносы'!$M223:'членские взносы'!U223)</f>
        <v>1600</v>
      </c>
      <c r="V223" s="29">
        <f>SUM('план на 2016'!$L224:V224)-SUM('членские взносы'!$M223:'членские взносы'!V223)</f>
        <v>2400</v>
      </c>
      <c r="W223" s="29">
        <f>SUM('план на 2016'!$L224:W224)-SUM('членские взносы'!$M223:'членские взносы'!W223)</f>
        <v>3200</v>
      </c>
      <c r="X223" s="29">
        <f>SUM('план на 2016'!$L224:X224)-SUM('членские взносы'!$M223:'членские взносы'!X223)</f>
        <v>4000</v>
      </c>
      <c r="Y223" s="18">
        <f t="shared" si="23"/>
        <v>4000</v>
      </c>
    </row>
    <row r="224" spans="1:25">
      <c r="A224" s="41">
        <f>VLOOKUP(B224,справочник!$B$2:$E$322,4,FALSE)</f>
        <v>165</v>
      </c>
      <c r="B224" t="str">
        <f t="shared" si="22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20"/>
        <v>17000</v>
      </c>
      <c r="J224" s="17">
        <v>17000</v>
      </c>
      <c r="K224" s="17"/>
      <c r="L224" s="18">
        <f t="shared" si="21"/>
        <v>0</v>
      </c>
      <c r="M224" s="29">
        <f>SUM('план на 2016'!$L225:M225)-SUM('членские взносы'!$M224:'членские взносы'!M224)</f>
        <v>800</v>
      </c>
      <c r="N224" s="29">
        <f>SUM('план на 2016'!$L225:N225)-SUM('членские взносы'!$M224:'членские взносы'!N224)</f>
        <v>1600</v>
      </c>
      <c r="O224" s="29">
        <f>SUM('план на 2016'!$L225:O225)-SUM('членские взносы'!$M224:'членские взносы'!O224)</f>
        <v>2400</v>
      </c>
      <c r="P224" s="29">
        <f>SUM('план на 2016'!$L225:P225)-SUM('членские взносы'!$M224:'членские взносы'!P224)</f>
        <v>3200</v>
      </c>
      <c r="Q224" s="29">
        <f>SUM('план на 2016'!$L225:Q225)-SUM('членские взносы'!$M224:'членские взносы'!Q224)</f>
        <v>4000</v>
      </c>
      <c r="R224" s="29">
        <f>SUM('план на 2016'!$L225:R225)-SUM('членские взносы'!$M224:'членские взносы'!R224)</f>
        <v>4800</v>
      </c>
      <c r="S224" s="29">
        <f>SUM('план на 2016'!$L225:S225)-SUM('членские взносы'!$M224:'членские взносы'!S224)</f>
        <v>5600</v>
      </c>
      <c r="T224" s="29">
        <f>SUM('план на 2016'!$L225:T225)-SUM('членские взносы'!$M224:'членские взносы'!T224)</f>
        <v>6400</v>
      </c>
      <c r="U224" s="29">
        <f>SUM('план на 2016'!$L225:U225)-SUM('членские взносы'!$M224:'членские взносы'!U224)</f>
        <v>7200</v>
      </c>
      <c r="V224" s="29">
        <f>SUM('план на 2016'!$L225:V225)-SUM('членские взносы'!$M224:'членские взносы'!V224)</f>
        <v>8000</v>
      </c>
      <c r="W224" s="29">
        <f>SUM('план на 2016'!$L225:W225)-SUM('членские взносы'!$M224:'членские взносы'!W224)</f>
        <v>8800</v>
      </c>
      <c r="X224" s="29">
        <f>SUM('план на 2016'!$L225:X225)-SUM('членские взносы'!$M224:'членские взносы'!X224)</f>
        <v>9600</v>
      </c>
      <c r="Y224" s="18">
        <f t="shared" si="23"/>
        <v>9600</v>
      </c>
    </row>
    <row r="225" spans="1:25">
      <c r="A225" s="41">
        <f>VLOOKUP(B225,справочник!$B$2:$E$322,4,FALSE)</f>
        <v>251</v>
      </c>
      <c r="B225" t="str">
        <f t="shared" si="22"/>
        <v xml:space="preserve">262Пузанова Екатерина Вячеславовна        </v>
      </c>
      <c r="C225" s="1">
        <v>262</v>
      </c>
      <c r="D225" s="2" t="s">
        <v>209</v>
      </c>
      <c r="E225" s="1" t="s">
        <v>525</v>
      </c>
      <c r="F225" s="16">
        <v>41751</v>
      </c>
      <c r="G225" s="16">
        <v>41760</v>
      </c>
      <c r="H225" s="17">
        <f t="shared" ref="H225:H266" si="26">INT(($H$326-G225)/30)</f>
        <v>20</v>
      </c>
      <c r="I225" s="1">
        <f t="shared" si="20"/>
        <v>20000</v>
      </c>
      <c r="J225" s="17"/>
      <c r="K225" s="17"/>
      <c r="L225" s="18">
        <f t="shared" si="21"/>
        <v>20000</v>
      </c>
      <c r="M225" s="29">
        <f>SUM('план на 2016'!$L226:M226)-SUM('членские взносы'!$M225:'членские взносы'!M225)</f>
        <v>20800</v>
      </c>
      <c r="N225" s="29">
        <f>SUM('план на 2016'!$L226:N226)-SUM('членские взносы'!$M225:'членские взносы'!N225)</f>
        <v>21600</v>
      </c>
      <c r="O225" s="29">
        <f>SUM('план на 2016'!$L226:O226)-SUM('членские взносы'!$M225:'членские взносы'!O225)</f>
        <v>22400</v>
      </c>
      <c r="P225" s="29">
        <f>SUM('план на 2016'!$L226:P226)-SUM('членские взносы'!$M225:'членские взносы'!P225)</f>
        <v>23200</v>
      </c>
      <c r="Q225" s="29">
        <f>SUM('план на 2016'!$L226:Q226)-SUM('членские взносы'!$M225:'членские взносы'!Q225)</f>
        <v>24000</v>
      </c>
      <c r="R225" s="29">
        <f>SUM('план на 2016'!$L226:R226)-SUM('членские взносы'!$M225:'членские взносы'!R225)</f>
        <v>24800</v>
      </c>
      <c r="S225" s="29">
        <f>SUM('план на 2016'!$L226:S226)-SUM('членские взносы'!$M225:'членские взносы'!S225)</f>
        <v>25600</v>
      </c>
      <c r="T225" s="29">
        <f>SUM('план на 2016'!$L226:T226)-SUM('членские взносы'!$M225:'членские взносы'!T225)</f>
        <v>26400</v>
      </c>
      <c r="U225" s="29">
        <f>SUM('план на 2016'!$L226:U226)-SUM('членские взносы'!$M225:'членские взносы'!U225)</f>
        <v>27200</v>
      </c>
      <c r="V225" s="29">
        <f>SUM('план на 2016'!$L226:V226)-SUM('членские взносы'!$M225:'членские взносы'!V225)</f>
        <v>28000</v>
      </c>
      <c r="W225" s="29">
        <f>SUM('план на 2016'!$L226:W226)-SUM('членские взносы'!$M225:'членские взносы'!W225)</f>
        <v>28800</v>
      </c>
      <c r="X225" s="29">
        <f>SUM('план на 2016'!$L226:X226)-SUM('членские взносы'!$M225:'членские взносы'!X225)</f>
        <v>29600</v>
      </c>
      <c r="Y225" s="18">
        <f t="shared" si="23"/>
        <v>29600</v>
      </c>
    </row>
    <row r="226" spans="1:25">
      <c r="A226" s="41">
        <f>VLOOKUP(B226,справочник!$B$2:$E$322,4,FALSE)</f>
        <v>315</v>
      </c>
      <c r="B226" t="str">
        <f t="shared" si="22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 t="shared" si="26"/>
        <v>49</v>
      </c>
      <c r="I226" s="5">
        <f t="shared" si="20"/>
        <v>49000</v>
      </c>
      <c r="J226" s="20">
        <f>28000+2000</f>
        <v>30000</v>
      </c>
      <c r="K226" s="20"/>
      <c r="L226" s="21">
        <f t="shared" si="21"/>
        <v>19000</v>
      </c>
      <c r="M226" s="29">
        <f>SUM('план на 2016'!$L227:M227)-SUM('членские взносы'!$M226:'членские взносы'!M226)</f>
        <v>19800</v>
      </c>
      <c r="N226" s="29">
        <f>SUM('план на 2016'!$L227:N227)-SUM('членские взносы'!$M226:'членские взносы'!N226)</f>
        <v>20600</v>
      </c>
      <c r="O226" s="29">
        <f>SUM('план на 2016'!$L227:O227)-SUM('членские взносы'!$M226:'членские взносы'!O226)</f>
        <v>21400</v>
      </c>
      <c r="P226" s="29">
        <f>SUM('план на 2016'!$L227:P227)-SUM('членские взносы'!$M226:'членские взносы'!P226)</f>
        <v>22200</v>
      </c>
      <c r="Q226" s="29">
        <f>SUM('план на 2016'!$L227:Q227)-SUM('членские взносы'!$M226:'членские взносы'!Q226)</f>
        <v>23000</v>
      </c>
      <c r="R226" s="29">
        <f>SUM('план на 2016'!$L227:R227)-SUM('членские взносы'!$M226:'членские взносы'!R226)</f>
        <v>23800</v>
      </c>
      <c r="S226" s="29">
        <f>SUM('план на 2016'!$L227:S227)-SUM('членские взносы'!$M226:'членские взносы'!S226)</f>
        <v>24600</v>
      </c>
      <c r="T226" s="29">
        <f>SUM('план на 2016'!$L227:T227)-SUM('членские взносы'!$M226:'членские взносы'!T226)</f>
        <v>25400</v>
      </c>
      <c r="U226" s="29">
        <f>SUM('план на 2016'!$L227:U227)-SUM('членские взносы'!$M226:'членские взносы'!U226)</f>
        <v>26200</v>
      </c>
      <c r="V226" s="29">
        <f>SUM('план на 2016'!$L227:V227)-SUM('членские взносы'!$M226:'членские взносы'!V226)</f>
        <v>27000</v>
      </c>
      <c r="W226" s="29">
        <f>SUM('план на 2016'!$L227:W227)-SUM('членские взносы'!$M226:'членские взносы'!W226)</f>
        <v>27800</v>
      </c>
      <c r="X226" s="29">
        <f>SUM('план на 2016'!$L227:X227)-SUM('членские взносы'!$M226:'членские взносы'!X226)</f>
        <v>28600</v>
      </c>
      <c r="Y226" s="18">
        <f t="shared" si="23"/>
        <v>28600</v>
      </c>
    </row>
    <row r="227" spans="1:25" ht="25.5" customHeight="1">
      <c r="A227" s="41" t="e">
        <f>VLOOKUP(B227,справочник!$B$2:$E$322,4,FALSE)</f>
        <v>#N/A</v>
      </c>
      <c r="B227" t="str">
        <f t="shared" si="22"/>
        <v>210-211Решетов Владимир Генадьевич</v>
      </c>
      <c r="C227" s="1" t="s">
        <v>212</v>
      </c>
      <c r="D227" s="2" t="s">
        <v>213</v>
      </c>
      <c r="E227" s="5" t="s">
        <v>527</v>
      </c>
      <c r="F227" s="19">
        <v>40816</v>
      </c>
      <c r="G227" s="19">
        <v>40817</v>
      </c>
      <c r="H227" s="20">
        <f t="shared" si="26"/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21"/>
        <v>0</v>
      </c>
      <c r="M227" s="29">
        <f>SUM('план на 2016'!$L228:M228)-SUM('членские взносы'!$M227:'членские взносы'!M227)</f>
        <v>-1200</v>
      </c>
      <c r="N227" s="29">
        <f>SUM('план на 2016'!$L228:N228)-SUM('членские взносы'!$M227:'членские взносы'!N227)</f>
        <v>-400</v>
      </c>
      <c r="O227" s="29">
        <f>SUM('план на 2016'!$L228:O228)-SUM('членские взносы'!$M227:'членские взносы'!O227)</f>
        <v>400</v>
      </c>
      <c r="P227" s="29">
        <f>SUM('план на 2016'!$L228:P228)-SUM('членские взносы'!$M227:'членские взносы'!P227)</f>
        <v>-800</v>
      </c>
      <c r="Q227" s="29">
        <f>SUM('план на 2016'!$L228:Q228)-SUM('членские взносы'!$M227:'членские взносы'!Q227)</f>
        <v>0</v>
      </c>
      <c r="R227" s="29">
        <f>SUM('план на 2016'!$L228:R228)-SUM('членские взносы'!$M227:'членские взносы'!R227)</f>
        <v>-1200</v>
      </c>
      <c r="S227" s="29">
        <f>SUM('план на 2016'!$L228:S228)-SUM('членские взносы'!$M227:'членские взносы'!S227)</f>
        <v>-400</v>
      </c>
      <c r="T227" s="29">
        <f>SUM('план на 2016'!$L228:T228)-SUM('членские взносы'!$M227:'членские взносы'!T227)</f>
        <v>-1600</v>
      </c>
      <c r="U227" s="29">
        <f>SUM('план на 2016'!$L228:U228)-SUM('членские взносы'!$M227:'членские взносы'!U227)</f>
        <v>-800</v>
      </c>
      <c r="V227" s="29">
        <f>SUM('план на 2016'!$L228:V228)-SUM('членские взносы'!$M227:'членские взносы'!V227)</f>
        <v>-2000</v>
      </c>
      <c r="W227" s="29">
        <f>SUM('план на 2016'!$L228:W228)-SUM('членские взносы'!$M227:'членские взносы'!W227)</f>
        <v>-1200</v>
      </c>
      <c r="X227" s="29">
        <f>SUM('план на 2016'!$L228:X228)-SUM('членские взносы'!$M227:'членские взносы'!X227)</f>
        <v>-2400</v>
      </c>
      <c r="Y227" s="18">
        <f t="shared" si="23"/>
        <v>-2400</v>
      </c>
    </row>
    <row r="228" spans="1:25">
      <c r="A228" s="41" t="e">
        <f>VLOOKUP(B228,справочник!$B$2:$E$322,4,FALSE)</f>
        <v>#N/A</v>
      </c>
      <c r="B228" t="str">
        <f t="shared" si="22"/>
        <v>210-211Решетов Владимир Генадьевич</v>
      </c>
      <c r="C228" s="91" t="s">
        <v>212</v>
      </c>
      <c r="D228" s="2" t="s">
        <v>213</v>
      </c>
      <c r="E228" s="5" t="s">
        <v>527</v>
      </c>
      <c r="F228" s="19">
        <v>40816</v>
      </c>
      <c r="G228" s="19">
        <v>40817</v>
      </c>
      <c r="H228" s="20">
        <f t="shared" si="26"/>
        <v>51</v>
      </c>
      <c r="I228" s="5">
        <v>61000</v>
      </c>
      <c r="J228" s="20">
        <v>58000</v>
      </c>
      <c r="K228" s="20">
        <v>3000</v>
      </c>
      <c r="L228" s="21">
        <f t="shared" si="21"/>
        <v>0</v>
      </c>
      <c r="M228" s="29">
        <f>SUM('план на 2016'!$L229:M229)-SUM('членские взносы'!$M228:'членские взносы'!M228)</f>
        <v>0</v>
      </c>
      <c r="N228" s="29">
        <f>SUM('план на 2016'!$L229:N229)-SUM('членские взносы'!$M228:'членские взносы'!N228)</f>
        <v>0</v>
      </c>
      <c r="O228" s="29">
        <f>SUM('план на 2016'!$L229:O229)-SUM('членские взносы'!$M228:'членские взносы'!O228)</f>
        <v>0</v>
      </c>
      <c r="P228" s="29">
        <f>SUM('план на 2016'!$L229:P229)-SUM('членские взносы'!$M228:'членские взносы'!P228)</f>
        <v>0</v>
      </c>
      <c r="Q228" s="29">
        <f>SUM('план на 2016'!$L229:Q229)-SUM('членские взносы'!$M228:'членские взносы'!Q228)</f>
        <v>0</v>
      </c>
      <c r="R228" s="29">
        <f>SUM('план на 2016'!$L229:R229)-SUM('членские взносы'!$M228:'членские взносы'!R228)</f>
        <v>0</v>
      </c>
      <c r="S228" s="29">
        <f>SUM('план на 2016'!$L229:S229)-SUM('членские взносы'!$M228:'членские взносы'!S228)</f>
        <v>0</v>
      </c>
      <c r="T228" s="29">
        <f>SUM('план на 2016'!$L229:T229)-SUM('членские взносы'!$M228:'членские взносы'!T228)</f>
        <v>0</v>
      </c>
      <c r="U228" s="29">
        <f>SUM('план на 2016'!$L229:U229)-SUM('членские взносы'!$M228:'членские взносы'!U228)</f>
        <v>0</v>
      </c>
      <c r="V228" s="29">
        <f>SUM('план на 2016'!$L229:V229)-SUM('членские взносы'!$M228:'членские взносы'!V228)</f>
        <v>0</v>
      </c>
      <c r="W228" s="29">
        <f>SUM('план на 2016'!$L229:W229)-SUM('членские взносы'!$M228:'членские взносы'!W228)</f>
        <v>0</v>
      </c>
      <c r="X228" s="29">
        <f>SUM('план на 2016'!$L229:X229)-SUM('членские взносы'!$M228:'членские взносы'!X228)</f>
        <v>0</v>
      </c>
      <c r="Y228" s="18">
        <f t="shared" si="23"/>
        <v>0</v>
      </c>
    </row>
    <row r="229" spans="1:25" ht="25.5">
      <c r="A229" s="41">
        <f>VLOOKUP(B229,справочник!$B$2:$E$322,4,FALSE)</f>
        <v>195</v>
      </c>
      <c r="B229" t="str">
        <f t="shared" si="22"/>
        <v>203Родичева Наталья Николаевна - Завилевская Е.И. ???</v>
      </c>
      <c r="C229" s="1">
        <v>203</v>
      </c>
      <c r="D229" s="2" t="s">
        <v>216</v>
      </c>
      <c r="E229" s="1" t="s">
        <v>528</v>
      </c>
      <c r="F229" s="16">
        <v>41599</v>
      </c>
      <c r="G229" s="16">
        <v>41609</v>
      </c>
      <c r="H229" s="17">
        <f t="shared" si="26"/>
        <v>25</v>
      </c>
      <c r="I229" s="1">
        <f t="shared" ref="I229:I266" si="27">H229*1000</f>
        <v>25000</v>
      </c>
      <c r="J229" s="17">
        <v>1000</v>
      </c>
      <c r="K229" s="17"/>
      <c r="L229" s="18">
        <f t="shared" si="21"/>
        <v>24000</v>
      </c>
      <c r="M229" s="29">
        <f>SUM('план на 2016'!$L230:M230)-SUM('членские взносы'!$M229:'членские взносы'!M229)</f>
        <v>24800</v>
      </c>
      <c r="N229" s="29">
        <f>SUM('план на 2016'!$L230:N230)-SUM('членские взносы'!$M229:'членские взносы'!N229)</f>
        <v>25600</v>
      </c>
      <c r="O229" s="29">
        <f>SUM('план на 2016'!$L230:O230)-SUM('членские взносы'!$M229:'членские взносы'!O229)</f>
        <v>26400</v>
      </c>
      <c r="P229" s="29">
        <f>SUM('план на 2016'!$L230:P230)-SUM('членские взносы'!$M229:'членские взносы'!P229)</f>
        <v>27200</v>
      </c>
      <c r="Q229" s="29">
        <f>SUM('план на 2016'!$L230:Q230)-SUM('членские взносы'!$M229:'членские взносы'!Q229)</f>
        <v>28000</v>
      </c>
      <c r="R229" s="29">
        <f>SUM('план на 2016'!$L230:R230)-SUM('членские взносы'!$M229:'членские взносы'!R229)</f>
        <v>24800</v>
      </c>
      <c r="S229" s="29">
        <f>SUM('план на 2016'!$L230:S230)-SUM('членские взносы'!$M229:'членские взносы'!S229)</f>
        <v>25600</v>
      </c>
      <c r="T229" s="29">
        <f>SUM('план на 2016'!$L230:T230)-SUM('членские взносы'!$M229:'членские взносы'!T229)</f>
        <v>26400</v>
      </c>
      <c r="U229" s="29">
        <f>SUM('план на 2016'!$L230:U230)-SUM('членские взносы'!$M229:'членские взносы'!U229)</f>
        <v>27200</v>
      </c>
      <c r="V229" s="29">
        <f>SUM('план на 2016'!$L230:V230)-SUM('членские взносы'!$M229:'членские взносы'!V229)</f>
        <v>28000</v>
      </c>
      <c r="W229" s="29">
        <f>SUM('план на 2016'!$L230:W230)-SUM('членские взносы'!$M229:'членские взносы'!W229)</f>
        <v>28800</v>
      </c>
      <c r="X229" s="29">
        <f>SUM('план на 2016'!$L230:X230)-SUM('членские взносы'!$M229:'членские взносы'!X229)</f>
        <v>29600</v>
      </c>
      <c r="Y229" s="18">
        <f t="shared" si="23"/>
        <v>29600</v>
      </c>
    </row>
    <row r="230" spans="1:25">
      <c r="A230" s="41">
        <f>VLOOKUP(B230,справочник!$B$2:$E$322,4,FALSE)</f>
        <v>144</v>
      </c>
      <c r="B230" t="str">
        <f t="shared" si="22"/>
        <v>152Рожкова Глафира Андреевна</v>
      </c>
      <c r="C230" s="1">
        <v>152</v>
      </c>
      <c r="D230" s="2" t="s">
        <v>217</v>
      </c>
      <c r="E230" s="1" t="s">
        <v>529</v>
      </c>
      <c r="F230" s="19">
        <v>40788</v>
      </c>
      <c r="G230" s="19">
        <v>40787</v>
      </c>
      <c r="H230" s="20">
        <f t="shared" si="26"/>
        <v>52</v>
      </c>
      <c r="I230" s="5">
        <f t="shared" si="27"/>
        <v>52000</v>
      </c>
      <c r="J230" s="20">
        <v>1000</v>
      </c>
      <c r="K230" s="20"/>
      <c r="L230" s="21">
        <f t="shared" si="21"/>
        <v>51000</v>
      </c>
      <c r="M230" s="29">
        <f>SUM('план на 2016'!$L231:M231)-SUM('членские взносы'!$M230:'членские взносы'!M230)</f>
        <v>51000</v>
      </c>
      <c r="N230" s="29">
        <f>SUM('план на 2016'!$L231:N231)-SUM('членские взносы'!$M230:'членские взносы'!N230)</f>
        <v>51000</v>
      </c>
      <c r="O230" s="29">
        <f>SUM('план на 2016'!$L231:O231)-SUM('членские взносы'!$M230:'членские взносы'!O230)</f>
        <v>51000</v>
      </c>
      <c r="P230" s="29">
        <f>SUM('план на 2016'!$L231:P231)-SUM('членские взносы'!$M230:'членские взносы'!P230)</f>
        <v>51000</v>
      </c>
      <c r="Q230" s="29">
        <f>SUM('план на 2016'!$L231:Q231)-SUM('членские взносы'!$M230:'членские взносы'!Q230)</f>
        <v>51000</v>
      </c>
      <c r="R230" s="29">
        <f>SUM('план на 2016'!$L231:R231)-SUM('членские взносы'!$M230:'членские взносы'!R230)</f>
        <v>51000</v>
      </c>
      <c r="S230" s="29">
        <f>SUM('план на 2016'!$L231:S231)-SUM('членские взносы'!$M230:'членские взносы'!S230)</f>
        <v>51000</v>
      </c>
      <c r="T230" s="29">
        <f>SUM('план на 2016'!$L231:T231)-SUM('членские взносы'!$M230:'членские взносы'!T230)</f>
        <v>51000</v>
      </c>
      <c r="U230" s="29">
        <f>SUM('план на 2016'!$L231:U231)-SUM('членские взносы'!$M230:'членские взносы'!U230)</f>
        <v>51000</v>
      </c>
      <c r="V230" s="29">
        <f>SUM('план на 2016'!$L231:V231)-SUM('членские взносы'!$M230:'членские взносы'!V230)</f>
        <v>51000</v>
      </c>
      <c r="W230" s="29">
        <f>SUM('план на 2016'!$L231:W231)-SUM('членские взносы'!$M230:'членские взносы'!W230)</f>
        <v>51000</v>
      </c>
      <c r="X230" s="29">
        <f>SUM('план на 2016'!$L231:X231)-SUM('членские взносы'!$M230:'членские взносы'!X230)</f>
        <v>51000</v>
      </c>
      <c r="Y230" s="18">
        <f t="shared" si="23"/>
        <v>51000</v>
      </c>
    </row>
    <row r="231" spans="1:25">
      <c r="A231" s="41">
        <f>VLOOKUP(B231,справочник!$B$2:$E$322,4,FALSE)</f>
        <v>144</v>
      </c>
      <c r="B231" t="str">
        <f t="shared" si="22"/>
        <v>153Рожкова Глафира Андреевна</v>
      </c>
      <c r="C231" s="1">
        <v>153</v>
      </c>
      <c r="D231" s="2" t="s">
        <v>217</v>
      </c>
      <c r="E231" s="1"/>
      <c r="F231" s="19">
        <v>40788</v>
      </c>
      <c r="G231" s="19">
        <v>40787</v>
      </c>
      <c r="H231" s="20">
        <f t="shared" si="26"/>
        <v>52</v>
      </c>
      <c r="I231" s="5">
        <f t="shared" si="27"/>
        <v>52000</v>
      </c>
      <c r="J231" s="20">
        <v>1000</v>
      </c>
      <c r="K231" s="20"/>
      <c r="L231" s="21">
        <f t="shared" si="21"/>
        <v>51000</v>
      </c>
      <c r="M231" s="29">
        <f>SUM('план на 2016'!$L232:M232)-SUM('членские взносы'!$M231:'членские взносы'!M231)</f>
        <v>51800</v>
      </c>
      <c r="N231" s="29">
        <f>SUM('план на 2016'!$L232:N232)-SUM('членские взносы'!$M231:'членские взносы'!N231)</f>
        <v>52600</v>
      </c>
      <c r="O231" s="29">
        <f>SUM('план на 2016'!$L232:O232)-SUM('членские взносы'!$M231:'членские взносы'!O231)</f>
        <v>53400</v>
      </c>
      <c r="P231" s="29">
        <f>SUM('план на 2016'!$L232:P232)-SUM('членские взносы'!$M231:'членские взносы'!P231)</f>
        <v>54200</v>
      </c>
      <c r="Q231" s="29">
        <f>SUM('план на 2016'!$L232:Q232)-SUM('членские взносы'!$M231:'членские взносы'!Q231)</f>
        <v>55000</v>
      </c>
      <c r="R231" s="29">
        <f>SUM('план на 2016'!$L232:R232)-SUM('членские взносы'!$M231:'членские взносы'!R231)</f>
        <v>55800</v>
      </c>
      <c r="S231" s="29">
        <f>SUM('план на 2016'!$L232:S232)-SUM('членские взносы'!$M231:'членские взносы'!S231)</f>
        <v>56600</v>
      </c>
      <c r="T231" s="29">
        <f>SUM('план на 2016'!$L232:T232)-SUM('членские взносы'!$M231:'членские взносы'!T231)</f>
        <v>57400</v>
      </c>
      <c r="U231" s="29">
        <f>SUM('план на 2016'!$L232:U232)-SUM('членские взносы'!$M231:'членские взносы'!U231)</f>
        <v>58200</v>
      </c>
      <c r="V231" s="29">
        <f>SUM('план на 2016'!$L232:V232)-SUM('членские взносы'!$M231:'членские взносы'!V231)</f>
        <v>59000</v>
      </c>
      <c r="W231" s="29">
        <f>SUM('план на 2016'!$L232:W232)-SUM('членские взносы'!$M231:'членские взносы'!W231)</f>
        <v>59800</v>
      </c>
      <c r="X231" s="29">
        <f>SUM('план на 2016'!$L232:X232)-SUM('членские взносы'!$M231:'членские взносы'!X231)</f>
        <v>60600</v>
      </c>
      <c r="Y231" s="18">
        <f t="shared" si="23"/>
        <v>60600</v>
      </c>
    </row>
    <row r="232" spans="1:25">
      <c r="A232" s="41">
        <f>VLOOKUP(B232,справочник!$B$2:$E$322,4,FALSE)</f>
        <v>74</v>
      </c>
      <c r="B232" t="str">
        <f t="shared" si="22"/>
        <v>80Розова Татьяна Викторовна</v>
      </c>
      <c r="C232" s="1">
        <v>80</v>
      </c>
      <c r="D232" s="2" t="s">
        <v>218</v>
      </c>
      <c r="E232" s="5" t="s">
        <v>530</v>
      </c>
      <c r="F232" s="19">
        <v>41310</v>
      </c>
      <c r="G232" s="19">
        <v>41334</v>
      </c>
      <c r="H232" s="20">
        <f t="shared" si="26"/>
        <v>34</v>
      </c>
      <c r="I232" s="5">
        <f t="shared" si="27"/>
        <v>34000</v>
      </c>
      <c r="J232" s="20">
        <v>31000</v>
      </c>
      <c r="K232" s="20"/>
      <c r="L232" s="21">
        <f t="shared" si="21"/>
        <v>3000</v>
      </c>
      <c r="M232" s="29">
        <f>SUM('план на 2016'!$L233:M233)-SUM('членские взносы'!$M232:'членские взносы'!M232)</f>
        <v>-3000</v>
      </c>
      <c r="N232" s="29">
        <f>SUM('план на 2016'!$L233:N233)-SUM('членские взносы'!$M232:'членские взносы'!N232)</f>
        <v>-3000</v>
      </c>
      <c r="O232" s="29">
        <f>SUM('план на 2016'!$L233:O233)-SUM('членские взносы'!$M232:'членские взносы'!O232)</f>
        <v>-3000</v>
      </c>
      <c r="P232" s="29">
        <f>SUM('план на 2016'!$L233:P233)-SUM('членские взносы'!$M232:'членские взносы'!P232)</f>
        <v>-3000</v>
      </c>
      <c r="Q232" s="29">
        <f>SUM('план на 2016'!$L233:Q233)-SUM('членские взносы'!$M232:'членские взносы'!Q232)</f>
        <v>-5400</v>
      </c>
      <c r="R232" s="29">
        <f>SUM('план на 2016'!$L233:R233)-SUM('членские взносы'!$M232:'членские взносы'!R232)</f>
        <v>-5400</v>
      </c>
      <c r="S232" s="29">
        <f>SUM('план на 2016'!$L233:S233)-SUM('членские взносы'!$M232:'членские взносы'!S232)</f>
        <v>-7800</v>
      </c>
      <c r="T232" s="29">
        <f>SUM('план на 2016'!$L233:T233)-SUM('членские взносы'!$M232:'членские взносы'!T232)</f>
        <v>-7800</v>
      </c>
      <c r="U232" s="29">
        <f>SUM('план на 2016'!$L233:U233)-SUM('членские взносы'!$M232:'членские взносы'!U232)</f>
        <v>-7800</v>
      </c>
      <c r="V232" s="29">
        <f>SUM('план на 2016'!$L233:V233)-SUM('членские взносы'!$M232:'членские взносы'!V232)</f>
        <v>-10200</v>
      </c>
      <c r="W232" s="29">
        <f>SUM('план на 2016'!$L233:W233)-SUM('членские взносы'!$M232:'членские взносы'!W232)</f>
        <v>-10200</v>
      </c>
      <c r="X232" s="29">
        <f>SUM('план на 2016'!$L233:X233)-SUM('членские взносы'!$M232:'членские взносы'!X232)</f>
        <v>-12600</v>
      </c>
      <c r="Y232" s="18">
        <f t="shared" si="23"/>
        <v>-12600</v>
      </c>
    </row>
    <row r="233" spans="1:25">
      <c r="A233" s="41">
        <f>VLOOKUP(B233,справочник!$B$2:$E$322,4,FALSE)</f>
        <v>74</v>
      </c>
      <c r="B233" t="str">
        <f t="shared" si="22"/>
        <v>81Розова Татьяна Викторовна</v>
      </c>
      <c r="C233" s="1">
        <v>81</v>
      </c>
      <c r="D233" s="2" t="s">
        <v>218</v>
      </c>
      <c r="E233" s="5" t="s">
        <v>531</v>
      </c>
      <c r="F233" s="19">
        <v>40682</v>
      </c>
      <c r="G233" s="19">
        <v>40695</v>
      </c>
      <c r="H233" s="20">
        <f t="shared" si="26"/>
        <v>55</v>
      </c>
      <c r="I233" s="5">
        <f t="shared" si="27"/>
        <v>55000</v>
      </c>
      <c r="J233" s="20">
        <f>7000+48000-3000</f>
        <v>52000</v>
      </c>
      <c r="K233" s="20"/>
      <c r="L233" s="21">
        <f t="shared" si="21"/>
        <v>3000</v>
      </c>
      <c r="M233" s="29">
        <f>SUM('план на 2016'!$L234:M234)-SUM('членские взносы'!$M233:'членские взносы'!M233)</f>
        <v>3800</v>
      </c>
      <c r="N233" s="29">
        <f>SUM('план на 2016'!$L234:N234)-SUM('членские взносы'!$M233:'членские взносы'!N233)</f>
        <v>4600</v>
      </c>
      <c r="O233" s="29">
        <f>SUM('план на 2016'!$L234:O234)-SUM('членские взносы'!$M233:'членские взносы'!O233)</f>
        <v>5400</v>
      </c>
      <c r="P233" s="29">
        <f>SUM('план на 2016'!$L234:P234)-SUM('членские взносы'!$M233:'членские взносы'!P233)</f>
        <v>6200</v>
      </c>
      <c r="Q233" s="29">
        <f>SUM('план на 2016'!$L234:Q234)-SUM('членские взносы'!$M233:'членские взносы'!Q233)</f>
        <v>7000</v>
      </c>
      <c r="R233" s="29">
        <f>SUM('план на 2016'!$L234:R234)-SUM('членские взносы'!$M233:'членские взносы'!R233)</f>
        <v>7800</v>
      </c>
      <c r="S233" s="29">
        <f>SUM('план на 2016'!$L234:S234)-SUM('членские взносы'!$M233:'членские взносы'!S233)</f>
        <v>8600</v>
      </c>
      <c r="T233" s="29">
        <f>SUM('план на 2016'!$L234:T234)-SUM('членские взносы'!$M233:'членские взносы'!T233)</f>
        <v>9400</v>
      </c>
      <c r="U233" s="29">
        <f>SUM('план на 2016'!$L234:U234)-SUM('членские взносы'!$M233:'членские взносы'!U233)</f>
        <v>10200</v>
      </c>
      <c r="V233" s="29">
        <f>SUM('план на 2016'!$L234:V234)-SUM('членские взносы'!$M233:'членские взносы'!V233)</f>
        <v>11000</v>
      </c>
      <c r="W233" s="29">
        <f>SUM('план на 2016'!$L234:W234)-SUM('членские взносы'!$M233:'членские взносы'!W233)</f>
        <v>11800</v>
      </c>
      <c r="X233" s="29">
        <f>SUM('план на 2016'!$L234:X234)-SUM('членские взносы'!$M233:'членские взносы'!X233)</f>
        <v>12600</v>
      </c>
      <c r="Y233" s="18">
        <f t="shared" si="23"/>
        <v>12600</v>
      </c>
    </row>
    <row r="234" spans="1:25">
      <c r="A234" s="41">
        <f>VLOOKUP(B234,справочник!$B$2:$E$322,4,FALSE)</f>
        <v>68</v>
      </c>
      <c r="B234" t="str">
        <f t="shared" si="22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si="26"/>
        <v>56</v>
      </c>
      <c r="I234" s="1">
        <f t="shared" si="27"/>
        <v>56000</v>
      </c>
      <c r="J234" s="17">
        <f>12000+44000</f>
        <v>56000</v>
      </c>
      <c r="K234" s="17"/>
      <c r="L234" s="18">
        <f t="shared" si="21"/>
        <v>0</v>
      </c>
      <c r="M234" s="29">
        <f>SUM('план на 2016'!$L235:M235)-SUM('членские взносы'!$M234:'членские взносы'!M234)</f>
        <v>800</v>
      </c>
      <c r="N234" s="29">
        <f>SUM('план на 2016'!$L235:N235)-SUM('членские взносы'!$M234:'членские взносы'!N234)</f>
        <v>0</v>
      </c>
      <c r="O234" s="29">
        <f>SUM('план на 2016'!$L235:O235)-SUM('членские взносы'!$M234:'членские взносы'!O234)</f>
        <v>0</v>
      </c>
      <c r="P234" s="29">
        <f>SUM('план на 2016'!$L235:P235)-SUM('членские взносы'!$M234:'членские взносы'!P234)</f>
        <v>800</v>
      </c>
      <c r="Q234" s="29">
        <f>SUM('план на 2016'!$L235:Q235)-SUM('членские взносы'!$M234:'членские взносы'!Q234)</f>
        <v>800</v>
      </c>
      <c r="R234" s="29">
        <f>SUM('план на 2016'!$L235:R235)-SUM('членские взносы'!$M234:'членские взносы'!R234)</f>
        <v>800</v>
      </c>
      <c r="S234" s="29">
        <f>SUM('план на 2016'!$L235:S235)-SUM('членские взносы'!$M234:'членские взносы'!S234)</f>
        <v>1600</v>
      </c>
      <c r="T234" s="29">
        <f>SUM('план на 2016'!$L235:T235)-SUM('членские взносы'!$M234:'членские взносы'!T234)</f>
        <v>2400</v>
      </c>
      <c r="U234" s="29">
        <f>SUM('план на 2016'!$L235:U235)-SUM('членские взносы'!$M234:'членские взносы'!U234)</f>
        <v>2400</v>
      </c>
      <c r="V234" s="29">
        <f>SUM('план на 2016'!$L235:V235)-SUM('членские взносы'!$M234:'членские взносы'!V234)</f>
        <v>3200</v>
      </c>
      <c r="W234" s="29">
        <f>SUM('план на 2016'!$L235:W235)-SUM('членские взносы'!$M234:'членские взносы'!W234)</f>
        <v>4000</v>
      </c>
      <c r="X234" s="29">
        <f>SUM('план на 2016'!$L235:X235)-SUM('членские взносы'!$M234:'членские взносы'!X234)</f>
        <v>4800</v>
      </c>
      <c r="Y234" s="18">
        <f t="shared" si="23"/>
        <v>4800</v>
      </c>
    </row>
    <row r="235" spans="1:25">
      <c r="A235" s="41">
        <f>VLOOKUP(B235,справочник!$B$2:$E$322,4,FALSE)</f>
        <v>224</v>
      </c>
      <c r="B235" t="str">
        <f t="shared" si="22"/>
        <v xml:space="preserve">233Рудая Наталья Викторовна           </v>
      </c>
      <c r="C235" s="1">
        <v>233</v>
      </c>
      <c r="D235" s="2" t="s">
        <v>220</v>
      </c>
      <c r="E235" s="1" t="s">
        <v>533</v>
      </c>
      <c r="F235" s="16">
        <v>41751</v>
      </c>
      <c r="G235" s="16">
        <v>41760</v>
      </c>
      <c r="H235" s="17">
        <f t="shared" si="26"/>
        <v>20</v>
      </c>
      <c r="I235" s="1">
        <f t="shared" si="27"/>
        <v>20000</v>
      </c>
      <c r="J235" s="17"/>
      <c r="K235" s="17"/>
      <c r="L235" s="18">
        <f t="shared" si="21"/>
        <v>20000</v>
      </c>
      <c r="M235" s="29">
        <f>SUM('план на 2016'!$L236:M236)-SUM('членские взносы'!$M235:'членские взносы'!M235)</f>
        <v>20800</v>
      </c>
      <c r="N235" s="29">
        <f>SUM('план на 2016'!$L236:N236)-SUM('членские взносы'!$M235:'членские взносы'!N235)</f>
        <v>21600</v>
      </c>
      <c r="O235" s="29">
        <f>SUM('план на 2016'!$L236:O236)-SUM('членские взносы'!$M235:'членские взносы'!O235)</f>
        <v>22400</v>
      </c>
      <c r="P235" s="29">
        <f>SUM('план на 2016'!$L236:P236)-SUM('членские взносы'!$M235:'членские взносы'!P235)</f>
        <v>23200</v>
      </c>
      <c r="Q235" s="29">
        <f>SUM('план на 2016'!$L236:Q236)-SUM('членские взносы'!$M235:'членские взносы'!Q235)</f>
        <v>24000</v>
      </c>
      <c r="R235" s="29">
        <f>SUM('план на 2016'!$L236:R236)-SUM('членские взносы'!$M235:'членские взносы'!R235)</f>
        <v>24800</v>
      </c>
      <c r="S235" s="29">
        <f>SUM('план на 2016'!$L236:S236)-SUM('членские взносы'!$M235:'членские взносы'!S235)</f>
        <v>25600</v>
      </c>
      <c r="T235" s="29">
        <f>SUM('план на 2016'!$L236:T236)-SUM('членские взносы'!$M235:'членские взносы'!T235)</f>
        <v>26400</v>
      </c>
      <c r="U235" s="29">
        <f>SUM('план на 2016'!$L236:U236)-SUM('членские взносы'!$M235:'членские взносы'!U235)</f>
        <v>27200</v>
      </c>
      <c r="V235" s="29">
        <f>SUM('план на 2016'!$L236:V236)-SUM('членские взносы'!$M235:'членские взносы'!V235)</f>
        <v>28000</v>
      </c>
      <c r="W235" s="29">
        <f>SUM('план на 2016'!$L236:W236)-SUM('членские взносы'!$M235:'членские взносы'!W235)</f>
        <v>28800</v>
      </c>
      <c r="X235" s="29">
        <f>SUM('план на 2016'!$L236:X236)-SUM('членские взносы'!$M235:'членские взносы'!X235)</f>
        <v>29600</v>
      </c>
      <c r="Y235" s="18">
        <f t="shared" si="23"/>
        <v>29600</v>
      </c>
    </row>
    <row r="236" spans="1:25">
      <c r="A236" s="41">
        <f>VLOOKUP(B236,справочник!$B$2:$E$322,4,FALSE)</f>
        <v>134</v>
      </c>
      <c r="B236" t="str">
        <f t="shared" si="22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26"/>
        <v>49</v>
      </c>
      <c r="I236" s="1">
        <f t="shared" si="27"/>
        <v>49000</v>
      </c>
      <c r="J236" s="17">
        <f>37000</f>
        <v>37000</v>
      </c>
      <c r="K236" s="17"/>
      <c r="L236" s="18">
        <f t="shared" si="21"/>
        <v>12000</v>
      </c>
      <c r="M236" s="29">
        <f>SUM('план на 2016'!$L237:M237)-SUM('членские взносы'!$M236:'членские взносы'!M236)</f>
        <v>800</v>
      </c>
      <c r="N236" s="29">
        <f>SUM('план на 2016'!$L237:N237)-SUM('членские взносы'!$M236:'членские взносы'!N236)</f>
        <v>-3200</v>
      </c>
      <c r="O236" s="29">
        <f>SUM('план на 2016'!$L237:O237)-SUM('членские взносы'!$M236:'членские взносы'!O236)</f>
        <v>-2400</v>
      </c>
      <c r="P236" s="29">
        <f>SUM('план на 2016'!$L237:P237)-SUM('членские взносы'!$M236:'членские взносы'!P236)</f>
        <v>-1600</v>
      </c>
      <c r="Q236" s="29">
        <f>SUM('план на 2016'!$L237:Q237)-SUM('членские взносы'!$M236:'членские взносы'!Q236)</f>
        <v>-800</v>
      </c>
      <c r="R236" s="29">
        <f>SUM('план на 2016'!$L237:R237)-SUM('членские взносы'!$M236:'членские взносы'!R236)</f>
        <v>0</v>
      </c>
      <c r="S236" s="29">
        <f>SUM('план на 2016'!$L237:S237)-SUM('членские взносы'!$M236:'членские взносы'!S236)</f>
        <v>800</v>
      </c>
      <c r="T236" s="29">
        <f>SUM('план на 2016'!$L237:T237)-SUM('членские взносы'!$M236:'членские взносы'!T236)</f>
        <v>1600</v>
      </c>
      <c r="U236" s="29">
        <f>SUM('план на 2016'!$L237:U237)-SUM('членские взносы'!$M236:'членские взносы'!U236)</f>
        <v>2400</v>
      </c>
      <c r="V236" s="29">
        <f>SUM('план на 2016'!$L237:V237)-SUM('членские взносы'!$M236:'членские взносы'!V236)</f>
        <v>-1600</v>
      </c>
      <c r="W236" s="29">
        <f>SUM('план на 2016'!$L237:W237)-SUM('членские взносы'!$M236:'членские взносы'!W236)</f>
        <v>-800</v>
      </c>
      <c r="X236" s="29">
        <f>SUM('план на 2016'!$L237:X237)-SUM('членские взносы'!$M236:'членские взносы'!X236)</f>
        <v>0</v>
      </c>
      <c r="Y236" s="18">
        <f t="shared" si="23"/>
        <v>0</v>
      </c>
    </row>
    <row r="237" spans="1:25" ht="38.25" customHeight="1">
      <c r="A237" s="41">
        <f>VLOOKUP(B237,справочник!$B$2:$E$322,4,FALSE)</f>
        <v>267</v>
      </c>
      <c r="B237" t="str">
        <f t="shared" si="22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26"/>
        <v>45</v>
      </c>
      <c r="I237" s="1">
        <f t="shared" si="27"/>
        <v>45000</v>
      </c>
      <c r="J237" s="17">
        <f>41000</f>
        <v>41000</v>
      </c>
      <c r="K237" s="17"/>
      <c r="L237" s="18">
        <f t="shared" si="21"/>
        <v>4000</v>
      </c>
      <c r="M237" s="29">
        <f>SUM('план на 2016'!$L238:M238)-SUM('членские взносы'!$M237:'членские взносы'!M237)</f>
        <v>4800</v>
      </c>
      <c r="N237" s="29">
        <f>SUM('план на 2016'!$L238:N238)-SUM('членские взносы'!$M237:'членские взносы'!N237)</f>
        <v>1600</v>
      </c>
      <c r="O237" s="29">
        <f>SUM('план на 2016'!$L238:O238)-SUM('членские взносы'!$M237:'членские взносы'!O237)</f>
        <v>400</v>
      </c>
      <c r="P237" s="29">
        <f>SUM('план на 2016'!$L238:P238)-SUM('членские взносы'!$M237:'членские взносы'!P237)</f>
        <v>-800</v>
      </c>
      <c r="Q237" s="29">
        <f>SUM('план на 2016'!$L238:Q238)-SUM('членские взносы'!$M237:'членские взносы'!Q237)</f>
        <v>0</v>
      </c>
      <c r="R237" s="29">
        <f>SUM('план на 2016'!$L238:R238)-SUM('членские взносы'!$M237:'членские взносы'!R237)</f>
        <v>800</v>
      </c>
      <c r="S237" s="29">
        <f>SUM('план на 2016'!$L238:S238)-SUM('членские взносы'!$M237:'членские взносы'!S237)</f>
        <v>1600</v>
      </c>
      <c r="T237" s="29">
        <f>SUM('план на 2016'!$L238:T238)-SUM('членские взносы'!$M237:'членские взносы'!T237)</f>
        <v>2400</v>
      </c>
      <c r="U237" s="29">
        <f>SUM('план на 2016'!$L238:U238)-SUM('членские взносы'!$M237:'членские взносы'!U237)</f>
        <v>1200</v>
      </c>
      <c r="V237" s="29">
        <f>SUM('план на 2016'!$L238:V238)-SUM('членские взносы'!$M237:'членские взносы'!V237)</f>
        <v>0</v>
      </c>
      <c r="W237" s="29">
        <f>SUM('план на 2016'!$L238:W238)-SUM('членские взносы'!$M237:'членские взносы'!W237)</f>
        <v>-1200</v>
      </c>
      <c r="X237" s="29">
        <f>SUM('план на 2016'!$L238:X238)-SUM('членские взносы'!$M237:'членские взносы'!X237)</f>
        <v>-400</v>
      </c>
      <c r="Y237" s="18">
        <f t="shared" si="23"/>
        <v>-400</v>
      </c>
    </row>
    <row r="238" spans="1:25">
      <c r="A238" s="41">
        <f>VLOOKUP(B238,справочник!$B$2:$E$322,4,FALSE)</f>
        <v>258</v>
      </c>
      <c r="B238" t="str">
        <f t="shared" si="22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26"/>
        <v>44</v>
      </c>
      <c r="I238" s="1">
        <f t="shared" si="27"/>
        <v>44000</v>
      </c>
      <c r="J238" s="17">
        <v>44000</v>
      </c>
      <c r="K238" s="17"/>
      <c r="L238" s="18">
        <f t="shared" si="21"/>
        <v>0</v>
      </c>
      <c r="M238" s="29">
        <f>SUM('план на 2016'!$L239:M239)-SUM('членские взносы'!$M238:'членские взносы'!M238)</f>
        <v>800</v>
      </c>
      <c r="N238" s="29">
        <f>SUM('план на 2016'!$L239:N239)-SUM('членские взносы'!$M238:'членские взносы'!N238)</f>
        <v>1600</v>
      </c>
      <c r="O238" s="29">
        <f>SUM('план на 2016'!$L239:O239)-SUM('членские взносы'!$M238:'членские взносы'!O238)</f>
        <v>2400</v>
      </c>
      <c r="P238" s="29">
        <f>SUM('план на 2016'!$L239:P239)-SUM('членские взносы'!$M238:'членские взносы'!P238)</f>
        <v>3200</v>
      </c>
      <c r="Q238" s="29">
        <f>SUM('план на 2016'!$L239:Q239)-SUM('членские взносы'!$M238:'членские взносы'!Q238)</f>
        <v>4000</v>
      </c>
      <c r="R238" s="29">
        <f>SUM('план на 2016'!$L239:R239)-SUM('членские взносы'!$M238:'членские взносы'!R238)</f>
        <v>0</v>
      </c>
      <c r="S238" s="29">
        <f>SUM('план на 2016'!$L239:S239)-SUM('членские взносы'!$M238:'членские взносы'!S238)</f>
        <v>800</v>
      </c>
      <c r="T238" s="29">
        <f>SUM('план на 2016'!$L239:T239)-SUM('членские взносы'!$M238:'членские взносы'!T238)</f>
        <v>1600</v>
      </c>
      <c r="U238" s="29">
        <f>SUM('план на 2016'!$L239:U239)-SUM('членские взносы'!$M238:'членские взносы'!U238)</f>
        <v>2400</v>
      </c>
      <c r="V238" s="29">
        <f>SUM('план на 2016'!$L239:V239)-SUM('членские взносы'!$M238:'членские взносы'!V238)</f>
        <v>3200</v>
      </c>
      <c r="W238" s="29">
        <f>SUM('план на 2016'!$L239:W239)-SUM('членские взносы'!$M238:'членские взносы'!W238)</f>
        <v>4000</v>
      </c>
      <c r="X238" s="29">
        <f>SUM('план на 2016'!$L239:X239)-SUM('членские взносы'!$M238:'членские взносы'!X238)</f>
        <v>4800</v>
      </c>
      <c r="Y238" s="18">
        <f t="shared" si="23"/>
        <v>4800</v>
      </c>
    </row>
    <row r="239" spans="1:25" ht="25.5">
      <c r="A239" s="41">
        <f>VLOOKUP(B239,справочник!$B$2:$E$322,4,FALSE)</f>
        <v>299</v>
      </c>
      <c r="B239" t="str">
        <f t="shared" si="22"/>
        <v>314Садовников Алексей Владимирович(Рошка Александр Николаевич)</v>
      </c>
      <c r="C239" s="1">
        <v>314</v>
      </c>
      <c r="D239" s="2" t="s">
        <v>224</v>
      </c>
      <c r="E239" s="1"/>
      <c r="F239" s="16">
        <v>42017</v>
      </c>
      <c r="G239" s="16">
        <v>41275</v>
      </c>
      <c r="H239" s="17">
        <f t="shared" si="26"/>
        <v>36</v>
      </c>
      <c r="I239" s="1">
        <f t="shared" si="27"/>
        <v>36000</v>
      </c>
      <c r="J239" s="17">
        <f>1000</f>
        <v>1000</v>
      </c>
      <c r="K239" s="17">
        <v>3000</v>
      </c>
      <c r="L239" s="18">
        <f t="shared" si="21"/>
        <v>32000</v>
      </c>
      <c r="M239" s="29">
        <f>SUM('план на 2016'!$L240:M240)-SUM('членские взносы'!$M239:'членские взносы'!M239)</f>
        <v>32800</v>
      </c>
      <c r="N239" s="29">
        <f>SUM('план на 2016'!$L240:N240)-SUM('членские взносы'!$M239:'членские взносы'!N239)</f>
        <v>33600</v>
      </c>
      <c r="O239" s="29">
        <f>SUM('план на 2016'!$L240:O240)-SUM('членские взносы'!$M239:'членские взносы'!O239)</f>
        <v>34400</v>
      </c>
      <c r="P239" s="29">
        <f>SUM('план на 2016'!$L240:P240)-SUM('членские взносы'!$M239:'членские взносы'!P239)</f>
        <v>35200</v>
      </c>
      <c r="Q239" s="29">
        <f>SUM('план на 2016'!$L240:Q240)-SUM('членские взносы'!$M239:'членские взносы'!Q239)</f>
        <v>36000</v>
      </c>
      <c r="R239" s="29">
        <f>SUM('план на 2016'!$L240:R240)-SUM('членские взносы'!$M239:'членские взносы'!R239)</f>
        <v>36800</v>
      </c>
      <c r="S239" s="29">
        <f>SUM('план на 2016'!$L240:S240)-SUM('членские взносы'!$M239:'членские взносы'!S239)</f>
        <v>37600</v>
      </c>
      <c r="T239" s="29">
        <f>SUM('план на 2016'!$L240:T240)-SUM('членские взносы'!$M239:'членские взносы'!T239)</f>
        <v>38400</v>
      </c>
      <c r="U239" s="29">
        <f>SUM('план на 2016'!$L240:U240)-SUM('членские взносы'!$M239:'членские взносы'!U239)</f>
        <v>39200</v>
      </c>
      <c r="V239" s="29">
        <f>SUM('план на 2016'!$L240:V240)-SUM('членские взносы'!$M239:'членские взносы'!V239)</f>
        <v>40000</v>
      </c>
      <c r="W239" s="29">
        <f>SUM('план на 2016'!$L240:W240)-SUM('членские взносы'!$M239:'членские взносы'!W239)</f>
        <v>40800</v>
      </c>
      <c r="X239" s="29">
        <f>SUM('план на 2016'!$L240:X240)-SUM('членские взносы'!$M239:'членские взносы'!X239)</f>
        <v>41600</v>
      </c>
      <c r="Y239" s="18">
        <f t="shared" si="23"/>
        <v>41600</v>
      </c>
    </row>
    <row r="240" spans="1:25" ht="25.5">
      <c r="A240" s="41">
        <f>VLOOKUP(B240,справочник!$B$2:$E$322,4,FALSE)</f>
        <v>210</v>
      </c>
      <c r="B240" t="str">
        <f t="shared" si="22"/>
        <v>219Сазонов Сергей Александрович - Диденко Оксана Владимировна</v>
      </c>
      <c r="C240" s="1">
        <v>219</v>
      </c>
      <c r="D240" s="2" t="s">
        <v>225</v>
      </c>
      <c r="E240" s="1"/>
      <c r="F240" s="16">
        <v>41913</v>
      </c>
      <c r="G240" s="16">
        <v>41944</v>
      </c>
      <c r="H240" s="17">
        <f t="shared" si="26"/>
        <v>14</v>
      </c>
      <c r="I240" s="1">
        <f t="shared" si="27"/>
        <v>14000</v>
      </c>
      <c r="J240" s="17">
        <f>6000</f>
        <v>6000</v>
      </c>
      <c r="K240" s="17"/>
      <c r="L240" s="18">
        <f t="shared" si="21"/>
        <v>8000</v>
      </c>
      <c r="M240" s="29" t="e">
        <f>SUM('план на 2016'!$L241:M241)-SUM('членские взносы'!#REF!:'членские взносы'!#REF!)</f>
        <v>#REF!</v>
      </c>
      <c r="N240" s="29" t="e">
        <f>SUM('план на 2016'!$L241:N241)-SUM('членские взносы'!#REF!:'членские взносы'!#REF!)</f>
        <v>#REF!</v>
      </c>
      <c r="O240" s="29" t="e">
        <f>SUM('план на 2016'!$L241:O241)-SUM('членские взносы'!#REF!:'членские взносы'!#REF!)</f>
        <v>#REF!</v>
      </c>
      <c r="P240" s="29" t="e">
        <f>SUM('план на 2016'!$L241:P241)-SUM('членские взносы'!#REF!:'членские взносы'!#REF!)</f>
        <v>#REF!</v>
      </c>
      <c r="Q240" s="29" t="e">
        <f>SUM('план на 2016'!$L241:Q241)-SUM('членские взносы'!#REF!:'членские взносы'!#REF!)</f>
        <v>#REF!</v>
      </c>
      <c r="R240" s="29" t="e">
        <f>SUM('план на 2016'!$L241:R241)-SUM('членские взносы'!#REF!:'членские взносы'!#REF!)</f>
        <v>#REF!</v>
      </c>
      <c r="S240" s="29" t="e">
        <f>SUM('план на 2016'!$L241:S241)-SUM('членские взносы'!#REF!:'членские взносы'!#REF!)</f>
        <v>#REF!</v>
      </c>
      <c r="T240" s="29" t="e">
        <f>SUM('план на 2016'!$L241:T241)-SUM('членские взносы'!#REF!:'членские взносы'!#REF!)</f>
        <v>#REF!</v>
      </c>
      <c r="U240" s="29" t="e">
        <f>SUM('план на 2016'!$L241:U241)-SUM('членские взносы'!#REF!:'членские взносы'!#REF!)</f>
        <v>#REF!</v>
      </c>
      <c r="V240" s="29" t="e">
        <f>SUM('план на 2016'!$L241:V241)-SUM('членские взносы'!#REF!:'членские взносы'!#REF!)</f>
        <v>#REF!</v>
      </c>
      <c r="W240" s="29" t="e">
        <f>SUM('план на 2016'!$L241:W241)-SUM('членские взносы'!#REF!:'членские взносы'!#REF!)</f>
        <v>#REF!</v>
      </c>
      <c r="X240" s="29" t="e">
        <f>SUM('план на 2016'!$L241:X241)-SUM('членские взносы'!#REF!:'членские взносы'!#REF!)</f>
        <v>#REF!</v>
      </c>
      <c r="Y240" s="18" t="e">
        <f t="shared" si="23"/>
        <v>#REF!</v>
      </c>
    </row>
    <row r="241" spans="1:25">
      <c r="A241" s="41">
        <f>VLOOKUP(B241,справочник!$B$2:$E$322,4,FALSE)</f>
        <v>239</v>
      </c>
      <c r="B241" t="str">
        <f t="shared" si="22"/>
        <v>250Салопаева Татьяна Сергеевна</v>
      </c>
      <c r="C241" s="1">
        <v>250</v>
      </c>
      <c r="D241" s="2" t="s">
        <v>226</v>
      </c>
      <c r="E241" s="1" t="s">
        <v>537</v>
      </c>
      <c r="F241" s="16">
        <v>40973</v>
      </c>
      <c r="G241" s="16">
        <v>40969</v>
      </c>
      <c r="H241" s="17">
        <f t="shared" si="26"/>
        <v>46</v>
      </c>
      <c r="I241" s="1">
        <f t="shared" si="27"/>
        <v>46000</v>
      </c>
      <c r="J241" s="17">
        <v>26000</v>
      </c>
      <c r="K241" s="17"/>
      <c r="L241" s="18">
        <f t="shared" si="21"/>
        <v>20000</v>
      </c>
      <c r="M241" s="29">
        <f>SUM('план на 2016'!$L242:M242)-SUM('членские взносы'!$M240:'членские взносы'!M240)</f>
        <v>20800</v>
      </c>
      <c r="N241" s="29">
        <f>SUM('план на 2016'!$L242:N242)-SUM('членские взносы'!$M240:'членские взносы'!N240)</f>
        <v>21600</v>
      </c>
      <c r="O241" s="29">
        <f>SUM('план на 2016'!$L242:O242)-SUM('членские взносы'!$M240:'членские взносы'!O240)</f>
        <v>22400</v>
      </c>
      <c r="P241" s="29">
        <f>SUM('план на 2016'!$L242:P242)-SUM('членские взносы'!$M240:'членские взносы'!P240)</f>
        <v>23200</v>
      </c>
      <c r="Q241" s="29">
        <f>SUM('план на 2016'!$L242:Q242)-SUM('членские взносы'!$M240:'членские взносы'!Q240)</f>
        <v>24000</v>
      </c>
      <c r="R241" s="29">
        <f>SUM('план на 2016'!$L242:R242)-SUM('членские взносы'!$M240:'членские взносы'!R240)</f>
        <v>24800</v>
      </c>
      <c r="S241" s="29">
        <f>SUM('план на 2016'!$L242:S242)-SUM('членские взносы'!$M240:'членские взносы'!S240)</f>
        <v>25600</v>
      </c>
      <c r="T241" s="29">
        <f>SUM('план на 2016'!$L242:T242)-SUM('членские взносы'!$M240:'членские взносы'!T240)</f>
        <v>26400</v>
      </c>
      <c r="U241" s="29">
        <f>SUM('план на 2016'!$L242:U242)-SUM('членские взносы'!$M240:'членские взносы'!U240)</f>
        <v>27200</v>
      </c>
      <c r="V241" s="29">
        <f>SUM('план на 2016'!$L242:V242)-SUM('членские взносы'!$M240:'членские взносы'!V240)</f>
        <v>28000</v>
      </c>
      <c r="W241" s="29">
        <f>SUM('план на 2016'!$L242:W242)-SUM('членские взносы'!$M240:'членские взносы'!W240)</f>
        <v>28800</v>
      </c>
      <c r="X241" s="29">
        <f>SUM('план на 2016'!$L242:X242)-SUM('членские взносы'!$M240:'членские взносы'!X240)</f>
        <v>29600</v>
      </c>
      <c r="Y241" s="18">
        <f t="shared" si="23"/>
        <v>29600</v>
      </c>
    </row>
    <row r="242" spans="1:25">
      <c r="A242" s="41">
        <f>VLOOKUP(B242,справочник!$B$2:$E$322,4,FALSE)</f>
        <v>238</v>
      </c>
      <c r="B242" t="str">
        <f t="shared" si="22"/>
        <v>249Самоволькина Ирина Владимировна</v>
      </c>
      <c r="C242" s="1">
        <v>249</v>
      </c>
      <c r="D242" s="2" t="s">
        <v>227</v>
      </c>
      <c r="E242" s="1" t="s">
        <v>538</v>
      </c>
      <c r="F242" s="16">
        <v>41079</v>
      </c>
      <c r="G242" s="16">
        <v>41061</v>
      </c>
      <c r="H242" s="17">
        <f t="shared" si="26"/>
        <v>43</v>
      </c>
      <c r="I242" s="1">
        <f t="shared" si="27"/>
        <v>43000</v>
      </c>
      <c r="J242" s="17"/>
      <c r="K242" s="17"/>
      <c r="L242" s="18">
        <f t="shared" si="21"/>
        <v>43000</v>
      </c>
      <c r="M242" s="29">
        <f>SUM('план на 2016'!$L243:M243)-SUM('членские взносы'!$M241:'членские взносы'!M241)</f>
        <v>43800</v>
      </c>
      <c r="N242" s="29">
        <f>SUM('план на 2016'!$L243:N243)-SUM('членские взносы'!$M241:'членские взносы'!N241)</f>
        <v>44600</v>
      </c>
      <c r="O242" s="29">
        <f>SUM('план на 2016'!$L243:O243)-SUM('членские взносы'!$M241:'членские взносы'!O241)</f>
        <v>45400</v>
      </c>
      <c r="P242" s="29">
        <f>SUM('план на 2016'!$L243:P243)-SUM('членские взносы'!$M241:'членские взносы'!P241)</f>
        <v>46200</v>
      </c>
      <c r="Q242" s="29">
        <f>SUM('план на 2016'!$L243:Q243)-SUM('членские взносы'!$M241:'членские взносы'!Q241)</f>
        <v>47000</v>
      </c>
      <c r="R242" s="29">
        <f>SUM('план на 2016'!$L243:R243)-SUM('членские взносы'!$M241:'членские взносы'!R241)</f>
        <v>47800</v>
      </c>
      <c r="S242" s="29">
        <f>SUM('план на 2016'!$L243:S243)-SUM('членские взносы'!$M241:'членские взносы'!S241)</f>
        <v>48600</v>
      </c>
      <c r="T242" s="29">
        <f>SUM('план на 2016'!$L243:T243)-SUM('членские взносы'!$M241:'членские взносы'!T241)</f>
        <v>49400</v>
      </c>
      <c r="U242" s="29">
        <f>SUM('план на 2016'!$L243:U243)-SUM('членские взносы'!$M241:'членские взносы'!U241)</f>
        <v>50200</v>
      </c>
      <c r="V242" s="29">
        <f>SUM('план на 2016'!$L243:V243)-SUM('членские взносы'!$M241:'членские взносы'!V241)</f>
        <v>51000</v>
      </c>
      <c r="W242" s="29">
        <f>SUM('план на 2016'!$L243:W243)-SUM('членские взносы'!$M241:'членские взносы'!W241)</f>
        <v>51800</v>
      </c>
      <c r="X242" s="29">
        <f>SUM('план на 2016'!$L243:X243)-SUM('членские взносы'!$M241:'членские взносы'!X241)</f>
        <v>52600</v>
      </c>
      <c r="Y242" s="18">
        <f t="shared" si="23"/>
        <v>52600</v>
      </c>
    </row>
    <row r="243" spans="1:25">
      <c r="A243" s="41">
        <f>VLOOKUP(B243,справочник!$B$2:$E$322,4,FALSE)</f>
        <v>297</v>
      </c>
      <c r="B243" t="str">
        <f t="shared" si="22"/>
        <v>312Саргсян Оганнес Ншанович</v>
      </c>
      <c r="C243" s="1">
        <v>312</v>
      </c>
      <c r="D243" s="2" t="s">
        <v>228</v>
      </c>
      <c r="E243" s="1" t="s">
        <v>539</v>
      </c>
      <c r="F243" s="16">
        <v>42004</v>
      </c>
      <c r="G243" s="16">
        <v>42005</v>
      </c>
      <c r="H243" s="17">
        <f t="shared" si="26"/>
        <v>12</v>
      </c>
      <c r="I243" s="1">
        <f t="shared" si="27"/>
        <v>12000</v>
      </c>
      <c r="J243" s="17"/>
      <c r="K243" s="17"/>
      <c r="L243" s="18">
        <f t="shared" si="21"/>
        <v>12000</v>
      </c>
      <c r="M243" s="29">
        <f>SUM('план на 2016'!$L244:M244)-SUM('членские взносы'!$M242:'членские взносы'!M242)</f>
        <v>12800</v>
      </c>
      <c r="N243" s="29">
        <f>SUM('план на 2016'!$L244:N244)-SUM('членские взносы'!$M242:'членские взносы'!N242)</f>
        <v>13600</v>
      </c>
      <c r="O243" s="29">
        <f>SUM('план на 2016'!$L244:O244)-SUM('членские взносы'!$M242:'членские взносы'!O242)</f>
        <v>14400</v>
      </c>
      <c r="P243" s="29">
        <f>SUM('план на 2016'!$L244:P244)-SUM('членские взносы'!$M242:'членские взносы'!P242)</f>
        <v>15200</v>
      </c>
      <c r="Q243" s="29">
        <f>SUM('план на 2016'!$L244:Q244)-SUM('членские взносы'!$M242:'членские взносы'!Q242)</f>
        <v>16000</v>
      </c>
      <c r="R243" s="29">
        <f>SUM('план на 2016'!$L244:R244)-SUM('членские взносы'!$M242:'членские взносы'!R242)</f>
        <v>16800</v>
      </c>
      <c r="S243" s="29">
        <f>SUM('план на 2016'!$L244:S244)-SUM('членские взносы'!$M242:'членские взносы'!S242)</f>
        <v>17600</v>
      </c>
      <c r="T243" s="29">
        <f>SUM('план на 2016'!$L244:T244)-SUM('членские взносы'!$M242:'членские взносы'!T242)</f>
        <v>18400</v>
      </c>
      <c r="U243" s="29">
        <f>SUM('план на 2016'!$L244:U244)-SUM('членские взносы'!$M242:'членские взносы'!U242)</f>
        <v>19200</v>
      </c>
      <c r="V243" s="29">
        <f>SUM('план на 2016'!$L244:V244)-SUM('членские взносы'!$M242:'членские взносы'!V242)</f>
        <v>20000</v>
      </c>
      <c r="W243" s="29">
        <f>SUM('план на 2016'!$L244:W244)-SUM('членские взносы'!$M242:'членские взносы'!W242)</f>
        <v>20800</v>
      </c>
      <c r="X243" s="29">
        <f>SUM('план на 2016'!$L244:X244)-SUM('членские взносы'!$M242:'членские взносы'!X242)</f>
        <v>21600</v>
      </c>
      <c r="Y243" s="18">
        <f t="shared" si="23"/>
        <v>21600</v>
      </c>
    </row>
    <row r="244" spans="1:25" ht="25.5">
      <c r="A244" s="41">
        <f>VLOOKUP(B244,справочник!$B$2:$E$322,4,FALSE)</f>
        <v>128</v>
      </c>
      <c r="B244" t="str">
        <f t="shared" si="22"/>
        <v>135Сафронова Наталья Михайловна (у Дедков Илья Егорьевич купила)</v>
      </c>
      <c r="C244" s="1">
        <v>135</v>
      </c>
      <c r="D244" s="2" t="s">
        <v>229</v>
      </c>
      <c r="E244" s="1" t="s">
        <v>540</v>
      </c>
      <c r="F244" s="16">
        <v>41358</v>
      </c>
      <c r="G244" s="16">
        <v>41365</v>
      </c>
      <c r="H244" s="17">
        <f t="shared" si="26"/>
        <v>33</v>
      </c>
      <c r="I244" s="1">
        <f t="shared" si="27"/>
        <v>33000</v>
      </c>
      <c r="J244" s="17">
        <v>26000</v>
      </c>
      <c r="K244" s="17"/>
      <c r="L244" s="18">
        <f t="shared" si="21"/>
        <v>7000</v>
      </c>
      <c r="M244" s="29">
        <f>SUM('план на 2016'!$L245:M245)-SUM('членские взносы'!$M243:'членские взносы'!M243)</f>
        <v>3800</v>
      </c>
      <c r="N244" s="29">
        <f>SUM('план на 2016'!$L245:N245)-SUM('членские взносы'!$M243:'членские взносы'!N243)</f>
        <v>4600</v>
      </c>
      <c r="O244" s="29">
        <f>SUM('план на 2016'!$L245:O245)-SUM('членские взносы'!$M243:'членские взносы'!O243)</f>
        <v>5400</v>
      </c>
      <c r="P244" s="29">
        <f>SUM('план на 2016'!$L245:P245)-SUM('членские взносы'!$M243:'членские взносы'!P243)</f>
        <v>6200</v>
      </c>
      <c r="Q244" s="29">
        <f>SUM('план на 2016'!$L245:Q245)-SUM('членские взносы'!$M243:'членские взносы'!Q243)</f>
        <v>7000</v>
      </c>
      <c r="R244" s="29">
        <f>SUM('план на 2016'!$L245:R245)-SUM('членские взносы'!$M243:'членские взносы'!R243)</f>
        <v>7800</v>
      </c>
      <c r="S244" s="29">
        <f>SUM('план на 2016'!$L245:S245)-SUM('членские взносы'!$M243:'членские взносы'!S243)</f>
        <v>8600</v>
      </c>
      <c r="T244" s="29">
        <f>SUM('план на 2016'!$L245:T245)-SUM('членские взносы'!$M243:'членские взносы'!T243)</f>
        <v>9400</v>
      </c>
      <c r="U244" s="29">
        <f>SUM('план на 2016'!$L245:U245)-SUM('членские взносы'!$M243:'членские взносы'!U243)</f>
        <v>7000</v>
      </c>
      <c r="V244" s="29">
        <f>SUM('план на 2016'!$L245:V245)-SUM('членские взносы'!$M243:'членские взносы'!V243)</f>
        <v>7800</v>
      </c>
      <c r="W244" s="29">
        <f>SUM('план на 2016'!$L245:W245)-SUM('членские взносы'!$M243:'членские взносы'!W243)</f>
        <v>6200</v>
      </c>
      <c r="X244" s="29">
        <f>SUM('план на 2016'!$L245:X245)-SUM('членские взносы'!$M243:'членские взносы'!X243)</f>
        <v>7000</v>
      </c>
      <c r="Y244" s="18">
        <f t="shared" si="23"/>
        <v>7000</v>
      </c>
    </row>
    <row r="245" spans="1:25">
      <c r="A245" s="41">
        <f>VLOOKUP(B245,справочник!$B$2:$E$322,4,FALSE)</f>
        <v>67</v>
      </c>
      <c r="B245" t="str">
        <f t="shared" si="22"/>
        <v>69Сбитнева Юлия Сергеевна</v>
      </c>
      <c r="C245" s="1">
        <v>69</v>
      </c>
      <c r="D245" s="2" t="s">
        <v>230</v>
      </c>
      <c r="E245" s="1" t="s">
        <v>541</v>
      </c>
      <c r="F245" s="16">
        <v>41012</v>
      </c>
      <c r="G245" s="16">
        <v>41000</v>
      </c>
      <c r="H245" s="17">
        <f t="shared" si="26"/>
        <v>45</v>
      </c>
      <c r="I245" s="1">
        <f t="shared" si="27"/>
        <v>45000</v>
      </c>
      <c r="J245" s="17">
        <v>1000</v>
      </c>
      <c r="K245" s="17"/>
      <c r="L245" s="18">
        <f t="shared" si="21"/>
        <v>44000</v>
      </c>
      <c r="M245" s="29">
        <f>SUM('план на 2016'!$L246:M246)-SUM('членские взносы'!$M244:'членские взносы'!M244)</f>
        <v>44800</v>
      </c>
      <c r="N245" s="29">
        <f>SUM('план на 2016'!$L246:N246)-SUM('членские взносы'!$M244:'членские взносы'!N244)</f>
        <v>45600</v>
      </c>
      <c r="O245" s="29">
        <f>SUM('план на 2016'!$L246:O246)-SUM('членские взносы'!$M244:'членские взносы'!O244)</f>
        <v>46400</v>
      </c>
      <c r="P245" s="29">
        <f>SUM('план на 2016'!$L246:P246)-SUM('членские взносы'!$M244:'членские взносы'!P244)</f>
        <v>47200</v>
      </c>
      <c r="Q245" s="29">
        <f>SUM('план на 2016'!$L246:Q246)-SUM('членские взносы'!$M244:'членские взносы'!Q244)</f>
        <v>48000</v>
      </c>
      <c r="R245" s="29">
        <f>SUM('план на 2016'!$L246:R246)-SUM('членские взносы'!$M244:'членские взносы'!R244)</f>
        <v>48800</v>
      </c>
      <c r="S245" s="29">
        <f>SUM('план на 2016'!$L246:S246)-SUM('членские взносы'!$M244:'членские взносы'!S244)</f>
        <v>49600</v>
      </c>
      <c r="T245" s="29">
        <f>SUM('план на 2016'!$L246:T246)-SUM('членские взносы'!$M244:'членские взносы'!T244)</f>
        <v>50400</v>
      </c>
      <c r="U245" s="29">
        <f>SUM('план на 2016'!$L246:U246)-SUM('членские взносы'!$M244:'членские взносы'!U244)</f>
        <v>51200</v>
      </c>
      <c r="V245" s="29">
        <f>SUM('план на 2016'!$L246:V246)-SUM('членские взносы'!$M244:'членские взносы'!V244)</f>
        <v>52000</v>
      </c>
      <c r="W245" s="29">
        <f>SUM('план на 2016'!$L246:W246)-SUM('членские взносы'!$M244:'членские взносы'!W244)</f>
        <v>52800</v>
      </c>
      <c r="X245" s="29">
        <f>SUM('план на 2016'!$L246:X246)-SUM('членские взносы'!$M244:'членские взносы'!X244)</f>
        <v>53600</v>
      </c>
      <c r="Y245" s="18">
        <f t="shared" si="23"/>
        <v>53600</v>
      </c>
    </row>
    <row r="246" spans="1:25">
      <c r="A246" s="41">
        <f>VLOOKUP(B246,справочник!$B$2:$E$322,4,FALSE)</f>
        <v>278</v>
      </c>
      <c r="B246" t="str">
        <f t="shared" si="22"/>
        <v>290Севастьянов Михаил Григорьевич</v>
      </c>
      <c r="C246" s="1">
        <v>290</v>
      </c>
      <c r="D246" s="2" t="s">
        <v>231</v>
      </c>
      <c r="E246" s="1" t="s">
        <v>542</v>
      </c>
      <c r="F246" s="16">
        <v>40897</v>
      </c>
      <c r="G246" s="16">
        <v>40878</v>
      </c>
      <c r="H246" s="17">
        <f t="shared" si="26"/>
        <v>49</v>
      </c>
      <c r="I246" s="1">
        <f t="shared" si="27"/>
        <v>49000</v>
      </c>
      <c r="J246" s="17">
        <v>1000</v>
      </c>
      <c r="K246" s="17"/>
      <c r="L246" s="18">
        <f t="shared" si="21"/>
        <v>48000</v>
      </c>
      <c r="M246" s="29">
        <f>SUM('план на 2016'!$L247:M247)-SUM('членские взносы'!$M245:'членские взносы'!M245)</f>
        <v>0</v>
      </c>
      <c r="N246" s="29">
        <f>SUM('план на 2016'!$L247:N247)-SUM('членские взносы'!$M245:'членские взносы'!N245)</f>
        <v>0</v>
      </c>
      <c r="O246" s="29">
        <f>SUM('план на 2016'!$L247:O247)-SUM('членские взносы'!$M245:'членские взносы'!O245)</f>
        <v>0</v>
      </c>
      <c r="P246" s="29">
        <f>SUM('план на 2016'!$L247:P247)-SUM('членские взносы'!$M245:'членские взносы'!P245)</f>
        <v>0</v>
      </c>
      <c r="Q246" s="29">
        <f>SUM('план на 2016'!$L247:Q247)-SUM('членские взносы'!$M245:'членские взносы'!Q245)</f>
        <v>0</v>
      </c>
      <c r="R246" s="29">
        <f>SUM('план на 2016'!$L247:R247)-SUM('членские взносы'!$M245:'членские взносы'!R245)</f>
        <v>0</v>
      </c>
      <c r="S246" s="29">
        <f>SUM('план на 2016'!$L247:S247)-SUM('членские взносы'!$M245:'членские взносы'!S245)</f>
        <v>0</v>
      </c>
      <c r="T246" s="29">
        <f>SUM('план на 2016'!$L247:T247)-SUM('членские взносы'!$M245:'членские взносы'!T245)</f>
        <v>0</v>
      </c>
      <c r="U246" s="29">
        <f>SUM('план на 2016'!$L247:U247)-SUM('членские взносы'!$M245:'членские взносы'!U245)</f>
        <v>0</v>
      </c>
      <c r="V246" s="29">
        <f>SUM('план на 2016'!$L247:V247)-SUM('членские взносы'!$M245:'членские взносы'!V245)</f>
        <v>0</v>
      </c>
      <c r="W246" s="29">
        <f>SUM('план на 2016'!$L247:W247)-SUM('членские взносы'!$M245:'членские взносы'!W245)</f>
        <v>0</v>
      </c>
      <c r="X246" s="29">
        <f>SUM('план на 2016'!$L247:X247)-SUM('членские взносы'!$M245:'членские взносы'!X245)</f>
        <v>0</v>
      </c>
      <c r="Y246" s="18">
        <f t="shared" si="23"/>
        <v>0</v>
      </c>
    </row>
    <row r="247" spans="1:25">
      <c r="A247" s="41">
        <f>VLOOKUP(B247,справочник!$B$2:$E$322,4,FALSE)</f>
        <v>280</v>
      </c>
      <c r="B247" t="str">
        <f t="shared" si="22"/>
        <v>292Севрюгина Ольга Викторовна</v>
      </c>
      <c r="C247" s="1">
        <v>292</v>
      </c>
      <c r="D247" s="2" t="s">
        <v>232</v>
      </c>
      <c r="E247" s="1" t="s">
        <v>543</v>
      </c>
      <c r="F247" s="16">
        <v>40897</v>
      </c>
      <c r="G247" s="16">
        <v>40878</v>
      </c>
      <c r="H247" s="17">
        <f t="shared" si="26"/>
        <v>49</v>
      </c>
      <c r="I247" s="1">
        <f t="shared" si="27"/>
        <v>49000</v>
      </c>
      <c r="J247" s="17">
        <f>43000+1000</f>
        <v>44000</v>
      </c>
      <c r="K247" s="17"/>
      <c r="L247" s="18">
        <f t="shared" si="21"/>
        <v>5000</v>
      </c>
      <c r="M247" s="29">
        <f>SUM('план на 2016'!$L248:M248)-SUM('членские взносы'!$M246:'членские взносы'!M246)</f>
        <v>5800</v>
      </c>
      <c r="N247" s="29">
        <f>SUM('план на 2016'!$L248:N248)-SUM('членские взносы'!$M246:'членские взносы'!N246)</f>
        <v>6600</v>
      </c>
      <c r="O247" s="29">
        <f>SUM('план на 2016'!$L248:O248)-SUM('членские взносы'!$M246:'членские взносы'!O246)</f>
        <v>7400</v>
      </c>
      <c r="P247" s="29">
        <f>SUM('план на 2016'!$L248:P248)-SUM('членские взносы'!$M246:'членские взносы'!P246)</f>
        <v>8200</v>
      </c>
      <c r="Q247" s="29">
        <f>SUM('план на 2016'!$L248:Q248)-SUM('членские взносы'!$M246:'членские взносы'!Q246)</f>
        <v>9000</v>
      </c>
      <c r="R247" s="29">
        <f>SUM('план на 2016'!$L248:R248)-SUM('членские взносы'!$M246:'членские взносы'!R246)</f>
        <v>9800</v>
      </c>
      <c r="S247" s="29">
        <f>SUM('план на 2016'!$L248:S248)-SUM('членские взносы'!$M246:'членские взносы'!S246)</f>
        <v>10600</v>
      </c>
      <c r="T247" s="29">
        <f>SUM('план на 2016'!$L248:T248)-SUM('членские взносы'!$M246:'членские взносы'!T246)</f>
        <v>11400</v>
      </c>
      <c r="U247" s="29">
        <f>SUM('план на 2016'!$L248:U248)-SUM('членские взносы'!$M246:'членские взносы'!U246)</f>
        <v>12200</v>
      </c>
      <c r="V247" s="29">
        <f>SUM('план на 2016'!$L248:V248)-SUM('членские взносы'!$M246:'членские взносы'!V246)</f>
        <v>13000</v>
      </c>
      <c r="W247" s="29">
        <f>SUM('план на 2016'!$L248:W248)-SUM('членские взносы'!$M246:'членские взносы'!W246)</f>
        <v>13800</v>
      </c>
      <c r="X247" s="29">
        <f>SUM('план на 2016'!$L248:X248)-SUM('членские взносы'!$M246:'членские взносы'!X246)</f>
        <v>14600</v>
      </c>
      <c r="Y247" s="18">
        <f t="shared" si="23"/>
        <v>14600</v>
      </c>
    </row>
    <row r="248" spans="1:25">
      <c r="A248" s="41">
        <f>VLOOKUP(B248,справочник!$B$2:$E$322,4,FALSE)</f>
        <v>215</v>
      </c>
      <c r="B248" t="str">
        <f t="shared" si="22"/>
        <v xml:space="preserve">224Семенова Рима Прановна    </v>
      </c>
      <c r="C248" s="1">
        <v>224</v>
      </c>
      <c r="D248" s="2" t="s">
        <v>233</v>
      </c>
      <c r="E248" s="1" t="s">
        <v>544</v>
      </c>
      <c r="F248" s="16">
        <v>41772</v>
      </c>
      <c r="G248" s="16">
        <v>41791</v>
      </c>
      <c r="H248" s="17">
        <f t="shared" si="26"/>
        <v>19</v>
      </c>
      <c r="I248" s="1">
        <f t="shared" si="27"/>
        <v>19000</v>
      </c>
      <c r="J248" s="17">
        <v>16000</v>
      </c>
      <c r="K248" s="17"/>
      <c r="L248" s="18">
        <f t="shared" si="21"/>
        <v>3000</v>
      </c>
      <c r="M248" s="29">
        <f>SUM('план на 2016'!$L249:M249)-SUM('членские взносы'!$M247:'членские взносы'!M247)</f>
        <v>3800</v>
      </c>
      <c r="N248" s="29">
        <f>SUM('план на 2016'!$L249:N249)-SUM('членские взносы'!$M247:'членские взносы'!N247)</f>
        <v>-2400</v>
      </c>
      <c r="O248" s="29">
        <f>SUM('план на 2016'!$L249:O249)-SUM('членские взносы'!$M247:'членские взносы'!O247)</f>
        <v>-1600</v>
      </c>
      <c r="P248" s="29">
        <f>SUM('план на 2016'!$L249:P249)-SUM('членские взносы'!$M247:'членские взносы'!P247)</f>
        <v>-800</v>
      </c>
      <c r="Q248" s="29">
        <f>SUM('план на 2016'!$L249:Q249)-SUM('членские взносы'!$M247:'членские взносы'!Q247)</f>
        <v>0</v>
      </c>
      <c r="R248" s="29">
        <f>SUM('план на 2016'!$L249:R249)-SUM('членские взносы'!$M247:'членские взносы'!R247)</f>
        <v>800</v>
      </c>
      <c r="S248" s="29">
        <f>SUM('план на 2016'!$L249:S249)-SUM('членские взносы'!$M247:'членские взносы'!S247)</f>
        <v>1600</v>
      </c>
      <c r="T248" s="29">
        <f>SUM('план на 2016'!$L249:T249)-SUM('членские взносы'!$M247:'членские взносы'!T247)</f>
        <v>2400</v>
      </c>
      <c r="U248" s="29">
        <f>SUM('план на 2016'!$L249:U249)-SUM('членские взносы'!$M247:'членские взносы'!U247)</f>
        <v>3200</v>
      </c>
      <c r="V248" s="29">
        <f>SUM('план на 2016'!$L249:V249)-SUM('членские взносы'!$M247:'членские взносы'!V247)</f>
        <v>4000</v>
      </c>
      <c r="W248" s="29">
        <f>SUM('план на 2016'!$L249:W249)-SUM('членские взносы'!$M247:'членские взносы'!W247)</f>
        <v>4800</v>
      </c>
      <c r="X248" s="29">
        <f>SUM('план на 2016'!$L249:X249)-SUM('членские взносы'!$M247:'членские взносы'!X247)</f>
        <v>-4400</v>
      </c>
      <c r="Y248" s="18">
        <f t="shared" si="23"/>
        <v>-4400</v>
      </c>
    </row>
    <row r="249" spans="1:25">
      <c r="A249" s="41">
        <f>VLOOKUP(B249,справочник!$B$2:$E$322,4,FALSE)</f>
        <v>241</v>
      </c>
      <c r="B249" t="str">
        <f t="shared" si="22"/>
        <v>252Сёмин Александр Иванович</v>
      </c>
      <c r="C249" s="1">
        <v>252</v>
      </c>
      <c r="D249" s="2" t="s">
        <v>234</v>
      </c>
      <c r="E249" s="1" t="s">
        <v>545</v>
      </c>
      <c r="F249" s="16">
        <v>40677</v>
      </c>
      <c r="G249" s="16">
        <v>40695</v>
      </c>
      <c r="H249" s="17">
        <f t="shared" si="26"/>
        <v>55</v>
      </c>
      <c r="I249" s="1">
        <f t="shared" si="27"/>
        <v>55000</v>
      </c>
      <c r="J249" s="17">
        <f>7000+41000</f>
        <v>48000</v>
      </c>
      <c r="K249" s="17"/>
      <c r="L249" s="18">
        <f t="shared" si="21"/>
        <v>7000</v>
      </c>
      <c r="M249" s="29">
        <f>SUM('план на 2016'!$L250:M250)-SUM('членские взносы'!$M248:'членские взносы'!M248)</f>
        <v>0</v>
      </c>
      <c r="N249" s="29">
        <f>SUM('план на 2016'!$L250:N250)-SUM('членские взносы'!$M248:'членские взносы'!N248)</f>
        <v>0</v>
      </c>
      <c r="O249" s="29">
        <f>SUM('план на 2016'!$L250:O250)-SUM('членские взносы'!$M248:'членские взносы'!O248)</f>
        <v>0</v>
      </c>
      <c r="P249" s="29">
        <f>SUM('план на 2016'!$L250:P250)-SUM('членские взносы'!$M248:'членские взносы'!P248)</f>
        <v>800</v>
      </c>
      <c r="Q249" s="29">
        <f>SUM('план на 2016'!$L250:Q250)-SUM('членские взносы'!$M248:'членские взносы'!Q248)</f>
        <v>1600</v>
      </c>
      <c r="R249" s="29">
        <f>SUM('план на 2016'!$L250:R250)-SUM('членские взносы'!$M248:'членские взносы'!R248)</f>
        <v>0</v>
      </c>
      <c r="S249" s="29">
        <f>SUM('план на 2016'!$L250:S250)-SUM('членские взносы'!$M248:'членские взносы'!S248)</f>
        <v>0</v>
      </c>
      <c r="T249" s="29">
        <f>SUM('план на 2016'!$L250:T250)-SUM('членские взносы'!$M248:'членские взносы'!T248)</f>
        <v>0</v>
      </c>
      <c r="U249" s="29">
        <f>SUM('план на 2016'!$L250:U250)-SUM('членские взносы'!$M248:'членские взносы'!U248)</f>
        <v>0</v>
      </c>
      <c r="V249" s="29">
        <f>SUM('план на 2016'!$L250:V250)-SUM('членские взносы'!$M248:'членские взносы'!V248)</f>
        <v>0</v>
      </c>
      <c r="W249" s="29">
        <f>SUM('план на 2016'!$L250:W250)-SUM('членские взносы'!$M248:'членские взносы'!W248)</f>
        <v>0</v>
      </c>
      <c r="X249" s="29">
        <f>SUM('план на 2016'!$L250:X250)-SUM('членские взносы'!$M248:'членские взносы'!X248)</f>
        <v>0</v>
      </c>
      <c r="Y249" s="18">
        <f t="shared" si="23"/>
        <v>0</v>
      </c>
    </row>
    <row r="250" spans="1:25">
      <c r="A250" s="41">
        <f>VLOOKUP(B250,справочник!$B$2:$E$322,4,FALSE)</f>
        <v>161</v>
      </c>
      <c r="B250" t="str">
        <f t="shared" si="22"/>
        <v>169Сергиенко Николай Михайлович</v>
      </c>
      <c r="C250" s="1">
        <v>169</v>
      </c>
      <c r="D250" s="2" t="s">
        <v>235</v>
      </c>
      <c r="E250" s="1" t="s">
        <v>546</v>
      </c>
      <c r="F250" s="16">
        <v>41039</v>
      </c>
      <c r="G250" s="16">
        <v>41030</v>
      </c>
      <c r="H250" s="17">
        <f t="shared" si="26"/>
        <v>44</v>
      </c>
      <c r="I250" s="1">
        <f t="shared" si="27"/>
        <v>44000</v>
      </c>
      <c r="J250" s="17">
        <v>38000</v>
      </c>
      <c r="K250" s="17"/>
      <c r="L250" s="18">
        <f t="shared" si="21"/>
        <v>6000</v>
      </c>
      <c r="M250" s="29">
        <f>SUM('план на 2016'!$L251:M251)-SUM('членские взносы'!$M249:'членские взносы'!M249)</f>
        <v>6800</v>
      </c>
      <c r="N250" s="29">
        <f>SUM('план на 2016'!$L251:N251)-SUM('членские взносы'!$M249:'членские взносы'!N249)</f>
        <v>7600</v>
      </c>
      <c r="O250" s="29">
        <f>SUM('план на 2016'!$L251:O251)-SUM('членские взносы'!$M249:'членские взносы'!O249)</f>
        <v>8400</v>
      </c>
      <c r="P250" s="29">
        <f>SUM('план на 2016'!$L251:P251)-SUM('членские взносы'!$M249:'членские взносы'!P249)</f>
        <v>9200</v>
      </c>
      <c r="Q250" s="29">
        <f>SUM('план на 2016'!$L251:Q251)-SUM('членские взносы'!$M249:'членские взносы'!Q249)</f>
        <v>10000</v>
      </c>
      <c r="R250" s="29">
        <f>SUM('план на 2016'!$L251:R251)-SUM('членские взносы'!$M249:'членские взносы'!R249)</f>
        <v>10800</v>
      </c>
      <c r="S250" s="29">
        <f>SUM('план на 2016'!$L251:S251)-SUM('членские взносы'!$M249:'членские взносы'!S249)</f>
        <v>11600</v>
      </c>
      <c r="T250" s="29">
        <f>SUM('план на 2016'!$L251:T251)-SUM('членские взносы'!$M249:'членские взносы'!T249)</f>
        <v>12400</v>
      </c>
      <c r="U250" s="29">
        <f>SUM('план на 2016'!$L251:U251)-SUM('членские взносы'!$M249:'членские взносы'!U249)</f>
        <v>13200</v>
      </c>
      <c r="V250" s="29">
        <f>SUM('план на 2016'!$L251:V251)-SUM('членские взносы'!$M249:'членские взносы'!V249)</f>
        <v>14000</v>
      </c>
      <c r="W250" s="29">
        <f>SUM('план на 2016'!$L251:W251)-SUM('членские взносы'!$M249:'членские взносы'!W249)</f>
        <v>14800</v>
      </c>
      <c r="X250" s="29">
        <f>SUM('план на 2016'!$L251:X251)-SUM('членские взносы'!$M249:'членские взносы'!X249)</f>
        <v>15600</v>
      </c>
      <c r="Y250" s="18">
        <f t="shared" si="23"/>
        <v>15600</v>
      </c>
    </row>
    <row r="251" spans="1:25">
      <c r="A251" s="41">
        <f>VLOOKUP(B251,справочник!$B$2:$E$322,4,FALSE)</f>
        <v>272</v>
      </c>
      <c r="B251" t="str">
        <f t="shared" si="22"/>
        <v>285Серебряков Игорь Васильевич</v>
      </c>
      <c r="C251" s="1">
        <v>285</v>
      </c>
      <c r="D251" s="2" t="s">
        <v>236</v>
      </c>
      <c r="E251" s="1" t="s">
        <v>547</v>
      </c>
      <c r="F251" s="16">
        <v>42044</v>
      </c>
      <c r="G251" s="16">
        <v>42064</v>
      </c>
      <c r="H251" s="17">
        <f t="shared" si="26"/>
        <v>10</v>
      </c>
      <c r="I251" s="1">
        <f t="shared" si="27"/>
        <v>10000</v>
      </c>
      <c r="J251" s="17">
        <v>5000</v>
      </c>
      <c r="K251" s="17"/>
      <c r="L251" s="18">
        <f t="shared" ref="L251:L309" si="28">I251-J251-K251</f>
        <v>5000</v>
      </c>
      <c r="M251" s="29">
        <f>SUM('план на 2016'!$L252:M252)-SUM('членские взносы'!$M250:'членские взносы'!M250)</f>
        <v>5800</v>
      </c>
      <c r="N251" s="29">
        <f>SUM('план на 2016'!$L252:N252)-SUM('членские взносы'!$M250:'членские взносы'!N250)</f>
        <v>6600</v>
      </c>
      <c r="O251" s="29">
        <f>SUM('план на 2016'!$L252:O252)-SUM('членские взносы'!$M250:'членские взносы'!O250)</f>
        <v>7400</v>
      </c>
      <c r="P251" s="29">
        <f>SUM('план на 2016'!$L252:P252)-SUM('членские взносы'!$M250:'членские взносы'!P250)</f>
        <v>8200</v>
      </c>
      <c r="Q251" s="29">
        <f>SUM('план на 2016'!$L252:Q252)-SUM('членские взносы'!$M250:'членские взносы'!Q250)</f>
        <v>9000</v>
      </c>
      <c r="R251" s="29">
        <f>SUM('план на 2016'!$L252:R252)-SUM('членские взносы'!$M250:'членские взносы'!R250)</f>
        <v>9800</v>
      </c>
      <c r="S251" s="29">
        <f>SUM('план на 2016'!$L252:S252)-SUM('членские взносы'!$M250:'членские взносы'!S250)</f>
        <v>-1400</v>
      </c>
      <c r="T251" s="29">
        <f>SUM('план на 2016'!$L252:T252)-SUM('членские взносы'!$M250:'членские взносы'!T250)</f>
        <v>-600</v>
      </c>
      <c r="U251" s="29">
        <f>SUM('план на 2016'!$L252:U252)-SUM('членские взносы'!$M250:'членские взносы'!U250)</f>
        <v>200</v>
      </c>
      <c r="V251" s="29">
        <f>SUM('план на 2016'!$L252:V252)-SUM('членские взносы'!$M250:'членские взносы'!V250)</f>
        <v>1000</v>
      </c>
      <c r="W251" s="29">
        <f>SUM('план на 2016'!$L252:W252)-SUM('членские взносы'!$M250:'членские взносы'!W250)</f>
        <v>1800</v>
      </c>
      <c r="X251" s="29">
        <f>SUM('план на 2016'!$L252:X252)-SUM('членские взносы'!$M250:'членские взносы'!X250)</f>
        <v>2600</v>
      </c>
      <c r="Y251" s="18">
        <f t="shared" si="23"/>
        <v>2600</v>
      </c>
    </row>
    <row r="252" spans="1:25">
      <c r="A252" s="41">
        <f>VLOOKUP(B252,справочник!$B$2:$E$322,4,FALSE)</f>
        <v>19</v>
      </c>
      <c r="B252" t="str">
        <f t="shared" si="22"/>
        <v>19Серкин Сергей Львовович</v>
      </c>
      <c r="C252" s="1">
        <v>19</v>
      </c>
      <c r="D252" s="2" t="s">
        <v>237</v>
      </c>
      <c r="E252" s="1" t="s">
        <v>548</v>
      </c>
      <c r="F252" s="16">
        <v>41421</v>
      </c>
      <c r="G252" s="16">
        <v>41456</v>
      </c>
      <c r="H252" s="17">
        <f t="shared" si="26"/>
        <v>30</v>
      </c>
      <c r="I252" s="1">
        <f t="shared" si="27"/>
        <v>30000</v>
      </c>
      <c r="J252" s="17">
        <v>30000</v>
      </c>
      <c r="K252" s="17"/>
      <c r="L252" s="18">
        <f t="shared" si="28"/>
        <v>0</v>
      </c>
      <c r="M252" s="29">
        <f>SUM('план на 2016'!$L253:M253)-SUM('членские взносы'!$M251:'членские взносы'!M251)</f>
        <v>800</v>
      </c>
      <c r="N252" s="29">
        <f>SUM('план на 2016'!$L253:N253)-SUM('членские взносы'!$M251:'членские взносы'!N251)</f>
        <v>1600</v>
      </c>
      <c r="O252" s="29">
        <f>SUM('план на 2016'!$L253:O253)-SUM('членские взносы'!$M251:'членские взносы'!O251)</f>
        <v>2400</v>
      </c>
      <c r="P252" s="29">
        <f>SUM('план на 2016'!$L253:P253)-SUM('членские взносы'!$M251:'членские взносы'!P251)</f>
        <v>3200</v>
      </c>
      <c r="Q252" s="29">
        <f>SUM('план на 2016'!$L253:Q253)-SUM('членские взносы'!$M251:'членские взносы'!Q251)</f>
        <v>4000</v>
      </c>
      <c r="R252" s="29">
        <f>SUM('план на 2016'!$L253:R253)-SUM('членские взносы'!$M251:'членские взносы'!R251)</f>
        <v>800</v>
      </c>
      <c r="S252" s="29">
        <f>SUM('план на 2016'!$L253:S253)-SUM('членские взносы'!$M251:'членские взносы'!S251)</f>
        <v>1600</v>
      </c>
      <c r="T252" s="29">
        <f>SUM('план на 2016'!$L253:T253)-SUM('членские взносы'!$M251:'членские взносы'!T251)</f>
        <v>2400</v>
      </c>
      <c r="U252" s="29">
        <f>SUM('план на 2016'!$L253:U253)-SUM('членские взносы'!$M251:'членские взносы'!U251)</f>
        <v>3200</v>
      </c>
      <c r="V252" s="29">
        <f>SUM('план на 2016'!$L253:V253)-SUM('членские взносы'!$M251:'членские взносы'!V251)</f>
        <v>-1600</v>
      </c>
      <c r="W252" s="29">
        <f>SUM('план на 2016'!$L253:W253)-SUM('членские взносы'!$M251:'членские взносы'!W251)</f>
        <v>-800</v>
      </c>
      <c r="X252" s="29">
        <f>SUM('план на 2016'!$L253:X253)-SUM('членские взносы'!$M251:'членские взносы'!X251)</f>
        <v>0</v>
      </c>
      <c r="Y252" s="18">
        <f t="shared" si="23"/>
        <v>0</v>
      </c>
    </row>
    <row r="253" spans="1:25" ht="25.5" customHeight="1">
      <c r="A253" s="41">
        <f>VLOOKUP(B253,справочник!$B$2:$E$322,4,FALSE)</f>
        <v>310</v>
      </c>
      <c r="B253" t="str">
        <f t="shared" si="22"/>
        <v>133-134Сидельникова Ольга Петровна</v>
      </c>
      <c r="C253" s="1" t="s">
        <v>238</v>
      </c>
      <c r="D253" s="2" t="s">
        <v>239</v>
      </c>
      <c r="E253" s="1" t="s">
        <v>549</v>
      </c>
      <c r="F253" s="19">
        <v>40778</v>
      </c>
      <c r="G253" s="19">
        <v>40787</v>
      </c>
      <c r="H253" s="20">
        <f t="shared" si="26"/>
        <v>52</v>
      </c>
      <c r="I253" s="5">
        <f t="shared" si="27"/>
        <v>52000</v>
      </c>
      <c r="J253" s="20">
        <v>12000</v>
      </c>
      <c r="K253" s="20"/>
      <c r="L253" s="21">
        <f t="shared" si="28"/>
        <v>40000</v>
      </c>
      <c r="M253" s="29">
        <f>SUM('план на 2016'!$L254:M254)-SUM('членские взносы'!$M252:'членские взносы'!M252)</f>
        <v>35800</v>
      </c>
      <c r="N253" s="29">
        <f>SUM('план на 2016'!$L254:N254)-SUM('членские взносы'!$M252:'членские взносы'!N252)</f>
        <v>36600</v>
      </c>
      <c r="O253" s="29">
        <f>SUM('план на 2016'!$L254:O254)-SUM('членские взносы'!$M252:'членские взносы'!O252)</f>
        <v>32400</v>
      </c>
      <c r="P253" s="29">
        <f>SUM('план на 2016'!$L254:P254)-SUM('членские взносы'!$M252:'членские взносы'!P252)</f>
        <v>28250</v>
      </c>
      <c r="Q253" s="29">
        <f>SUM('план на 2016'!$L254:Q254)-SUM('членские взносы'!$M252:'членские взносы'!Q252)</f>
        <v>24050</v>
      </c>
      <c r="R253" s="29">
        <f>SUM('план на 2016'!$L254:R254)-SUM('членские взносы'!$M252:'членские взносы'!R252)</f>
        <v>24850</v>
      </c>
      <c r="S253" s="29">
        <f>SUM('план на 2016'!$L254:S254)-SUM('членские взносы'!$M252:'членские взносы'!S252)</f>
        <v>24850</v>
      </c>
      <c r="T253" s="29">
        <f>SUM('план на 2016'!$L254:T254)-SUM('членские взносы'!$M252:'членские взносы'!T252)</f>
        <v>21675</v>
      </c>
      <c r="U253" s="29">
        <f>SUM('план на 2016'!$L254:U254)-SUM('членские взносы'!$M252:'членские взносы'!U252)</f>
        <v>21675</v>
      </c>
      <c r="V253" s="29">
        <f>SUM('план на 2016'!$L254:V254)-SUM('членские взносы'!$M252:'членские взносы'!V252)</f>
        <v>21675</v>
      </c>
      <c r="W253" s="29">
        <f>SUM('план на 2016'!$L254:W254)-SUM('членские взносы'!$M252:'членские взносы'!W252)</f>
        <v>22475</v>
      </c>
      <c r="X253" s="29">
        <f>SUM('план на 2016'!$L254:X254)-SUM('членские взносы'!$M252:'членские взносы'!X252)</f>
        <v>23275</v>
      </c>
      <c r="Y253" s="18">
        <f t="shared" si="23"/>
        <v>23275</v>
      </c>
    </row>
    <row r="254" spans="1:25">
      <c r="A254" s="41">
        <f>VLOOKUP(B254,справочник!$B$2:$E$322,4,FALSE)</f>
        <v>205</v>
      </c>
      <c r="B254" t="str">
        <f t="shared" si="22"/>
        <v>215Сидоров Александр Юрьевич</v>
      </c>
      <c r="C254" s="1">
        <v>215</v>
      </c>
      <c r="D254" s="2" t="s">
        <v>240</v>
      </c>
      <c r="E254" s="1" t="s">
        <v>550</v>
      </c>
      <c r="F254" s="16">
        <v>41023</v>
      </c>
      <c r="G254" s="16">
        <v>41000</v>
      </c>
      <c r="H254" s="17">
        <f t="shared" si="26"/>
        <v>45</v>
      </c>
      <c r="I254" s="1">
        <f t="shared" si="27"/>
        <v>45000</v>
      </c>
      <c r="J254" s="17">
        <v>33000</v>
      </c>
      <c r="K254" s="17"/>
      <c r="L254" s="18">
        <f t="shared" si="28"/>
        <v>12000</v>
      </c>
      <c r="M254" s="29">
        <f>SUM('план на 2016'!$L255:M255)-SUM('членские взносы'!$M253:'членские взносы'!M253)</f>
        <v>12800</v>
      </c>
      <c r="N254" s="29">
        <f>SUM('план на 2016'!$L255:N255)-SUM('членские взносы'!$M253:'членские взносы'!N253)</f>
        <v>13600</v>
      </c>
      <c r="O254" s="29">
        <f>SUM('план на 2016'!$L255:O255)-SUM('членские взносы'!$M253:'членские взносы'!O253)</f>
        <v>14400</v>
      </c>
      <c r="P254" s="29">
        <f>SUM('план на 2016'!$L255:P255)-SUM('членские взносы'!$M253:'членские взносы'!P253)</f>
        <v>15200</v>
      </c>
      <c r="Q254" s="29">
        <f>SUM('план на 2016'!$L255:Q255)-SUM('членские взносы'!$M253:'членские взносы'!Q253)</f>
        <v>16000</v>
      </c>
      <c r="R254" s="29">
        <f>SUM('план на 2016'!$L255:R255)-SUM('членские взносы'!$M253:'членские взносы'!R253)</f>
        <v>16800</v>
      </c>
      <c r="S254" s="29">
        <f>SUM('план на 2016'!$L255:S255)-SUM('членские взносы'!$M253:'членские взносы'!S253)</f>
        <v>5600</v>
      </c>
      <c r="T254" s="29">
        <f>SUM('план на 2016'!$L255:T255)-SUM('членские взносы'!$M253:'членские взносы'!T253)</f>
        <v>6400</v>
      </c>
      <c r="U254" s="29">
        <f>SUM('план на 2016'!$L255:U255)-SUM('членские взносы'!$M253:'членские взносы'!U253)</f>
        <v>7200</v>
      </c>
      <c r="V254" s="29">
        <f>SUM('план на 2016'!$L255:V255)-SUM('членские взносы'!$M253:'членские взносы'!V253)</f>
        <v>8000</v>
      </c>
      <c r="W254" s="29">
        <f>SUM('план на 2016'!$L255:W255)-SUM('членские взносы'!$M253:'членские взносы'!W253)</f>
        <v>8800</v>
      </c>
      <c r="X254" s="29">
        <f>SUM('план на 2016'!$L255:X255)-SUM('членские взносы'!$M253:'членские взносы'!X253)</f>
        <v>9600</v>
      </c>
      <c r="Y254" s="18">
        <f t="shared" si="23"/>
        <v>9600</v>
      </c>
    </row>
    <row r="255" spans="1:25" ht="25.5" customHeight="1">
      <c r="A255" s="41">
        <f>VLOOKUP(B255,справочник!$B$2:$E$322,4,FALSE)</f>
        <v>107</v>
      </c>
      <c r="B255" t="str">
        <f t="shared" si="22"/>
        <v>112Сиротин Дмитрий Борисович (Приставалова)</v>
      </c>
      <c r="C255" s="1">
        <v>112</v>
      </c>
      <c r="D255" s="2" t="s">
        <v>241</v>
      </c>
      <c r="E255" s="1" t="s">
        <v>551</v>
      </c>
      <c r="F255" s="16">
        <v>40932</v>
      </c>
      <c r="G255" s="16">
        <v>40909</v>
      </c>
      <c r="H255" s="17">
        <f t="shared" si="26"/>
        <v>48</v>
      </c>
      <c r="I255" s="1">
        <f t="shared" si="27"/>
        <v>48000</v>
      </c>
      <c r="J255" s="17">
        <v>40000</v>
      </c>
      <c r="K255" s="17">
        <v>4000</v>
      </c>
      <c r="L255" s="18">
        <f t="shared" si="28"/>
        <v>4000</v>
      </c>
      <c r="M255" s="29">
        <f>SUM('план на 2016'!$L256:M256)-SUM('членские взносы'!$M254:'членские взносы'!M254)</f>
        <v>4800</v>
      </c>
      <c r="N255" s="29">
        <f>SUM('план на 2016'!$L256:N256)-SUM('членские взносы'!$M254:'членские взносы'!N254)</f>
        <v>3600</v>
      </c>
      <c r="O255" s="29">
        <f>SUM('план на 2016'!$L256:O256)-SUM('членские взносы'!$M254:'членские взносы'!O254)</f>
        <v>800</v>
      </c>
      <c r="P255" s="29">
        <f>SUM('план на 2016'!$L256:P256)-SUM('членские взносы'!$M254:'членские взносы'!P254)</f>
        <v>0</v>
      </c>
      <c r="Q255" s="29">
        <f>SUM('план на 2016'!$L256:Q256)-SUM('членские взносы'!$M254:'членские взносы'!Q254)</f>
        <v>800</v>
      </c>
      <c r="R255" s="29">
        <f>SUM('план на 2016'!$L256:R256)-SUM('членские взносы'!$M254:'членские взносы'!R254)</f>
        <v>800</v>
      </c>
      <c r="S255" s="29">
        <f>SUM('план на 2016'!$L256:S256)-SUM('членские взносы'!$M254:'членские взносы'!S254)</f>
        <v>0</v>
      </c>
      <c r="T255" s="29">
        <f>SUM('план на 2016'!$L256:T256)-SUM('членские взносы'!$M254:'членские взносы'!T254)</f>
        <v>0</v>
      </c>
      <c r="U255" s="29">
        <f>SUM('план на 2016'!$L256:U256)-SUM('членские взносы'!$M254:'членские взносы'!U254)</f>
        <v>800</v>
      </c>
      <c r="V255" s="29">
        <f>SUM('план на 2016'!$L256:V256)-SUM('членские взносы'!$M254:'членские взносы'!V254)</f>
        <v>800</v>
      </c>
      <c r="W255" s="29">
        <f>SUM('план на 2016'!$L256:W256)-SUM('членские взносы'!$M254:'членские взносы'!W254)</f>
        <v>800</v>
      </c>
      <c r="X255" s="29">
        <f>SUM('план на 2016'!$L256:X256)-SUM('членские взносы'!$M254:'членские взносы'!X254)</f>
        <v>1600</v>
      </c>
      <c r="Y255" s="18">
        <f t="shared" si="23"/>
        <v>1600</v>
      </c>
    </row>
    <row r="256" spans="1:25">
      <c r="A256" s="41">
        <f>VLOOKUP(B256,справочник!$B$2:$E$322,4,FALSE)</f>
        <v>48</v>
      </c>
      <c r="B256" t="str">
        <f t="shared" si="22"/>
        <v>48Сломов Константин Витальевич</v>
      </c>
      <c r="C256" s="1">
        <v>48</v>
      </c>
      <c r="D256" s="2" t="s">
        <v>242</v>
      </c>
      <c r="E256" s="1" t="s">
        <v>552</v>
      </c>
      <c r="F256" s="16">
        <v>40786</v>
      </c>
      <c r="G256" s="16">
        <v>40787</v>
      </c>
      <c r="H256" s="17">
        <f t="shared" si="26"/>
        <v>52</v>
      </c>
      <c r="I256" s="1">
        <f t="shared" si="27"/>
        <v>52000</v>
      </c>
      <c r="J256" s="17">
        <f>1000+22000</f>
        <v>23000</v>
      </c>
      <c r="K256" s="17"/>
      <c r="L256" s="18">
        <f t="shared" si="28"/>
        <v>29000</v>
      </c>
      <c r="M256" s="29">
        <f>SUM('план на 2016'!$L257:M257)-SUM('членские взносы'!$M255:'членские взносы'!M255)</f>
        <v>29800</v>
      </c>
      <c r="N256" s="29">
        <f>SUM('план на 2016'!$L257:N257)-SUM('членские взносы'!$M255:'членские взносы'!N255)</f>
        <v>30600</v>
      </c>
      <c r="O256" s="29">
        <f>SUM('план на 2016'!$L257:O257)-SUM('членские взносы'!$M255:'членские взносы'!O255)</f>
        <v>31400</v>
      </c>
      <c r="P256" s="29">
        <f>SUM('план на 2016'!$L257:P257)-SUM('членские взносы'!$M255:'членские взносы'!P255)</f>
        <v>32200</v>
      </c>
      <c r="Q256" s="29">
        <f>SUM('план на 2016'!$L257:Q257)-SUM('членские взносы'!$M255:'членские взносы'!Q255)</f>
        <v>33000</v>
      </c>
      <c r="R256" s="29">
        <f>SUM('план на 2016'!$L257:R257)-SUM('членские взносы'!$M255:'членские взносы'!R255)</f>
        <v>33800</v>
      </c>
      <c r="S256" s="29">
        <f>SUM('план на 2016'!$L257:S257)-SUM('членские взносы'!$M255:'членские взносы'!S255)</f>
        <v>800</v>
      </c>
      <c r="T256" s="29">
        <f>SUM('план на 2016'!$L257:T257)-SUM('членские взносы'!$M255:'членские взносы'!T255)</f>
        <v>0</v>
      </c>
      <c r="U256" s="29">
        <f>SUM('план на 2016'!$L257:U257)-SUM('членские взносы'!$M255:'членские взносы'!U255)</f>
        <v>-800</v>
      </c>
      <c r="V256" s="29">
        <f>SUM('план на 2016'!$L257:V257)-SUM('членские взносы'!$M255:'членские взносы'!V255)</f>
        <v>0</v>
      </c>
      <c r="W256" s="29">
        <f>SUM('план на 2016'!$L257:W257)-SUM('членские взносы'!$M255:'членские взносы'!W255)</f>
        <v>-800</v>
      </c>
      <c r="X256" s="29">
        <f>SUM('план на 2016'!$L257:X257)-SUM('членские взносы'!$M255:'членские взносы'!X255)</f>
        <v>0</v>
      </c>
      <c r="Y256" s="18">
        <f t="shared" si="23"/>
        <v>0</v>
      </c>
    </row>
    <row r="257" spans="1:25">
      <c r="A257" s="41">
        <f>VLOOKUP(B257,справочник!$B$2:$E$322,4,FALSE)</f>
        <v>237</v>
      </c>
      <c r="B257" t="str">
        <f t="shared" si="22"/>
        <v>248Смирнов Максим Анатольевич, Светлана</v>
      </c>
      <c r="C257" s="1">
        <v>248</v>
      </c>
      <c r="D257" s="2" t="s">
        <v>243</v>
      </c>
      <c r="E257" s="1" t="s">
        <v>553</v>
      </c>
      <c r="F257" s="16">
        <v>41036</v>
      </c>
      <c r="G257" s="16">
        <v>41030</v>
      </c>
      <c r="H257" s="17">
        <f t="shared" si="26"/>
        <v>44</v>
      </c>
      <c r="I257" s="1">
        <f t="shared" si="27"/>
        <v>44000</v>
      </c>
      <c r="J257" s="17">
        <v>13000</v>
      </c>
      <c r="K257" s="17"/>
      <c r="L257" s="18">
        <f t="shared" si="28"/>
        <v>31000</v>
      </c>
      <c r="M257" s="29">
        <f>SUM('план на 2016'!$L258:M258)-SUM('членские взносы'!$M256:'членские взносы'!M256)</f>
        <v>800</v>
      </c>
      <c r="N257" s="29">
        <f>SUM('план на 2016'!$L258:N258)-SUM('членские взносы'!$M256:'членские взносы'!N256)</f>
        <v>1600</v>
      </c>
      <c r="O257" s="29">
        <f>SUM('план на 2016'!$L258:O258)-SUM('членские взносы'!$M256:'членские взносы'!O256)</f>
        <v>400</v>
      </c>
      <c r="P257" s="29">
        <f>SUM('план на 2016'!$L258:P258)-SUM('членские взносы'!$M256:'членские взносы'!P256)</f>
        <v>1200</v>
      </c>
      <c r="Q257" s="29">
        <f>SUM('план на 2016'!$L258:Q258)-SUM('членские взносы'!$M256:'членские взносы'!Q256)</f>
        <v>2000</v>
      </c>
      <c r="R257" s="29">
        <f>SUM('план на 2016'!$L258:R258)-SUM('членские взносы'!$M256:'членские взносы'!R256)</f>
        <v>2800</v>
      </c>
      <c r="S257" s="29">
        <f>SUM('план на 2016'!$L258:S258)-SUM('членские взносы'!$M256:'членские взносы'!S256)</f>
        <v>3600</v>
      </c>
      <c r="T257" s="29">
        <f>SUM('план на 2016'!$L258:T258)-SUM('членские взносы'!$M256:'членские взносы'!T256)</f>
        <v>4400</v>
      </c>
      <c r="U257" s="29">
        <f>SUM('план на 2016'!$L258:U258)-SUM('членские взносы'!$M256:'членские взносы'!U256)</f>
        <v>5200</v>
      </c>
      <c r="V257" s="29">
        <f>SUM('план на 2016'!$L258:V258)-SUM('членские взносы'!$M256:'членские взносы'!V256)</f>
        <v>6000</v>
      </c>
      <c r="W257" s="29">
        <f>SUM('план на 2016'!$L258:W258)-SUM('членские взносы'!$M256:'членские взносы'!W256)</f>
        <v>6800</v>
      </c>
      <c r="X257" s="29">
        <f>SUM('план на 2016'!$L258:X258)-SUM('членские взносы'!$M256:'членские взносы'!X256)</f>
        <v>7600</v>
      </c>
      <c r="Y257" s="18">
        <f t="shared" si="23"/>
        <v>7600</v>
      </c>
    </row>
    <row r="258" spans="1:25">
      <c r="A258" s="41">
        <f>VLOOKUP(B258,справочник!$B$2:$E$322,4,FALSE)</f>
        <v>263</v>
      </c>
      <c r="B258" t="str">
        <f t="shared" si="22"/>
        <v>276Соколова Ирина Анатольевна</v>
      </c>
      <c r="C258" s="1">
        <v>276</v>
      </c>
      <c r="D258" s="2" t="s">
        <v>244</v>
      </c>
      <c r="E258" s="1" t="s">
        <v>554</v>
      </c>
      <c r="F258" s="16">
        <v>41289</v>
      </c>
      <c r="G258" s="16">
        <v>41306</v>
      </c>
      <c r="H258" s="17">
        <f t="shared" si="26"/>
        <v>35</v>
      </c>
      <c r="I258" s="1">
        <f t="shared" si="27"/>
        <v>35000</v>
      </c>
      <c r="J258" s="17">
        <v>32000</v>
      </c>
      <c r="K258" s="17"/>
      <c r="L258" s="18">
        <f t="shared" si="28"/>
        <v>3000</v>
      </c>
      <c r="M258" s="29">
        <f>SUM('план на 2016'!$L259:M259)-SUM('членские взносы'!$M257:'членские взносы'!M257)</f>
        <v>3800</v>
      </c>
      <c r="N258" s="29">
        <f>SUM('план на 2016'!$L259:N259)-SUM('членские взносы'!$M257:'членские взносы'!N257)</f>
        <v>2000</v>
      </c>
      <c r="O258" s="29">
        <f>SUM('план на 2016'!$L259:O259)-SUM('членские взносы'!$M257:'членские взносы'!O257)</f>
        <v>2000</v>
      </c>
      <c r="P258" s="29">
        <f>SUM('план на 2016'!$L259:P259)-SUM('членские взносы'!$M257:'членские взносы'!P257)</f>
        <v>2800</v>
      </c>
      <c r="Q258" s="29">
        <f>SUM('план на 2016'!$L259:Q259)-SUM('членские взносы'!$M257:'членские взносы'!Q257)</f>
        <v>3600</v>
      </c>
      <c r="R258" s="29">
        <f>SUM('план на 2016'!$L259:R259)-SUM('членские взносы'!$M257:'членские взносы'!R257)</f>
        <v>4400</v>
      </c>
      <c r="S258" s="29">
        <f>SUM('план на 2016'!$L259:S259)-SUM('членские взносы'!$M257:'членские взносы'!S257)</f>
        <v>5200</v>
      </c>
      <c r="T258" s="29">
        <f>SUM('план на 2016'!$L259:T259)-SUM('членские взносы'!$M257:'членские взносы'!T257)</f>
        <v>6000</v>
      </c>
      <c r="U258" s="29">
        <f>SUM('план на 2016'!$L259:U259)-SUM('членские взносы'!$M257:'членские взносы'!U257)</f>
        <v>4400</v>
      </c>
      <c r="V258" s="29">
        <f>SUM('план на 2016'!$L259:V259)-SUM('членские взносы'!$M257:'членские взносы'!V257)</f>
        <v>5200</v>
      </c>
      <c r="W258" s="29">
        <f>SUM('план на 2016'!$L259:W259)-SUM('членские взносы'!$M257:'членские взносы'!W257)</f>
        <v>6000</v>
      </c>
      <c r="X258" s="29">
        <f>SUM('план на 2016'!$L259:X259)-SUM('членские взносы'!$M257:'членские взносы'!X257)</f>
        <v>4400</v>
      </c>
      <c r="Y258" s="18">
        <f t="shared" si="23"/>
        <v>4400</v>
      </c>
    </row>
    <row r="259" spans="1:25">
      <c r="A259" s="41">
        <f>VLOOKUP(B259,справочник!$B$2:$E$322,4,FALSE)</f>
        <v>100</v>
      </c>
      <c r="B259" t="str">
        <f t="shared" si="22"/>
        <v>105Солодкий Дмитрий Павлович</v>
      </c>
      <c r="C259" s="1">
        <v>105</v>
      </c>
      <c r="D259" s="2" t="s">
        <v>245</v>
      </c>
      <c r="E259" s="1" t="s">
        <v>555</v>
      </c>
      <c r="F259" s="16">
        <v>41065</v>
      </c>
      <c r="G259" s="16">
        <v>41061</v>
      </c>
      <c r="H259" s="17">
        <f t="shared" si="26"/>
        <v>43</v>
      </c>
      <c r="I259" s="1">
        <f t="shared" si="27"/>
        <v>43000</v>
      </c>
      <c r="J259" s="17">
        <v>28000</v>
      </c>
      <c r="K259" s="17"/>
      <c r="L259" s="18">
        <f t="shared" si="28"/>
        <v>15000</v>
      </c>
      <c r="M259" s="29">
        <f>SUM('план на 2016'!$L260:M260)-SUM('членские взносы'!$M258:'членские взносы'!M258)</f>
        <v>10749.7</v>
      </c>
      <c r="N259" s="29">
        <f>SUM('план на 2016'!$L260:N260)-SUM('членские взносы'!$M258:'членские взносы'!N258)</f>
        <v>11549.7</v>
      </c>
      <c r="O259" s="29">
        <f>SUM('план на 2016'!$L260:O260)-SUM('членские взносы'!$M258:'членские взносы'!O258)</f>
        <v>12349.7</v>
      </c>
      <c r="P259" s="29">
        <f>SUM('план на 2016'!$L260:P260)-SUM('членские взносы'!$M258:'членские взносы'!P258)</f>
        <v>13149.7</v>
      </c>
      <c r="Q259" s="29">
        <f>SUM('план на 2016'!$L260:Q260)-SUM('членские взносы'!$M258:'членские взносы'!Q258)</f>
        <v>13949.7</v>
      </c>
      <c r="R259" s="29">
        <f>SUM('план на 2016'!$L260:R260)-SUM('членские взносы'!$M258:'членские взносы'!R258)</f>
        <v>14749.7</v>
      </c>
      <c r="S259" s="29">
        <f>SUM('план на 2016'!$L260:S260)-SUM('членские взносы'!$M258:'членские взносы'!S258)</f>
        <v>12749.7</v>
      </c>
      <c r="T259" s="29">
        <f>SUM('план на 2016'!$L260:T260)-SUM('членские взносы'!$M258:'членские взносы'!T258)</f>
        <v>11549.7</v>
      </c>
      <c r="U259" s="29">
        <f>SUM('план на 2016'!$L260:U260)-SUM('членские взносы'!$M258:'членские взносы'!U258)</f>
        <v>12349.7</v>
      </c>
      <c r="V259" s="29">
        <f>SUM('план на 2016'!$L260:V260)-SUM('членские взносы'!$M258:'членские взносы'!V258)</f>
        <v>13149.7</v>
      </c>
      <c r="W259" s="29">
        <f>SUM('план на 2016'!$L260:W260)-SUM('членские взносы'!$M258:'членские взносы'!W258)</f>
        <v>13949.7</v>
      </c>
      <c r="X259" s="29">
        <f>SUM('план на 2016'!$L260:X260)-SUM('членские взносы'!$M258:'членские взносы'!X258)</f>
        <v>14749.7</v>
      </c>
      <c r="Y259" s="18">
        <f t="shared" si="23"/>
        <v>14749.7</v>
      </c>
    </row>
    <row r="260" spans="1:25">
      <c r="A260" s="41">
        <f>VLOOKUP(B260,справочник!$B$2:$E$322,4,FALSE)</f>
        <v>131</v>
      </c>
      <c r="B260" t="str">
        <f t="shared" si="22"/>
        <v>138Спивак Сергей Николаевич</v>
      </c>
      <c r="C260" s="1">
        <v>138</v>
      </c>
      <c r="D260" s="2" t="s">
        <v>246</v>
      </c>
      <c r="E260" s="1" t="s">
        <v>556</v>
      </c>
      <c r="F260" s="16">
        <v>41114</v>
      </c>
      <c r="G260" s="16">
        <v>41122</v>
      </c>
      <c r="H260" s="17">
        <f t="shared" si="26"/>
        <v>41</v>
      </c>
      <c r="I260" s="1">
        <f t="shared" si="27"/>
        <v>41000</v>
      </c>
      <c r="J260" s="17">
        <v>23000</v>
      </c>
      <c r="K260" s="17">
        <v>6000</v>
      </c>
      <c r="L260" s="18">
        <f t="shared" si="28"/>
        <v>12000</v>
      </c>
      <c r="M260" s="29">
        <f>SUM('план на 2016'!$L261:M261)-SUM('членские взносы'!$M259:'членские взносы'!M259)</f>
        <v>12800</v>
      </c>
      <c r="N260" s="29">
        <f>SUM('план на 2016'!$L261:N261)-SUM('членские взносы'!$M259:'членские взносы'!N259)</f>
        <v>13600</v>
      </c>
      <c r="O260" s="29">
        <f>SUM('план на 2016'!$L261:O261)-SUM('членские взносы'!$M259:'членские взносы'!O259)</f>
        <v>14400</v>
      </c>
      <c r="P260" s="29">
        <f>SUM('план на 2016'!$L261:P261)-SUM('членские взносы'!$M259:'членские взносы'!P259)</f>
        <v>800</v>
      </c>
      <c r="Q260" s="29">
        <f>SUM('план на 2016'!$L261:Q261)-SUM('членские взносы'!$M259:'членские взносы'!Q259)</f>
        <v>1600</v>
      </c>
      <c r="R260" s="29">
        <f>SUM('план на 2016'!$L261:R261)-SUM('членские взносы'!$M259:'членские взносы'!R259)</f>
        <v>2400</v>
      </c>
      <c r="S260" s="29">
        <f>SUM('план на 2016'!$L261:S261)-SUM('членские взносы'!$M259:'членские взносы'!S259)</f>
        <v>3200</v>
      </c>
      <c r="T260" s="29">
        <f>SUM('план на 2016'!$L261:T261)-SUM('членские взносы'!$M259:'членские взносы'!T259)</f>
        <v>4000</v>
      </c>
      <c r="U260" s="29">
        <f>SUM('план на 2016'!$L261:U261)-SUM('членские взносы'!$M259:'членские взносы'!U259)</f>
        <v>4800</v>
      </c>
      <c r="V260" s="29">
        <f>SUM('план на 2016'!$L261:V261)-SUM('членские взносы'!$M259:'членские взносы'!V259)</f>
        <v>0</v>
      </c>
      <c r="W260" s="29">
        <f>SUM('план на 2016'!$L261:W261)-SUM('членские взносы'!$M259:'членские взносы'!W259)</f>
        <v>800</v>
      </c>
      <c r="X260" s="29">
        <f>SUM('план на 2016'!$L261:X261)-SUM('членские взносы'!$M259:'членские взносы'!X259)</f>
        <v>0</v>
      </c>
      <c r="Y260" s="18">
        <f t="shared" si="23"/>
        <v>0</v>
      </c>
    </row>
    <row r="261" spans="1:25">
      <c r="A261" s="41">
        <f>VLOOKUP(B261,справочник!$B$2:$E$322,4,FALSE)</f>
        <v>183</v>
      </c>
      <c r="B261" t="str">
        <f t="shared" ref="B261:B324" si="29">CONCATENATE(C261,D261)</f>
        <v>191Спиридонов Андрей Владимирович</v>
      </c>
      <c r="C261" s="1">
        <v>191</v>
      </c>
      <c r="D261" s="2" t="s">
        <v>247</v>
      </c>
      <c r="E261" s="1" t="s">
        <v>557</v>
      </c>
      <c r="F261" s="19">
        <v>41505</v>
      </c>
      <c r="G261" s="19">
        <v>41518</v>
      </c>
      <c r="H261" s="20">
        <f t="shared" si="26"/>
        <v>28</v>
      </c>
      <c r="I261" s="5">
        <f t="shared" si="27"/>
        <v>28000</v>
      </c>
      <c r="J261" s="20">
        <v>1000</v>
      </c>
      <c r="K261" s="20"/>
      <c r="L261" s="21">
        <f t="shared" si="28"/>
        <v>27000</v>
      </c>
      <c r="M261" s="29">
        <f>SUM('план на 2016'!$L262:M262)-SUM('членские взносы'!$M260:'членские взносы'!M260)</f>
        <v>7800</v>
      </c>
      <c r="N261" s="29">
        <f>SUM('план на 2016'!$L262:N262)-SUM('членские взносы'!$M260:'членские взносы'!N260)</f>
        <v>8600</v>
      </c>
      <c r="O261" s="29">
        <f>SUM('план на 2016'!$L262:O262)-SUM('членские взносы'!$M260:'членские взносы'!O260)</f>
        <v>9400</v>
      </c>
      <c r="P261" s="29">
        <f>SUM('план на 2016'!$L262:P262)-SUM('членские взносы'!$M260:'членские взносы'!P260)</f>
        <v>10200</v>
      </c>
      <c r="Q261" s="29">
        <f>SUM('план на 2016'!$L262:Q262)-SUM('членские взносы'!$M260:'членские взносы'!Q260)</f>
        <v>11000</v>
      </c>
      <c r="R261" s="29">
        <f>SUM('план на 2016'!$L262:R262)-SUM('членские взносы'!$M260:'членские взносы'!R260)</f>
        <v>11800</v>
      </c>
      <c r="S261" s="29">
        <f>SUM('план на 2016'!$L262:S262)-SUM('членские взносы'!$M260:'членские взносы'!S260)</f>
        <v>12600</v>
      </c>
      <c r="T261" s="29">
        <f>SUM('план на 2016'!$L262:T262)-SUM('членские взносы'!$M260:'членские взносы'!T260)</f>
        <v>-24243</v>
      </c>
      <c r="U261" s="29">
        <f>SUM('план на 2016'!$L262:U262)-SUM('членские взносы'!$M260:'членские взносы'!U260)</f>
        <v>-29443</v>
      </c>
      <c r="V261" s="29">
        <f>SUM('план на 2016'!$L262:V262)-SUM('членские взносы'!$M260:'членские взносы'!V260)</f>
        <v>-28643</v>
      </c>
      <c r="W261" s="29">
        <f>SUM('план на 2016'!$L262:W262)-SUM('членские взносы'!$M260:'членские взносы'!W260)</f>
        <v>-27843</v>
      </c>
      <c r="X261" s="29">
        <f>SUM('план на 2016'!$L262:X262)-SUM('членские взносы'!$M260:'членские взносы'!X260)</f>
        <v>-27043</v>
      </c>
      <c r="Y261" s="18">
        <f t="shared" ref="Y261:Y324" si="30">X261</f>
        <v>-27043</v>
      </c>
    </row>
    <row r="262" spans="1:25">
      <c r="A262" s="41">
        <f>VLOOKUP(B262,справочник!$B$2:$E$322,4,FALSE)</f>
        <v>183</v>
      </c>
      <c r="B262" t="str">
        <f t="shared" si="29"/>
        <v>192Спиридонов Андрей Владимирович</v>
      </c>
      <c r="C262" s="1">
        <v>192</v>
      </c>
      <c r="D262" s="2" t="s">
        <v>247</v>
      </c>
      <c r="E262" s="1" t="s">
        <v>558</v>
      </c>
      <c r="F262" s="19">
        <v>41505</v>
      </c>
      <c r="G262" s="19">
        <v>41518</v>
      </c>
      <c r="H262" s="20">
        <f t="shared" si="26"/>
        <v>28</v>
      </c>
      <c r="I262" s="5">
        <f t="shared" si="27"/>
        <v>28000</v>
      </c>
      <c r="J262" s="20">
        <v>1000</v>
      </c>
      <c r="K262" s="20"/>
      <c r="L262" s="21">
        <f t="shared" si="28"/>
        <v>27000</v>
      </c>
      <c r="M262" s="29">
        <f>SUM('план на 2016'!$L263:M263)-SUM('членские взносы'!$M261:'членские взносы'!M261)</f>
        <v>27000</v>
      </c>
      <c r="N262" s="29">
        <f>SUM('план на 2016'!$L263:N263)-SUM('членские взносы'!$M261:'членские взносы'!N261)</f>
        <v>27000</v>
      </c>
      <c r="O262" s="29">
        <f>SUM('план на 2016'!$L263:O263)-SUM('членские взносы'!$M261:'членские взносы'!O261)</f>
        <v>27000</v>
      </c>
      <c r="P262" s="29">
        <f>SUM('план на 2016'!$L263:P263)-SUM('членские взносы'!$M261:'членские взносы'!P261)</f>
        <v>27000</v>
      </c>
      <c r="Q262" s="29">
        <f>SUM('план на 2016'!$L263:Q263)-SUM('членские взносы'!$M261:'членские взносы'!Q261)</f>
        <v>27000</v>
      </c>
      <c r="R262" s="29">
        <f>SUM('план на 2016'!$L263:R263)-SUM('членские взносы'!$M261:'членские взносы'!R261)</f>
        <v>27000</v>
      </c>
      <c r="S262" s="29">
        <f>SUM('план на 2016'!$L263:S263)-SUM('членские взносы'!$M261:'членские взносы'!S261)</f>
        <v>27000</v>
      </c>
      <c r="T262" s="29">
        <f>SUM('план на 2016'!$L263:T263)-SUM('членские взносы'!$M261:'членские взносы'!T261)</f>
        <v>27000</v>
      </c>
      <c r="U262" s="29">
        <f>SUM('план на 2016'!$L263:U263)-SUM('членские взносы'!$M261:'членские взносы'!U261)</f>
        <v>27000</v>
      </c>
      <c r="V262" s="29">
        <f>SUM('план на 2016'!$L263:V263)-SUM('членские взносы'!$M261:'членские взносы'!V261)</f>
        <v>27000</v>
      </c>
      <c r="W262" s="29">
        <f>SUM('план на 2016'!$L263:W263)-SUM('членские взносы'!$M261:'членские взносы'!W261)</f>
        <v>27000</v>
      </c>
      <c r="X262" s="29">
        <f>SUM('план на 2016'!$L263:X263)-SUM('членские взносы'!$M261:'членские взносы'!X261)</f>
        <v>27000</v>
      </c>
      <c r="Y262" s="18">
        <f t="shared" si="30"/>
        <v>27000</v>
      </c>
    </row>
    <row r="263" spans="1:25" ht="25.5" customHeight="1">
      <c r="A263" s="41">
        <f>VLOOKUP(B263,справочник!$B$2:$E$322,4,FALSE)</f>
        <v>21</v>
      </c>
      <c r="B263" t="str">
        <f t="shared" si="29"/>
        <v>21Старостин Виктор Вячеславович</v>
      </c>
      <c r="C263" s="1">
        <v>21</v>
      </c>
      <c r="D263" s="2" t="s">
        <v>248</v>
      </c>
      <c r="E263" s="1" t="s">
        <v>559</v>
      </c>
      <c r="F263" s="16">
        <v>41107</v>
      </c>
      <c r="G263" s="16">
        <v>41091</v>
      </c>
      <c r="H263" s="17">
        <f t="shared" si="26"/>
        <v>42</v>
      </c>
      <c r="I263" s="1">
        <f t="shared" si="27"/>
        <v>42000</v>
      </c>
      <c r="J263" s="17">
        <v>40000</v>
      </c>
      <c r="K263" s="17"/>
      <c r="L263" s="18">
        <f t="shared" si="28"/>
        <v>2000</v>
      </c>
      <c r="M263" s="29">
        <f>SUM('план на 2016'!$L264:M264)-SUM('членские взносы'!$M262:'членские взносы'!M262)</f>
        <v>2800</v>
      </c>
      <c r="N263" s="29">
        <f>SUM('план на 2016'!$L264:N264)-SUM('членские взносы'!$M262:'членские взносы'!N262)</f>
        <v>3600</v>
      </c>
      <c r="O263" s="29">
        <f>SUM('план на 2016'!$L264:O264)-SUM('членские взносы'!$M262:'членские взносы'!O262)</f>
        <v>4400</v>
      </c>
      <c r="P263" s="29">
        <f>SUM('план на 2016'!$L264:P264)-SUM('членские взносы'!$M262:'членские взносы'!P262)</f>
        <v>5200</v>
      </c>
      <c r="Q263" s="29">
        <f>SUM('план на 2016'!$L264:Q264)-SUM('членские взносы'!$M262:'членские взносы'!Q262)</f>
        <v>6000</v>
      </c>
      <c r="R263" s="29">
        <f>SUM('план на 2016'!$L264:R264)-SUM('членские взносы'!$M262:'членские взносы'!R262)</f>
        <v>6800</v>
      </c>
      <c r="S263" s="29">
        <f>SUM('план на 2016'!$L264:S264)-SUM('членские взносы'!$M262:'членские взносы'!S262)</f>
        <v>7600</v>
      </c>
      <c r="T263" s="29">
        <f>SUM('план на 2016'!$L264:T264)-SUM('членские взносы'!$M262:'членские взносы'!T262)</f>
        <v>8400</v>
      </c>
      <c r="U263" s="29">
        <f>SUM('план на 2016'!$L264:U264)-SUM('членские взносы'!$M262:'членские взносы'!U262)</f>
        <v>-800</v>
      </c>
      <c r="V263" s="29">
        <f>SUM('план на 2016'!$L264:V264)-SUM('членские взносы'!$M262:'членские взносы'!V262)</f>
        <v>0</v>
      </c>
      <c r="W263" s="29">
        <f>SUM('план на 2016'!$L264:W264)-SUM('членские взносы'!$M262:'членские взносы'!W262)</f>
        <v>800</v>
      </c>
      <c r="X263" s="29">
        <f>SUM('план на 2016'!$L264:X264)-SUM('членские взносы'!$M262:'членские взносы'!X262)</f>
        <v>1600</v>
      </c>
      <c r="Y263" s="18">
        <f t="shared" si="30"/>
        <v>1600</v>
      </c>
    </row>
    <row r="264" spans="1:25">
      <c r="A264" s="41">
        <f>VLOOKUP(B264,справочник!$B$2:$E$322,4,FALSE)</f>
        <v>298</v>
      </c>
      <c r="B264" t="str">
        <f t="shared" si="29"/>
        <v>313Степанов Валерий Владимирович</v>
      </c>
      <c r="C264" s="1">
        <v>313</v>
      </c>
      <c r="D264" s="2" t="s">
        <v>249</v>
      </c>
      <c r="E264" s="1" t="s">
        <v>560</v>
      </c>
      <c r="F264" s="16">
        <v>41994</v>
      </c>
      <c r="G264" s="16">
        <v>42005</v>
      </c>
      <c r="H264" s="17">
        <f t="shared" si="26"/>
        <v>12</v>
      </c>
      <c r="I264" s="1">
        <f t="shared" si="27"/>
        <v>12000</v>
      </c>
      <c r="J264" s="17">
        <v>12000</v>
      </c>
      <c r="K264" s="17"/>
      <c r="L264" s="18">
        <f t="shared" si="28"/>
        <v>0</v>
      </c>
      <c r="M264" s="29">
        <f>SUM('план на 2016'!$L265:M265)-SUM('членские взносы'!$M263:'членские взносы'!M263)</f>
        <v>800</v>
      </c>
      <c r="N264" s="29">
        <f>SUM('план на 2016'!$L265:N265)-SUM('членские взносы'!$M263:'членские взносы'!N263)</f>
        <v>-3200</v>
      </c>
      <c r="O264" s="29">
        <f>SUM('план на 2016'!$L265:O265)-SUM('членские взносы'!$M263:'членские взносы'!O263)</f>
        <v>-2400</v>
      </c>
      <c r="P264" s="29">
        <f>SUM('план на 2016'!$L265:P265)-SUM('членские взносы'!$M263:'членские взносы'!P263)</f>
        <v>-1600</v>
      </c>
      <c r="Q264" s="29">
        <f>SUM('план на 2016'!$L265:Q265)-SUM('членские взносы'!$M263:'членские взносы'!Q263)</f>
        <v>-800</v>
      </c>
      <c r="R264" s="29">
        <f>SUM('план на 2016'!$L265:R265)-SUM('членские взносы'!$M263:'членские взносы'!R263)</f>
        <v>0</v>
      </c>
      <c r="S264" s="29">
        <f>SUM('план на 2016'!$L265:S265)-SUM('членские взносы'!$M263:'членские взносы'!S263)</f>
        <v>800</v>
      </c>
      <c r="T264" s="29">
        <f>SUM('план на 2016'!$L265:T265)-SUM('членские взносы'!$M263:'членские взносы'!T263)</f>
        <v>1600</v>
      </c>
      <c r="U264" s="29">
        <f>SUM('план на 2016'!$L265:U265)-SUM('членские взносы'!$M263:'членские взносы'!U263)</f>
        <v>-2600</v>
      </c>
      <c r="V264" s="29">
        <f>SUM('план на 2016'!$L265:V265)-SUM('членские взносы'!$M263:'членские взносы'!V263)</f>
        <v>-1800</v>
      </c>
      <c r="W264" s="29">
        <f>SUM('план на 2016'!$L265:W265)-SUM('членские взносы'!$M263:'членские взносы'!W263)</f>
        <v>-1000</v>
      </c>
      <c r="X264" s="29">
        <f>SUM('план на 2016'!$L265:X265)-SUM('членские взносы'!$M263:'членские взносы'!X263)</f>
        <v>-200</v>
      </c>
      <c r="Y264" s="18">
        <f t="shared" si="30"/>
        <v>-200</v>
      </c>
    </row>
    <row r="265" spans="1:25">
      <c r="A265" s="41">
        <f>VLOOKUP(B265,справочник!$B$2:$E$322,4,FALSE)</f>
        <v>91</v>
      </c>
      <c r="B265" t="str">
        <f t="shared" si="29"/>
        <v>96Степанова Марина Николаевна (Артем)</v>
      </c>
      <c r="C265" s="1">
        <v>96</v>
      </c>
      <c r="D265" s="2" t="s">
        <v>250</v>
      </c>
      <c r="E265" s="1" t="s">
        <v>561</v>
      </c>
      <c r="F265" s="16">
        <v>41070</v>
      </c>
      <c r="G265" s="16">
        <v>41061</v>
      </c>
      <c r="H265" s="17">
        <f t="shared" si="26"/>
        <v>43</v>
      </c>
      <c r="I265" s="1">
        <f t="shared" si="27"/>
        <v>43000</v>
      </c>
      <c r="J265" s="17">
        <v>12000</v>
      </c>
      <c r="K265" s="17"/>
      <c r="L265" s="18">
        <f t="shared" si="28"/>
        <v>31000</v>
      </c>
      <c r="M265" s="29">
        <f>SUM('план на 2016'!$L266:M266)-SUM('членские взносы'!$M264:'членские взносы'!M264)</f>
        <v>31800</v>
      </c>
      <c r="N265" s="29">
        <f>SUM('план на 2016'!$L266:N266)-SUM('членские взносы'!$M264:'членские взносы'!N264)</f>
        <v>32600</v>
      </c>
      <c r="O265" s="29">
        <f>SUM('план на 2016'!$L266:O266)-SUM('членские взносы'!$M264:'членские взносы'!O264)</f>
        <v>33400</v>
      </c>
      <c r="P265" s="29">
        <f>SUM('план на 2016'!$L266:P266)-SUM('членские взносы'!$M264:'членские взносы'!P264)</f>
        <v>34200</v>
      </c>
      <c r="Q265" s="29">
        <f>SUM('план на 2016'!$L266:Q266)-SUM('членские взносы'!$M264:'членские взносы'!Q264)</f>
        <v>35000</v>
      </c>
      <c r="R265" s="29">
        <f>SUM('план на 2016'!$L266:R266)-SUM('членские взносы'!$M264:'членские взносы'!R264)</f>
        <v>35800</v>
      </c>
      <c r="S265" s="29">
        <f>SUM('план на 2016'!$L266:S266)-SUM('членские взносы'!$M264:'членские взносы'!S264)</f>
        <v>21600</v>
      </c>
      <c r="T265" s="29">
        <f>SUM('план на 2016'!$L266:T266)-SUM('членские взносы'!$M264:'членские взносы'!T264)</f>
        <v>22400</v>
      </c>
      <c r="U265" s="29">
        <f>SUM('план на 2016'!$L266:U266)-SUM('членские взносы'!$M264:'членские взносы'!U264)</f>
        <v>23200</v>
      </c>
      <c r="V265" s="29">
        <f>SUM('план на 2016'!$L266:V266)-SUM('членские взносы'!$M264:'членские взносы'!V264)</f>
        <v>24000</v>
      </c>
      <c r="W265" s="29">
        <f>SUM('план на 2016'!$L266:W266)-SUM('членские взносы'!$M264:'членские взносы'!W264)</f>
        <v>24800</v>
      </c>
      <c r="X265" s="29">
        <f>SUM('план на 2016'!$L266:X266)-SUM('членские взносы'!$M264:'членские взносы'!X264)</f>
        <v>25600</v>
      </c>
      <c r="Y265" s="18">
        <f t="shared" si="30"/>
        <v>25600</v>
      </c>
    </row>
    <row r="266" spans="1:25">
      <c r="A266" s="41">
        <f>VLOOKUP(B266,справочник!$B$2:$E$322,4,FALSE)</f>
        <v>54</v>
      </c>
      <c r="B266" t="str">
        <f t="shared" si="29"/>
        <v>56Стрелков Андрей Вячеславович</v>
      </c>
      <c r="C266" s="1">
        <v>56</v>
      </c>
      <c r="D266" s="2" t="s">
        <v>251</v>
      </c>
      <c r="E266" s="1" t="s">
        <v>562</v>
      </c>
      <c r="F266" s="16">
        <v>41184</v>
      </c>
      <c r="G266" s="16">
        <v>41214</v>
      </c>
      <c r="H266" s="17">
        <f t="shared" si="26"/>
        <v>38</v>
      </c>
      <c r="I266" s="1">
        <f t="shared" si="27"/>
        <v>38000</v>
      </c>
      <c r="J266" s="17">
        <v>38000</v>
      </c>
      <c r="K266" s="17"/>
      <c r="L266" s="18">
        <f t="shared" si="28"/>
        <v>0</v>
      </c>
      <c r="M266" s="29">
        <f>SUM('план на 2016'!$L267:M267)-SUM('членские взносы'!$M265:'членские взносы'!M265)</f>
        <v>800</v>
      </c>
      <c r="N266" s="29">
        <f>SUM('план на 2016'!$L267:N267)-SUM('членские взносы'!$M265:'членские взносы'!N265)</f>
        <v>1600</v>
      </c>
      <c r="O266" s="29">
        <f>SUM('план на 2016'!$L267:O267)-SUM('членские взносы'!$M265:'членские взносы'!O265)</f>
        <v>2400</v>
      </c>
      <c r="P266" s="29">
        <f>SUM('план на 2016'!$L267:P267)-SUM('членские взносы'!$M265:'членские взносы'!P265)</f>
        <v>3200</v>
      </c>
      <c r="Q266" s="29">
        <f>SUM('план на 2016'!$L267:Q267)-SUM('членские взносы'!$M265:'членские взносы'!Q265)</f>
        <v>4000</v>
      </c>
      <c r="R266" s="29">
        <f>SUM('план на 2016'!$L267:R267)-SUM('членские взносы'!$M265:'членские взносы'!R265)</f>
        <v>4800</v>
      </c>
      <c r="S266" s="29">
        <f>SUM('план на 2016'!$L267:S267)-SUM('членские взносы'!$M265:'членские взносы'!S265)</f>
        <v>5600</v>
      </c>
      <c r="T266" s="29">
        <f>SUM('план на 2016'!$L267:T267)-SUM('членские взносы'!$M265:'членские взносы'!T265)</f>
        <v>6400</v>
      </c>
      <c r="U266" s="29">
        <f>SUM('план на 2016'!$L267:U267)-SUM('членские взносы'!$M265:'членские взносы'!U265)</f>
        <v>7200</v>
      </c>
      <c r="V266" s="29">
        <f>SUM('план на 2016'!$L267:V267)-SUM('членские взносы'!$M265:'членские взносы'!V265)</f>
        <v>8000</v>
      </c>
      <c r="W266" s="29">
        <f>SUM('план на 2016'!$L267:W267)-SUM('членские взносы'!$M265:'членские взносы'!W265)</f>
        <v>8800</v>
      </c>
      <c r="X266" s="29">
        <f>SUM('план на 2016'!$L267:X267)-SUM('членские взносы'!$M265:'членские взносы'!X265)</f>
        <v>9600</v>
      </c>
      <c r="Y266" s="18">
        <f t="shared" si="30"/>
        <v>9600</v>
      </c>
    </row>
    <row r="267" spans="1:25">
      <c r="A267" s="41">
        <f>VLOOKUP(B267,справочник!$B$2:$E$322,4,FALSE)</f>
        <v>317</v>
      </c>
      <c r="B267" t="str">
        <f t="shared" si="29"/>
        <v xml:space="preserve">51-52Стрелков Андрей Вячеславович  </v>
      </c>
      <c r="C267" s="1" t="s">
        <v>252</v>
      </c>
      <c r="D267" s="2" t="s">
        <v>253</v>
      </c>
      <c r="E267" s="1" t="s">
        <v>563</v>
      </c>
      <c r="F267" s="16">
        <v>41184</v>
      </c>
      <c r="G267" s="16">
        <v>41214</v>
      </c>
      <c r="H267" s="17">
        <f>INT(($H$326-G267)/30)*2</f>
        <v>76</v>
      </c>
      <c r="I267" s="1">
        <v>89000</v>
      </c>
      <c r="J267" s="17">
        <v>89000</v>
      </c>
      <c r="K267" s="17"/>
      <c r="L267" s="18">
        <f t="shared" si="28"/>
        <v>0</v>
      </c>
      <c r="M267" s="29">
        <f>SUM('план на 2016'!$L268:M268)-SUM('членские взносы'!$M266:'членские взносы'!M266)</f>
        <v>0</v>
      </c>
      <c r="N267" s="29">
        <f>SUM('план на 2016'!$L268:N268)-SUM('членские взносы'!$M266:'членские взносы'!N266)</f>
        <v>0</v>
      </c>
      <c r="O267" s="29">
        <f>SUM('план на 2016'!$L268:O268)-SUM('членские взносы'!$M266:'членские взносы'!O266)</f>
        <v>0</v>
      </c>
      <c r="P267" s="29">
        <f>SUM('план на 2016'!$L268:P268)-SUM('членские взносы'!$M266:'членские взносы'!P266)</f>
        <v>0</v>
      </c>
      <c r="Q267" s="29">
        <f>SUM('план на 2016'!$L268:Q268)-SUM('членские взносы'!$M266:'членские взносы'!Q266)</f>
        <v>0</v>
      </c>
      <c r="R267" s="29">
        <f>SUM('план на 2016'!$L268:R268)-SUM('членские взносы'!$M266:'членские взносы'!R266)</f>
        <v>0</v>
      </c>
      <c r="S267" s="29">
        <f>SUM('план на 2016'!$L268:S268)-SUM('членские взносы'!$M266:'членские взносы'!S266)</f>
        <v>0</v>
      </c>
      <c r="T267" s="29">
        <f>SUM('план на 2016'!$L268:T268)-SUM('членские взносы'!$M266:'членские взносы'!T266)</f>
        <v>0</v>
      </c>
      <c r="U267" s="29">
        <f>SUM('план на 2016'!$L268:U268)-SUM('членские взносы'!$M266:'членские взносы'!U266)</f>
        <v>-6400</v>
      </c>
      <c r="V267" s="29">
        <f>SUM('план на 2016'!$L268:V268)-SUM('членские взносы'!$M266:'членские взносы'!V266)</f>
        <v>-6400</v>
      </c>
      <c r="W267" s="29">
        <f>SUM('план на 2016'!$L268:W268)-SUM('членские взносы'!$M266:'членские взносы'!W266)</f>
        <v>-6400</v>
      </c>
      <c r="X267" s="29">
        <f>SUM('план на 2016'!$L268:X268)-SUM('членские взносы'!$M266:'членские взносы'!X266)</f>
        <v>-6400</v>
      </c>
      <c r="Y267" s="18">
        <f t="shared" si="30"/>
        <v>-6400</v>
      </c>
    </row>
    <row r="268" spans="1:25">
      <c r="A268" s="41">
        <f>VLOOKUP(B268,справочник!$B$2:$E$322,4,FALSE)</f>
        <v>268</v>
      </c>
      <c r="B268" t="str">
        <f t="shared" si="29"/>
        <v>281Стрелков Николай Валентинович</v>
      </c>
      <c r="C268" s="1">
        <v>281</v>
      </c>
      <c r="D268" s="2" t="s">
        <v>254</v>
      </c>
      <c r="E268" s="1" t="s">
        <v>564</v>
      </c>
      <c r="F268" s="16">
        <v>41184</v>
      </c>
      <c r="G268" s="16">
        <v>41214</v>
      </c>
      <c r="H268" s="17">
        <f t="shared" ref="H268:H286" si="31">INT(($H$326-G268)/30)</f>
        <v>38</v>
      </c>
      <c r="I268" s="1">
        <f t="shared" ref="I268:I277" si="32">H268*1000</f>
        <v>38000</v>
      </c>
      <c r="J268" s="17">
        <v>28000</v>
      </c>
      <c r="K268" s="17"/>
      <c r="L268" s="18">
        <f t="shared" si="28"/>
        <v>10000</v>
      </c>
      <c r="M268" s="29">
        <f>SUM('план на 2016'!$L269:M269)-SUM('членские взносы'!$M267:'членские взносы'!M267)</f>
        <v>7800</v>
      </c>
      <c r="N268" s="29">
        <f>SUM('план на 2016'!$L269:N269)-SUM('членские взносы'!$M267:'членские взносы'!N267)</f>
        <v>8600</v>
      </c>
      <c r="O268" s="29">
        <f>SUM('план на 2016'!$L269:O269)-SUM('членские взносы'!$M267:'членские взносы'!O267)</f>
        <v>9400</v>
      </c>
      <c r="P268" s="29">
        <f>SUM('план на 2016'!$L269:P269)-SUM('членские взносы'!$M267:'членские взносы'!P267)</f>
        <v>7200</v>
      </c>
      <c r="Q268" s="29">
        <f>SUM('план на 2016'!$L269:Q269)-SUM('членские взносы'!$M267:'членские взносы'!Q267)</f>
        <v>8000</v>
      </c>
      <c r="R268" s="29">
        <f>SUM('план на 2016'!$L269:R269)-SUM('членские взносы'!$M267:'членские взносы'!R267)</f>
        <v>5800</v>
      </c>
      <c r="S268" s="29">
        <f>SUM('план на 2016'!$L269:S269)-SUM('членские взносы'!$M267:'членские взносы'!S267)</f>
        <v>6600</v>
      </c>
      <c r="T268" s="29">
        <f>SUM('план на 2016'!$L269:T269)-SUM('членские взносы'!$M267:'членские взносы'!T267)</f>
        <v>7400</v>
      </c>
      <c r="U268" s="29">
        <f>SUM('план на 2016'!$L269:U269)-SUM('членские взносы'!$M267:'членские взносы'!U267)</f>
        <v>5200</v>
      </c>
      <c r="V268" s="29">
        <f>SUM('план на 2016'!$L269:V269)-SUM('членские взносы'!$M267:'членские взносы'!V267)</f>
        <v>6000</v>
      </c>
      <c r="W268" s="29">
        <f>SUM('план на 2016'!$L269:W269)-SUM('членские взносы'!$M267:'членские взносы'!W267)</f>
        <v>6800</v>
      </c>
      <c r="X268" s="29">
        <f>SUM('план на 2016'!$L269:X269)-SUM('членские взносы'!$M267:'членские взносы'!X267)</f>
        <v>7600</v>
      </c>
      <c r="Y268" s="18">
        <f t="shared" si="30"/>
        <v>7600</v>
      </c>
    </row>
    <row r="269" spans="1:25">
      <c r="A269" s="41">
        <f>VLOOKUP(B269,справочник!$B$2:$E$322,4,FALSE)</f>
        <v>172</v>
      </c>
      <c r="B269" t="str">
        <f t="shared" si="29"/>
        <v>180Ступнев Евгений  Романович</v>
      </c>
      <c r="C269" s="1">
        <v>180</v>
      </c>
      <c r="D269" s="2" t="s">
        <v>255</v>
      </c>
      <c r="E269" s="1" t="s">
        <v>565</v>
      </c>
      <c r="F269" s="16">
        <v>40809</v>
      </c>
      <c r="G269" s="16">
        <v>40787</v>
      </c>
      <c r="H269" s="17">
        <f t="shared" si="31"/>
        <v>52</v>
      </c>
      <c r="I269" s="1">
        <f t="shared" si="32"/>
        <v>52000</v>
      </c>
      <c r="J269" s="17">
        <f>13000+1000</f>
        <v>14000</v>
      </c>
      <c r="K269" s="17"/>
      <c r="L269" s="18">
        <f t="shared" si="28"/>
        <v>38000</v>
      </c>
      <c r="M269" s="29">
        <f>SUM('план на 2016'!$L270:M270)-SUM('членские взносы'!$M268:'членские взносы'!M268)</f>
        <v>38800</v>
      </c>
      <c r="N269" s="29">
        <f>SUM('план на 2016'!$L270:N270)-SUM('членские взносы'!$M268:'членские взносы'!N268)</f>
        <v>39600</v>
      </c>
      <c r="O269" s="29">
        <f>SUM('план на 2016'!$L270:O270)-SUM('членские взносы'!$M268:'членские взносы'!O268)</f>
        <v>40400</v>
      </c>
      <c r="P269" s="29">
        <f>SUM('план на 2016'!$L270:P270)-SUM('членские взносы'!$M268:'членские взносы'!P268)</f>
        <v>41200</v>
      </c>
      <c r="Q269" s="29">
        <f>SUM('план на 2016'!$L270:Q270)-SUM('членские взносы'!$M268:'членские взносы'!Q268)</f>
        <v>42000</v>
      </c>
      <c r="R269" s="29">
        <f>SUM('план на 2016'!$L270:R270)-SUM('членские взносы'!$M268:'членские взносы'!R268)</f>
        <v>42800</v>
      </c>
      <c r="S269" s="29">
        <f>SUM('план на 2016'!$L270:S270)-SUM('членские взносы'!$M268:'членские взносы'!S268)</f>
        <v>43600</v>
      </c>
      <c r="T269" s="29">
        <f>SUM('план на 2016'!$L270:T270)-SUM('членские взносы'!$M268:'членские взносы'!T268)</f>
        <v>44400</v>
      </c>
      <c r="U269" s="29">
        <f>SUM('план на 2016'!$L270:U270)-SUM('членские взносы'!$M268:'членские взносы'!U268)</f>
        <v>45200</v>
      </c>
      <c r="V269" s="29">
        <f>SUM('план на 2016'!$L270:V270)-SUM('членские взносы'!$M268:'членские взносы'!V268)</f>
        <v>35800</v>
      </c>
      <c r="W269" s="29">
        <f>SUM('план на 2016'!$L270:W270)-SUM('членские взносы'!$M268:'членские взносы'!W268)</f>
        <v>36600</v>
      </c>
      <c r="X269" s="29">
        <f>SUM('план на 2016'!$L270:X270)-SUM('членские взносы'!$M268:'членские взносы'!X268)</f>
        <v>37400</v>
      </c>
      <c r="Y269" s="18">
        <f t="shared" si="30"/>
        <v>37400</v>
      </c>
    </row>
    <row r="270" spans="1:25">
      <c r="A270" s="41">
        <f>VLOOKUP(B270,справочник!$B$2:$E$322,4,FALSE)</f>
        <v>116</v>
      </c>
      <c r="B270" t="str">
        <f t="shared" si="29"/>
        <v>121Суворов Сергей Анатольевич</v>
      </c>
      <c r="C270" s="1">
        <v>121</v>
      </c>
      <c r="D270" s="2" t="s">
        <v>256</v>
      </c>
      <c r="E270" s="1" t="s">
        <v>566</v>
      </c>
      <c r="F270" s="16">
        <v>41531</v>
      </c>
      <c r="G270" s="16">
        <v>41518</v>
      </c>
      <c r="H270" s="17">
        <f t="shared" si="31"/>
        <v>28</v>
      </c>
      <c r="I270" s="1">
        <f t="shared" si="32"/>
        <v>28000</v>
      </c>
      <c r="J270" s="17">
        <v>20000</v>
      </c>
      <c r="K270" s="17"/>
      <c r="L270" s="18">
        <f t="shared" si="28"/>
        <v>8000</v>
      </c>
      <c r="M270" s="29">
        <f>SUM('план на 2016'!$L271:M271)-SUM('членские взносы'!$M269:'членские взносы'!M269)</f>
        <v>8800</v>
      </c>
      <c r="N270" s="29">
        <f>SUM('план на 2016'!$L271:N271)-SUM('членские взносы'!$M269:'членские взносы'!N269)</f>
        <v>9600</v>
      </c>
      <c r="O270" s="29">
        <f>SUM('план на 2016'!$L271:O271)-SUM('членские взносы'!$M269:'членские взносы'!O269)</f>
        <v>400</v>
      </c>
      <c r="P270" s="29">
        <f>SUM('план на 2016'!$L271:P271)-SUM('членские взносы'!$M269:'членские взносы'!P269)</f>
        <v>1200</v>
      </c>
      <c r="Q270" s="29">
        <f>SUM('план на 2016'!$L271:Q271)-SUM('членские взносы'!$M269:'членские взносы'!Q269)</f>
        <v>2000</v>
      </c>
      <c r="R270" s="29">
        <f>SUM('план на 2016'!$L271:R271)-SUM('членские взносы'!$M269:'членские взносы'!R269)</f>
        <v>2800</v>
      </c>
      <c r="S270" s="29">
        <f>SUM('план на 2016'!$L271:S271)-SUM('членские взносы'!$M269:'членские взносы'!S269)</f>
        <v>3600</v>
      </c>
      <c r="T270" s="29">
        <f>SUM('план на 2016'!$L271:T271)-SUM('членские взносы'!$M269:'членские взносы'!T269)</f>
        <v>4400</v>
      </c>
      <c r="U270" s="29">
        <f>SUM('план на 2016'!$L271:U271)-SUM('членские взносы'!$M269:'членские взносы'!U269)</f>
        <v>5200</v>
      </c>
      <c r="V270" s="29">
        <f>SUM('план на 2016'!$L271:V271)-SUM('членские взносы'!$M269:'членские взносы'!V269)</f>
        <v>6000</v>
      </c>
      <c r="W270" s="29">
        <f>SUM('план на 2016'!$L271:W271)-SUM('членские взносы'!$M269:'членские взносы'!W269)</f>
        <v>6800</v>
      </c>
      <c r="X270" s="29">
        <f>SUM('план на 2016'!$L271:X271)-SUM('членские взносы'!$M269:'членские взносы'!X269)</f>
        <v>7600</v>
      </c>
      <c r="Y270" s="18">
        <f t="shared" si="30"/>
        <v>7600</v>
      </c>
    </row>
    <row r="271" spans="1:25">
      <c r="A271" s="41">
        <f>VLOOKUP(B271,справочник!$B$2:$E$322,4,FALSE)</f>
        <v>57</v>
      </c>
      <c r="B271" t="str">
        <f t="shared" si="29"/>
        <v>59Суркова Татьяна Александровна</v>
      </c>
      <c r="C271" s="1">
        <v>59</v>
      </c>
      <c r="D271" s="2" t="s">
        <v>257</v>
      </c>
      <c r="E271" s="1" t="s">
        <v>567</v>
      </c>
      <c r="F271" s="16">
        <v>41044</v>
      </c>
      <c r="G271" s="16">
        <v>41030</v>
      </c>
      <c r="H271" s="17">
        <f t="shared" si="31"/>
        <v>44</v>
      </c>
      <c r="I271" s="1">
        <f t="shared" si="32"/>
        <v>44000</v>
      </c>
      <c r="J271" s="17">
        <v>34000</v>
      </c>
      <c r="K271" s="17"/>
      <c r="L271" s="18">
        <f t="shared" si="28"/>
        <v>10000</v>
      </c>
      <c r="M271" s="29">
        <f>SUM('план на 2016'!$L272:M272)-SUM('членские взносы'!$M270:'членские взносы'!M270)</f>
        <v>10800</v>
      </c>
      <c r="N271" s="29">
        <f>SUM('план на 2016'!$L272:N272)-SUM('членские взносы'!$M270:'членские взносы'!N270)</f>
        <v>11600</v>
      </c>
      <c r="O271" s="29">
        <f>SUM('план на 2016'!$L272:O272)-SUM('членские взносы'!$M270:'членские взносы'!O270)</f>
        <v>12400</v>
      </c>
      <c r="P271" s="29">
        <f>SUM('план на 2016'!$L272:P272)-SUM('членские взносы'!$M270:'членские взносы'!P270)</f>
        <v>3200</v>
      </c>
      <c r="Q271" s="29">
        <f>SUM('план на 2016'!$L272:Q272)-SUM('членские взносы'!$M270:'членские взносы'!Q270)</f>
        <v>4000</v>
      </c>
      <c r="R271" s="29">
        <f>SUM('план на 2016'!$L272:R272)-SUM('членские взносы'!$M270:'членские взносы'!R270)</f>
        <v>4800</v>
      </c>
      <c r="S271" s="29">
        <f>SUM('план на 2016'!$L272:S272)-SUM('членские взносы'!$M270:'членские взносы'!S270)</f>
        <v>5600</v>
      </c>
      <c r="T271" s="29">
        <f>SUM('план на 2016'!$L272:T272)-SUM('членские взносы'!$M270:'членские взносы'!T270)</f>
        <v>6400</v>
      </c>
      <c r="U271" s="29">
        <f>SUM('план на 2016'!$L272:U272)-SUM('членские взносы'!$M270:'членские взносы'!U270)</f>
        <v>7200</v>
      </c>
      <c r="V271" s="29">
        <f>SUM('план на 2016'!$L272:V272)-SUM('членские взносы'!$M270:'членские взносы'!V270)</f>
        <v>8000</v>
      </c>
      <c r="W271" s="29">
        <f>SUM('план на 2016'!$L272:W272)-SUM('членские взносы'!$M270:'членские взносы'!W270)</f>
        <v>8800</v>
      </c>
      <c r="X271" s="29">
        <f>SUM('план на 2016'!$L272:X272)-SUM('членские взносы'!$M270:'членские взносы'!X270)</f>
        <v>9600</v>
      </c>
      <c r="Y271" s="18">
        <f t="shared" si="30"/>
        <v>9600</v>
      </c>
    </row>
    <row r="272" spans="1:25">
      <c r="A272" s="41">
        <f>VLOOKUP(B272,справочник!$B$2:$E$322,4,FALSE)</f>
        <v>46</v>
      </c>
      <c r="B272" t="str">
        <f t="shared" si="29"/>
        <v>46Сысоев Евгений Анатольевич</v>
      </c>
      <c r="C272" s="1">
        <v>46</v>
      </c>
      <c r="D272" s="2" t="s">
        <v>258</v>
      </c>
      <c r="E272" s="1" t="s">
        <v>568</v>
      </c>
      <c r="F272" s="16">
        <v>41382</v>
      </c>
      <c r="G272" s="16">
        <v>41395</v>
      </c>
      <c r="H272" s="17">
        <f t="shared" si="31"/>
        <v>32</v>
      </c>
      <c r="I272" s="1">
        <f t="shared" si="32"/>
        <v>32000</v>
      </c>
      <c r="J272" s="17">
        <v>17000</v>
      </c>
      <c r="K272" s="17"/>
      <c r="L272" s="18">
        <f t="shared" si="28"/>
        <v>15000</v>
      </c>
      <c r="M272" s="29">
        <f>SUM('план на 2016'!$L273:M273)-SUM('членские взносы'!$M271:'членские взносы'!M271)</f>
        <v>15800</v>
      </c>
      <c r="N272" s="29">
        <f>SUM('план на 2016'!$L273:N273)-SUM('членские взносы'!$M271:'членские взносы'!N271)</f>
        <v>16600</v>
      </c>
      <c r="O272" s="29">
        <f>SUM('план на 2016'!$L273:O273)-SUM('членские взносы'!$M271:'членские взносы'!O271)</f>
        <v>17400</v>
      </c>
      <c r="P272" s="29">
        <f>SUM('план на 2016'!$L273:P273)-SUM('членские взносы'!$M271:'членские взносы'!P271)</f>
        <v>18200</v>
      </c>
      <c r="Q272" s="29">
        <f>SUM('план на 2016'!$L273:Q273)-SUM('членские взносы'!$M271:'членские взносы'!Q271)</f>
        <v>19000</v>
      </c>
      <c r="R272" s="29">
        <f>SUM('план на 2016'!$L273:R273)-SUM('членские взносы'!$M271:'членские взносы'!R271)</f>
        <v>19800</v>
      </c>
      <c r="S272" s="29">
        <f>SUM('план на 2016'!$L273:S273)-SUM('членские взносы'!$M271:'членские взносы'!S271)</f>
        <v>20600</v>
      </c>
      <c r="T272" s="29">
        <f>SUM('план на 2016'!$L273:T273)-SUM('членские взносы'!$M271:'членские взносы'!T271)</f>
        <v>21400</v>
      </c>
      <c r="U272" s="29">
        <f>SUM('план на 2016'!$L273:U273)-SUM('членские взносы'!$M271:'членские взносы'!U271)</f>
        <v>22200</v>
      </c>
      <c r="V272" s="29">
        <f>SUM('план на 2016'!$L273:V273)-SUM('членские взносы'!$M271:'членские взносы'!V271)</f>
        <v>23000</v>
      </c>
      <c r="W272" s="29">
        <f>SUM('план на 2016'!$L273:W273)-SUM('членские взносы'!$M271:'членские взносы'!W271)</f>
        <v>23800</v>
      </c>
      <c r="X272" s="29">
        <f>SUM('план на 2016'!$L273:X273)-SUM('членские взносы'!$M271:'членские взносы'!X271)</f>
        <v>24600</v>
      </c>
      <c r="Y272" s="18">
        <f t="shared" si="30"/>
        <v>24600</v>
      </c>
    </row>
    <row r="273" spans="1:25">
      <c r="A273" s="41">
        <f>VLOOKUP(B273,справочник!$B$2:$E$322,4,FALSE)</f>
        <v>73</v>
      </c>
      <c r="B273" t="str">
        <f t="shared" si="29"/>
        <v>79Сысоев Семен Евгеньевич</v>
      </c>
      <c r="C273" s="1">
        <v>79</v>
      </c>
      <c r="D273" s="2" t="s">
        <v>259</v>
      </c>
      <c r="E273" s="1" t="s">
        <v>569</v>
      </c>
      <c r="F273" s="16">
        <v>41382</v>
      </c>
      <c r="G273" s="16">
        <v>41395</v>
      </c>
      <c r="H273" s="17">
        <f t="shared" si="31"/>
        <v>32</v>
      </c>
      <c r="I273" s="1">
        <f t="shared" si="32"/>
        <v>32000</v>
      </c>
      <c r="J273" s="17">
        <v>21000</v>
      </c>
      <c r="K273" s="17"/>
      <c r="L273" s="18">
        <f t="shared" si="28"/>
        <v>11000</v>
      </c>
      <c r="M273" s="29">
        <f>SUM('план на 2016'!$L274:M274)-SUM('членские взносы'!$M272:'членские взносы'!M272)</f>
        <v>11800</v>
      </c>
      <c r="N273" s="29">
        <f>SUM('план на 2016'!$L274:N274)-SUM('членские взносы'!$M272:'членские взносы'!N272)</f>
        <v>12600</v>
      </c>
      <c r="O273" s="29">
        <f>SUM('план на 2016'!$L274:O274)-SUM('членские взносы'!$M272:'членские взносы'!O272)</f>
        <v>13400</v>
      </c>
      <c r="P273" s="29">
        <f>SUM('план на 2016'!$L274:P274)-SUM('членские взносы'!$M272:'членские взносы'!P272)</f>
        <v>14200</v>
      </c>
      <c r="Q273" s="29">
        <f>SUM('план на 2016'!$L274:Q274)-SUM('членские взносы'!$M272:'членские взносы'!Q272)</f>
        <v>15000</v>
      </c>
      <c r="R273" s="29">
        <f>SUM('план на 2016'!$L274:R274)-SUM('членские взносы'!$M272:'членские взносы'!R272)</f>
        <v>15800</v>
      </c>
      <c r="S273" s="29">
        <f>SUM('план на 2016'!$L274:S274)-SUM('членские взносы'!$M272:'членские взносы'!S272)</f>
        <v>16600</v>
      </c>
      <c r="T273" s="29">
        <f>SUM('план на 2016'!$L274:T274)-SUM('членские взносы'!$M272:'членские взносы'!T272)</f>
        <v>17400</v>
      </c>
      <c r="U273" s="29">
        <f>SUM('план на 2016'!$L274:U274)-SUM('членские взносы'!$M272:'членские взносы'!U272)</f>
        <v>18200</v>
      </c>
      <c r="V273" s="29">
        <f>SUM('план на 2016'!$L274:V274)-SUM('членские взносы'!$M272:'членские взносы'!V272)</f>
        <v>19000</v>
      </c>
      <c r="W273" s="29">
        <f>SUM('план на 2016'!$L274:W274)-SUM('членские взносы'!$M272:'членские взносы'!W272)</f>
        <v>19800</v>
      </c>
      <c r="X273" s="29">
        <f>SUM('план на 2016'!$L274:X274)-SUM('членские взносы'!$M272:'членские взносы'!X272)</f>
        <v>20600</v>
      </c>
      <c r="Y273" s="18">
        <f t="shared" si="30"/>
        <v>20600</v>
      </c>
    </row>
    <row r="274" spans="1:25">
      <c r="A274" s="41">
        <f>VLOOKUP(B274,справочник!$B$2:$E$322,4,FALSE)</f>
        <v>162</v>
      </c>
      <c r="B274" t="str">
        <f t="shared" si="29"/>
        <v>170Тадлов Виталий Петрович</v>
      </c>
      <c r="C274" s="1">
        <v>170</v>
      </c>
      <c r="D274" s="2" t="s">
        <v>260</v>
      </c>
      <c r="E274" s="1" t="s">
        <v>570</v>
      </c>
      <c r="F274" s="16">
        <v>41800</v>
      </c>
      <c r="G274" s="16">
        <v>41821</v>
      </c>
      <c r="H274" s="17">
        <f t="shared" si="31"/>
        <v>18</v>
      </c>
      <c r="I274" s="1">
        <f t="shared" si="32"/>
        <v>18000</v>
      </c>
      <c r="J274" s="17">
        <v>12000</v>
      </c>
      <c r="K274" s="17"/>
      <c r="L274" s="18">
        <f t="shared" si="28"/>
        <v>6000</v>
      </c>
      <c r="M274" s="29">
        <f>SUM('план на 2016'!$L275:M275)-SUM('членские взносы'!$M273:'членские взносы'!M273)</f>
        <v>6800</v>
      </c>
      <c r="N274" s="29">
        <f>SUM('план на 2016'!$L275:N275)-SUM('членские взносы'!$M273:'членские взносы'!N273)</f>
        <v>7600</v>
      </c>
      <c r="O274" s="29">
        <f>SUM('план на 2016'!$L275:O275)-SUM('членские взносы'!$M273:'членские взносы'!O273)</f>
        <v>8400</v>
      </c>
      <c r="P274" s="29">
        <f>SUM('план на 2016'!$L275:P275)-SUM('членские взносы'!$M273:'членские взносы'!P273)</f>
        <v>9200</v>
      </c>
      <c r="Q274" s="29">
        <f>SUM('план на 2016'!$L275:Q275)-SUM('членские взносы'!$M273:'членские взносы'!Q273)</f>
        <v>-2000</v>
      </c>
      <c r="R274" s="29">
        <f>SUM('план на 2016'!$L275:R275)-SUM('членские взносы'!$M273:'членские взносы'!R273)</f>
        <v>-1200</v>
      </c>
      <c r="S274" s="29">
        <f>SUM('план на 2016'!$L275:S275)-SUM('членские взносы'!$M273:'членские взносы'!S273)</f>
        <v>-400</v>
      </c>
      <c r="T274" s="29">
        <f>SUM('план на 2016'!$L275:T275)-SUM('членские взносы'!$M273:'членские взносы'!T273)</f>
        <v>400</v>
      </c>
      <c r="U274" s="29">
        <f>SUM('план на 2016'!$L275:U275)-SUM('членские взносы'!$M273:'членские взносы'!U273)</f>
        <v>1200</v>
      </c>
      <c r="V274" s="29">
        <f>SUM('план на 2016'!$L275:V275)-SUM('членские взносы'!$M273:'членские взносы'!V273)</f>
        <v>2000</v>
      </c>
      <c r="W274" s="29">
        <f>SUM('план на 2016'!$L275:W275)-SUM('членские взносы'!$M273:'членские взносы'!W273)</f>
        <v>2800</v>
      </c>
      <c r="X274" s="29">
        <f>SUM('план на 2016'!$L275:X275)-SUM('членские взносы'!$M273:'членские взносы'!X273)</f>
        <v>3600</v>
      </c>
      <c r="Y274" s="18">
        <f t="shared" si="30"/>
        <v>3600</v>
      </c>
    </row>
    <row r="275" spans="1:25">
      <c r="A275" s="41">
        <f>VLOOKUP(B275,справочник!$B$2:$E$322,4,FALSE)</f>
        <v>252</v>
      </c>
      <c r="B275" t="str">
        <f t="shared" si="29"/>
        <v>263Тарасенко Анатолий Семенович</v>
      </c>
      <c r="C275" s="1">
        <v>263</v>
      </c>
      <c r="D275" s="2" t="s">
        <v>261</v>
      </c>
      <c r="E275" s="1" t="s">
        <v>571</v>
      </c>
      <c r="F275" s="19">
        <v>41967</v>
      </c>
      <c r="G275" s="19">
        <v>41974</v>
      </c>
      <c r="H275" s="20">
        <f t="shared" si="31"/>
        <v>13</v>
      </c>
      <c r="I275" s="5">
        <f t="shared" si="32"/>
        <v>13000</v>
      </c>
      <c r="J275" s="20">
        <v>8000</v>
      </c>
      <c r="K275" s="20"/>
      <c r="L275" s="21">
        <f t="shared" si="28"/>
        <v>5000</v>
      </c>
      <c r="M275" s="29">
        <f>SUM('план на 2016'!$L276:M276)-SUM('членские взносы'!$M274:'членские взносы'!M274)</f>
        <v>5800</v>
      </c>
      <c r="N275" s="29">
        <f>SUM('план на 2016'!$L276:N276)-SUM('членские взносы'!$M274:'членские взносы'!N274)</f>
        <v>5800</v>
      </c>
      <c r="O275" s="29">
        <f>SUM('план на 2016'!$L276:O276)-SUM('членские взносы'!$M274:'членские взносы'!O274)</f>
        <v>5000</v>
      </c>
      <c r="P275" s="29">
        <f>SUM('план на 2016'!$L276:P276)-SUM('членские взносы'!$M274:'членские взносы'!P274)</f>
        <v>5800</v>
      </c>
      <c r="Q275" s="29">
        <f>SUM('план на 2016'!$L276:Q276)-SUM('членские взносы'!$M274:'членские взносы'!Q274)</f>
        <v>5000</v>
      </c>
      <c r="R275" s="29">
        <f>SUM('план на 2016'!$L276:R276)-SUM('членские взносы'!$M274:'членские взносы'!R274)</f>
        <v>5800</v>
      </c>
      <c r="S275" s="29">
        <f>SUM('план на 2016'!$L276:S276)-SUM('членские взносы'!$M274:'членские взносы'!S274)</f>
        <v>5000</v>
      </c>
      <c r="T275" s="29">
        <f>SUM('план на 2016'!$L276:T276)-SUM('членские взносы'!$M274:'членские взносы'!T274)</f>
        <v>5000</v>
      </c>
      <c r="U275" s="29">
        <f>SUM('план на 2016'!$L276:U276)-SUM('членские взносы'!$M274:'членские взносы'!U274)</f>
        <v>5000</v>
      </c>
      <c r="V275" s="29">
        <f>SUM('план на 2016'!$L276:V276)-SUM('членские взносы'!$M274:'членские взносы'!V274)</f>
        <v>5800</v>
      </c>
      <c r="W275" s="29">
        <f>SUM('план на 2016'!$L276:W276)-SUM('членские взносы'!$M274:'членские взносы'!W274)</f>
        <v>5800</v>
      </c>
      <c r="X275" s="29">
        <f>SUM('план на 2016'!$L276:X276)-SUM('членские взносы'!$M274:'членские взносы'!X274)</f>
        <v>5000</v>
      </c>
      <c r="Y275" s="18">
        <f t="shared" si="30"/>
        <v>5000</v>
      </c>
    </row>
    <row r="276" spans="1:25">
      <c r="A276" s="41">
        <f>VLOOKUP(B276,справочник!$B$2:$E$322,4,FALSE)</f>
        <v>252</v>
      </c>
      <c r="B276" t="str">
        <f t="shared" si="29"/>
        <v>264Тарасенко Анатолий Семенович</v>
      </c>
      <c r="C276" s="1">
        <v>264</v>
      </c>
      <c r="D276" s="2" t="s">
        <v>261</v>
      </c>
      <c r="E276" s="1" t="s">
        <v>572</v>
      </c>
      <c r="F276" s="19">
        <v>41967</v>
      </c>
      <c r="G276" s="19">
        <v>41974</v>
      </c>
      <c r="H276" s="20">
        <f t="shared" si="31"/>
        <v>13</v>
      </c>
      <c r="I276" s="5">
        <f t="shared" si="32"/>
        <v>13000</v>
      </c>
      <c r="J276" s="20">
        <v>8000</v>
      </c>
      <c r="K276" s="20"/>
      <c r="L276" s="21">
        <f t="shared" si="28"/>
        <v>5000</v>
      </c>
      <c r="M276" s="29">
        <f>SUM('план на 2016'!$L277:M277)-SUM('членские взносы'!$M275:'членские взносы'!M275)</f>
        <v>5000</v>
      </c>
      <c r="N276" s="29">
        <f>SUM('план на 2016'!$L277:N277)-SUM('членские взносы'!$M275:'членские взносы'!N275)</f>
        <v>5000</v>
      </c>
      <c r="O276" s="29">
        <f>SUM('план на 2016'!$L277:O277)-SUM('членские взносы'!$M275:'членские взносы'!O275)</f>
        <v>5000</v>
      </c>
      <c r="P276" s="29">
        <f>SUM('план на 2016'!$L277:P277)-SUM('членские взносы'!$M275:'членские взносы'!P275)</f>
        <v>5000</v>
      </c>
      <c r="Q276" s="29">
        <f>SUM('план на 2016'!$L277:Q277)-SUM('членские взносы'!$M275:'членские взносы'!Q275)</f>
        <v>5000</v>
      </c>
      <c r="R276" s="29">
        <f>SUM('план на 2016'!$L277:R277)-SUM('членские взносы'!$M275:'членские взносы'!R275)</f>
        <v>5000</v>
      </c>
      <c r="S276" s="29">
        <f>SUM('план на 2016'!$L277:S277)-SUM('членские взносы'!$M275:'членские взносы'!S275)</f>
        <v>5000</v>
      </c>
      <c r="T276" s="29">
        <f>SUM('план на 2016'!$L277:T277)-SUM('членские взносы'!$M275:'членские взносы'!T275)</f>
        <v>5000</v>
      </c>
      <c r="U276" s="29">
        <f>SUM('план на 2016'!$L277:U277)-SUM('членские взносы'!$M275:'членские взносы'!U275)</f>
        <v>5000</v>
      </c>
      <c r="V276" s="29">
        <f>SUM('план на 2016'!$L277:V277)-SUM('членские взносы'!$M275:'членские взносы'!V275)</f>
        <v>5000</v>
      </c>
      <c r="W276" s="29">
        <f>SUM('план на 2016'!$L277:W277)-SUM('членские взносы'!$M275:'членские взносы'!W275)</f>
        <v>5000</v>
      </c>
      <c r="X276" s="29">
        <f>SUM('план на 2016'!$L277:X277)-SUM('членские взносы'!$M275:'членские взносы'!X275)</f>
        <v>5000</v>
      </c>
      <c r="Y276" s="18">
        <f t="shared" si="30"/>
        <v>5000</v>
      </c>
    </row>
    <row r="277" spans="1:25" ht="25.5" customHeight="1">
      <c r="A277" s="41">
        <f>VLOOKUP(B277,справочник!$B$2:$E$322,4,FALSE)</f>
        <v>45</v>
      </c>
      <c r="B277" t="str">
        <f t="shared" si="29"/>
        <v>45Темникова Елена Станиславовна</v>
      </c>
      <c r="C277" s="1">
        <v>45</v>
      </c>
      <c r="D277" s="2" t="s">
        <v>262</v>
      </c>
      <c r="E277" s="1" t="s">
        <v>573</v>
      </c>
      <c r="F277" s="16">
        <v>41044</v>
      </c>
      <c r="G277" s="16">
        <v>41030</v>
      </c>
      <c r="H277" s="17">
        <f t="shared" si="31"/>
        <v>44</v>
      </c>
      <c r="I277" s="1">
        <f t="shared" si="32"/>
        <v>44000</v>
      </c>
      <c r="J277" s="17">
        <f>27000+8000</f>
        <v>35000</v>
      </c>
      <c r="K277" s="17">
        <v>9000</v>
      </c>
      <c r="L277" s="18">
        <f t="shared" si="28"/>
        <v>0</v>
      </c>
      <c r="M277" s="29">
        <f>SUM('план на 2016'!$L278:M278)-SUM('членские взносы'!$M276:'членские взносы'!M276)</f>
        <v>0</v>
      </c>
      <c r="N277" s="29">
        <f>SUM('план на 2016'!$L278:N278)-SUM('членские взносы'!$M276:'членские взносы'!N276)</f>
        <v>0</v>
      </c>
      <c r="O277" s="29">
        <f>SUM('план на 2016'!$L278:O278)-SUM('членские взносы'!$M276:'членские взносы'!O276)</f>
        <v>0</v>
      </c>
      <c r="P277" s="29">
        <f>SUM('план на 2016'!$L278:P278)-SUM('членские взносы'!$M276:'членские взносы'!P276)</f>
        <v>0</v>
      </c>
      <c r="Q277" s="29">
        <f>SUM('план на 2016'!$L278:Q278)-SUM('членские взносы'!$M276:'членские взносы'!Q276)</f>
        <v>0</v>
      </c>
      <c r="R277" s="29">
        <f>SUM('план на 2016'!$L278:R278)-SUM('членские взносы'!$M276:'членские взносы'!R276)</f>
        <v>0</v>
      </c>
      <c r="S277" s="29">
        <f>SUM('план на 2016'!$L278:S278)-SUM('членские взносы'!$M276:'членские взносы'!S276)</f>
        <v>0</v>
      </c>
      <c r="T277" s="29">
        <f>SUM('план на 2016'!$L278:T278)-SUM('членские взносы'!$M276:'членские взносы'!T276)</f>
        <v>0</v>
      </c>
      <c r="U277" s="29">
        <f>SUM('план на 2016'!$L278:U278)-SUM('членские взносы'!$M276:'членские взносы'!U276)</f>
        <v>-2400</v>
      </c>
      <c r="V277" s="29">
        <f>SUM('план на 2016'!$L278:V278)-SUM('членские взносы'!$M276:'членские взносы'!V276)</f>
        <v>-4200</v>
      </c>
      <c r="W277" s="29">
        <f>SUM('план на 2016'!$L278:W278)-SUM('членские взносы'!$M276:'членские взносы'!W276)</f>
        <v>-3400</v>
      </c>
      <c r="X277" s="29">
        <f>SUM('план на 2016'!$L278:X278)-SUM('членские взносы'!$M276:'членские взносы'!X276)</f>
        <v>-2600</v>
      </c>
      <c r="Y277" s="18">
        <f t="shared" si="30"/>
        <v>-2600</v>
      </c>
    </row>
    <row r="278" spans="1:25">
      <c r="A278" s="41">
        <f>VLOOKUP(B278,справочник!$B$2:$E$322,4,FALSE)</f>
        <v>319</v>
      </c>
      <c r="B278" t="str">
        <f t="shared" si="29"/>
        <v>73-74Тимофеева Лариса Викторовна</v>
      </c>
      <c r="C278" s="1" t="s">
        <v>263</v>
      </c>
      <c r="D278" s="2" t="s">
        <v>264</v>
      </c>
      <c r="E278" s="1" t="s">
        <v>574</v>
      </c>
      <c r="F278" s="16">
        <v>40774</v>
      </c>
      <c r="G278" s="16">
        <v>40787</v>
      </c>
      <c r="H278" s="17">
        <f t="shared" si="31"/>
        <v>52</v>
      </c>
      <c r="I278" s="1">
        <v>76000</v>
      </c>
      <c r="J278" s="17">
        <f>8000+68000</f>
        <v>76000</v>
      </c>
      <c r="K278" s="17"/>
      <c r="L278" s="18">
        <f t="shared" si="28"/>
        <v>0</v>
      </c>
      <c r="M278" s="29">
        <f>SUM('план на 2016'!$L279:M279)-SUM('членские взносы'!$M277:'членские взносы'!M277)</f>
        <v>800</v>
      </c>
      <c r="N278" s="29">
        <f>SUM('план на 2016'!$L279:N279)-SUM('членские взносы'!$M277:'членские взносы'!N277)</f>
        <v>-400</v>
      </c>
      <c r="O278" s="29">
        <f>SUM('план на 2016'!$L279:O279)-SUM('членские взносы'!$M277:'членские взносы'!O277)</f>
        <v>400</v>
      </c>
      <c r="P278" s="29">
        <f>SUM('план на 2016'!$L279:P279)-SUM('членские взносы'!$M277:'членские взносы'!P277)</f>
        <v>-2800</v>
      </c>
      <c r="Q278" s="29">
        <f>SUM('план на 2016'!$L279:Q279)-SUM('членские взносы'!$M277:'членские взносы'!Q277)</f>
        <v>-6000</v>
      </c>
      <c r="R278" s="29">
        <f>SUM('план на 2016'!$L279:R279)-SUM('членские взносы'!$M277:'членские взносы'!R277)</f>
        <v>-5200</v>
      </c>
      <c r="S278" s="29">
        <f>SUM('план на 2016'!$L279:S279)-SUM('членские взносы'!$M277:'членские взносы'!S277)</f>
        <v>-4400</v>
      </c>
      <c r="T278" s="29">
        <f>SUM('план на 2016'!$L279:T279)-SUM('членские взносы'!$M277:'членские взносы'!T277)</f>
        <v>-7600</v>
      </c>
      <c r="U278" s="29">
        <f>SUM('план на 2016'!$L279:U279)-SUM('членские взносы'!$M277:'членские взносы'!U277)</f>
        <v>-6800</v>
      </c>
      <c r="V278" s="29">
        <f>SUM('план на 2016'!$L279:V279)-SUM('членские взносы'!$M277:'членские взносы'!V277)</f>
        <v>-10000</v>
      </c>
      <c r="W278" s="29">
        <f>SUM('план на 2016'!$L279:W279)-SUM('членские взносы'!$M277:'членские взносы'!W277)</f>
        <v>-13200</v>
      </c>
      <c r="X278" s="29">
        <f>SUM('план на 2016'!$L279:X279)-SUM('членские взносы'!$M277:'членские взносы'!X277)</f>
        <v>-12400</v>
      </c>
      <c r="Y278" s="18">
        <f t="shared" si="30"/>
        <v>-12400</v>
      </c>
    </row>
    <row r="279" spans="1:25">
      <c r="A279" s="41">
        <f>VLOOKUP(B279,справочник!$B$2:$E$322,4,FALSE)</f>
        <v>93</v>
      </c>
      <c r="B279" t="str">
        <f t="shared" si="29"/>
        <v>98Тимофеева Татьяна Александровна (Денис)</v>
      </c>
      <c r="C279" s="1">
        <v>98</v>
      </c>
      <c r="D279" s="2" t="s">
        <v>265</v>
      </c>
      <c r="E279" s="1" t="s">
        <v>575</v>
      </c>
      <c r="F279" s="16">
        <v>40774</v>
      </c>
      <c r="G279" s="16">
        <v>40787</v>
      </c>
      <c r="H279" s="17">
        <f t="shared" si="31"/>
        <v>52</v>
      </c>
      <c r="I279" s="1">
        <f t="shared" ref="I279:I309" si="33">H279*1000</f>
        <v>52000</v>
      </c>
      <c r="J279" s="17">
        <f>4000+30000</f>
        <v>34000</v>
      </c>
      <c r="K279" s="17"/>
      <c r="L279" s="18">
        <f t="shared" si="28"/>
        <v>18000</v>
      </c>
      <c r="M279" s="29">
        <f>SUM('план на 2016'!$L280:M280)-SUM('членские взносы'!$M278:'членские взносы'!M278)</f>
        <v>18800</v>
      </c>
      <c r="N279" s="29">
        <f>SUM('план на 2016'!$L280:N280)-SUM('членские взносы'!$M278:'членские взносы'!N278)</f>
        <v>19600</v>
      </c>
      <c r="O279" s="29">
        <f>SUM('план на 2016'!$L280:O280)-SUM('членские взносы'!$M278:'членские взносы'!O278)</f>
        <v>20400</v>
      </c>
      <c r="P279" s="29">
        <f>SUM('план на 2016'!$L280:P280)-SUM('членские взносы'!$M278:'членские взносы'!P278)</f>
        <v>21200</v>
      </c>
      <c r="Q279" s="29">
        <f>SUM('план на 2016'!$L280:Q280)-SUM('членские взносы'!$M278:'членские взносы'!Q278)</f>
        <v>22000</v>
      </c>
      <c r="R279" s="29">
        <f>SUM('план на 2016'!$L280:R280)-SUM('членские взносы'!$M278:'членские взносы'!R278)</f>
        <v>22800</v>
      </c>
      <c r="S279" s="29">
        <f>SUM('план на 2016'!$L280:S280)-SUM('членские взносы'!$M278:'членские взносы'!S278)</f>
        <v>23600</v>
      </c>
      <c r="T279" s="29">
        <f>SUM('план на 2016'!$L280:T280)-SUM('членские взносы'!$M278:'членские взносы'!T278)</f>
        <v>24400</v>
      </c>
      <c r="U279" s="29">
        <f>SUM('план на 2016'!$L280:U280)-SUM('членские взносы'!$M278:'членские взносы'!U278)</f>
        <v>25200</v>
      </c>
      <c r="V279" s="29">
        <f>SUM('план на 2016'!$L280:V280)-SUM('членские взносы'!$M278:'членские взносы'!V278)</f>
        <v>26000</v>
      </c>
      <c r="W279" s="29">
        <f>SUM('план на 2016'!$L280:W280)-SUM('членские взносы'!$M278:'членские взносы'!W278)</f>
        <v>26800</v>
      </c>
      <c r="X279" s="29">
        <f>SUM('план на 2016'!$L280:X280)-SUM('членские взносы'!$M278:'членские взносы'!X278)</f>
        <v>27600</v>
      </c>
      <c r="Y279" s="18">
        <f t="shared" si="30"/>
        <v>27600</v>
      </c>
    </row>
    <row r="280" spans="1:25">
      <c r="A280" s="41">
        <f>VLOOKUP(B280,справочник!$B$2:$E$322,4,FALSE)</f>
        <v>255</v>
      </c>
      <c r="B280" t="str">
        <f t="shared" si="29"/>
        <v>268Толкова Елена Анатольевна (Олег)</v>
      </c>
      <c r="C280" s="1">
        <v>268</v>
      </c>
      <c r="D280" s="2" t="s">
        <v>266</v>
      </c>
      <c r="E280" s="1" t="s">
        <v>576</v>
      </c>
      <c r="F280" s="16">
        <v>40959</v>
      </c>
      <c r="G280" s="16">
        <v>40969</v>
      </c>
      <c r="H280" s="17">
        <f t="shared" si="31"/>
        <v>46</v>
      </c>
      <c r="I280" s="1">
        <f t="shared" si="33"/>
        <v>46000</v>
      </c>
      <c r="J280" s="17">
        <f>37000+9000</f>
        <v>46000</v>
      </c>
      <c r="K280" s="17"/>
      <c r="L280" s="18">
        <f t="shared" si="28"/>
        <v>0</v>
      </c>
      <c r="M280" s="29">
        <f>SUM('план на 2016'!$L281:M281)-SUM('членские взносы'!$M279:'членские взносы'!M279)</f>
        <v>800</v>
      </c>
      <c r="N280" s="29">
        <f>SUM('план на 2016'!$L281:N281)-SUM('членские взносы'!$M279:'членские взносы'!N279)</f>
        <v>1600</v>
      </c>
      <c r="O280" s="29">
        <f>SUM('план на 2016'!$L281:O281)-SUM('членские взносы'!$M279:'членские взносы'!O279)</f>
        <v>-800</v>
      </c>
      <c r="P280" s="29">
        <f>SUM('план на 2016'!$L281:P281)-SUM('членские взносы'!$M279:'членские взносы'!P279)</f>
        <v>0</v>
      </c>
      <c r="Q280" s="29">
        <f>SUM('план на 2016'!$L281:Q281)-SUM('членские взносы'!$M279:'членские взносы'!Q279)</f>
        <v>-2400</v>
      </c>
      <c r="R280" s="29">
        <f>SUM('план на 2016'!$L281:R281)-SUM('членские взносы'!$M279:'членские взносы'!R279)</f>
        <v>-1600</v>
      </c>
      <c r="S280" s="29">
        <f>SUM('план на 2016'!$L281:S281)-SUM('членские взносы'!$M279:'членские взносы'!S279)</f>
        <v>-800</v>
      </c>
      <c r="T280" s="29">
        <f>SUM('план на 2016'!$L281:T281)-SUM('членские взносы'!$M279:'членские взносы'!T279)</f>
        <v>0</v>
      </c>
      <c r="U280" s="29">
        <f>SUM('план на 2016'!$L281:U281)-SUM('членские взносы'!$M279:'членские взносы'!U279)</f>
        <v>800</v>
      </c>
      <c r="V280" s="29">
        <f>SUM('план на 2016'!$L281:V281)-SUM('членские взносы'!$M279:'членские взносы'!V279)</f>
        <v>1600</v>
      </c>
      <c r="W280" s="29">
        <f>SUM('план на 2016'!$L281:W281)-SUM('членские взносы'!$M279:'членские взносы'!W279)</f>
        <v>-800</v>
      </c>
      <c r="X280" s="29">
        <f>SUM('план на 2016'!$L281:X281)-SUM('членские взносы'!$M279:'членские взносы'!X279)</f>
        <v>0</v>
      </c>
      <c r="Y280" s="18">
        <f t="shared" si="30"/>
        <v>0</v>
      </c>
    </row>
    <row r="281" spans="1:25">
      <c r="A281" s="41">
        <f>VLOOKUP(B281,справочник!$B$2:$E$322,4,FALSE)</f>
        <v>167</v>
      </c>
      <c r="B281" t="str">
        <f t="shared" si="29"/>
        <v>175Трубченко Петр Александрович</v>
      </c>
      <c r="C281" s="1">
        <v>175</v>
      </c>
      <c r="D281" s="2" t="s">
        <v>267</v>
      </c>
      <c r="E281" s="1" t="s">
        <v>577</v>
      </c>
      <c r="F281" s="16">
        <v>41613</v>
      </c>
      <c r="G281" s="16">
        <v>41640</v>
      </c>
      <c r="H281" s="17">
        <f t="shared" si="31"/>
        <v>24</v>
      </c>
      <c r="I281" s="1">
        <f t="shared" si="33"/>
        <v>24000</v>
      </c>
      <c r="J281" s="17">
        <v>12000</v>
      </c>
      <c r="K281" s="17"/>
      <c r="L281" s="18">
        <f t="shared" si="28"/>
        <v>12000</v>
      </c>
      <c r="M281" s="29">
        <f>SUM('план на 2016'!$L282:M282)-SUM('членские взносы'!$M280:'членские взносы'!M280)</f>
        <v>12800</v>
      </c>
      <c r="N281" s="29">
        <f>SUM('план на 2016'!$L282:N282)-SUM('членские взносы'!$M280:'членские взносы'!N280)</f>
        <v>13600</v>
      </c>
      <c r="O281" s="29">
        <f>SUM('план на 2016'!$L282:O282)-SUM('членские взносы'!$M280:'членские взносы'!O280)</f>
        <v>14400</v>
      </c>
      <c r="P281" s="29">
        <f>SUM('план на 2016'!$L282:P282)-SUM('членские взносы'!$M280:'членские взносы'!P280)</f>
        <v>15200</v>
      </c>
      <c r="Q281" s="29">
        <f>SUM('план на 2016'!$L282:Q282)-SUM('членские взносы'!$M280:'членские взносы'!Q280)</f>
        <v>16000</v>
      </c>
      <c r="R281" s="29">
        <f>SUM('план на 2016'!$L282:R282)-SUM('членские взносы'!$M280:'членские взносы'!R280)</f>
        <v>16800</v>
      </c>
      <c r="S281" s="29">
        <f>SUM('план на 2016'!$L282:S282)-SUM('членские взносы'!$M280:'членские взносы'!S280)</f>
        <v>17600</v>
      </c>
      <c r="T281" s="29">
        <f>SUM('план на 2016'!$L282:T282)-SUM('членские взносы'!$M280:'членские взносы'!T280)</f>
        <v>18400</v>
      </c>
      <c r="U281" s="29">
        <f>SUM('план на 2016'!$L282:U282)-SUM('членские взносы'!$M280:'членские взносы'!U280)</f>
        <v>19200</v>
      </c>
      <c r="V281" s="29">
        <f>SUM('план на 2016'!$L282:V282)-SUM('членские взносы'!$M280:'членские взносы'!V280)</f>
        <v>20000</v>
      </c>
      <c r="W281" s="29">
        <f>SUM('план на 2016'!$L282:W282)-SUM('членские взносы'!$M280:'членские взносы'!W280)</f>
        <v>20800</v>
      </c>
      <c r="X281" s="29">
        <f>SUM('план на 2016'!$L282:X282)-SUM('членские взносы'!$M280:'членские взносы'!X280)</f>
        <v>21600</v>
      </c>
      <c r="Y281" s="18">
        <f t="shared" si="30"/>
        <v>21600</v>
      </c>
    </row>
    <row r="282" spans="1:25" ht="25.5" customHeight="1">
      <c r="A282" s="41">
        <f>VLOOKUP(B282,справочник!$B$2:$E$322,4,FALSE)</f>
        <v>99</v>
      </c>
      <c r="B282" t="str">
        <f t="shared" si="29"/>
        <v>104Трыкин Евгений Викторович</v>
      </c>
      <c r="C282" s="1">
        <v>104</v>
      </c>
      <c r="D282" s="2" t="s">
        <v>268</v>
      </c>
      <c r="E282" s="1" t="s">
        <v>578</v>
      </c>
      <c r="F282" s="16">
        <v>41104</v>
      </c>
      <c r="G282" s="16">
        <v>41091</v>
      </c>
      <c r="H282" s="17">
        <f t="shared" si="31"/>
        <v>42</v>
      </c>
      <c r="I282" s="1">
        <f t="shared" si="33"/>
        <v>42000</v>
      </c>
      <c r="J282" s="17">
        <v>13000</v>
      </c>
      <c r="K282" s="17"/>
      <c r="L282" s="18">
        <f t="shared" si="28"/>
        <v>29000</v>
      </c>
      <c r="M282" s="29">
        <f>SUM('план на 2016'!$L283:M283)-SUM('членские взносы'!$M281:'членские взносы'!M281)</f>
        <v>29800</v>
      </c>
      <c r="N282" s="29">
        <f>SUM('план на 2016'!$L283:N283)-SUM('членские взносы'!$M281:'членские взносы'!N281)</f>
        <v>30600</v>
      </c>
      <c r="O282" s="29">
        <f>SUM('план на 2016'!$L283:O283)-SUM('членские взносы'!$M281:'членские взносы'!O281)</f>
        <v>31400</v>
      </c>
      <c r="P282" s="29">
        <f>SUM('план на 2016'!$L283:P283)-SUM('членские взносы'!$M281:'членские взносы'!P281)</f>
        <v>32200</v>
      </c>
      <c r="Q282" s="29">
        <f>SUM('план на 2016'!$L283:Q283)-SUM('членские взносы'!$M281:'членские взносы'!Q281)</f>
        <v>33000</v>
      </c>
      <c r="R282" s="29">
        <f>SUM('план на 2016'!$L283:R283)-SUM('членские взносы'!$M281:'членские взносы'!R281)</f>
        <v>33800</v>
      </c>
      <c r="S282" s="29">
        <f>SUM('план на 2016'!$L283:S283)-SUM('членские взносы'!$M281:'членские взносы'!S281)</f>
        <v>34600</v>
      </c>
      <c r="T282" s="29">
        <f>SUM('план на 2016'!$L283:T283)-SUM('членские взносы'!$M281:'членские взносы'!T281)</f>
        <v>35400</v>
      </c>
      <c r="U282" s="29">
        <f>SUM('план на 2016'!$L283:U283)-SUM('членские взносы'!$M281:'членские взносы'!U281)</f>
        <v>36200</v>
      </c>
      <c r="V282" s="29">
        <f>SUM('план на 2016'!$L283:V283)-SUM('членские взносы'!$M281:'членские взносы'!V281)</f>
        <v>37000</v>
      </c>
      <c r="W282" s="29">
        <f>SUM('план на 2016'!$L283:W283)-SUM('членские взносы'!$M281:'членские взносы'!W281)</f>
        <v>37800</v>
      </c>
      <c r="X282" s="29">
        <f>SUM('план на 2016'!$L283:X283)-SUM('членские взносы'!$M281:'членские взносы'!X281)</f>
        <v>38600</v>
      </c>
      <c r="Y282" s="18">
        <f t="shared" si="30"/>
        <v>38600</v>
      </c>
    </row>
    <row r="283" spans="1:25">
      <c r="A283" s="41">
        <f>VLOOKUP(B283,справочник!$B$2:$E$322,4,FALSE)</f>
        <v>146</v>
      </c>
      <c r="B283" t="str">
        <f t="shared" si="29"/>
        <v>154Тюленев Вячеслав Рудольфович</v>
      </c>
      <c r="C283" s="1">
        <v>154</v>
      </c>
      <c r="D283" s="2" t="s">
        <v>269</v>
      </c>
      <c r="E283" s="1" t="s">
        <v>579</v>
      </c>
      <c r="F283" s="16">
        <v>40757</v>
      </c>
      <c r="G283" s="16">
        <v>40756</v>
      </c>
      <c r="H283" s="17">
        <f t="shared" si="31"/>
        <v>53</v>
      </c>
      <c r="I283" s="1">
        <f t="shared" si="33"/>
        <v>53000</v>
      </c>
      <c r="J283" s="17">
        <f>31000</f>
        <v>31000</v>
      </c>
      <c r="K283" s="17"/>
      <c r="L283" s="18">
        <f t="shared" si="28"/>
        <v>22000</v>
      </c>
      <c r="M283" s="29">
        <f>SUM('план на 2016'!$L284:M284)-SUM('членские взносы'!$M282:'членские взносы'!M282)</f>
        <v>22800</v>
      </c>
      <c r="N283" s="29">
        <f>SUM('план на 2016'!$L284:N284)-SUM('членские взносы'!$M282:'членские взносы'!N282)</f>
        <v>23600</v>
      </c>
      <c r="O283" s="29">
        <f>SUM('план на 2016'!$L284:O284)-SUM('членские взносы'!$M282:'членские взносы'!O282)</f>
        <v>24400</v>
      </c>
      <c r="P283" s="29">
        <f>SUM('план на 2016'!$L284:P284)-SUM('членские взносы'!$M282:'членские взносы'!P282)</f>
        <v>25200</v>
      </c>
      <c r="Q283" s="29">
        <f>SUM('план на 2016'!$L284:Q284)-SUM('членские взносы'!$M282:'членские взносы'!Q282)</f>
        <v>26000</v>
      </c>
      <c r="R283" s="29">
        <f>SUM('план на 2016'!$L284:R284)-SUM('членские взносы'!$M282:'членские взносы'!R282)</f>
        <v>800</v>
      </c>
      <c r="S283" s="29">
        <f>SUM('план на 2016'!$L284:S284)-SUM('членские взносы'!$M282:'членские взносы'!S282)</f>
        <v>1600</v>
      </c>
      <c r="T283" s="29">
        <f>SUM('план на 2016'!$L284:T284)-SUM('членские взносы'!$M282:'членские взносы'!T282)</f>
        <v>2400</v>
      </c>
      <c r="U283" s="29">
        <f>SUM('план на 2016'!$L284:U284)-SUM('членские взносы'!$M282:'членские взносы'!U282)</f>
        <v>3200</v>
      </c>
      <c r="V283" s="29">
        <f>SUM('план на 2016'!$L284:V284)-SUM('членские взносы'!$M282:'членские взносы'!V282)</f>
        <v>4000</v>
      </c>
      <c r="W283" s="29">
        <f>SUM('план на 2016'!$L284:W284)-SUM('членские взносы'!$M282:'членские взносы'!W282)</f>
        <v>4800</v>
      </c>
      <c r="X283" s="29">
        <f>SUM('план на 2016'!$L284:X284)-SUM('членские взносы'!$M282:'членские взносы'!X282)</f>
        <v>5600</v>
      </c>
      <c r="Y283" s="18">
        <f t="shared" si="30"/>
        <v>5600</v>
      </c>
    </row>
    <row r="284" spans="1:25">
      <c r="A284" s="41">
        <f>VLOOKUP(B284,справочник!$B$2:$E$322,4,FALSE)</f>
        <v>29</v>
      </c>
      <c r="B284" t="str">
        <f t="shared" si="29"/>
        <v>29Петрик Наталья Вячеславовна</v>
      </c>
      <c r="C284" s="1">
        <v>29</v>
      </c>
      <c r="D284" s="46" t="s">
        <v>707</v>
      </c>
      <c r="E284" s="1"/>
      <c r="F284" s="16">
        <v>41130</v>
      </c>
      <c r="G284" s="16">
        <v>41122</v>
      </c>
      <c r="H284" s="17">
        <f t="shared" si="31"/>
        <v>41</v>
      </c>
      <c r="I284" s="1">
        <f t="shared" si="33"/>
        <v>41000</v>
      </c>
      <c r="J284" s="17">
        <v>32000</v>
      </c>
      <c r="K284" s="17"/>
      <c r="L284" s="18">
        <f t="shared" si="28"/>
        <v>9000</v>
      </c>
      <c r="M284" s="29">
        <f>SUM('план на 2016'!$L285:M285)-SUM('членские взносы'!$M283:'членские взносы'!M283)</f>
        <v>800</v>
      </c>
      <c r="N284" s="29">
        <f>SUM('план на 2016'!$L285:N285)-SUM('членские взносы'!$M283:'членские взносы'!N283)</f>
        <v>0</v>
      </c>
      <c r="O284" s="29">
        <f>SUM('план на 2016'!$L285:O285)-SUM('членские взносы'!$M283:'членские взносы'!O283)</f>
        <v>0</v>
      </c>
      <c r="P284" s="29">
        <f>SUM('план на 2016'!$L285:P285)-SUM('членские взносы'!$M283:'членские взносы'!P283)</f>
        <v>-800</v>
      </c>
      <c r="Q284" s="29">
        <f>SUM('план на 2016'!$L285:Q285)-SUM('членские взносы'!$M283:'членские взносы'!Q283)</f>
        <v>0</v>
      </c>
      <c r="R284" s="29">
        <f>SUM('план на 2016'!$L285:R285)-SUM('членские взносы'!$M283:'членские взносы'!R283)</f>
        <v>800</v>
      </c>
      <c r="S284" s="29">
        <f>SUM('план на 2016'!$L285:S285)-SUM('членские взносы'!$M283:'членские взносы'!S283)</f>
        <v>-800</v>
      </c>
      <c r="T284" s="29">
        <f>SUM('план на 2016'!$L285:T285)-SUM('членские взносы'!$M283:'членские взносы'!T283)</f>
        <v>0</v>
      </c>
      <c r="U284" s="29">
        <f>SUM('план на 2016'!$L285:U285)-SUM('членские взносы'!$M283:'членские взносы'!U283)</f>
        <v>0</v>
      </c>
      <c r="V284" s="29">
        <f>SUM('план на 2016'!$L285:V285)-SUM('членские взносы'!$M283:'членские взносы'!V283)</f>
        <v>-800</v>
      </c>
      <c r="W284" s="29">
        <f>SUM('план на 2016'!$L285:W285)-SUM('членские взносы'!$M283:'членские взносы'!W283)</f>
        <v>0</v>
      </c>
      <c r="X284" s="29">
        <f>SUM('план на 2016'!$L285:X285)-SUM('членские взносы'!$M283:'членские взносы'!X283)</f>
        <v>-800</v>
      </c>
      <c r="Y284" s="18">
        <f t="shared" si="30"/>
        <v>-800</v>
      </c>
    </row>
    <row r="285" spans="1:25">
      <c r="A285" s="41">
        <f>VLOOKUP(B285,справочник!$B$2:$E$322,4,FALSE)</f>
        <v>28</v>
      </c>
      <c r="B285" t="str">
        <f t="shared" si="29"/>
        <v>28Федорова Наталья Владимировна</v>
      </c>
      <c r="C285" s="1">
        <v>28</v>
      </c>
      <c r="D285" s="2" t="s">
        <v>271</v>
      </c>
      <c r="E285" s="1" t="s">
        <v>580</v>
      </c>
      <c r="F285" s="16">
        <v>41039</v>
      </c>
      <c r="G285" s="16">
        <v>41030</v>
      </c>
      <c r="H285" s="17">
        <f t="shared" si="31"/>
        <v>44</v>
      </c>
      <c r="I285" s="1">
        <f t="shared" si="33"/>
        <v>44000</v>
      </c>
      <c r="J285" s="17">
        <f>33000+8000</f>
        <v>41000</v>
      </c>
      <c r="K285" s="17"/>
      <c r="L285" s="18">
        <f t="shared" si="28"/>
        <v>3000</v>
      </c>
      <c r="M285" s="29">
        <f>SUM('план на 2016'!$L286:M286)-SUM('членские взносы'!$M284:'членские взносы'!M284)</f>
        <v>3800</v>
      </c>
      <c r="N285" s="29">
        <f>SUM('план на 2016'!$L286:N286)-SUM('членские взносы'!$M284:'членские взносы'!N284)</f>
        <v>600</v>
      </c>
      <c r="O285" s="29">
        <f>SUM('план на 2016'!$L286:O286)-SUM('членские взносы'!$M284:'членские взносы'!O284)</f>
        <v>1400</v>
      </c>
      <c r="P285" s="29">
        <f>SUM('план на 2016'!$L286:P286)-SUM('членские взносы'!$M284:'членские взносы'!P284)</f>
        <v>-200</v>
      </c>
      <c r="Q285" s="29">
        <f>SUM('план на 2016'!$L286:Q286)-SUM('членские взносы'!$M284:'членские взносы'!Q284)</f>
        <v>600</v>
      </c>
      <c r="R285" s="29">
        <f>SUM('план на 2016'!$L286:R286)-SUM('членские взносы'!$M284:'членские взносы'!R284)</f>
        <v>1400</v>
      </c>
      <c r="S285" s="29">
        <f>SUM('план на 2016'!$L286:S286)-SUM('членские взносы'!$M284:'членские взносы'!S284)</f>
        <v>2200</v>
      </c>
      <c r="T285" s="29">
        <f>SUM('план на 2016'!$L286:T286)-SUM('членские взносы'!$M284:'членские взносы'!T284)</f>
        <v>3000</v>
      </c>
      <c r="U285" s="29">
        <f>SUM('план на 2016'!$L286:U286)-SUM('членские взносы'!$M284:'членские взносы'!U284)</f>
        <v>-1800</v>
      </c>
      <c r="V285" s="29">
        <f>SUM('план на 2016'!$L286:V286)-SUM('членские взносы'!$M284:'членские взносы'!V284)</f>
        <v>-1000</v>
      </c>
      <c r="W285" s="29">
        <f>SUM('план на 2016'!$L286:W286)-SUM('членские взносы'!$M284:'членские взносы'!W284)</f>
        <v>-200</v>
      </c>
      <c r="X285" s="29">
        <f>SUM('план на 2016'!$L286:X286)-SUM('членские взносы'!$M284:'членские взносы'!X284)</f>
        <v>600</v>
      </c>
      <c r="Y285" s="18">
        <f t="shared" si="30"/>
        <v>600</v>
      </c>
    </row>
    <row r="286" spans="1:25">
      <c r="A286" s="41">
        <f>VLOOKUP(B286,справочник!$B$2:$E$322,4,FALSE)</f>
        <v>27</v>
      </c>
      <c r="B286" t="str">
        <f t="shared" si="29"/>
        <v>27Федорова Юлия Владимировна</v>
      </c>
      <c r="C286" s="1">
        <v>27</v>
      </c>
      <c r="D286" s="2" t="s">
        <v>272</v>
      </c>
      <c r="E286" s="1" t="s">
        <v>581</v>
      </c>
      <c r="F286" s="16">
        <v>41260</v>
      </c>
      <c r="G286" s="16">
        <v>41275</v>
      </c>
      <c r="H286" s="17">
        <f t="shared" si="31"/>
        <v>36</v>
      </c>
      <c r="I286" s="1">
        <f t="shared" si="33"/>
        <v>36000</v>
      </c>
      <c r="J286" s="17">
        <v>24000</v>
      </c>
      <c r="K286" s="17"/>
      <c r="L286" s="18">
        <f t="shared" si="28"/>
        <v>12000</v>
      </c>
      <c r="M286" s="29">
        <f>SUM('план на 2016'!$L287:M287)-SUM('членские взносы'!$M285:'членские взносы'!M285)</f>
        <v>12800</v>
      </c>
      <c r="N286" s="29">
        <f>SUM('план на 2016'!$L287:N287)-SUM('членские взносы'!$M285:'членские взносы'!N285)</f>
        <v>13600</v>
      </c>
      <c r="O286" s="29">
        <f>SUM('план на 2016'!$L287:O287)-SUM('членские взносы'!$M285:'членские взносы'!O285)</f>
        <v>14400</v>
      </c>
      <c r="P286" s="29">
        <f>SUM('план на 2016'!$L287:P287)-SUM('членские взносы'!$M285:'членские взносы'!P285)</f>
        <v>15200</v>
      </c>
      <c r="Q286" s="29">
        <f>SUM('план на 2016'!$L287:Q287)-SUM('членские взносы'!$M285:'членские взносы'!Q285)</f>
        <v>16000</v>
      </c>
      <c r="R286" s="29">
        <f>SUM('план на 2016'!$L287:R287)-SUM('членские взносы'!$M285:'членские взносы'!R285)</f>
        <v>16800</v>
      </c>
      <c r="S286" s="29">
        <f>SUM('план на 2016'!$L287:S287)-SUM('членские взносы'!$M285:'членские взносы'!S285)</f>
        <v>17600</v>
      </c>
      <c r="T286" s="29">
        <f>SUM('план на 2016'!$L287:T287)-SUM('членские взносы'!$M285:'членские взносы'!T285)</f>
        <v>18400</v>
      </c>
      <c r="U286" s="29">
        <f>SUM('план на 2016'!$L287:U287)-SUM('членские взносы'!$M285:'членские взносы'!U285)</f>
        <v>19200</v>
      </c>
      <c r="V286" s="29">
        <f>SUM('план на 2016'!$L287:V287)-SUM('членские взносы'!$M285:'членские взносы'!V285)</f>
        <v>20000</v>
      </c>
      <c r="W286" s="29">
        <f>SUM('план на 2016'!$L287:W287)-SUM('членские взносы'!$M285:'членские взносы'!W285)</f>
        <v>20800</v>
      </c>
      <c r="X286" s="29">
        <f>SUM('план на 2016'!$L287:X287)-SUM('членские взносы'!$M285:'членские взносы'!X285)</f>
        <v>21600</v>
      </c>
      <c r="Y286" s="18">
        <f t="shared" si="30"/>
        <v>21600</v>
      </c>
    </row>
    <row r="287" spans="1:25">
      <c r="A287" s="41">
        <f>VLOOKUP(B287,справочник!$B$2:$E$322,4,FALSE)</f>
        <v>135</v>
      </c>
      <c r="B287" t="str">
        <f t="shared" si="29"/>
        <v>142-143Финогин Сергей Александрович</v>
      </c>
      <c r="C287" s="91" t="s">
        <v>274</v>
      </c>
      <c r="D287" s="2" t="s">
        <v>273</v>
      </c>
      <c r="E287" s="1" t="s">
        <v>582</v>
      </c>
      <c r="F287" s="19">
        <v>40834</v>
      </c>
      <c r="G287" s="19">
        <v>40817</v>
      </c>
      <c r="H287" s="20">
        <v>11</v>
      </c>
      <c r="I287" s="5">
        <f t="shared" si="33"/>
        <v>11000</v>
      </c>
      <c r="J287" s="20">
        <v>1000</v>
      </c>
      <c r="K287" s="20"/>
      <c r="L287" s="21">
        <f t="shared" si="28"/>
        <v>10000</v>
      </c>
      <c r="M287" s="29">
        <f>SUM('план на 2016'!$L288:M288)-SUM('членские взносы'!$M286:'членские взносы'!M286)</f>
        <v>10800</v>
      </c>
      <c r="N287" s="29">
        <f>SUM('план на 2016'!$L288:N288)-SUM('членские взносы'!$M286:'членские взносы'!N286)</f>
        <v>11600</v>
      </c>
      <c r="O287" s="29">
        <f>SUM('план на 2016'!$L288:O288)-SUM('членские взносы'!$M286:'членские взносы'!O286)</f>
        <v>4400</v>
      </c>
      <c r="P287" s="29">
        <f>SUM('план на 2016'!$L288:P288)-SUM('членские взносы'!$M286:'членские взносы'!P286)</f>
        <v>5200</v>
      </c>
      <c r="Q287" s="29">
        <f>SUM('план на 2016'!$L288:Q288)-SUM('членские взносы'!$M286:'членские взносы'!Q286)</f>
        <v>6000</v>
      </c>
      <c r="R287" s="29">
        <f>SUM('план на 2016'!$L288:R288)-SUM('членские взносы'!$M286:'членские взносы'!R286)</f>
        <v>-14200</v>
      </c>
      <c r="S287" s="29">
        <f>SUM('план на 2016'!$L288:S288)-SUM('членские взносы'!$M286:'членские взносы'!S286)</f>
        <v>-13400</v>
      </c>
      <c r="T287" s="29">
        <f>SUM('план на 2016'!$L288:T288)-SUM('членские взносы'!$M286:'членские взносы'!T286)</f>
        <v>-12600</v>
      </c>
      <c r="U287" s="29">
        <f>SUM('план на 2016'!$L288:U288)-SUM('членские взносы'!$M286:'членские взносы'!U286)</f>
        <v>-11800</v>
      </c>
      <c r="V287" s="29">
        <f>SUM('план на 2016'!$L288:V288)-SUM('членские взносы'!$M286:'членские взносы'!V286)</f>
        <v>-11000</v>
      </c>
      <c r="W287" s="29">
        <f>SUM('план на 2016'!$L288:W288)-SUM('членские взносы'!$M286:'членские взносы'!W286)</f>
        <v>-10200</v>
      </c>
      <c r="X287" s="29">
        <f>SUM('план на 2016'!$L288:X288)-SUM('членские взносы'!$M286:'членские взносы'!X286)</f>
        <v>-9400</v>
      </c>
      <c r="Y287" s="18">
        <f t="shared" si="30"/>
        <v>-9400</v>
      </c>
    </row>
    <row r="288" spans="1:25">
      <c r="A288" s="41">
        <f>VLOOKUP(B288,справочник!$B$2:$E$322,4,FALSE)</f>
        <v>135</v>
      </c>
      <c r="B288" t="str">
        <f t="shared" si="29"/>
        <v>142-143Финогин Сергей Александрович</v>
      </c>
      <c r="C288" s="91" t="s">
        <v>274</v>
      </c>
      <c r="D288" s="2" t="s">
        <v>273</v>
      </c>
      <c r="E288" s="1"/>
      <c r="F288" s="19">
        <v>40834</v>
      </c>
      <c r="G288" s="19">
        <v>40817</v>
      </c>
      <c r="H288" s="20">
        <v>11</v>
      </c>
      <c r="I288" s="5">
        <f t="shared" si="33"/>
        <v>11000</v>
      </c>
      <c r="J288" s="20">
        <v>1000</v>
      </c>
      <c r="K288" s="20"/>
      <c r="L288" s="21">
        <f t="shared" si="28"/>
        <v>10000</v>
      </c>
      <c r="M288" s="29">
        <f>SUM('план на 2016'!$L289:M289)-SUM('членские взносы'!$M287:'членские взносы'!M287)</f>
        <v>10000</v>
      </c>
      <c r="N288" s="29">
        <f>SUM('план на 2016'!$L289:N289)-SUM('членские взносы'!$M287:'членские взносы'!N287)</f>
        <v>10000</v>
      </c>
      <c r="O288" s="29">
        <f>SUM('план на 2016'!$L289:O289)-SUM('членские взносы'!$M287:'членские взносы'!O287)</f>
        <v>10000</v>
      </c>
      <c r="P288" s="29">
        <f>SUM('план на 2016'!$L289:P289)-SUM('членские взносы'!$M287:'членские взносы'!P287)</f>
        <v>10000</v>
      </c>
      <c r="Q288" s="29">
        <f>SUM('план на 2016'!$L289:Q289)-SUM('членские взносы'!$M287:'членские взносы'!Q287)</f>
        <v>10000</v>
      </c>
      <c r="R288" s="29">
        <f>SUM('план на 2016'!$L289:R289)-SUM('членские взносы'!$M287:'членские взносы'!R287)</f>
        <v>10000</v>
      </c>
      <c r="S288" s="29">
        <f>SUM('план на 2016'!$L289:S289)-SUM('членские взносы'!$M287:'членские взносы'!S287)</f>
        <v>10000</v>
      </c>
      <c r="T288" s="29">
        <f>SUM('план на 2016'!$L289:T289)-SUM('членские взносы'!$M287:'членские взносы'!T287)</f>
        <v>10000</v>
      </c>
      <c r="U288" s="29">
        <f>SUM('план на 2016'!$L289:U289)-SUM('членские взносы'!$M287:'членские взносы'!U287)</f>
        <v>10000</v>
      </c>
      <c r="V288" s="29">
        <f>SUM('план на 2016'!$L289:V289)-SUM('членские взносы'!$M287:'членские взносы'!V287)</f>
        <v>10000</v>
      </c>
      <c r="W288" s="29">
        <f>SUM('план на 2016'!$L289:W289)-SUM('членские взносы'!$M287:'членские взносы'!W287)</f>
        <v>10000</v>
      </c>
      <c r="X288" s="29">
        <f>SUM('план на 2016'!$L289:X289)-SUM('членские взносы'!$M287:'членские взносы'!X287)</f>
        <v>10000</v>
      </c>
      <c r="Y288" s="18">
        <f t="shared" si="30"/>
        <v>10000</v>
      </c>
    </row>
    <row r="289" spans="1:25">
      <c r="A289" s="41">
        <f>VLOOKUP(B289,справочник!$B$2:$E$322,4,FALSE)</f>
        <v>135</v>
      </c>
      <c r="B289" t="str">
        <f t="shared" si="29"/>
        <v>142-143Финогин Сергей Александрович</v>
      </c>
      <c r="C289" s="1" t="s">
        <v>274</v>
      </c>
      <c r="D289" s="2" t="s">
        <v>273</v>
      </c>
      <c r="E289" s="1"/>
      <c r="F289" s="19">
        <v>41183</v>
      </c>
      <c r="G289" s="19">
        <v>41183</v>
      </c>
      <c r="H289" s="20">
        <f t="shared" ref="H289:H320" si="34">INT(($H$326-G289)/30)</f>
        <v>39</v>
      </c>
      <c r="I289" s="5">
        <f t="shared" si="33"/>
        <v>39000</v>
      </c>
      <c r="J289" s="20"/>
      <c r="K289" s="20"/>
      <c r="L289" s="21">
        <f t="shared" si="28"/>
        <v>39000</v>
      </c>
      <c r="M289" s="29">
        <f>SUM('план на 2016'!$L290:M290)-SUM('членские взносы'!$M288:'членские взносы'!M288)</f>
        <v>39000</v>
      </c>
      <c r="N289" s="29">
        <f>SUM('план на 2016'!$L290:N290)-SUM('членские взносы'!$M288:'членские взносы'!N288)</f>
        <v>39000</v>
      </c>
      <c r="O289" s="29">
        <f>SUM('план на 2016'!$L290:O290)-SUM('членские взносы'!$M288:'членские взносы'!O288)</f>
        <v>39000</v>
      </c>
      <c r="P289" s="29">
        <f>SUM('план на 2016'!$L290:P290)-SUM('членские взносы'!$M288:'членские взносы'!P288)</f>
        <v>39000</v>
      </c>
      <c r="Q289" s="29">
        <f>SUM('план на 2016'!$L290:Q290)-SUM('членские взносы'!$M288:'членские взносы'!Q288)</f>
        <v>39000</v>
      </c>
      <c r="R289" s="29">
        <f>SUM('план на 2016'!$L290:R290)-SUM('членские взносы'!$M288:'членские взносы'!R288)</f>
        <v>39000</v>
      </c>
      <c r="S289" s="29">
        <f>SUM('план на 2016'!$L290:S290)-SUM('членские взносы'!$M288:'членские взносы'!S288)</f>
        <v>39000</v>
      </c>
      <c r="T289" s="29">
        <f>SUM('план на 2016'!$L290:T290)-SUM('членские взносы'!$M288:'членские взносы'!T288)</f>
        <v>39000</v>
      </c>
      <c r="U289" s="29">
        <f>SUM('план на 2016'!$L290:U290)-SUM('членские взносы'!$M288:'членские взносы'!U288)</f>
        <v>39000</v>
      </c>
      <c r="V289" s="29">
        <f>SUM('план на 2016'!$L290:V290)-SUM('членские взносы'!$M288:'членские взносы'!V288)</f>
        <v>39000</v>
      </c>
      <c r="W289" s="29">
        <f>SUM('план на 2016'!$L290:W290)-SUM('членские взносы'!$M288:'членские взносы'!W288)</f>
        <v>39000</v>
      </c>
      <c r="X289" s="29">
        <f>SUM('план на 2016'!$L290:X290)-SUM('членские взносы'!$M288:'членские взносы'!X288)</f>
        <v>39000</v>
      </c>
      <c r="Y289" s="18">
        <f t="shared" si="30"/>
        <v>39000</v>
      </c>
    </row>
    <row r="290" spans="1:25">
      <c r="A290" s="41">
        <f>VLOOKUP(B290,справочник!$B$2:$E$322,4,FALSE)</f>
        <v>59</v>
      </c>
      <c r="B290" t="str">
        <f t="shared" si="29"/>
        <v>61Фисенко Вадим Петрович</v>
      </c>
      <c r="C290" s="1">
        <v>61</v>
      </c>
      <c r="D290" s="2" t="s">
        <v>275</v>
      </c>
      <c r="E290" s="1" t="s">
        <v>583</v>
      </c>
      <c r="F290" s="16">
        <v>40868</v>
      </c>
      <c r="G290" s="16">
        <v>40848</v>
      </c>
      <c r="H290" s="17">
        <f t="shared" si="34"/>
        <v>50</v>
      </c>
      <c r="I290" s="1">
        <f t="shared" si="33"/>
        <v>50000</v>
      </c>
      <c r="J290" s="17">
        <f>1000+49000</f>
        <v>50000</v>
      </c>
      <c r="K290" s="17"/>
      <c r="L290" s="18">
        <f t="shared" si="28"/>
        <v>0</v>
      </c>
      <c r="M290" s="29">
        <f>SUM('план на 2016'!$L291:M291)-SUM('членские взносы'!$M289:'членские взносы'!M289)</f>
        <v>-1600</v>
      </c>
      <c r="N290" s="29">
        <f>SUM('план на 2016'!$L291:N291)-SUM('членские взносы'!$M289:'членские взносы'!N289)</f>
        <v>-800</v>
      </c>
      <c r="O290" s="29">
        <f>SUM('план на 2016'!$L291:O291)-SUM('членские взносы'!$M289:'членские взносы'!O289)</f>
        <v>0</v>
      </c>
      <c r="P290" s="29">
        <f>SUM('план на 2016'!$L291:P291)-SUM('членские взносы'!$M289:'членские взносы'!P289)</f>
        <v>800</v>
      </c>
      <c r="Q290" s="29">
        <f>SUM('план на 2016'!$L291:Q291)-SUM('членские взносы'!$M289:'членские взносы'!Q289)</f>
        <v>1600</v>
      </c>
      <c r="R290" s="29">
        <f>SUM('план на 2016'!$L291:R291)-SUM('членские взносы'!$M289:'членские взносы'!R289)</f>
        <v>2400</v>
      </c>
      <c r="S290" s="29">
        <f>SUM('план на 2016'!$L291:S291)-SUM('членские взносы'!$M289:'членские взносы'!S289)</f>
        <v>3200</v>
      </c>
      <c r="T290" s="29">
        <f>SUM('план на 2016'!$L291:T291)-SUM('членские взносы'!$M289:'членские взносы'!T289)</f>
        <v>4000</v>
      </c>
      <c r="U290" s="29">
        <f>SUM('план на 2016'!$L291:U291)-SUM('членские взносы'!$M289:'членские взносы'!U289)</f>
        <v>4800</v>
      </c>
      <c r="V290" s="29">
        <f>SUM('план на 2016'!$L291:V291)-SUM('членские взносы'!$M289:'членские взносы'!V289)</f>
        <v>5600</v>
      </c>
      <c r="W290" s="29">
        <f>SUM('план на 2016'!$L291:W291)-SUM('членские взносы'!$M289:'членские взносы'!W289)</f>
        <v>6400</v>
      </c>
      <c r="X290" s="29">
        <f>SUM('план на 2016'!$L291:X291)-SUM('членские взносы'!$M289:'членские взносы'!X289)</f>
        <v>7200</v>
      </c>
      <c r="Y290" s="18">
        <f t="shared" si="30"/>
        <v>7200</v>
      </c>
    </row>
    <row r="291" spans="1:25">
      <c r="A291" s="41">
        <f>VLOOKUP(B291,справочник!$B$2:$E$322,4,FALSE)</f>
        <v>60</v>
      </c>
      <c r="B291" t="str">
        <f t="shared" si="29"/>
        <v>62Фисенко Дмитрий Петрович</v>
      </c>
      <c r="C291" s="1">
        <v>62</v>
      </c>
      <c r="D291" s="2" t="s">
        <v>276</v>
      </c>
      <c r="E291" s="1" t="s">
        <v>584</v>
      </c>
      <c r="F291" s="16">
        <v>40885</v>
      </c>
      <c r="G291" s="16">
        <v>40878</v>
      </c>
      <c r="H291" s="17">
        <f t="shared" si="34"/>
        <v>49</v>
      </c>
      <c r="I291" s="1">
        <f t="shared" si="33"/>
        <v>49000</v>
      </c>
      <c r="J291" s="17">
        <f>8000+54000</f>
        <v>62000</v>
      </c>
      <c r="K291" s="17"/>
      <c r="L291" s="18">
        <f t="shared" si="28"/>
        <v>-13000</v>
      </c>
      <c r="M291" s="29">
        <f>SUM('план на 2016'!$L292:M292)-SUM('членские взносы'!$M290:'членские взносы'!M290)</f>
        <v>-12200</v>
      </c>
      <c r="N291" s="29">
        <f>SUM('план на 2016'!$L292:N292)-SUM('членские взносы'!$M290:'членские взносы'!N290)</f>
        <v>-11400</v>
      </c>
      <c r="O291" s="29">
        <f>SUM('план на 2016'!$L292:O292)-SUM('членские взносы'!$M290:'членские взносы'!O290)</f>
        <v>-10600</v>
      </c>
      <c r="P291" s="29">
        <f>SUM('план на 2016'!$L292:P292)-SUM('членские взносы'!$M290:'членские взносы'!P290)</f>
        <v>-9800</v>
      </c>
      <c r="Q291" s="29">
        <f>SUM('план на 2016'!$L292:Q292)-SUM('членские взносы'!$M290:'членские взносы'!Q290)</f>
        <v>-9000</v>
      </c>
      <c r="R291" s="29">
        <f>SUM('план на 2016'!$L292:R292)-SUM('членские взносы'!$M290:'членские взносы'!R290)</f>
        <v>-8200</v>
      </c>
      <c r="S291" s="29">
        <f>SUM('план на 2016'!$L292:S292)-SUM('членские взносы'!$M290:'членские взносы'!S290)</f>
        <v>-7400</v>
      </c>
      <c r="T291" s="29">
        <f>SUM('план на 2016'!$L292:T292)-SUM('членские взносы'!$M290:'членские взносы'!T290)</f>
        <v>-6600</v>
      </c>
      <c r="U291" s="29">
        <f>SUM('план на 2016'!$L292:U292)-SUM('членские взносы'!$M290:'членские взносы'!U290)</f>
        <v>-5800</v>
      </c>
      <c r="V291" s="29">
        <f>SUM('план на 2016'!$L292:V292)-SUM('членские взносы'!$M290:'членские взносы'!V290)</f>
        <v>-5000</v>
      </c>
      <c r="W291" s="29">
        <f>SUM('план на 2016'!$L292:W292)-SUM('членские взносы'!$M290:'членские взносы'!W290)</f>
        <v>-4200</v>
      </c>
      <c r="X291" s="29">
        <f>SUM('план на 2016'!$L292:X292)-SUM('членские взносы'!$M290:'членские взносы'!X290)</f>
        <v>-3400</v>
      </c>
      <c r="Y291" s="18">
        <f t="shared" si="30"/>
        <v>-3400</v>
      </c>
    </row>
    <row r="292" spans="1:25">
      <c r="A292" s="41">
        <f>VLOOKUP(B292,справочник!$B$2:$E$322,4,FALSE)</f>
        <v>248</v>
      </c>
      <c r="B292" t="str">
        <f t="shared" si="29"/>
        <v>259Фомин Андрей Анатольевич</v>
      </c>
      <c r="C292" s="1">
        <v>259</v>
      </c>
      <c r="D292" s="2" t="s">
        <v>277</v>
      </c>
      <c r="E292" s="1" t="s">
        <v>585</v>
      </c>
      <c r="F292" s="16">
        <v>41628</v>
      </c>
      <c r="G292" s="16">
        <v>41640</v>
      </c>
      <c r="H292" s="17">
        <f t="shared" si="34"/>
        <v>24</v>
      </c>
      <c r="I292" s="1">
        <f t="shared" si="33"/>
        <v>24000</v>
      </c>
      <c r="J292" s="17">
        <v>21300</v>
      </c>
      <c r="K292" s="17"/>
      <c r="L292" s="18">
        <f t="shared" si="28"/>
        <v>2700</v>
      </c>
      <c r="M292" s="29">
        <f>SUM('план на 2016'!$L293:M293)-SUM('членские взносы'!$M291:'членские взносы'!M291)</f>
        <v>3500</v>
      </c>
      <c r="N292" s="29">
        <f>SUM('план на 2016'!$L293:N293)-SUM('членские взносы'!$M291:'членские взносы'!N291)</f>
        <v>4300</v>
      </c>
      <c r="O292" s="29">
        <f>SUM('план на 2016'!$L293:O293)-SUM('членские взносы'!$M291:'членские взносы'!O291)</f>
        <v>5100</v>
      </c>
      <c r="P292" s="29">
        <f>SUM('план на 2016'!$L293:P293)-SUM('членские взносы'!$M291:'членские взносы'!P291)</f>
        <v>5900</v>
      </c>
      <c r="Q292" s="29">
        <f>SUM('план на 2016'!$L293:Q293)-SUM('членские взносы'!$M291:'членские взносы'!Q291)</f>
        <v>6700</v>
      </c>
      <c r="R292" s="29">
        <f>SUM('план на 2016'!$L293:R293)-SUM('членские взносы'!$M291:'членские взносы'!R291)</f>
        <v>5800</v>
      </c>
      <c r="S292" s="29">
        <f>SUM('план на 2016'!$L293:S293)-SUM('членские взносы'!$M291:'членские взносы'!S291)</f>
        <v>5600</v>
      </c>
      <c r="T292" s="29">
        <f>SUM('план на 2016'!$L293:T293)-SUM('членские взносы'!$M291:'членские взносы'!T291)</f>
        <v>6400</v>
      </c>
      <c r="U292" s="29">
        <f>SUM('план на 2016'!$L293:U293)-SUM('членские взносы'!$M291:'членские взносы'!U291)</f>
        <v>5600</v>
      </c>
      <c r="V292" s="29">
        <f>SUM('план на 2016'!$L293:V293)-SUM('членские взносы'!$M291:'членские взносы'!V291)</f>
        <v>6400</v>
      </c>
      <c r="W292" s="29">
        <f>SUM('план на 2016'!$L293:W293)-SUM('членские взносы'!$M291:'членские взносы'!W291)</f>
        <v>-800</v>
      </c>
      <c r="X292" s="29">
        <f>SUM('план на 2016'!$L293:X293)-SUM('членские взносы'!$M291:'членские взносы'!X291)</f>
        <v>0</v>
      </c>
      <c r="Y292" s="18">
        <f t="shared" si="30"/>
        <v>0</v>
      </c>
    </row>
    <row r="293" spans="1:25">
      <c r="A293" s="41">
        <f>VLOOKUP(B293,справочник!$B$2:$E$322,4,FALSE)</f>
        <v>247</v>
      </c>
      <c r="B293" t="str">
        <f t="shared" si="29"/>
        <v>258Фомин Игорь Анатольевич</v>
      </c>
      <c r="C293" s="1">
        <v>258</v>
      </c>
      <c r="D293" s="2" t="s">
        <v>278</v>
      </c>
      <c r="E293" s="1" t="s">
        <v>586</v>
      </c>
      <c r="F293" s="16">
        <v>41628</v>
      </c>
      <c r="G293" s="16">
        <v>41640</v>
      </c>
      <c r="H293" s="17">
        <f t="shared" si="34"/>
        <v>24</v>
      </c>
      <c r="I293" s="1">
        <f t="shared" si="33"/>
        <v>24000</v>
      </c>
      <c r="J293" s="17">
        <v>13000</v>
      </c>
      <c r="K293" s="17"/>
      <c r="L293" s="18">
        <f t="shared" si="28"/>
        <v>11000</v>
      </c>
      <c r="M293" s="29">
        <f>SUM('план на 2016'!$L294:M294)-SUM('членские взносы'!$M292:'членские взносы'!M292)</f>
        <v>11800</v>
      </c>
      <c r="N293" s="29">
        <f>SUM('план на 2016'!$L294:N294)-SUM('членские взносы'!$M292:'членские взносы'!N292)</f>
        <v>12600</v>
      </c>
      <c r="O293" s="29">
        <f>SUM('план на 2016'!$L294:O294)-SUM('членские взносы'!$M292:'членские взносы'!O292)</f>
        <v>13400</v>
      </c>
      <c r="P293" s="29">
        <f>SUM('план на 2016'!$L294:P294)-SUM('членские взносы'!$M292:'членские взносы'!P292)</f>
        <v>14200</v>
      </c>
      <c r="Q293" s="29">
        <f>SUM('план на 2016'!$L294:Q294)-SUM('членские взносы'!$M292:'членские взносы'!Q292)</f>
        <v>15000</v>
      </c>
      <c r="R293" s="29">
        <f>SUM('план на 2016'!$L294:R294)-SUM('членские взносы'!$M292:'членские взносы'!R292)</f>
        <v>15800</v>
      </c>
      <c r="S293" s="29">
        <f>SUM('план на 2016'!$L294:S294)-SUM('членские взносы'!$M292:'членские взносы'!S292)</f>
        <v>16600</v>
      </c>
      <c r="T293" s="29">
        <f>SUM('план на 2016'!$L294:T294)-SUM('членские взносы'!$M292:'членские взносы'!T292)</f>
        <v>17400</v>
      </c>
      <c r="U293" s="29">
        <f>SUM('план на 2016'!$L294:U294)-SUM('членские взносы'!$M292:'членские взносы'!U292)</f>
        <v>18200</v>
      </c>
      <c r="V293" s="29">
        <f>SUM('план на 2016'!$L294:V294)-SUM('членские взносы'!$M292:'членские взносы'!V292)</f>
        <v>19000</v>
      </c>
      <c r="W293" s="29">
        <f>SUM('план на 2016'!$L294:W294)-SUM('членские взносы'!$M292:'членские взносы'!W292)</f>
        <v>-200</v>
      </c>
      <c r="X293" s="29">
        <f>SUM('план на 2016'!$L294:X294)-SUM('членские взносы'!$M292:'членские взносы'!X292)</f>
        <v>600</v>
      </c>
      <c r="Y293" s="18">
        <f t="shared" si="30"/>
        <v>600</v>
      </c>
    </row>
    <row r="294" spans="1:25">
      <c r="A294" s="41">
        <f>VLOOKUP(B294,справочник!$B$2:$E$322,4,FALSE)</f>
        <v>103</v>
      </c>
      <c r="B294" t="str">
        <f t="shared" si="29"/>
        <v>108Фомичев Александр Петрович</v>
      </c>
      <c r="C294" s="1">
        <v>108</v>
      </c>
      <c r="D294" s="2" t="s">
        <v>279</v>
      </c>
      <c r="E294" s="1" t="s">
        <v>587</v>
      </c>
      <c r="F294" s="16">
        <v>40715</v>
      </c>
      <c r="G294" s="16">
        <v>40725</v>
      </c>
      <c r="H294" s="17">
        <f t="shared" si="34"/>
        <v>54</v>
      </c>
      <c r="I294" s="1">
        <f t="shared" si="33"/>
        <v>54000</v>
      </c>
      <c r="J294" s="17">
        <f>2000+45000</f>
        <v>47000</v>
      </c>
      <c r="K294" s="17"/>
      <c r="L294" s="18">
        <f t="shared" si="28"/>
        <v>7000</v>
      </c>
      <c r="M294" s="29">
        <f>SUM('план на 2016'!$L295:M295)-SUM('членские взносы'!$M293:'членские взносы'!M293)</f>
        <v>1800</v>
      </c>
      <c r="N294" s="29">
        <f>SUM('план на 2016'!$L295:N295)-SUM('членские взносы'!$M293:'членские взносы'!N293)</f>
        <v>2600</v>
      </c>
      <c r="O294" s="29">
        <f>SUM('план на 2016'!$L295:O295)-SUM('членские взносы'!$M293:'членские взносы'!O293)</f>
        <v>-2600</v>
      </c>
      <c r="P294" s="29">
        <f>SUM('план на 2016'!$L295:P295)-SUM('членские взносы'!$M293:'членские взносы'!P293)</f>
        <v>-1800</v>
      </c>
      <c r="Q294" s="29">
        <f>SUM('план на 2016'!$L295:Q295)-SUM('членские взносы'!$M293:'членские взносы'!Q293)</f>
        <v>-1000</v>
      </c>
      <c r="R294" s="29">
        <f>SUM('план на 2016'!$L295:R295)-SUM('членские взносы'!$M293:'членские взносы'!R293)</f>
        <v>-200</v>
      </c>
      <c r="S294" s="29">
        <f>SUM('план на 2016'!$L295:S295)-SUM('членские взносы'!$M293:'членские взносы'!S293)</f>
        <v>600</v>
      </c>
      <c r="T294" s="29">
        <f>SUM('план на 2016'!$L295:T295)-SUM('членские взносы'!$M293:'членские взносы'!T293)</f>
        <v>1400</v>
      </c>
      <c r="U294" s="29">
        <f>SUM('план на 2016'!$L295:U295)-SUM('членские взносы'!$M293:'членские взносы'!U293)</f>
        <v>2200</v>
      </c>
      <c r="V294" s="29">
        <f>SUM('план на 2016'!$L295:V295)-SUM('членские взносы'!$M293:'членские взносы'!V293)</f>
        <v>3000</v>
      </c>
      <c r="W294" s="29">
        <f>SUM('план на 2016'!$L295:W295)-SUM('членские взносы'!$M293:'членские взносы'!W293)</f>
        <v>-2200</v>
      </c>
      <c r="X294" s="29">
        <f>SUM('план на 2016'!$L295:X295)-SUM('членские взносы'!$M293:'членские взносы'!X293)</f>
        <v>-1400</v>
      </c>
      <c r="Y294" s="18">
        <f t="shared" si="30"/>
        <v>-1400</v>
      </c>
    </row>
    <row r="295" spans="1:25" ht="25.5" customHeight="1">
      <c r="A295" s="41">
        <f>VLOOKUP(B295,справочник!$B$2:$E$322,4,FALSE)</f>
        <v>275</v>
      </c>
      <c r="B295" t="str">
        <f t="shared" si="29"/>
        <v>288Хайлов Алексей Анатольевич</v>
      </c>
      <c r="C295" s="1">
        <v>288</v>
      </c>
      <c r="D295" s="2" t="s">
        <v>280</v>
      </c>
      <c r="E295" s="1" t="s">
        <v>588</v>
      </c>
      <c r="F295" s="16">
        <v>41999</v>
      </c>
      <c r="G295" s="16">
        <v>42005</v>
      </c>
      <c r="H295" s="17">
        <f t="shared" si="34"/>
        <v>12</v>
      </c>
      <c r="I295" s="1">
        <f t="shared" si="33"/>
        <v>12000</v>
      </c>
      <c r="J295" s="17"/>
      <c r="K295" s="17"/>
      <c r="L295" s="18">
        <f t="shared" si="28"/>
        <v>12000</v>
      </c>
      <c r="M295" s="29">
        <f>SUM('план на 2016'!$L296:M296)-SUM('членские взносы'!$M294:'членские взносы'!M294)</f>
        <v>12800</v>
      </c>
      <c r="N295" s="29">
        <f>SUM('план на 2016'!$L296:N296)-SUM('членские взносы'!$M294:'членские взносы'!N294)</f>
        <v>13600</v>
      </c>
      <c r="O295" s="29">
        <f>SUM('план на 2016'!$L296:O296)-SUM('членские взносы'!$M294:'членские взносы'!O294)</f>
        <v>14400</v>
      </c>
      <c r="P295" s="29">
        <f>SUM('план на 2016'!$L296:P296)-SUM('членские взносы'!$M294:'членские взносы'!P294)</f>
        <v>15200</v>
      </c>
      <c r="Q295" s="29">
        <f>SUM('план на 2016'!$L296:Q296)-SUM('членские взносы'!$M294:'членские взносы'!Q294)</f>
        <v>16000</v>
      </c>
      <c r="R295" s="29">
        <f>SUM('план на 2016'!$L296:R296)-SUM('членские взносы'!$M294:'членские взносы'!R294)</f>
        <v>800</v>
      </c>
      <c r="S295" s="29">
        <f>SUM('план на 2016'!$L296:S296)-SUM('членские взносы'!$M294:'членские взносы'!S294)</f>
        <v>800</v>
      </c>
      <c r="T295" s="29">
        <f>SUM('план на 2016'!$L296:T296)-SUM('членские взносы'!$M294:'членские взносы'!T294)</f>
        <v>800</v>
      </c>
      <c r="U295" s="29">
        <f>SUM('план на 2016'!$L296:U296)-SUM('членские взносы'!$M294:'членские взносы'!U294)</f>
        <v>800</v>
      </c>
      <c r="V295" s="29">
        <f>SUM('план на 2016'!$L296:V296)-SUM('членские взносы'!$M294:'членские взносы'!V294)</f>
        <v>800</v>
      </c>
      <c r="W295" s="29">
        <f>SUM('план на 2016'!$L296:W296)-SUM('членские взносы'!$M294:'членские взносы'!W294)</f>
        <v>800</v>
      </c>
      <c r="X295" s="29">
        <f>SUM('план на 2016'!$L296:X296)-SUM('членские взносы'!$M294:'членские взносы'!X294)</f>
        <v>1600</v>
      </c>
      <c r="Y295" s="18">
        <f t="shared" si="30"/>
        <v>1600</v>
      </c>
    </row>
    <row r="296" spans="1:25">
      <c r="A296" s="41">
        <f>VLOOKUP(B296,справочник!$B$2:$E$322,4,FALSE)</f>
        <v>22</v>
      </c>
      <c r="B296" t="str">
        <f t="shared" si="29"/>
        <v>22Хан Виталий Борисович</v>
      </c>
      <c r="C296" s="1">
        <v>22</v>
      </c>
      <c r="D296" s="2" t="s">
        <v>281</v>
      </c>
      <c r="E296" s="1" t="s">
        <v>589</v>
      </c>
      <c r="F296" s="16">
        <v>41107</v>
      </c>
      <c r="G296" s="16">
        <v>41091</v>
      </c>
      <c r="H296" s="17">
        <f t="shared" si="34"/>
        <v>42</v>
      </c>
      <c r="I296" s="1">
        <f t="shared" si="33"/>
        <v>42000</v>
      </c>
      <c r="J296" s="17">
        <f>34000+6000</f>
        <v>40000</v>
      </c>
      <c r="K296" s="17"/>
      <c r="L296" s="18">
        <f t="shared" si="28"/>
        <v>2000</v>
      </c>
      <c r="M296" s="29">
        <f>SUM('план на 2016'!$L297:M297)-SUM('членские взносы'!$M295:'членские взносы'!M295)</f>
        <v>2800</v>
      </c>
      <c r="N296" s="29">
        <f>SUM('план на 2016'!$L297:N297)-SUM('членские взносы'!$M295:'членские взносы'!N295)</f>
        <v>3600</v>
      </c>
      <c r="O296" s="29">
        <f>SUM('план на 2016'!$L297:O297)-SUM('членские взносы'!$M295:'членские взносы'!O295)</f>
        <v>4400</v>
      </c>
      <c r="P296" s="29">
        <f>SUM('план на 2016'!$L297:P297)-SUM('членские взносы'!$M295:'членские взносы'!P295)</f>
        <v>5200</v>
      </c>
      <c r="Q296" s="29">
        <f>SUM('план на 2016'!$L297:Q297)-SUM('членские взносы'!$M295:'членские взносы'!Q295)</f>
        <v>6000</v>
      </c>
      <c r="R296" s="29">
        <f>SUM('план на 2016'!$L297:R297)-SUM('членские взносы'!$M295:'членские взносы'!R295)</f>
        <v>6800</v>
      </c>
      <c r="S296" s="29">
        <f>SUM('план на 2016'!$L297:S297)-SUM('членские взносы'!$M295:'членские взносы'!S295)</f>
        <v>7600</v>
      </c>
      <c r="T296" s="29">
        <f>SUM('план на 2016'!$L297:T297)-SUM('членские взносы'!$M295:'членские взносы'!T295)</f>
        <v>8400</v>
      </c>
      <c r="U296" s="29">
        <f>SUM('план на 2016'!$L297:U297)-SUM('членские взносы'!$M295:'членские взносы'!U295)</f>
        <v>-800</v>
      </c>
      <c r="V296" s="29">
        <f>SUM('план на 2016'!$L297:V297)-SUM('членские взносы'!$M295:'членские взносы'!V295)</f>
        <v>0</v>
      </c>
      <c r="W296" s="29">
        <f>SUM('план на 2016'!$L297:W297)-SUM('членские взносы'!$M295:'членские взносы'!W295)</f>
        <v>800</v>
      </c>
      <c r="X296" s="29">
        <f>SUM('план на 2016'!$L297:X297)-SUM('членские взносы'!$M295:'членские взносы'!X295)</f>
        <v>1600</v>
      </c>
      <c r="Y296" s="18">
        <f t="shared" si="30"/>
        <v>1600</v>
      </c>
    </row>
    <row r="297" spans="1:25">
      <c r="A297" s="41">
        <f>VLOOKUP(B297,справочник!$B$2:$E$322,4,FALSE)</f>
        <v>20</v>
      </c>
      <c r="B297" t="str">
        <f t="shared" si="29"/>
        <v>20Харинкина Танзиля Гарафутдиновна</v>
      </c>
      <c r="C297" s="1">
        <v>20</v>
      </c>
      <c r="D297" s="2" t="s">
        <v>282</v>
      </c>
      <c r="E297" s="1" t="s">
        <v>590</v>
      </c>
      <c r="F297" s="16">
        <v>41443</v>
      </c>
      <c r="G297" s="16">
        <v>41487</v>
      </c>
      <c r="H297" s="17">
        <f t="shared" si="34"/>
        <v>29</v>
      </c>
      <c r="I297" s="1">
        <f t="shared" si="33"/>
        <v>29000</v>
      </c>
      <c r="J297" s="17">
        <v>12000</v>
      </c>
      <c r="K297" s="17"/>
      <c r="L297" s="18">
        <f t="shared" si="28"/>
        <v>17000</v>
      </c>
      <c r="M297" s="29">
        <f>SUM('план на 2016'!$L298:M298)-SUM('членские взносы'!$M296:'членские взносы'!M296)</f>
        <v>17800</v>
      </c>
      <c r="N297" s="29">
        <f>SUM('план на 2016'!$L298:N298)-SUM('членские взносы'!$M296:'членские взносы'!N296)</f>
        <v>18600</v>
      </c>
      <c r="O297" s="29">
        <f>SUM('план на 2016'!$L298:O298)-SUM('членские взносы'!$M296:'членские взносы'!O296)</f>
        <v>19400</v>
      </c>
      <c r="P297" s="29">
        <f>SUM('план на 2016'!$L298:P298)-SUM('членские взносы'!$M296:'членские взносы'!P296)</f>
        <v>20200</v>
      </c>
      <c r="Q297" s="29">
        <f>SUM('план на 2016'!$L298:Q298)-SUM('членские взносы'!$M296:'членские взносы'!Q296)</f>
        <v>21000</v>
      </c>
      <c r="R297" s="29">
        <f>SUM('план на 2016'!$L298:R298)-SUM('членские взносы'!$M296:'членские взносы'!R296)</f>
        <v>21800</v>
      </c>
      <c r="S297" s="29">
        <f>SUM('план на 2016'!$L298:S298)-SUM('членские взносы'!$M296:'членские взносы'!S296)</f>
        <v>22600</v>
      </c>
      <c r="T297" s="29">
        <f>SUM('план на 2016'!$L298:T298)-SUM('членские взносы'!$M296:'членские взносы'!T296)</f>
        <v>23400</v>
      </c>
      <c r="U297" s="29">
        <f>SUM('план на 2016'!$L298:U298)-SUM('членские взносы'!$M296:'членские взносы'!U296)</f>
        <v>24200</v>
      </c>
      <c r="V297" s="29">
        <f>SUM('план на 2016'!$L298:V298)-SUM('членские взносы'!$M296:'членские взносы'!V296)</f>
        <v>25000</v>
      </c>
      <c r="W297" s="29">
        <f>SUM('план на 2016'!$L298:W298)-SUM('членские взносы'!$M296:'членские взносы'!W296)</f>
        <v>25800</v>
      </c>
      <c r="X297" s="29">
        <f>SUM('план на 2016'!$L298:X298)-SUM('членские взносы'!$M296:'членские взносы'!X296)</f>
        <v>26600</v>
      </c>
      <c r="Y297" s="18">
        <f t="shared" si="30"/>
        <v>26600</v>
      </c>
    </row>
    <row r="298" spans="1:25">
      <c r="A298" s="41">
        <f>VLOOKUP(B298,справочник!$B$2:$E$322,4,FALSE)</f>
        <v>233</v>
      </c>
      <c r="B298" t="str">
        <f t="shared" si="29"/>
        <v>242Хаустова Люция Егоровна</v>
      </c>
      <c r="C298" s="1">
        <v>242</v>
      </c>
      <c r="D298" s="2" t="s">
        <v>283</v>
      </c>
      <c r="E298" s="1" t="s">
        <v>591</v>
      </c>
      <c r="F298" s="16">
        <v>41382</v>
      </c>
      <c r="G298" s="16">
        <v>41395</v>
      </c>
      <c r="H298" s="17">
        <f t="shared" si="34"/>
        <v>32</v>
      </c>
      <c r="I298" s="1">
        <f t="shared" si="33"/>
        <v>32000</v>
      </c>
      <c r="J298" s="17">
        <v>29000</v>
      </c>
      <c r="K298" s="17"/>
      <c r="L298" s="18">
        <f t="shared" si="28"/>
        <v>3000</v>
      </c>
      <c r="M298" s="29">
        <f>SUM('план на 2016'!$L299:M299)-SUM('членские взносы'!$M297:'членские взносы'!M297)</f>
        <v>3800</v>
      </c>
      <c r="N298" s="29">
        <f>SUM('план на 2016'!$L299:N299)-SUM('членские взносы'!$M297:'членские взносы'!N297)</f>
        <v>4600</v>
      </c>
      <c r="O298" s="29">
        <f>SUM('план на 2016'!$L299:O299)-SUM('членские взносы'!$M297:'членские взносы'!O297)</f>
        <v>5400</v>
      </c>
      <c r="P298" s="29">
        <f>SUM('план на 2016'!$L299:P299)-SUM('членские взносы'!$M297:'членские взносы'!P297)</f>
        <v>6200</v>
      </c>
      <c r="Q298" s="29">
        <f>SUM('план на 2016'!$L299:Q299)-SUM('членские взносы'!$M297:'членские взносы'!Q297)</f>
        <v>7000</v>
      </c>
      <c r="R298" s="29">
        <f>SUM('план на 2016'!$L299:R299)-SUM('членские взносы'!$M297:'членские взносы'!R297)</f>
        <v>800</v>
      </c>
      <c r="S298" s="29">
        <f>SUM('план на 2016'!$L299:S299)-SUM('членские взносы'!$M297:'членские взносы'!S297)</f>
        <v>1600</v>
      </c>
      <c r="T298" s="29">
        <f>SUM('план на 2016'!$L299:T299)-SUM('членские взносы'!$M297:'членские взносы'!T297)</f>
        <v>2400</v>
      </c>
      <c r="U298" s="29">
        <f>SUM('план на 2016'!$L299:U299)-SUM('членские взносы'!$M297:'членские взносы'!U297)</f>
        <v>3200</v>
      </c>
      <c r="V298" s="29">
        <f>SUM('план на 2016'!$L299:V299)-SUM('членские взносы'!$M297:'членские взносы'!V297)</f>
        <v>4000</v>
      </c>
      <c r="W298" s="29">
        <f>SUM('план на 2016'!$L299:W299)-SUM('членские взносы'!$M297:'членские взносы'!W297)</f>
        <v>800</v>
      </c>
      <c r="X298" s="29">
        <f>SUM('план на 2016'!$L299:X299)-SUM('членские взносы'!$M297:'членские взносы'!X297)</f>
        <v>1600</v>
      </c>
      <c r="Y298" s="18">
        <f t="shared" si="30"/>
        <v>1600</v>
      </c>
    </row>
    <row r="299" spans="1:25">
      <c r="A299" s="41">
        <f>VLOOKUP(B299,справочник!$B$2:$E$322,4,FALSE)</f>
        <v>256</v>
      </c>
      <c r="B299" t="str">
        <f t="shared" si="29"/>
        <v>269Хачатрян Алла Самвеловна</v>
      </c>
      <c r="C299" s="1">
        <v>269</v>
      </c>
      <c r="D299" s="2" t="s">
        <v>284</v>
      </c>
      <c r="E299" s="1" t="s">
        <v>592</v>
      </c>
      <c r="F299" s="16">
        <v>41012</v>
      </c>
      <c r="G299" s="16">
        <v>41000</v>
      </c>
      <c r="H299" s="17">
        <f t="shared" si="34"/>
        <v>45</v>
      </c>
      <c r="I299" s="1">
        <f t="shared" si="33"/>
        <v>45000</v>
      </c>
      <c r="J299" s="17">
        <f>32000+7000</f>
        <v>39000</v>
      </c>
      <c r="K299" s="17">
        <v>8000</v>
      </c>
      <c r="L299" s="18">
        <f t="shared" si="28"/>
        <v>-2000</v>
      </c>
      <c r="M299" s="29">
        <f>SUM('план на 2016'!$L300:M300)-SUM('членские взносы'!$M298:'членские взносы'!M298)</f>
        <v>-1200</v>
      </c>
      <c r="N299" s="29">
        <f>SUM('план на 2016'!$L300:N300)-SUM('членские взносы'!$M298:'членские взносы'!N298)</f>
        <v>-400</v>
      </c>
      <c r="O299" s="29">
        <f>SUM('план на 2016'!$L300:O300)-SUM('членские взносы'!$M298:'членские взносы'!O298)</f>
        <v>400</v>
      </c>
      <c r="P299" s="29">
        <f>SUM('план на 2016'!$L300:P300)-SUM('членские взносы'!$M298:'членские взносы'!P298)</f>
        <v>1200</v>
      </c>
      <c r="Q299" s="29">
        <f>SUM('план на 2016'!$L300:Q300)-SUM('членские взносы'!$M298:'членские взносы'!Q298)</f>
        <v>2000</v>
      </c>
      <c r="R299" s="29">
        <f>SUM('план на 2016'!$L300:R300)-SUM('членские взносы'!$M298:'членские взносы'!R298)</f>
        <v>2800</v>
      </c>
      <c r="S299" s="29">
        <f>SUM('план на 2016'!$L300:S300)-SUM('членские взносы'!$M298:'членские взносы'!S298)</f>
        <v>3600</v>
      </c>
      <c r="T299" s="29">
        <f>SUM('план на 2016'!$L300:T300)-SUM('членские взносы'!$M298:'членские взносы'!T298)</f>
        <v>4400</v>
      </c>
      <c r="U299" s="29">
        <f>SUM('план на 2016'!$L300:U300)-SUM('членские взносы'!$M298:'членские взносы'!U298)</f>
        <v>5200</v>
      </c>
      <c r="V299" s="29">
        <f>SUM('план на 2016'!$L300:V300)-SUM('членские взносы'!$M298:'членские взносы'!V298)</f>
        <v>6000</v>
      </c>
      <c r="W299" s="29">
        <f>SUM('план на 2016'!$L300:W300)-SUM('членские взносы'!$M298:'членские взносы'!W298)</f>
        <v>6800</v>
      </c>
      <c r="X299" s="29">
        <f>SUM('план на 2016'!$L300:X300)-SUM('членские взносы'!$M298:'членские взносы'!X298)</f>
        <v>7600</v>
      </c>
      <c r="Y299" s="18">
        <f t="shared" si="30"/>
        <v>7600</v>
      </c>
    </row>
    <row r="300" spans="1:25" ht="25.5" customHeight="1">
      <c r="A300" s="41">
        <f>VLOOKUP(B300,справочник!$B$2:$E$322,4,FALSE)</f>
        <v>113</v>
      </c>
      <c r="B300" t="str">
        <f t="shared" si="29"/>
        <v>116+118+120Хрупало Николай Алексеевич</v>
      </c>
      <c r="C300" s="91" t="s">
        <v>705</v>
      </c>
      <c r="D300" s="2" t="s">
        <v>285</v>
      </c>
      <c r="E300" s="1" t="s">
        <v>593</v>
      </c>
      <c r="F300" s="16">
        <v>41107</v>
      </c>
      <c r="G300" s="16">
        <v>41122</v>
      </c>
      <c r="H300" s="17">
        <f t="shared" si="34"/>
        <v>41</v>
      </c>
      <c r="I300" s="1">
        <f t="shared" si="33"/>
        <v>41000</v>
      </c>
      <c r="J300" s="17">
        <v>41000</v>
      </c>
      <c r="K300" s="17"/>
      <c r="L300" s="18">
        <f t="shared" si="28"/>
        <v>0</v>
      </c>
      <c r="M300" s="29">
        <f>SUM('план на 2016'!$L301:M301)-SUM('членские взносы'!$M299:'членские взносы'!M299)</f>
        <v>800</v>
      </c>
      <c r="N300" s="29">
        <f>SUM('план на 2016'!$L301:N301)-SUM('членские взносы'!$M299:'членские взносы'!N299)</f>
        <v>1600</v>
      </c>
      <c r="O300" s="29">
        <f>SUM('план на 2016'!$L301:O301)-SUM('членские взносы'!$M299:'членские взносы'!O299)</f>
        <v>2400</v>
      </c>
      <c r="P300" s="29">
        <f>SUM('план на 2016'!$L301:P301)-SUM('членские взносы'!$M299:'членские взносы'!P299)</f>
        <v>3200</v>
      </c>
      <c r="Q300" s="29">
        <f>SUM('план на 2016'!$L301:Q301)-SUM('членские взносы'!$M299:'членские взносы'!Q299)</f>
        <v>4000</v>
      </c>
      <c r="R300" s="29">
        <f>SUM('план на 2016'!$L301:R301)-SUM('членские взносы'!$M299:'членские взносы'!R299)</f>
        <v>4800</v>
      </c>
      <c r="S300" s="29">
        <f>SUM('план на 2016'!$L301:S301)-SUM('членские взносы'!$M299:'членские взносы'!S299)</f>
        <v>5600</v>
      </c>
      <c r="T300" s="29">
        <f>SUM('план на 2016'!$L301:T301)-SUM('членские взносы'!$M299:'членские взносы'!T299)</f>
        <v>6400</v>
      </c>
      <c r="U300" s="29">
        <f>SUM('план на 2016'!$L301:U301)-SUM('членские взносы'!$M299:'членские взносы'!U299)</f>
        <v>7200</v>
      </c>
      <c r="V300" s="29">
        <f>SUM('план на 2016'!$L301:V301)-SUM('членские взносы'!$M299:'членские взносы'!V299)</f>
        <v>8000</v>
      </c>
      <c r="W300" s="29">
        <f>SUM('план на 2016'!$L301:W301)-SUM('членские взносы'!$M299:'членские взносы'!W299)</f>
        <v>8800</v>
      </c>
      <c r="X300" s="29">
        <f>SUM('план на 2016'!$L301:X301)-SUM('членские взносы'!$M299:'членские взносы'!X299)</f>
        <v>9600</v>
      </c>
      <c r="Y300" s="18">
        <f t="shared" si="30"/>
        <v>9600</v>
      </c>
    </row>
    <row r="301" spans="1:25" ht="25.5">
      <c r="A301" s="41">
        <f>VLOOKUP(B301,справочник!$B$2:$E$322,4,FALSE)</f>
        <v>113</v>
      </c>
      <c r="B301" t="str">
        <f t="shared" si="29"/>
        <v>116+118+120Хрупало Николай Алексеевич</v>
      </c>
      <c r="C301" s="91" t="s">
        <v>705</v>
      </c>
      <c r="D301" s="2" t="s">
        <v>285</v>
      </c>
      <c r="E301" s="1" t="s">
        <v>593</v>
      </c>
      <c r="F301" s="19">
        <v>41107</v>
      </c>
      <c r="G301" s="19">
        <v>41122</v>
      </c>
      <c r="H301" s="20">
        <f t="shared" si="34"/>
        <v>41</v>
      </c>
      <c r="I301" s="5">
        <f t="shared" si="33"/>
        <v>41000</v>
      </c>
      <c r="J301" s="20">
        <v>20000</v>
      </c>
      <c r="K301" s="20"/>
      <c r="L301" s="21">
        <f t="shared" si="28"/>
        <v>21000</v>
      </c>
      <c r="M301" s="29">
        <f>SUM('план на 2016'!$L302:M302)-SUM('членские взносы'!$M300:'членские взносы'!M300)</f>
        <v>21000</v>
      </c>
      <c r="N301" s="29">
        <f>SUM('план на 2016'!$L302:N302)-SUM('членские взносы'!$M300:'членские взносы'!N300)</f>
        <v>21000</v>
      </c>
      <c r="O301" s="29">
        <f>SUM('план на 2016'!$L302:O302)-SUM('членские взносы'!$M300:'членские взносы'!O300)</f>
        <v>21000</v>
      </c>
      <c r="P301" s="29">
        <f>SUM('план на 2016'!$L302:P302)-SUM('членские взносы'!$M300:'членские взносы'!P300)</f>
        <v>21000</v>
      </c>
      <c r="Q301" s="29">
        <f>SUM('план на 2016'!$L302:Q302)-SUM('членские взносы'!$M300:'членские взносы'!Q300)</f>
        <v>21000</v>
      </c>
      <c r="R301" s="29">
        <f>SUM('план на 2016'!$L302:R302)-SUM('членские взносы'!$M300:'членские взносы'!R300)</f>
        <v>21000</v>
      </c>
      <c r="S301" s="29">
        <f>SUM('план на 2016'!$L302:S302)-SUM('членские взносы'!$M300:'членские взносы'!S300)</f>
        <v>21000</v>
      </c>
      <c r="T301" s="29">
        <f>SUM('план на 2016'!$L302:T302)-SUM('членские взносы'!$M300:'членские взносы'!T300)</f>
        <v>21000</v>
      </c>
      <c r="U301" s="29">
        <f>SUM('план на 2016'!$L302:U302)-SUM('членские взносы'!$M300:'членские взносы'!U300)</f>
        <v>21000</v>
      </c>
      <c r="V301" s="29">
        <f>SUM('план на 2016'!$L302:V302)-SUM('членские взносы'!$M300:'членские взносы'!V300)</f>
        <v>21000</v>
      </c>
      <c r="W301" s="29">
        <f>SUM('план на 2016'!$L302:W302)-SUM('членские взносы'!$M300:'членские взносы'!W300)</f>
        <v>21000</v>
      </c>
      <c r="X301" s="29">
        <f>SUM('план на 2016'!$L302:X302)-SUM('членские взносы'!$M300:'членские взносы'!X300)</f>
        <v>21000</v>
      </c>
      <c r="Y301" s="18">
        <f t="shared" si="30"/>
        <v>21000</v>
      </c>
    </row>
    <row r="302" spans="1:25" ht="25.5">
      <c r="A302" s="41">
        <f>VLOOKUP(B302,справочник!$B$2:$E$322,4,FALSE)</f>
        <v>113</v>
      </c>
      <c r="B302" t="str">
        <f t="shared" si="29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4"/>
        <v>41</v>
      </c>
      <c r="I302" s="5">
        <f t="shared" si="33"/>
        <v>41000</v>
      </c>
      <c r="J302" s="20"/>
      <c r="K302" s="20"/>
      <c r="L302" s="21">
        <f t="shared" si="28"/>
        <v>41000</v>
      </c>
      <c r="M302" s="29">
        <f>SUM('план на 2016'!$L303:M303)-SUM('членские взносы'!$M301:'членские взносы'!M301)</f>
        <v>35000</v>
      </c>
      <c r="N302" s="29">
        <f>SUM('план на 2016'!$L303:N303)-SUM('членские взносы'!$M301:'членские взносы'!N301)</f>
        <v>35000</v>
      </c>
      <c r="O302" s="29">
        <f>SUM('план на 2016'!$L303:O303)-SUM('членские взносы'!$M301:'членские взносы'!O301)</f>
        <v>35000</v>
      </c>
      <c r="P302" s="29">
        <f>SUM('план на 2016'!$L303:P303)-SUM('членские взносы'!$M301:'членские взносы'!P301)</f>
        <v>32000</v>
      </c>
      <c r="Q302" s="29">
        <f>SUM('план на 2016'!$L303:Q303)-SUM('членские взносы'!$M301:'членские взносы'!Q301)</f>
        <v>32000</v>
      </c>
      <c r="R302" s="29">
        <f>SUM('план на 2016'!$L303:R303)-SUM('членские взносы'!$M301:'членские взносы'!R301)</f>
        <v>29000</v>
      </c>
      <c r="S302" s="29">
        <f>SUM('план на 2016'!$L303:S303)-SUM('членские взносы'!$M301:'членские взносы'!S301)</f>
        <v>29000</v>
      </c>
      <c r="T302" s="29">
        <f>SUM('план на 2016'!$L303:T303)-SUM('членские взносы'!$M301:'членские взносы'!T301)</f>
        <v>29000</v>
      </c>
      <c r="U302" s="29">
        <f>SUM('план на 2016'!$L303:U303)-SUM('членские взносы'!$M301:'членские взносы'!U301)</f>
        <v>29000</v>
      </c>
      <c r="V302" s="29">
        <f>SUM('план на 2016'!$L303:V303)-SUM('членские взносы'!$M301:'членские взносы'!V301)</f>
        <v>29000</v>
      </c>
      <c r="W302" s="29">
        <f>SUM('план на 2016'!$L303:W303)-SUM('членские взносы'!$M301:'членские взносы'!W301)</f>
        <v>26000</v>
      </c>
      <c r="X302" s="29">
        <f>SUM('план на 2016'!$L303:X303)-SUM('членские взносы'!$M301:'членские взносы'!X301)</f>
        <v>26000</v>
      </c>
      <c r="Y302" s="18">
        <f t="shared" si="30"/>
        <v>26000</v>
      </c>
    </row>
    <row r="303" spans="1:25" ht="25.5" customHeight="1">
      <c r="A303" s="41">
        <f>VLOOKUP(B303,справочник!$B$2:$E$322,4,FALSE)</f>
        <v>180</v>
      </c>
      <c r="B303" t="str">
        <f t="shared" si="29"/>
        <v>188Черешнева Виктория Викторовна</v>
      </c>
      <c r="C303" s="1">
        <v>188</v>
      </c>
      <c r="D303" s="2" t="s">
        <v>287</v>
      </c>
      <c r="E303" s="1" t="s">
        <v>594</v>
      </c>
      <c r="F303" s="16">
        <v>41786</v>
      </c>
      <c r="G303" s="16">
        <v>41791</v>
      </c>
      <c r="H303" s="17">
        <f t="shared" si="34"/>
        <v>19</v>
      </c>
      <c r="I303" s="1">
        <f t="shared" si="33"/>
        <v>19000</v>
      </c>
      <c r="J303" s="17">
        <v>19000</v>
      </c>
      <c r="K303" s="17"/>
      <c r="L303" s="18">
        <f t="shared" si="28"/>
        <v>0</v>
      </c>
      <c r="M303" s="29">
        <f>SUM('план на 2016'!$L304:M304)-SUM('членские взносы'!$M302:'членские взносы'!M302)</f>
        <v>800</v>
      </c>
      <c r="N303" s="29">
        <f>SUM('план на 2016'!$L304:N304)-SUM('членские взносы'!$M302:'членские взносы'!N302)</f>
        <v>1600</v>
      </c>
      <c r="O303" s="29">
        <f>SUM('план на 2016'!$L304:O304)-SUM('членские взносы'!$M302:'членские взносы'!O302)</f>
        <v>2400</v>
      </c>
      <c r="P303" s="29">
        <f>SUM('план на 2016'!$L304:P304)-SUM('членские взносы'!$M302:'членские взносы'!P302)</f>
        <v>3200</v>
      </c>
      <c r="Q303" s="29">
        <f>SUM('план на 2016'!$L304:Q304)-SUM('членские взносы'!$M302:'членские взносы'!Q302)</f>
        <v>-800</v>
      </c>
      <c r="R303" s="29">
        <f>SUM('план на 2016'!$L304:R304)-SUM('членские взносы'!$M302:'членские взносы'!R302)</f>
        <v>0</v>
      </c>
      <c r="S303" s="29">
        <f>SUM('план на 2016'!$L304:S304)-SUM('членские взносы'!$M302:'членские взносы'!S302)</f>
        <v>800</v>
      </c>
      <c r="T303" s="29">
        <f>SUM('план на 2016'!$L304:T304)-SUM('членские взносы'!$M302:'членские взносы'!T302)</f>
        <v>1600</v>
      </c>
      <c r="U303" s="29">
        <f>SUM('план на 2016'!$L304:U304)-SUM('членские взносы'!$M302:'членские взносы'!U302)</f>
        <v>2400</v>
      </c>
      <c r="V303" s="29">
        <f>SUM('план на 2016'!$L304:V304)-SUM('членские взносы'!$M302:'членские взносы'!V302)</f>
        <v>3200</v>
      </c>
      <c r="W303" s="29">
        <f>SUM('план на 2016'!$L304:W304)-SUM('членские взносы'!$M302:'членские взносы'!W302)</f>
        <v>4000</v>
      </c>
      <c r="X303" s="29">
        <f>SUM('план на 2016'!$L304:X304)-SUM('членские взносы'!$M302:'членские взносы'!X302)</f>
        <v>4800</v>
      </c>
      <c r="Y303" s="18">
        <f t="shared" si="30"/>
        <v>4800</v>
      </c>
    </row>
    <row r="304" spans="1:25">
      <c r="A304" s="41">
        <f>VLOOKUP(B304,справочник!$B$2:$E$322,4,FALSE)</f>
        <v>2</v>
      </c>
      <c r="B304" t="str">
        <f t="shared" si="29"/>
        <v xml:space="preserve">2Чернявская Оксана Юрьевна        </v>
      </c>
      <c r="C304" s="1">
        <v>2</v>
      </c>
      <c r="D304" s="2" t="s">
        <v>288</v>
      </c>
      <c r="E304" s="1" t="s">
        <v>595</v>
      </c>
      <c r="F304" s="16">
        <v>41737</v>
      </c>
      <c r="G304" s="16">
        <v>41760</v>
      </c>
      <c r="H304" s="17">
        <f t="shared" si="34"/>
        <v>20</v>
      </c>
      <c r="I304" s="1">
        <f t="shared" si="33"/>
        <v>20000</v>
      </c>
      <c r="J304" s="17">
        <v>11000</v>
      </c>
      <c r="K304" s="17"/>
      <c r="L304" s="18">
        <f t="shared" si="28"/>
        <v>9000</v>
      </c>
      <c r="M304" s="29">
        <f>SUM('план на 2016'!$L305:M305)-SUM('членские взносы'!$M303:'членские взносы'!M303)</f>
        <v>9800</v>
      </c>
      <c r="N304" s="29">
        <f>SUM('план на 2016'!$L305:N305)-SUM('членские взносы'!$M303:'членские взносы'!N303)</f>
        <v>10600</v>
      </c>
      <c r="O304" s="29">
        <f>SUM('план на 2016'!$L305:O305)-SUM('членские взносы'!$M303:'членские взносы'!O303)</f>
        <v>11400</v>
      </c>
      <c r="P304" s="29">
        <f>SUM('план на 2016'!$L305:P305)-SUM('членские взносы'!$M303:'членские взносы'!P303)</f>
        <v>12200</v>
      </c>
      <c r="Q304" s="29">
        <f>SUM('план на 2016'!$L305:Q305)-SUM('членские взносы'!$M303:'членские взносы'!Q303)</f>
        <v>13000</v>
      </c>
      <c r="R304" s="29">
        <f>SUM('план на 2016'!$L305:R305)-SUM('членские взносы'!$M303:'членские взносы'!R303)</f>
        <v>13800</v>
      </c>
      <c r="S304" s="29">
        <f>SUM('план на 2016'!$L305:S305)-SUM('членские взносы'!$M303:'членские взносы'!S303)</f>
        <v>14600</v>
      </c>
      <c r="T304" s="29">
        <f>SUM('план на 2016'!$L305:T305)-SUM('членские взносы'!$M303:'членские взносы'!T303)</f>
        <v>15400</v>
      </c>
      <c r="U304" s="29">
        <f>SUM('план на 2016'!$L305:U305)-SUM('членские взносы'!$M303:'членские взносы'!U303)</f>
        <v>16200</v>
      </c>
      <c r="V304" s="29">
        <f>SUM('план на 2016'!$L305:V305)-SUM('членские взносы'!$M303:'членские взносы'!V303)</f>
        <v>16000</v>
      </c>
      <c r="W304" s="29">
        <f>SUM('план на 2016'!$L305:W305)-SUM('членские взносы'!$M303:'членские взносы'!W303)</f>
        <v>16800</v>
      </c>
      <c r="X304" s="29">
        <f>SUM('план на 2016'!$L305:X305)-SUM('членские взносы'!$M303:'членские взносы'!X303)</f>
        <v>17600</v>
      </c>
      <c r="Y304" s="18">
        <f t="shared" si="30"/>
        <v>17600</v>
      </c>
    </row>
    <row r="305" spans="1:25" ht="25.5">
      <c r="A305" s="41">
        <f>VLOOKUP(B305,справочник!$B$2:$E$322,4,FALSE)</f>
        <v>23</v>
      </c>
      <c r="B305" t="str">
        <f t="shared" si="29"/>
        <v>23Чигрины Анна Анатольевна и Геннадий Иванович</v>
      </c>
      <c r="C305" s="1">
        <v>23</v>
      </c>
      <c r="D305" s="2" t="s">
        <v>289</v>
      </c>
      <c r="E305" s="1" t="s">
        <v>596</v>
      </c>
      <c r="F305" s="16">
        <v>41422</v>
      </c>
      <c r="G305" s="16">
        <v>41456</v>
      </c>
      <c r="H305" s="17">
        <f t="shared" si="34"/>
        <v>30</v>
      </c>
      <c r="I305" s="1">
        <f t="shared" si="33"/>
        <v>30000</v>
      </c>
      <c r="J305" s="17">
        <v>30000</v>
      </c>
      <c r="K305" s="17"/>
      <c r="L305" s="18">
        <f t="shared" si="28"/>
        <v>0</v>
      </c>
      <c r="M305" s="29">
        <f>SUM('план на 2016'!$L306:M306)-SUM('членские взносы'!$M304:'членские взносы'!M304)</f>
        <v>-10800</v>
      </c>
      <c r="N305" s="29">
        <f>SUM('план на 2016'!$L306:N306)-SUM('членские взносы'!$M304:'членские взносы'!N304)</f>
        <v>-10000</v>
      </c>
      <c r="O305" s="29">
        <f>SUM('план на 2016'!$L306:O306)-SUM('членские взносы'!$M304:'членские взносы'!O304)</f>
        <v>-9200</v>
      </c>
      <c r="P305" s="29">
        <f>SUM('план на 2016'!$L306:P306)-SUM('членские взносы'!$M304:'членские взносы'!P304)</f>
        <v>-8400</v>
      </c>
      <c r="Q305" s="29">
        <f>SUM('план на 2016'!$L306:Q306)-SUM('членские взносы'!$M304:'членские взносы'!Q304)</f>
        <v>-7600</v>
      </c>
      <c r="R305" s="29">
        <f>SUM('план на 2016'!$L306:R306)-SUM('членские взносы'!$M304:'членские взносы'!R304)</f>
        <v>-6800</v>
      </c>
      <c r="S305" s="29">
        <f>SUM('план на 2016'!$L306:S306)-SUM('членские взносы'!$M304:'членские взносы'!S304)</f>
        <v>-6000</v>
      </c>
      <c r="T305" s="29">
        <f>SUM('план на 2016'!$L306:T306)-SUM('членские взносы'!$M304:'членские взносы'!T304)</f>
        <v>-5200</v>
      </c>
      <c r="U305" s="29">
        <f>SUM('план на 2016'!$L306:U306)-SUM('членские взносы'!$M304:'членские взносы'!U304)</f>
        <v>-4400</v>
      </c>
      <c r="V305" s="29">
        <f>SUM('план на 2016'!$L306:V306)-SUM('членские взносы'!$M304:'членские взносы'!V304)</f>
        <v>-3600</v>
      </c>
      <c r="W305" s="29">
        <f>SUM('план на 2016'!$L306:W306)-SUM('членские взносы'!$M304:'членские взносы'!W304)</f>
        <v>-2800</v>
      </c>
      <c r="X305" s="29">
        <f>SUM('план на 2016'!$L306:X306)-SUM('членские взносы'!$M304:'членские взносы'!X304)</f>
        <v>-11600</v>
      </c>
      <c r="Y305" s="18">
        <f t="shared" si="30"/>
        <v>-11600</v>
      </c>
    </row>
    <row r="306" spans="1:25">
      <c r="A306" s="41">
        <f>VLOOKUP(B306,справочник!$B$2:$E$322,4,FALSE)</f>
        <v>168</v>
      </c>
      <c r="B306" t="str">
        <f t="shared" si="29"/>
        <v>176Чикачёв Сергей Иванович</v>
      </c>
      <c r="C306" s="1">
        <v>176</v>
      </c>
      <c r="D306" s="2" t="s">
        <v>290</v>
      </c>
      <c r="E306" s="1" t="s">
        <v>597</v>
      </c>
      <c r="F306" s="16">
        <v>41939</v>
      </c>
      <c r="G306" s="16">
        <v>41974</v>
      </c>
      <c r="H306" s="17">
        <f t="shared" si="34"/>
        <v>13</v>
      </c>
      <c r="I306" s="1">
        <f t="shared" si="33"/>
        <v>13000</v>
      </c>
      <c r="J306" s="17">
        <v>11000</v>
      </c>
      <c r="K306" s="17">
        <v>2000</v>
      </c>
      <c r="L306" s="18">
        <f t="shared" si="28"/>
        <v>0</v>
      </c>
      <c r="M306" s="29">
        <f>SUM('план на 2016'!$L307:M307)-SUM('членские взносы'!$M305:'членские взносы'!M305)</f>
        <v>800</v>
      </c>
      <c r="N306" s="29">
        <f>SUM('план на 2016'!$L307:N307)-SUM('членские взносы'!$M305:'членские взносы'!N305)</f>
        <v>-400</v>
      </c>
      <c r="O306" s="29">
        <f>SUM('план на 2016'!$L307:O307)-SUM('членские взносы'!$M305:'членские взносы'!O305)</f>
        <v>400</v>
      </c>
      <c r="P306" s="29">
        <f>SUM('план на 2016'!$L307:P307)-SUM('членские взносы'!$M305:'членские взносы'!P305)</f>
        <v>-800</v>
      </c>
      <c r="Q306" s="29">
        <f>SUM('план на 2016'!$L307:Q307)-SUM('членские взносы'!$M305:'членские взносы'!Q305)</f>
        <v>-2000</v>
      </c>
      <c r="R306" s="29">
        <f>SUM('план на 2016'!$L307:R307)-SUM('членские взносы'!$M305:'членские взносы'!R305)</f>
        <v>-1200</v>
      </c>
      <c r="S306" s="29">
        <f>SUM('план на 2016'!$L307:S307)-SUM('членские взносы'!$M305:'членские взносы'!S305)</f>
        <v>-2400</v>
      </c>
      <c r="T306" s="29">
        <f>SUM('план на 2016'!$L307:T307)-SUM('членские взносы'!$M305:'членские взносы'!T305)</f>
        <v>-1600</v>
      </c>
      <c r="U306" s="29">
        <f>SUM('план на 2016'!$L307:U307)-SUM('членские взносы'!$M305:'членские взносы'!U305)</f>
        <v>-2800</v>
      </c>
      <c r="V306" s="29">
        <f>SUM('план на 2016'!$L307:V307)-SUM('членские взносы'!$M305:'членские взносы'!V305)</f>
        <v>-2000</v>
      </c>
      <c r="W306" s="29">
        <f>SUM('план на 2016'!$L307:W307)-SUM('членские взносы'!$M305:'членские взносы'!W305)</f>
        <v>-3200</v>
      </c>
      <c r="X306" s="29">
        <f>SUM('план на 2016'!$L307:X307)-SUM('членские взносы'!$M305:'членские взносы'!X305)</f>
        <v>-2400</v>
      </c>
      <c r="Y306" s="18">
        <f t="shared" si="30"/>
        <v>-2400</v>
      </c>
    </row>
    <row r="307" spans="1:25" ht="25.5" customHeight="1">
      <c r="A307" s="41">
        <f>VLOOKUP(B307,справочник!$B$2:$E$322,4,FALSE)</f>
        <v>84</v>
      </c>
      <c r="B307" t="str">
        <f t="shared" si="29"/>
        <v>89Шабунина Светлана Николаевна</v>
      </c>
      <c r="C307" s="1">
        <v>89</v>
      </c>
      <c r="D307" s="2" t="s">
        <v>291</v>
      </c>
      <c r="E307" s="1" t="s">
        <v>598</v>
      </c>
      <c r="F307" s="16">
        <v>40785</v>
      </c>
      <c r="G307" s="16">
        <v>40787</v>
      </c>
      <c r="H307" s="17">
        <f t="shared" si="34"/>
        <v>52</v>
      </c>
      <c r="I307" s="1">
        <f t="shared" si="33"/>
        <v>52000</v>
      </c>
      <c r="J307" s="17">
        <f>1000+51000</f>
        <v>52000</v>
      </c>
      <c r="K307" s="17"/>
      <c r="L307" s="18">
        <f t="shared" si="28"/>
        <v>0</v>
      </c>
      <c r="M307" s="29">
        <f>SUM('план на 2016'!$L308:M308)-SUM('членские взносы'!$M306:'членские взносы'!M306)</f>
        <v>800</v>
      </c>
      <c r="N307" s="29">
        <f>SUM('план на 2016'!$L308:N308)-SUM('членские взносы'!$M306:'членские взносы'!N306)</f>
        <v>1600</v>
      </c>
      <c r="O307" s="29">
        <f>SUM('план на 2016'!$L308:O308)-SUM('членские взносы'!$M306:'членские взносы'!O306)</f>
        <v>2400</v>
      </c>
      <c r="P307" s="29">
        <f>SUM('план на 2016'!$L308:P308)-SUM('членские взносы'!$M306:'членские взносы'!P306)</f>
        <v>3200</v>
      </c>
      <c r="Q307" s="29">
        <f>SUM('план на 2016'!$L308:Q308)-SUM('членские взносы'!$M306:'членские взносы'!Q306)</f>
        <v>4000</v>
      </c>
      <c r="R307" s="29">
        <f>SUM('план на 2016'!$L308:R308)-SUM('членские взносы'!$M306:'членские взносы'!R306)</f>
        <v>0</v>
      </c>
      <c r="S307" s="29">
        <f>SUM('план на 2016'!$L308:S308)-SUM('членские взносы'!$M306:'членские взносы'!S306)</f>
        <v>800</v>
      </c>
      <c r="T307" s="29">
        <f>SUM('план на 2016'!$L308:T308)-SUM('членские взносы'!$M306:'членские взносы'!T306)</f>
        <v>1600</v>
      </c>
      <c r="U307" s="29">
        <f>SUM('план на 2016'!$L308:U308)-SUM('членские взносы'!$M306:'членские взносы'!U306)</f>
        <v>2400</v>
      </c>
      <c r="V307" s="29">
        <f>SUM('план на 2016'!$L308:V308)-SUM('членские взносы'!$M306:'членские взносы'!V306)</f>
        <v>3200</v>
      </c>
      <c r="W307" s="29">
        <f>SUM('план на 2016'!$L308:W308)-SUM('членские взносы'!$M306:'членские взносы'!W306)</f>
        <v>-800</v>
      </c>
      <c r="X307" s="29">
        <f>SUM('план на 2016'!$L308:X308)-SUM('членские взносы'!$M306:'членские взносы'!X306)</f>
        <v>0</v>
      </c>
      <c r="Y307" s="18">
        <f t="shared" si="30"/>
        <v>0</v>
      </c>
    </row>
    <row r="308" spans="1:25">
      <c r="A308" s="41">
        <f>VLOOKUP(B308,справочник!$B$2:$E$322,4,FALSE)</f>
        <v>88</v>
      </c>
      <c r="B308" t="str">
        <f t="shared" si="29"/>
        <v>97+93Шалинов Андрей Вадимович</v>
      </c>
      <c r="C308" s="91" t="s">
        <v>706</v>
      </c>
      <c r="D308" s="2" t="s">
        <v>292</v>
      </c>
      <c r="E308" s="1" t="s">
        <v>599</v>
      </c>
      <c r="F308" s="16">
        <v>40925</v>
      </c>
      <c r="G308" s="16">
        <v>40909</v>
      </c>
      <c r="H308" s="17">
        <f t="shared" si="34"/>
        <v>48</v>
      </c>
      <c r="I308" s="1">
        <f t="shared" si="33"/>
        <v>48000</v>
      </c>
      <c r="J308" s="17">
        <v>44000</v>
      </c>
      <c r="K308" s="17"/>
      <c r="L308" s="18">
        <f t="shared" si="28"/>
        <v>4000</v>
      </c>
      <c r="M308" s="29">
        <f>SUM('план на 2016'!$L309:M309)-SUM('членские взносы'!$M307:'членские взносы'!M307)</f>
        <v>-4000</v>
      </c>
      <c r="N308" s="29">
        <f>SUM('план на 2016'!$L309:N309)-SUM('членские взносы'!$M307:'членские взносы'!N307)</f>
        <v>-4000</v>
      </c>
      <c r="O308" s="29">
        <f>SUM('план на 2016'!$L309:O309)-SUM('членские взносы'!$M307:'членские взносы'!O307)</f>
        <v>-4000</v>
      </c>
      <c r="P308" s="29">
        <f>SUM('план на 2016'!$L309:P309)-SUM('членские взносы'!$M307:'членские взносы'!P307)</f>
        <v>-4000</v>
      </c>
      <c r="Q308" s="29">
        <f>SUM('план на 2016'!$L309:Q309)-SUM('членские взносы'!$M307:'членские взносы'!Q307)</f>
        <v>-4000</v>
      </c>
      <c r="R308" s="29">
        <f>SUM('план на 2016'!$L309:R309)-SUM('членские взносы'!$M307:'членские взносы'!R307)</f>
        <v>-4000</v>
      </c>
      <c r="S308" s="29">
        <f>SUM('план на 2016'!$L309:S309)-SUM('членские взносы'!$M307:'членские взносы'!S307)</f>
        <v>-13600</v>
      </c>
      <c r="T308" s="29">
        <f>SUM('план на 2016'!$L309:T309)-SUM('членские взносы'!$M307:'членские взносы'!T307)</f>
        <v>-13600</v>
      </c>
      <c r="U308" s="29">
        <f>SUM('план на 2016'!$L309:U309)-SUM('членские взносы'!$M307:'членские взносы'!U307)</f>
        <v>-13600</v>
      </c>
      <c r="V308" s="29">
        <f>SUM('план на 2016'!$L309:V309)-SUM('членские взносы'!$M307:'членские взносы'!V307)</f>
        <v>-13600</v>
      </c>
      <c r="W308" s="29">
        <f>SUM('план на 2016'!$L309:W309)-SUM('членские взносы'!$M307:'членские взносы'!W307)</f>
        <v>-13600</v>
      </c>
      <c r="X308" s="29">
        <f>SUM('план на 2016'!$L309:X309)-SUM('членские взносы'!$M307:'членские взносы'!X307)</f>
        <v>-13600</v>
      </c>
      <c r="Y308" s="18">
        <f t="shared" si="30"/>
        <v>-13600</v>
      </c>
    </row>
    <row r="309" spans="1:25">
      <c r="A309" s="41">
        <f>VLOOKUP(B309,справочник!$B$2:$E$322,4,FALSE)</f>
        <v>88</v>
      </c>
      <c r="B309" t="str">
        <f t="shared" si="29"/>
        <v>97+93Шалинов Андрей Вадимович</v>
      </c>
      <c r="C309" s="91" t="s">
        <v>706</v>
      </c>
      <c r="D309" s="2" t="s">
        <v>292</v>
      </c>
      <c r="E309" s="1" t="s">
        <v>600</v>
      </c>
      <c r="F309" s="16">
        <v>40925</v>
      </c>
      <c r="G309" s="16">
        <v>40909</v>
      </c>
      <c r="H309" s="17">
        <f t="shared" si="34"/>
        <v>48</v>
      </c>
      <c r="I309" s="1">
        <f t="shared" si="33"/>
        <v>48000</v>
      </c>
      <c r="J309" s="17">
        <v>44000</v>
      </c>
      <c r="K309" s="17"/>
      <c r="L309" s="18">
        <f t="shared" si="28"/>
        <v>4000</v>
      </c>
      <c r="M309" s="29">
        <f>SUM('план на 2016'!$L310:M310)-SUM('членские взносы'!$M308:'членские взносы'!M308)</f>
        <v>4800</v>
      </c>
      <c r="N309" s="29">
        <f>SUM('план на 2016'!$L310:N310)-SUM('членские взносы'!$M308:'членские взносы'!N308)</f>
        <v>5600</v>
      </c>
      <c r="O309" s="29">
        <f>SUM('план на 2016'!$L310:O310)-SUM('членские взносы'!$M308:'членские взносы'!O308)</f>
        <v>6400</v>
      </c>
      <c r="P309" s="29">
        <f>SUM('план на 2016'!$L310:P310)-SUM('членские взносы'!$M308:'членские взносы'!P308)</f>
        <v>7200</v>
      </c>
      <c r="Q309" s="29">
        <f>SUM('план на 2016'!$L310:Q310)-SUM('членские взносы'!$M308:'членские взносы'!Q308)</f>
        <v>8000</v>
      </c>
      <c r="R309" s="29">
        <f>SUM('план на 2016'!$L310:R310)-SUM('членские взносы'!$M308:'членские взносы'!R308)</f>
        <v>8800</v>
      </c>
      <c r="S309" s="29">
        <f>SUM('план на 2016'!$L310:S310)-SUM('членские взносы'!$M308:'членские взносы'!S308)</f>
        <v>9600</v>
      </c>
      <c r="T309" s="29">
        <f>SUM('план на 2016'!$L310:T310)-SUM('членские взносы'!$M308:'членские взносы'!T308)</f>
        <v>10400</v>
      </c>
      <c r="U309" s="29">
        <f>SUM('план на 2016'!$L310:U310)-SUM('членские взносы'!$M308:'членские взносы'!U308)</f>
        <v>11200</v>
      </c>
      <c r="V309" s="29">
        <f>SUM('план на 2016'!$L310:V310)-SUM('членские взносы'!$M308:'членские взносы'!V308)</f>
        <v>12000</v>
      </c>
      <c r="W309" s="29">
        <f>SUM('план на 2016'!$L310:W310)-SUM('членские взносы'!$M308:'членские взносы'!W308)</f>
        <v>12800</v>
      </c>
      <c r="X309" s="29">
        <f>SUM('план на 2016'!$L310:X310)-SUM('членские взносы'!$M308:'членские взносы'!X308)</f>
        <v>13600</v>
      </c>
      <c r="Y309" s="18">
        <f t="shared" si="30"/>
        <v>13600</v>
      </c>
    </row>
    <row r="310" spans="1:25">
      <c r="A310" s="41">
        <f>VLOOKUP(B310,справочник!$B$2:$E$322,4,FALSE)</f>
        <v>78</v>
      </c>
      <c r="B310" t="str">
        <f t="shared" si="29"/>
        <v>83Шелухина Мария Сергеевна</v>
      </c>
      <c r="C310" s="1">
        <v>83</v>
      </c>
      <c r="D310" s="2" t="s">
        <v>294</v>
      </c>
      <c r="E310" s="1"/>
      <c r="F310" s="16">
        <v>41456</v>
      </c>
      <c r="G310" s="16">
        <v>41457</v>
      </c>
      <c r="H310" s="17">
        <f t="shared" si="34"/>
        <v>30</v>
      </c>
      <c r="I310" s="1">
        <v>30000</v>
      </c>
      <c r="J310" s="17">
        <v>0</v>
      </c>
      <c r="K310" s="17"/>
      <c r="L310" s="18">
        <v>30000</v>
      </c>
      <c r="M310" s="29">
        <f>SUM('план на 2016'!$L311:M311)-SUM('членские взносы'!$M309:'членские взносы'!M309)</f>
        <v>30800</v>
      </c>
      <c r="N310" s="29">
        <f>SUM('план на 2016'!$L311:N311)-SUM('членские взносы'!$M309:'членские взносы'!N309)</f>
        <v>31600</v>
      </c>
      <c r="O310" s="29">
        <f>SUM('план на 2016'!$L311:O311)-SUM('членские взносы'!$M309:'членские взносы'!O309)</f>
        <v>32400</v>
      </c>
      <c r="P310" s="29">
        <f>SUM('план на 2016'!$L311:P311)-SUM('членские взносы'!$M309:'членские взносы'!P309)</f>
        <v>33200</v>
      </c>
      <c r="Q310" s="29">
        <f>SUM('план на 2016'!$L311:Q311)-SUM('членские взносы'!$M309:'членские взносы'!Q309)</f>
        <v>34000</v>
      </c>
      <c r="R310" s="29">
        <f>SUM('план на 2016'!$L311:R311)-SUM('членские взносы'!$M309:'членские взносы'!R309)</f>
        <v>34800</v>
      </c>
      <c r="S310" s="29">
        <f>SUM('план на 2016'!$L311:S311)-SUM('членские взносы'!$M309:'членские взносы'!S309)</f>
        <v>35600</v>
      </c>
      <c r="T310" s="29">
        <f>SUM('план на 2016'!$L311:T311)-SUM('членские взносы'!$M309:'членские взносы'!T309)</f>
        <v>36400</v>
      </c>
      <c r="U310" s="29">
        <f>SUM('план на 2016'!$L311:U311)-SUM('членские взносы'!$M309:'членские взносы'!U309)</f>
        <v>12200</v>
      </c>
      <c r="V310" s="29">
        <f>SUM('план на 2016'!$L311:V311)-SUM('членские взносы'!$M309:'членские взносы'!V309)</f>
        <v>13000</v>
      </c>
      <c r="W310" s="29">
        <f>SUM('план на 2016'!$L311:W311)-SUM('членские взносы'!$M309:'членские взносы'!W309)</f>
        <v>13800</v>
      </c>
      <c r="X310" s="29">
        <f>SUM('план на 2016'!$L311:X311)-SUM('членские взносы'!$M309:'членские взносы'!X309)</f>
        <v>14600</v>
      </c>
      <c r="Y310" s="18">
        <f t="shared" si="30"/>
        <v>14600</v>
      </c>
    </row>
    <row r="311" spans="1:25">
      <c r="A311" s="41">
        <f>VLOOKUP(B311,справочник!$B$2:$E$322,4,FALSE)</f>
        <v>77</v>
      </c>
      <c r="B311" t="str">
        <f t="shared" si="29"/>
        <v>83Самородов</v>
      </c>
      <c r="C311" s="1">
        <v>83</v>
      </c>
      <c r="D311" s="2" t="s">
        <v>295</v>
      </c>
      <c r="E311" s="1" t="s">
        <v>601</v>
      </c>
      <c r="F311" s="16">
        <v>40932</v>
      </c>
      <c r="G311" s="16">
        <v>40909</v>
      </c>
      <c r="H311" s="17">
        <f t="shared" si="34"/>
        <v>48</v>
      </c>
      <c r="I311" s="1">
        <f t="shared" ref="I311:I325" si="35">H311*1000</f>
        <v>48000</v>
      </c>
      <c r="J311" s="17">
        <v>15000</v>
      </c>
      <c r="K311" s="17"/>
      <c r="L311" s="18">
        <f t="shared" ref="L311:L325" si="36">I311-J311-K311</f>
        <v>33000</v>
      </c>
      <c r="M311" s="29">
        <f>SUM('план на 2016'!$L312:M312)-SUM('членские взносы'!$M310:'членские взносы'!M310)</f>
        <v>33800</v>
      </c>
      <c r="N311" s="29">
        <f>SUM('план на 2016'!$L312:N312)-SUM('членские взносы'!$M310:'членские взносы'!N310)</f>
        <v>34600</v>
      </c>
      <c r="O311" s="29">
        <f>SUM('план на 2016'!$L312:O312)-SUM('членские взносы'!$M310:'членские взносы'!O310)</f>
        <v>35400</v>
      </c>
      <c r="P311" s="29">
        <f>SUM('план на 2016'!$L312:P312)-SUM('членские взносы'!$M310:'членские взносы'!P310)</f>
        <v>36200</v>
      </c>
      <c r="Q311" s="29">
        <f>SUM('план на 2016'!$L312:Q312)-SUM('членские взносы'!$M310:'членские взносы'!Q310)</f>
        <v>37000</v>
      </c>
      <c r="R311" s="29">
        <f>SUM('план на 2016'!$L312:R312)-SUM('членские взносы'!$M310:'членские взносы'!R310)</f>
        <v>37800</v>
      </c>
      <c r="S311" s="29">
        <f>SUM('план на 2016'!$L312:S312)-SUM('членские взносы'!$M310:'членские взносы'!S310)</f>
        <v>38600</v>
      </c>
      <c r="T311" s="29">
        <f>SUM('план на 2016'!$L312:T312)-SUM('членские взносы'!$M310:'членские взносы'!T310)</f>
        <v>39400</v>
      </c>
      <c r="U311" s="29">
        <f>SUM('план на 2016'!$L312:U312)-SUM('членские взносы'!$M310:'членские взносы'!U310)</f>
        <v>40200</v>
      </c>
      <c r="V311" s="29">
        <f>SUM('план на 2016'!$L312:V312)-SUM('членские взносы'!$M310:'членские взносы'!V310)</f>
        <v>41000</v>
      </c>
      <c r="W311" s="29">
        <f>SUM('план на 2016'!$L312:W312)-SUM('членские взносы'!$M310:'членские взносы'!W310)</f>
        <v>41800</v>
      </c>
      <c r="X311" s="29">
        <f>SUM('план на 2016'!$L312:X312)-SUM('членские взносы'!$M310:'членские взносы'!X310)</f>
        <v>42600</v>
      </c>
      <c r="Y311" s="18">
        <f t="shared" si="30"/>
        <v>42600</v>
      </c>
    </row>
    <row r="312" spans="1:25" ht="25.5" customHeight="1">
      <c r="A312" s="41">
        <f>VLOOKUP(B312,справочник!$B$2:$E$322,4,FALSE)</f>
        <v>306</v>
      </c>
      <c r="B312" t="str">
        <f t="shared" si="29"/>
        <v>321Шептухина Александра Борисовна</v>
      </c>
      <c r="C312" s="1">
        <v>321</v>
      </c>
      <c r="D312" s="2" t="s">
        <v>296</v>
      </c>
      <c r="E312" s="1" t="s">
        <v>602</v>
      </c>
      <c r="F312" s="16">
        <v>41093</v>
      </c>
      <c r="G312" s="16">
        <v>41091</v>
      </c>
      <c r="H312" s="17">
        <f t="shared" si="34"/>
        <v>42</v>
      </c>
      <c r="I312" s="1">
        <f t="shared" si="35"/>
        <v>42000</v>
      </c>
      <c r="J312" s="17">
        <v>11000</v>
      </c>
      <c r="K312" s="17"/>
      <c r="L312" s="18">
        <f t="shared" si="36"/>
        <v>31000</v>
      </c>
      <c r="M312" s="29">
        <f>SUM('план на 2016'!$L313:M313)-SUM('членские взносы'!$M311:'членские взносы'!M311)</f>
        <v>31800</v>
      </c>
      <c r="N312" s="29">
        <f>SUM('план на 2016'!$L313:N313)-SUM('членские взносы'!$M311:'членские взносы'!N311)</f>
        <v>32600</v>
      </c>
      <c r="O312" s="29">
        <f>SUM('план на 2016'!$L313:O313)-SUM('членские взносы'!$M311:'членские взносы'!O311)</f>
        <v>33400</v>
      </c>
      <c r="P312" s="29">
        <f>SUM('план на 2016'!$L313:P313)-SUM('членские взносы'!$M311:'членские взносы'!P311)</f>
        <v>34200</v>
      </c>
      <c r="Q312" s="29">
        <f>SUM('план на 2016'!$L313:Q313)-SUM('членские взносы'!$M311:'членские взносы'!Q311)</f>
        <v>35000</v>
      </c>
      <c r="R312" s="29">
        <f>SUM('план на 2016'!$L313:R313)-SUM('членские взносы'!$M311:'членские взносы'!R311)</f>
        <v>35800</v>
      </c>
      <c r="S312" s="29">
        <f>SUM('план на 2016'!$L313:S313)-SUM('членские взносы'!$M311:'членские взносы'!S311)</f>
        <v>36600</v>
      </c>
      <c r="T312" s="29">
        <f>SUM('план на 2016'!$L313:T313)-SUM('членские взносы'!$M311:'членские взносы'!T311)</f>
        <v>37400</v>
      </c>
      <c r="U312" s="29">
        <f>SUM('план на 2016'!$L313:U313)-SUM('членские взносы'!$M311:'членские взносы'!U311)</f>
        <v>38200</v>
      </c>
      <c r="V312" s="29">
        <f>SUM('план на 2016'!$L313:V313)-SUM('членские взносы'!$M311:'членские взносы'!V311)</f>
        <v>39000</v>
      </c>
      <c r="W312" s="29">
        <f>SUM('план на 2016'!$L313:W313)-SUM('членские взносы'!$M311:'членские взносы'!W311)</f>
        <v>39800</v>
      </c>
      <c r="X312" s="29">
        <f>SUM('план на 2016'!$L313:X313)-SUM('членские взносы'!$M311:'членские взносы'!X311)</f>
        <v>40600</v>
      </c>
      <c r="Y312" s="18">
        <f t="shared" si="30"/>
        <v>40600</v>
      </c>
    </row>
    <row r="313" spans="1:25" ht="25.5" customHeight="1">
      <c r="A313" s="41">
        <f>VLOOKUP(B313,справочник!$B$2:$E$322,4,FALSE)</f>
        <v>182</v>
      </c>
      <c r="B313" t="str">
        <f t="shared" si="29"/>
        <v>190Широков Евгений Александрович</v>
      </c>
      <c r="C313" s="1">
        <v>190</v>
      </c>
      <c r="D313" s="2" t="s">
        <v>297</v>
      </c>
      <c r="E313" s="1" t="s">
        <v>603</v>
      </c>
      <c r="F313" s="16">
        <v>41734</v>
      </c>
      <c r="G313" s="16">
        <v>41760</v>
      </c>
      <c r="H313" s="17">
        <f t="shared" si="34"/>
        <v>20</v>
      </c>
      <c r="I313" s="1">
        <f t="shared" si="35"/>
        <v>20000</v>
      </c>
      <c r="J313" s="17">
        <v>14000</v>
      </c>
      <c r="K313" s="17"/>
      <c r="L313" s="18">
        <f t="shared" si="36"/>
        <v>6000</v>
      </c>
      <c r="M313" s="29">
        <f>SUM('план на 2016'!$L314:M314)-SUM('членские взносы'!$M312:'членские взносы'!M312)</f>
        <v>6800</v>
      </c>
      <c r="N313" s="29">
        <f>SUM('план на 2016'!$L314:N314)-SUM('членские взносы'!$M312:'членские взносы'!N312)</f>
        <v>7600</v>
      </c>
      <c r="O313" s="29">
        <f>SUM('план на 2016'!$L314:O314)-SUM('членские взносы'!$M312:'членские взносы'!O312)</f>
        <v>8400</v>
      </c>
      <c r="P313" s="29">
        <f>SUM('план на 2016'!$L314:P314)-SUM('членские взносы'!$M312:'членские взносы'!P312)</f>
        <v>9200</v>
      </c>
      <c r="Q313" s="29">
        <f>SUM('план на 2016'!$L314:Q314)-SUM('членские взносы'!$M312:'членские взносы'!Q312)</f>
        <v>800</v>
      </c>
      <c r="R313" s="29">
        <f>SUM('план на 2016'!$L314:R314)-SUM('членские взносы'!$M312:'членские взносы'!R312)</f>
        <v>1600</v>
      </c>
      <c r="S313" s="29">
        <f>SUM('план на 2016'!$L314:S314)-SUM('членские взносы'!$M312:'членские взносы'!S312)</f>
        <v>2400</v>
      </c>
      <c r="T313" s="29">
        <f>SUM('план на 2016'!$L314:T314)-SUM('членские взносы'!$M312:'членские взносы'!T312)</f>
        <v>3200</v>
      </c>
      <c r="U313" s="29">
        <f>SUM('план на 2016'!$L314:U314)-SUM('членские взносы'!$M312:'членские взносы'!U312)</f>
        <v>4000</v>
      </c>
      <c r="V313" s="29">
        <f>SUM('план на 2016'!$L314:V314)-SUM('членские взносы'!$M312:'членские взносы'!V312)</f>
        <v>4800</v>
      </c>
      <c r="W313" s="29">
        <f>SUM('план на 2016'!$L314:W314)-SUM('членские взносы'!$M312:'членские взносы'!W312)</f>
        <v>5600</v>
      </c>
      <c r="X313" s="29">
        <f>SUM('план на 2016'!$L314:X314)-SUM('членские взносы'!$M312:'членские взносы'!X312)</f>
        <v>6400</v>
      </c>
      <c r="Y313" s="18">
        <f t="shared" si="30"/>
        <v>6400</v>
      </c>
    </row>
    <row r="314" spans="1:25">
      <c r="A314" s="41">
        <f>VLOOKUP(B314,справочник!$B$2:$E$322,4,FALSE)</f>
        <v>95</v>
      </c>
      <c r="B314" t="str">
        <f t="shared" si="29"/>
        <v>100Шорахматов Мухаммадхуджа Замшоевич</v>
      </c>
      <c r="C314" s="1">
        <v>100</v>
      </c>
      <c r="D314" s="2" t="s">
        <v>298</v>
      </c>
      <c r="E314" s="1" t="s">
        <v>604</v>
      </c>
      <c r="F314" s="16">
        <v>41401</v>
      </c>
      <c r="G314" s="16">
        <v>41609</v>
      </c>
      <c r="H314" s="17">
        <f t="shared" si="34"/>
        <v>25</v>
      </c>
      <c r="I314" s="1">
        <f t="shared" si="35"/>
        <v>25000</v>
      </c>
      <c r="J314" s="17">
        <v>20000</v>
      </c>
      <c r="K314" s="17"/>
      <c r="L314" s="18">
        <f t="shared" si="36"/>
        <v>5000</v>
      </c>
      <c r="M314" s="29">
        <f>SUM('план на 2016'!$L315:M315)-SUM('членские взносы'!$M313:'членские взносы'!M313)</f>
        <v>5800</v>
      </c>
      <c r="N314" s="29">
        <f>SUM('план на 2016'!$L315:N315)-SUM('членские взносы'!$M313:'членские взносы'!N313)</f>
        <v>6600</v>
      </c>
      <c r="O314" s="29">
        <f>SUM('план на 2016'!$L315:O315)-SUM('членские взносы'!$M313:'членские взносы'!O313)</f>
        <v>7400</v>
      </c>
      <c r="P314" s="29">
        <f>SUM('план на 2016'!$L315:P315)-SUM('членские взносы'!$M313:'членские взносы'!P313)</f>
        <v>8200</v>
      </c>
      <c r="Q314" s="29">
        <f>SUM('план на 2016'!$L315:Q315)-SUM('членские взносы'!$M313:'членские взносы'!Q313)</f>
        <v>9000</v>
      </c>
      <c r="R314" s="29">
        <f>SUM('план на 2016'!$L315:R315)-SUM('членские взносы'!$M313:'членские взносы'!R313)</f>
        <v>800</v>
      </c>
      <c r="S314" s="29">
        <f>SUM('план на 2016'!$L315:S315)-SUM('членские взносы'!$M313:'членские взносы'!S313)</f>
        <v>1600</v>
      </c>
      <c r="T314" s="29">
        <f>SUM('план на 2016'!$L315:T315)-SUM('членские взносы'!$M313:'членские взносы'!T313)</f>
        <v>2400</v>
      </c>
      <c r="U314" s="29">
        <f>SUM('план на 2016'!$L315:U315)-SUM('членские взносы'!$M313:'членские взносы'!U313)</f>
        <v>3200</v>
      </c>
      <c r="V314" s="29">
        <f>SUM('план на 2016'!$L315:V315)-SUM('членские взносы'!$M313:'членские взносы'!V313)</f>
        <v>4000</v>
      </c>
      <c r="W314" s="29">
        <f>SUM('план на 2016'!$L315:W315)-SUM('членские взносы'!$M313:'членские взносы'!W313)</f>
        <v>4800</v>
      </c>
      <c r="X314" s="29">
        <f>SUM('план на 2016'!$L315:X315)-SUM('членские взносы'!$M313:'членские взносы'!X313)</f>
        <v>5600</v>
      </c>
      <c r="Y314" s="18">
        <f t="shared" si="30"/>
        <v>5600</v>
      </c>
    </row>
    <row r="315" spans="1:25">
      <c r="A315" s="41">
        <f>VLOOKUP(B315,справочник!$B$2:$E$322,4,FALSE)</f>
        <v>108</v>
      </c>
      <c r="B315" t="str">
        <f t="shared" si="29"/>
        <v>113Шурдук Лариса Анатольевна (Игорь)</v>
      </c>
      <c r="C315" s="1">
        <v>113</v>
      </c>
      <c r="D315" s="2" t="s">
        <v>299</v>
      </c>
      <c r="E315" s="1" t="s">
        <v>605</v>
      </c>
      <c r="F315" s="16">
        <v>40938</v>
      </c>
      <c r="G315" s="16">
        <v>40940</v>
      </c>
      <c r="H315" s="17">
        <f t="shared" si="34"/>
        <v>47</v>
      </c>
      <c r="I315" s="1">
        <f t="shared" si="35"/>
        <v>47000</v>
      </c>
      <c r="J315" s="17">
        <f>24000+11000</f>
        <v>35000</v>
      </c>
      <c r="K315" s="17">
        <v>8000</v>
      </c>
      <c r="L315" s="18">
        <f t="shared" si="36"/>
        <v>4000</v>
      </c>
      <c r="M315" s="29">
        <f>SUM('план на 2016'!$L316:M316)-SUM('членские взносы'!$M314:'членские взносы'!M314)</f>
        <v>4800</v>
      </c>
      <c r="N315" s="29">
        <f>SUM('план на 2016'!$L316:N316)-SUM('членские взносы'!$M314:'членские взносы'!N314)</f>
        <v>1600</v>
      </c>
      <c r="O315" s="29">
        <f>SUM('план на 2016'!$L316:O316)-SUM('членские взносы'!$M314:'членские взносы'!O314)</f>
        <v>0</v>
      </c>
      <c r="P315" s="29">
        <f>SUM('план на 2016'!$L316:P316)-SUM('членские взносы'!$M314:'членские взносы'!P314)</f>
        <v>800</v>
      </c>
      <c r="Q315" s="29">
        <f>SUM('план на 2016'!$L316:Q316)-SUM('членские взносы'!$M314:'членские взносы'!Q314)</f>
        <v>1600</v>
      </c>
      <c r="R315" s="29">
        <f>SUM('план на 2016'!$L316:R316)-SUM('членские взносы'!$M314:'членские взносы'!R314)</f>
        <v>0</v>
      </c>
      <c r="S315" s="29">
        <f>SUM('план на 2016'!$L316:S316)-SUM('членские взносы'!$M314:'членские взносы'!S314)</f>
        <v>800</v>
      </c>
      <c r="T315" s="29">
        <f>SUM('план на 2016'!$L316:T316)-SUM('членские взносы'!$M314:'членские взносы'!T314)</f>
        <v>1600</v>
      </c>
      <c r="U315" s="29">
        <f>SUM('план на 2016'!$L316:U316)-SUM('членские взносы'!$M314:'членские взносы'!U314)</f>
        <v>0</v>
      </c>
      <c r="V315" s="29">
        <f>SUM('план на 2016'!$L316:V316)-SUM('членские взносы'!$M314:'членские взносы'!V314)</f>
        <v>800</v>
      </c>
      <c r="W315" s="29">
        <f>SUM('план на 2016'!$L316:W316)-SUM('членские взносы'!$M314:'членские взносы'!W314)</f>
        <v>1600</v>
      </c>
      <c r="X315" s="29">
        <f>SUM('план на 2016'!$L316:X316)-SUM('членские взносы'!$M314:'членские взносы'!X314)</f>
        <v>0</v>
      </c>
      <c r="Y315" s="18">
        <f t="shared" si="30"/>
        <v>0</v>
      </c>
    </row>
    <row r="316" spans="1:25">
      <c r="A316" s="41">
        <f>VLOOKUP(B316,справочник!$B$2:$E$322,4,FALSE)</f>
        <v>41</v>
      </c>
      <c r="B316" t="str">
        <f t="shared" si="29"/>
        <v>41Шустов Василий Александрович</v>
      </c>
      <c r="C316" s="1">
        <v>41</v>
      </c>
      <c r="D316" s="2" t="s">
        <v>300</v>
      </c>
      <c r="E316" s="1" t="s">
        <v>606</v>
      </c>
      <c r="F316" s="16">
        <v>40772</v>
      </c>
      <c r="G316" s="16">
        <v>40756</v>
      </c>
      <c r="H316" s="17">
        <f t="shared" si="34"/>
        <v>53</v>
      </c>
      <c r="I316" s="1">
        <f t="shared" si="35"/>
        <v>53000</v>
      </c>
      <c r="J316" s="17">
        <f>1000+37000</f>
        <v>38000</v>
      </c>
      <c r="K316" s="17"/>
      <c r="L316" s="18">
        <f t="shared" si="36"/>
        <v>15000</v>
      </c>
      <c r="M316" s="29">
        <f>SUM('план на 2016'!$L317:M317)-SUM('членские взносы'!$M315:'членские взносы'!M315)</f>
        <v>15800</v>
      </c>
      <c r="N316" s="29">
        <f>SUM('план на 2016'!$L317:N317)-SUM('членские взносы'!$M315:'членские взносы'!N315)</f>
        <v>16600</v>
      </c>
      <c r="O316" s="29">
        <f>SUM('план на 2016'!$L317:O317)-SUM('членские взносы'!$M315:'членские взносы'!O315)</f>
        <v>17400</v>
      </c>
      <c r="P316" s="29">
        <f>SUM('план на 2016'!$L317:P317)-SUM('членские взносы'!$M315:'членские взносы'!P315)</f>
        <v>18200</v>
      </c>
      <c r="Q316" s="29">
        <f>SUM('план на 2016'!$L317:Q317)-SUM('членские взносы'!$M315:'членские взносы'!Q315)</f>
        <v>19000</v>
      </c>
      <c r="R316" s="29">
        <f>SUM('план на 2016'!$L317:R317)-SUM('членские взносы'!$M315:'членские взносы'!R315)</f>
        <v>19800</v>
      </c>
      <c r="S316" s="29">
        <f>SUM('план на 2016'!$L317:S317)-SUM('членские взносы'!$M315:'членские взносы'!S315)</f>
        <v>20600</v>
      </c>
      <c r="T316" s="29">
        <f>SUM('план на 2016'!$L317:T317)-SUM('членские взносы'!$M315:'членские взносы'!T315)</f>
        <v>21400</v>
      </c>
      <c r="U316" s="29">
        <f>SUM('план на 2016'!$L317:U317)-SUM('членские взносы'!$M315:'членские взносы'!U315)</f>
        <v>800</v>
      </c>
      <c r="V316" s="29">
        <f>SUM('план на 2016'!$L317:V317)-SUM('членские взносы'!$M315:'членские взносы'!V315)</f>
        <v>1600</v>
      </c>
      <c r="W316" s="29">
        <f>SUM('план на 2016'!$L317:W317)-SUM('членские взносы'!$M315:'членские взносы'!W315)</f>
        <v>2400</v>
      </c>
      <c r="X316" s="29">
        <f>SUM('план на 2016'!$L317:X317)-SUM('членские взносы'!$M315:'членские взносы'!X315)</f>
        <v>3200</v>
      </c>
      <c r="Y316" s="18">
        <f t="shared" si="30"/>
        <v>3200</v>
      </c>
    </row>
    <row r="317" spans="1:25" ht="25.5" customHeight="1">
      <c r="A317" s="41">
        <f>VLOOKUP(B317,справочник!$B$2:$E$322,4,FALSE)</f>
        <v>152</v>
      </c>
      <c r="B317" t="str">
        <f t="shared" si="29"/>
        <v>160Щербаков Павел Евгеньевич</v>
      </c>
      <c r="C317" s="1">
        <v>160</v>
      </c>
      <c r="D317" s="2" t="s">
        <v>301</v>
      </c>
      <c r="E317" s="1" t="s">
        <v>607</v>
      </c>
      <c r="F317" s="16">
        <v>40850</v>
      </c>
      <c r="G317" s="16">
        <v>40848</v>
      </c>
      <c r="H317" s="17">
        <f t="shared" si="34"/>
        <v>50</v>
      </c>
      <c r="I317" s="1">
        <f t="shared" si="35"/>
        <v>50000</v>
      </c>
      <c r="J317" s="17">
        <f>46000+1000</f>
        <v>47000</v>
      </c>
      <c r="K317" s="17"/>
      <c r="L317" s="18">
        <f t="shared" si="36"/>
        <v>3000</v>
      </c>
      <c r="M317" s="29">
        <f>SUM('план на 2016'!$L318:M318)-SUM('членские взносы'!$M316:'членские взносы'!M316)</f>
        <v>3800</v>
      </c>
      <c r="N317" s="29">
        <f>SUM('план на 2016'!$L318:N318)-SUM('членские взносы'!$M316:'членские взносы'!N316)</f>
        <v>4600</v>
      </c>
      <c r="O317" s="29">
        <f>SUM('план на 2016'!$L318:O318)-SUM('членские взносы'!$M316:'членские взносы'!O316)</f>
        <v>5400</v>
      </c>
      <c r="P317" s="29">
        <f>SUM('план на 2016'!$L318:P318)-SUM('членские взносы'!$M316:'членские взносы'!P316)</f>
        <v>6200</v>
      </c>
      <c r="Q317" s="29">
        <f>SUM('план на 2016'!$L318:Q318)-SUM('членские взносы'!$M316:'членские взносы'!Q316)</f>
        <v>7000</v>
      </c>
      <c r="R317" s="29">
        <f>SUM('план на 2016'!$L318:R318)-SUM('членские взносы'!$M316:'членские взносы'!R316)</f>
        <v>7800</v>
      </c>
      <c r="S317" s="29">
        <f>SUM('план на 2016'!$L318:S318)-SUM('членские взносы'!$M316:'членские взносы'!S316)</f>
        <v>8600</v>
      </c>
      <c r="T317" s="29">
        <f>SUM('план на 2016'!$L318:T318)-SUM('членские взносы'!$M316:'членские взносы'!T316)</f>
        <v>9400</v>
      </c>
      <c r="U317" s="29">
        <f>SUM('план на 2016'!$L318:U318)-SUM('членские взносы'!$M316:'членские взносы'!U316)</f>
        <v>10200</v>
      </c>
      <c r="V317" s="29">
        <f>SUM('план на 2016'!$L318:V318)-SUM('членские взносы'!$M316:'членские взносы'!V316)</f>
        <v>11000</v>
      </c>
      <c r="W317" s="29">
        <f>SUM('план на 2016'!$L318:W318)-SUM('членские взносы'!$M316:'членские взносы'!W316)</f>
        <v>11800</v>
      </c>
      <c r="X317" s="29">
        <f>SUM('план на 2016'!$L318:X318)-SUM('членские взносы'!$M316:'членские взносы'!X316)</f>
        <v>12600</v>
      </c>
      <c r="Y317" s="18">
        <f t="shared" si="30"/>
        <v>12600</v>
      </c>
    </row>
    <row r="318" spans="1:25">
      <c r="A318" s="41">
        <f>VLOOKUP(B318,справочник!$B$2:$E$322,4,FALSE)</f>
        <v>227</v>
      </c>
      <c r="B318" t="str">
        <f t="shared" si="29"/>
        <v xml:space="preserve">236Щербакова Татьяна Дмитриевна      </v>
      </c>
      <c r="C318" s="1">
        <v>236</v>
      </c>
      <c r="D318" s="2" t="s">
        <v>302</v>
      </c>
      <c r="E318" s="1" t="s">
        <v>608</v>
      </c>
      <c r="F318" s="16">
        <v>41738</v>
      </c>
      <c r="G318" s="16">
        <v>41760</v>
      </c>
      <c r="H318" s="17">
        <f t="shared" si="34"/>
        <v>20</v>
      </c>
      <c r="I318" s="1">
        <f t="shared" si="35"/>
        <v>20000</v>
      </c>
      <c r="J318" s="17">
        <v>9000</v>
      </c>
      <c r="K318" s="17"/>
      <c r="L318" s="18">
        <f t="shared" si="36"/>
        <v>11000</v>
      </c>
      <c r="M318" s="29">
        <f>SUM('план на 2016'!$L319:M319)-SUM('членские взносы'!$M317:'членские взносы'!M317)</f>
        <v>11800</v>
      </c>
      <c r="N318" s="29">
        <f>SUM('план на 2016'!$L319:N319)-SUM('членские взносы'!$M317:'членские взносы'!N317)</f>
        <v>8800</v>
      </c>
      <c r="O318" s="29">
        <f>SUM('план на 2016'!$L319:O319)-SUM('членские взносы'!$M317:'членские взносы'!O317)</f>
        <v>4800</v>
      </c>
      <c r="P318" s="29">
        <f>SUM('план на 2016'!$L319:P319)-SUM('членские взносы'!$M317:'членские взносы'!P317)</f>
        <v>5600</v>
      </c>
      <c r="Q318" s="29">
        <f>SUM('план на 2016'!$L319:Q319)-SUM('членские взносы'!$M317:'членские взносы'!Q317)</f>
        <v>6400</v>
      </c>
      <c r="R318" s="29">
        <f>SUM('план на 2016'!$L319:R319)-SUM('членские взносы'!$M317:'членские взносы'!R317)</f>
        <v>7200</v>
      </c>
      <c r="S318" s="29">
        <f>SUM('план на 2016'!$L319:S319)-SUM('членские взносы'!$M317:'членские взносы'!S317)</f>
        <v>8000</v>
      </c>
      <c r="T318" s="29">
        <f>SUM('план на 2016'!$L319:T319)-SUM('членские взносы'!$M317:'членские взносы'!T317)</f>
        <v>8800</v>
      </c>
      <c r="U318" s="29">
        <f>SUM('план на 2016'!$L319:U319)-SUM('членские взносы'!$M317:'членские взносы'!U317)</f>
        <v>9600</v>
      </c>
      <c r="V318" s="29">
        <f>SUM('план на 2016'!$L319:V319)-SUM('членские взносы'!$M317:'членские взносы'!V317)</f>
        <v>10400</v>
      </c>
      <c r="W318" s="29">
        <f>SUM('план на 2016'!$L319:W319)-SUM('членские взносы'!$M317:'членские взносы'!W317)</f>
        <v>11200</v>
      </c>
      <c r="X318" s="29">
        <f>SUM('план на 2016'!$L319:X319)-SUM('членские взносы'!$M317:'членские взносы'!X317)</f>
        <v>12000</v>
      </c>
      <c r="Y318" s="18">
        <f t="shared" si="30"/>
        <v>12000</v>
      </c>
    </row>
    <row r="319" spans="1:25">
      <c r="A319" s="41">
        <f>VLOOKUP(B319,справочник!$B$2:$E$322,4,FALSE)</f>
        <v>15</v>
      </c>
      <c r="B319" t="str">
        <f t="shared" si="29"/>
        <v>15Элефтерова Евгения Викторовна (Михаил)</v>
      </c>
      <c r="C319" s="1">
        <v>15</v>
      </c>
      <c r="D319" s="2" t="s">
        <v>303</v>
      </c>
      <c r="E319" s="1" t="s">
        <v>609</v>
      </c>
      <c r="F319" s="16">
        <v>41261</v>
      </c>
      <c r="G319" s="16">
        <v>41275</v>
      </c>
      <c r="H319" s="17">
        <f t="shared" si="34"/>
        <v>36</v>
      </c>
      <c r="I319" s="1">
        <f t="shared" si="35"/>
        <v>36000</v>
      </c>
      <c r="J319" s="17">
        <v>32000</v>
      </c>
      <c r="K319" s="17"/>
      <c r="L319" s="18">
        <f t="shared" si="36"/>
        <v>4000</v>
      </c>
      <c r="M319" s="29">
        <f>SUM('план на 2016'!$L320:M320)-SUM('членские взносы'!$M318:'членские взносы'!M318)</f>
        <v>4800</v>
      </c>
      <c r="N319" s="29">
        <f>SUM('план на 2016'!$L320:N320)-SUM('членские взносы'!$M318:'членские взносы'!N318)</f>
        <v>1600</v>
      </c>
      <c r="O319" s="29">
        <f>SUM('план на 2016'!$L320:O320)-SUM('членские взносы'!$M318:'членские взносы'!O318)</f>
        <v>2400</v>
      </c>
      <c r="P319" s="29">
        <f>SUM('план на 2016'!$L320:P320)-SUM('членские взносы'!$M318:'членские взносы'!P318)</f>
        <v>3200</v>
      </c>
      <c r="Q319" s="29">
        <f>SUM('план на 2016'!$L320:Q320)-SUM('членские взносы'!$M318:'членские взносы'!Q318)</f>
        <v>4000</v>
      </c>
      <c r="R319" s="29">
        <f>SUM('план на 2016'!$L320:R320)-SUM('членские взносы'!$M318:'членские взносы'!R318)</f>
        <v>0</v>
      </c>
      <c r="S319" s="29">
        <f>SUM('план на 2016'!$L320:S320)-SUM('членские взносы'!$M318:'членские взносы'!S318)</f>
        <v>800</v>
      </c>
      <c r="T319" s="29">
        <f>SUM('план на 2016'!$L320:T320)-SUM('членские взносы'!$M318:'членские взносы'!T318)</f>
        <v>1600</v>
      </c>
      <c r="U319" s="29">
        <f>SUM('план на 2016'!$L320:U320)-SUM('членские взносы'!$M318:'членские взносы'!U318)</f>
        <v>0</v>
      </c>
      <c r="V319" s="29">
        <f>SUM('план на 2016'!$L320:V320)-SUM('членские взносы'!$M318:'членские взносы'!V318)</f>
        <v>800</v>
      </c>
      <c r="W319" s="29">
        <f>SUM('план на 2016'!$L320:W320)-SUM('членские взносы'!$M318:'членские взносы'!W318)</f>
        <v>1600</v>
      </c>
      <c r="X319" s="29">
        <f>SUM('план на 2016'!$L320:X320)-SUM('членские взносы'!$M318:'членские взносы'!X318)</f>
        <v>2400</v>
      </c>
      <c r="Y319" s="18">
        <f t="shared" si="30"/>
        <v>2400</v>
      </c>
    </row>
    <row r="320" spans="1:25">
      <c r="A320" s="41">
        <f>VLOOKUP(B320,справочник!$B$2:$E$322,4,FALSE)</f>
        <v>240</v>
      </c>
      <c r="B320" t="str">
        <f t="shared" si="29"/>
        <v>251Якиманский Александр Александрович</v>
      </c>
      <c r="C320" s="1">
        <v>251</v>
      </c>
      <c r="D320" s="11" t="s">
        <v>304</v>
      </c>
      <c r="E320" s="1" t="s">
        <v>610</v>
      </c>
      <c r="F320" s="16">
        <v>40799</v>
      </c>
      <c r="G320" s="16">
        <v>40787</v>
      </c>
      <c r="H320" s="17">
        <f t="shared" si="34"/>
        <v>52</v>
      </c>
      <c r="I320" s="1">
        <f t="shared" si="35"/>
        <v>52000</v>
      </c>
      <c r="J320" s="17">
        <f>1000+49000</f>
        <v>50000</v>
      </c>
      <c r="K320" s="17">
        <v>3000</v>
      </c>
      <c r="L320" s="18">
        <f t="shared" si="36"/>
        <v>-1000</v>
      </c>
      <c r="M320" s="29">
        <f>SUM('план на 2016'!$L321:M321)-SUM('членские взносы'!$M319:'членские взносы'!M319)</f>
        <v>-200</v>
      </c>
      <c r="N320" s="29">
        <f>SUM('план на 2016'!$L321:N321)-SUM('членские взносы'!$M319:'членские взносы'!N319)</f>
        <v>600</v>
      </c>
      <c r="O320" s="29">
        <f>SUM('план на 2016'!$L321:O321)-SUM('членские взносы'!$M319:'членские взносы'!O319)</f>
        <v>1400</v>
      </c>
      <c r="P320" s="29">
        <f>SUM('план на 2016'!$L321:P321)-SUM('членские взносы'!$M319:'членские взносы'!P319)</f>
        <v>2200</v>
      </c>
      <c r="Q320" s="29">
        <f>SUM('план на 2016'!$L321:Q321)-SUM('членские взносы'!$M319:'членские взносы'!Q319)</f>
        <v>3000</v>
      </c>
      <c r="R320" s="29">
        <f>SUM('план на 2016'!$L321:R321)-SUM('членские взносы'!$M319:'членские взносы'!R319)</f>
        <v>3800</v>
      </c>
      <c r="S320" s="29">
        <f>SUM('план на 2016'!$L321:S321)-SUM('членские взносы'!$M319:'членские взносы'!S319)</f>
        <v>4600</v>
      </c>
      <c r="T320" s="29">
        <f>SUM('план на 2016'!$L321:T321)-SUM('членские взносы'!$M319:'членские взносы'!T319)</f>
        <v>5400</v>
      </c>
      <c r="U320" s="29">
        <f>SUM('план на 2016'!$L321:U321)-SUM('членские взносы'!$M319:'членские взносы'!U319)</f>
        <v>1200</v>
      </c>
      <c r="V320" s="29">
        <f>SUM('план на 2016'!$L321:V321)-SUM('членские взносы'!$M319:'членские взносы'!V319)</f>
        <v>2000</v>
      </c>
      <c r="W320" s="29">
        <f>SUM('план на 2016'!$L321:W321)-SUM('членские взносы'!$M319:'членские взносы'!W319)</f>
        <v>1200</v>
      </c>
      <c r="X320" s="29">
        <f>SUM('план на 2016'!$L321:X321)-SUM('членские взносы'!$M319:'членские взносы'!X319)</f>
        <v>2000</v>
      </c>
      <c r="Y320" s="18">
        <f t="shared" si="30"/>
        <v>2000</v>
      </c>
    </row>
    <row r="321" spans="1:25">
      <c r="A321" s="41">
        <f>VLOOKUP(B321,справочник!$B$2:$E$322,4,FALSE)</f>
        <v>10</v>
      </c>
      <c r="B321" t="str">
        <f t="shared" si="29"/>
        <v>10Якушина Любовь Викторовна</v>
      </c>
      <c r="C321" s="1">
        <v>10</v>
      </c>
      <c r="D321" s="2" t="s">
        <v>305</v>
      </c>
      <c r="E321" s="1" t="s">
        <v>611</v>
      </c>
      <c r="F321" s="16">
        <v>42023</v>
      </c>
      <c r="G321" s="1"/>
      <c r="H321" s="17">
        <v>0</v>
      </c>
      <c r="I321" s="1">
        <f t="shared" si="35"/>
        <v>0</v>
      </c>
      <c r="J321" s="17"/>
      <c r="K321" s="17"/>
      <c r="L321" s="18">
        <f t="shared" si="36"/>
        <v>0</v>
      </c>
      <c r="M321" s="29">
        <f>SUM('план на 2016'!$L322:M322)-SUM('членские взносы'!$M320:'членские взносы'!M320)</f>
        <v>800</v>
      </c>
      <c r="N321" s="29">
        <f>SUM('план на 2016'!$L322:N322)-SUM('членские взносы'!$M320:'членские взносы'!N320)</f>
        <v>1600</v>
      </c>
      <c r="O321" s="29">
        <f>SUM('план на 2016'!$L322:O322)-SUM('членские взносы'!$M320:'членские взносы'!O320)</f>
        <v>2400</v>
      </c>
      <c r="P321" s="29">
        <f>SUM('план на 2016'!$L322:P322)-SUM('членские взносы'!$M320:'членские взносы'!P320)</f>
        <v>3200</v>
      </c>
      <c r="Q321" s="29">
        <f>SUM('план на 2016'!$L322:Q322)-SUM('членские взносы'!$M320:'членские взносы'!Q320)</f>
        <v>4000</v>
      </c>
      <c r="R321" s="29">
        <f>SUM('план на 2016'!$L322:R322)-SUM('членские взносы'!$M320:'членские взносы'!R320)</f>
        <v>4800</v>
      </c>
      <c r="S321" s="29">
        <f>SUM('план на 2016'!$L322:S322)-SUM('членские взносы'!$M320:'членские взносы'!S320)</f>
        <v>5600</v>
      </c>
      <c r="T321" s="29">
        <f>SUM('план на 2016'!$L322:T322)-SUM('членские взносы'!$M320:'членские взносы'!T320)</f>
        <v>6400</v>
      </c>
      <c r="U321" s="29">
        <f>SUM('план на 2016'!$L322:U322)-SUM('членские взносы'!$M320:'членские взносы'!U320)</f>
        <v>7200</v>
      </c>
      <c r="V321" s="29">
        <f>SUM('план на 2016'!$L322:V322)-SUM('членские взносы'!$M320:'членские взносы'!V320)</f>
        <v>8000</v>
      </c>
      <c r="W321" s="29">
        <f>SUM('план на 2016'!$L322:W322)-SUM('членские взносы'!$M320:'членские взносы'!W320)</f>
        <v>8800</v>
      </c>
      <c r="X321" s="29">
        <f>SUM('план на 2016'!$L322:X322)-SUM('членские взносы'!$M320:'членские взносы'!X320)</f>
        <v>9600</v>
      </c>
      <c r="Y321" s="18">
        <f t="shared" si="30"/>
        <v>9600</v>
      </c>
    </row>
    <row r="322" spans="1:25">
      <c r="A322" s="41">
        <f>VLOOKUP(B322,справочник!$B$2:$E$322,4,FALSE)</f>
        <v>55</v>
      </c>
      <c r="B322" t="str">
        <f t="shared" si="29"/>
        <v>57Янковская Елена Александровна</v>
      </c>
      <c r="C322" s="1">
        <v>57</v>
      </c>
      <c r="D322" s="2" t="s">
        <v>306</v>
      </c>
      <c r="E322" s="1" t="s">
        <v>612</v>
      </c>
      <c r="F322" s="16">
        <v>40772</v>
      </c>
      <c r="G322" s="16">
        <v>40756</v>
      </c>
      <c r="H322" s="17">
        <f>INT(($H$326-G322)/30)</f>
        <v>53</v>
      </c>
      <c r="I322" s="1">
        <f t="shared" si="35"/>
        <v>53000</v>
      </c>
      <c r="J322" s="17">
        <f>1000+53000</f>
        <v>54000</v>
      </c>
      <c r="K322" s="17">
        <v>3000</v>
      </c>
      <c r="L322" s="18">
        <f t="shared" si="36"/>
        <v>-4000</v>
      </c>
      <c r="M322" s="29">
        <f>SUM('план на 2016'!$L323:M323)-SUM('членские взносы'!$M321:'членские взносы'!M321)</f>
        <v>-3200</v>
      </c>
      <c r="N322" s="29">
        <f>SUM('план на 2016'!$L323:N323)-SUM('членские взносы'!$M321:'членские взносы'!N321)</f>
        <v>-2400</v>
      </c>
      <c r="O322" s="29">
        <f>SUM('план на 2016'!$L323:O323)-SUM('членские взносы'!$M321:'членские взносы'!O321)</f>
        <v>-4800</v>
      </c>
      <c r="P322" s="29">
        <f>SUM('план на 2016'!$L323:P323)-SUM('членские взносы'!$M321:'членские взносы'!P321)</f>
        <v>-4000</v>
      </c>
      <c r="Q322" s="29">
        <f>SUM('план на 2016'!$L323:Q323)-SUM('членские взносы'!$M321:'членские взносы'!Q321)</f>
        <v>-3200</v>
      </c>
      <c r="R322" s="29">
        <f>SUM('план на 2016'!$L323:R323)-SUM('членские взносы'!$M321:'членские взносы'!R321)</f>
        <v>-2400</v>
      </c>
      <c r="S322" s="29">
        <f>SUM('план на 2016'!$L323:S323)-SUM('членские взносы'!$M321:'членские взносы'!S321)</f>
        <v>-4800</v>
      </c>
      <c r="T322" s="29">
        <f>SUM('план на 2016'!$L323:T323)-SUM('членские взносы'!$M321:'членские взносы'!T321)</f>
        <v>-4000</v>
      </c>
      <c r="U322" s="29">
        <f>SUM('план на 2016'!$L323:U323)-SUM('членские взносы'!$M321:'членские взносы'!U321)</f>
        <v>-3200</v>
      </c>
      <c r="V322" s="29">
        <f>SUM('план на 2016'!$L323:V323)-SUM('членские взносы'!$M321:'членские взносы'!V321)</f>
        <v>-2400</v>
      </c>
      <c r="W322" s="29">
        <f>SUM('план на 2016'!$L323:W323)-SUM('членские взносы'!$M321:'членские взносы'!W321)</f>
        <v>-4800</v>
      </c>
      <c r="X322" s="29">
        <f>SUM('план на 2016'!$L323:X323)-SUM('членские взносы'!$M321:'членские взносы'!X321)</f>
        <v>-4000</v>
      </c>
      <c r="Y322" s="18">
        <f t="shared" si="30"/>
        <v>-4000</v>
      </c>
    </row>
    <row r="323" spans="1:25">
      <c r="A323" s="41">
        <f>VLOOKUP(B323,справочник!$B$2:$E$322,4,FALSE)</f>
        <v>309</v>
      </c>
      <c r="B323" t="str">
        <f t="shared" si="29"/>
        <v>324Янковская Яна Валерьевна</v>
      </c>
      <c r="C323" s="1">
        <v>324</v>
      </c>
      <c r="D323" s="2" t="s">
        <v>307</v>
      </c>
      <c r="E323" s="1" t="s">
        <v>613</v>
      </c>
      <c r="F323" s="16">
        <v>41002</v>
      </c>
      <c r="G323" s="16">
        <v>41000</v>
      </c>
      <c r="H323" s="17">
        <f>INT(($H$326-G323)/30)</f>
        <v>45</v>
      </c>
      <c r="I323" s="1">
        <f t="shared" si="35"/>
        <v>45000</v>
      </c>
      <c r="J323" s="17">
        <f>17000+1000</f>
        <v>18000</v>
      </c>
      <c r="K323" s="17">
        <v>5000</v>
      </c>
      <c r="L323" s="18">
        <f t="shared" si="36"/>
        <v>22000</v>
      </c>
      <c r="M323" s="29">
        <f>SUM('план на 2016'!$L324:M324)-SUM('членские взносы'!$M322:'членские взносы'!M322)</f>
        <v>22800</v>
      </c>
      <c r="N323" s="29">
        <f>SUM('план на 2016'!$L324:N324)-SUM('членские взносы'!$M322:'членские взносы'!N322)</f>
        <v>23600</v>
      </c>
      <c r="O323" s="29">
        <f>SUM('план на 2016'!$L324:O324)-SUM('членские взносы'!$M322:'членские взносы'!O322)</f>
        <v>24400</v>
      </c>
      <c r="P323" s="29">
        <f>SUM('план на 2016'!$L324:P324)-SUM('членские взносы'!$M322:'членские взносы'!P322)</f>
        <v>25200</v>
      </c>
      <c r="Q323" s="29">
        <f>SUM('план на 2016'!$L324:Q324)-SUM('членские взносы'!$M322:'членские взносы'!Q322)</f>
        <v>26000</v>
      </c>
      <c r="R323" s="29">
        <f>SUM('план на 2016'!$L324:R324)-SUM('членские взносы'!$M322:'членские взносы'!R322)</f>
        <v>26800</v>
      </c>
      <c r="S323" s="29">
        <f>SUM('план на 2016'!$L324:S324)-SUM('членские взносы'!$M322:'членские взносы'!S322)</f>
        <v>27600</v>
      </c>
      <c r="T323" s="29">
        <f>SUM('план на 2016'!$L324:T324)-SUM('членские взносы'!$M322:'членские взносы'!T322)</f>
        <v>28400</v>
      </c>
      <c r="U323" s="29">
        <f>SUM('план на 2016'!$L324:U324)-SUM('членские взносы'!$M322:'членские взносы'!U322)</f>
        <v>29200</v>
      </c>
      <c r="V323" s="29">
        <f>SUM('план на 2016'!$L324:V324)-SUM('членские взносы'!$M322:'членские взносы'!V322)</f>
        <v>30000</v>
      </c>
      <c r="W323" s="29">
        <f>SUM('план на 2016'!$L324:W324)-SUM('членские взносы'!$M322:'членские взносы'!W322)</f>
        <v>30800</v>
      </c>
      <c r="X323" s="29">
        <f>SUM('план на 2016'!$L324:X324)-SUM('членские взносы'!$M322:'членские взносы'!X322)</f>
        <v>31600</v>
      </c>
      <c r="Y323" s="18">
        <f t="shared" si="30"/>
        <v>31600</v>
      </c>
    </row>
    <row r="324" spans="1:25">
      <c r="A324" s="41">
        <f>VLOOKUP(B324,справочник!$B$2:$E$322,4,FALSE)</f>
        <v>17</v>
      </c>
      <c r="B324" t="str">
        <f t="shared" si="29"/>
        <v>17Яструб Валерий Викторович</v>
      </c>
      <c r="C324" s="1">
        <v>17</v>
      </c>
      <c r="D324" s="2" t="s">
        <v>308</v>
      </c>
      <c r="E324" s="1" t="s">
        <v>614</v>
      </c>
      <c r="F324" s="16">
        <v>41254</v>
      </c>
      <c r="G324" s="16">
        <v>41275</v>
      </c>
      <c r="H324" s="17">
        <f>INT(($H$326-G324)/30)</f>
        <v>36</v>
      </c>
      <c r="I324" s="1">
        <f t="shared" si="35"/>
        <v>36000</v>
      </c>
      <c r="J324" s="17">
        <v>31000</v>
      </c>
      <c r="K324" s="17"/>
      <c r="L324" s="18">
        <f t="shared" si="36"/>
        <v>5000</v>
      </c>
      <c r="M324" s="29">
        <f>SUM('план на 2016'!$L325:M325)-SUM('членские взносы'!$M323:'членские взносы'!M323)</f>
        <v>2800</v>
      </c>
      <c r="N324" s="29">
        <f>SUM('план на 2016'!$L325:N325)-SUM('членские взносы'!$M323:'членские взносы'!N323)</f>
        <v>3600</v>
      </c>
      <c r="O324" s="29">
        <f>SUM('план на 2016'!$L325:O325)-SUM('членские взносы'!$M323:'членские взносы'!O323)</f>
        <v>2400</v>
      </c>
      <c r="P324" s="29">
        <f>SUM('план на 2016'!$L325:P325)-SUM('членские взносы'!$M323:'членские взносы'!P323)</f>
        <v>3200</v>
      </c>
      <c r="Q324" s="29">
        <f>SUM('план на 2016'!$L325:Q325)-SUM('членские взносы'!$M323:'членские взносы'!Q323)</f>
        <v>4000</v>
      </c>
      <c r="R324" s="29">
        <f>SUM('план на 2016'!$L325:R325)-SUM('членские взносы'!$M323:'членские взносы'!R323)</f>
        <v>2800</v>
      </c>
      <c r="S324" s="29">
        <f>SUM('план на 2016'!$L325:S325)-SUM('членские взносы'!$M323:'членские взносы'!S323)</f>
        <v>3600</v>
      </c>
      <c r="T324" s="29">
        <f>SUM('план на 2016'!$L325:T325)-SUM('членские взносы'!$M323:'членские взносы'!T323)</f>
        <v>1400</v>
      </c>
      <c r="U324" s="29">
        <f>SUM('план на 2016'!$L325:U325)-SUM('членские взносы'!$M323:'членские взносы'!U323)</f>
        <v>2200</v>
      </c>
      <c r="V324" s="29">
        <f>SUM('план на 2016'!$L325:V325)-SUM('членские взносы'!$M323:'членские взносы'!V323)</f>
        <v>-1600</v>
      </c>
      <c r="W324" s="29">
        <f>SUM('план на 2016'!$L325:W325)-SUM('членские взносы'!$M323:'членские взносы'!W323)</f>
        <v>-800</v>
      </c>
      <c r="X324" s="29">
        <f>SUM('план на 2016'!$L325:X325)-SUM('членские взносы'!$M323:'членские взносы'!X323)</f>
        <v>0</v>
      </c>
      <c r="Y324" s="18">
        <f t="shared" si="30"/>
        <v>0</v>
      </c>
    </row>
    <row r="325" spans="1:25">
      <c r="A325" s="41">
        <f>VLOOKUP(B325,справочник!$B$2:$E$322,4,FALSE)</f>
        <v>40</v>
      </c>
      <c r="B325" t="str">
        <f t="shared" ref="B325" si="37">CONCATENATE(C325,D325)</f>
        <v>40Яшин Евгений Иванович</v>
      </c>
      <c r="C325" s="1">
        <v>40</v>
      </c>
      <c r="D325" s="2" t="s">
        <v>309</v>
      </c>
      <c r="E325" s="1" t="s">
        <v>615</v>
      </c>
      <c r="F325" s="16">
        <v>40772</v>
      </c>
      <c r="G325" s="16">
        <v>40756</v>
      </c>
      <c r="H325" s="17">
        <f>INT(($H$326-G325)/30)</f>
        <v>53</v>
      </c>
      <c r="I325" s="1">
        <f t="shared" si="35"/>
        <v>53000</v>
      </c>
      <c r="J325" s="17">
        <f>1000+37000</f>
        <v>38000</v>
      </c>
      <c r="K325" s="17"/>
      <c r="L325" s="18">
        <f t="shared" si="36"/>
        <v>15000</v>
      </c>
      <c r="M325" s="29">
        <f>SUM('план на 2016'!$L326:M326)-SUM('членские взносы'!$M324:'членские взносы'!M324)</f>
        <v>15800</v>
      </c>
      <c r="N325" s="29">
        <f>SUM('план на 2016'!$L326:N326)-SUM('членские взносы'!$M324:'членские взносы'!N324)</f>
        <v>16600</v>
      </c>
      <c r="O325" s="29">
        <f>SUM('план на 2016'!$L326:O326)-SUM('членские взносы'!$M324:'членские взносы'!O324)</f>
        <v>17400</v>
      </c>
      <c r="P325" s="29">
        <f>SUM('план на 2016'!$L326:P326)-SUM('членские взносы'!$M324:'членские взносы'!P324)</f>
        <v>18200</v>
      </c>
      <c r="Q325" s="29">
        <f>SUM('план на 2016'!$L326:Q326)-SUM('членские взносы'!$M324:'членские взносы'!Q324)</f>
        <v>19000</v>
      </c>
      <c r="R325" s="29">
        <f>SUM('план на 2016'!$L326:R326)-SUM('членские взносы'!$M324:'членские взносы'!R324)</f>
        <v>19800</v>
      </c>
      <c r="S325" s="29">
        <f>SUM('план на 2016'!$L326:S326)-SUM('членские взносы'!$M324:'членские взносы'!S324)</f>
        <v>20600</v>
      </c>
      <c r="T325" s="29">
        <f>SUM('план на 2016'!$L326:T326)-SUM('членские взносы'!$M324:'членские взносы'!T324)</f>
        <v>21400</v>
      </c>
      <c r="U325" s="29">
        <f>SUM('план на 2016'!$L326:U326)-SUM('членские взносы'!$M324:'членские взносы'!U324)</f>
        <v>800</v>
      </c>
      <c r="V325" s="29">
        <f>SUM('план на 2016'!$L326:V326)-SUM('членские взносы'!$M324:'членские взносы'!V324)</f>
        <v>1600</v>
      </c>
      <c r="W325" s="29">
        <f>SUM('план на 2016'!$L326:W326)-SUM('членские взносы'!$M324:'членские взносы'!W324)</f>
        <v>2400</v>
      </c>
      <c r="X325" s="29">
        <f>SUM('план на 2016'!$L326:X326)-SUM('членские взносы'!$M324:'членские взносы'!X324)</f>
        <v>3200</v>
      </c>
      <c r="Y325" s="18">
        <f t="shared" ref="Y325" si="38">X325</f>
        <v>3200</v>
      </c>
    </row>
    <row r="326" spans="1:25">
      <c r="H326" s="26">
        <v>42369</v>
      </c>
      <c r="M326" s="29" t="e">
        <f>SUM(M4:M325)</f>
        <v>#REF!</v>
      </c>
      <c r="N326" s="29" t="e">
        <f t="shared" ref="N326:Y326" si="39">SUM(N4:N325)</f>
        <v>#REF!</v>
      </c>
      <c r="O326" s="29" t="e">
        <f t="shared" si="39"/>
        <v>#REF!</v>
      </c>
      <c r="P326" s="29" t="e">
        <f t="shared" si="39"/>
        <v>#REF!</v>
      </c>
      <c r="Q326" s="29" t="e">
        <f t="shared" si="39"/>
        <v>#REF!</v>
      </c>
      <c r="R326" s="29" t="e">
        <f t="shared" si="39"/>
        <v>#REF!</v>
      </c>
      <c r="S326" s="29" t="e">
        <f t="shared" si="39"/>
        <v>#REF!</v>
      </c>
      <c r="T326" s="29" t="e">
        <f t="shared" si="39"/>
        <v>#REF!</v>
      </c>
      <c r="U326" s="29" t="e">
        <f t="shared" si="39"/>
        <v>#REF!</v>
      </c>
      <c r="V326" s="29" t="e">
        <f t="shared" si="39"/>
        <v>#REF!</v>
      </c>
      <c r="W326" s="29" t="e">
        <f t="shared" si="39"/>
        <v>#REF!</v>
      </c>
      <c r="X326" s="29" t="e">
        <f t="shared" si="39"/>
        <v>#REF!</v>
      </c>
      <c r="Y326" s="29" t="e">
        <f t="shared" si="39"/>
        <v>#REF!</v>
      </c>
    </row>
  </sheetData>
  <autoFilter ref="A3:Y326"/>
  <conditionalFormatting sqref="S4:S325">
    <cfRule type="cellIs" dxfId="10" priority="2" operator="between">
      <formula>5000</formula>
      <formula>10000</formula>
    </cfRule>
    <cfRule type="cellIs" dxfId="9" priority="3" operator="greaterThan">
      <formula>10000</formula>
    </cfRule>
  </conditionalFormatting>
  <conditionalFormatting sqref="S3:S326 S493:S1048576">
    <cfRule type="cellIs" dxfId="8" priority="1" operator="lessThanOr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Y327"/>
  <sheetViews>
    <sheetView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defaultRowHeight="15"/>
  <cols>
    <col min="3" max="3" width="8.28515625" style="25" customWidth="1"/>
    <col min="4" max="4" width="37.5703125" style="25" customWidth="1"/>
    <col min="5" max="5" width="20.5703125" style="25" hidden="1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>
      <c r="C3" s="119" t="s">
        <v>0</v>
      </c>
      <c r="D3" s="121" t="s">
        <v>1</v>
      </c>
      <c r="E3" s="121" t="s">
        <v>312</v>
      </c>
      <c r="F3" s="1"/>
      <c r="G3" s="1"/>
      <c r="H3" s="122" t="s">
        <v>313</v>
      </c>
      <c r="I3" s="122"/>
      <c r="J3" s="122"/>
      <c r="K3" s="122"/>
      <c r="L3" s="122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76.5">
      <c r="A4" s="41" t="s">
        <v>617</v>
      </c>
      <c r="B4" t="s">
        <v>622</v>
      </c>
      <c r="C4" s="120"/>
      <c r="D4" s="121"/>
      <c r="E4" s="121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</row>
    <row r="5" spans="1: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0">INT(($H$327-G5)/30)</f>
        <v>54</v>
      </c>
      <c r="I5" s="1">
        <f t="shared" ref="I5:I67" si="1">H5*1000</f>
        <v>54000</v>
      </c>
      <c r="J5" s="17">
        <f>49000+1000</f>
        <v>50000</v>
      </c>
      <c r="K5" s="17"/>
      <c r="L5" s="18">
        <f t="shared" ref="L5:L29" si="2">I5-J5-K5</f>
        <v>4000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>
        <f t="shared" ref="Y5:Y29" si="3">V5-W5-X5</f>
        <v>0</v>
      </c>
    </row>
    <row r="6" spans="1: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3" t="s">
        <v>3</v>
      </c>
      <c r="E6" s="1" t="s">
        <v>322</v>
      </c>
      <c r="F6" s="16">
        <v>40970</v>
      </c>
      <c r="G6" s="16">
        <v>40969</v>
      </c>
      <c r="H6" s="17">
        <f t="shared" si="0"/>
        <v>46</v>
      </c>
      <c r="I6" s="1">
        <f t="shared" si="1"/>
        <v>46000</v>
      </c>
      <c r="J6" s="17">
        <v>30000</v>
      </c>
      <c r="K6" s="17"/>
      <c r="L6" s="18">
        <f t="shared" si="2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si="3"/>
        <v>0</v>
      </c>
    </row>
    <row r="7" spans="1: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3" t="s">
        <v>4</v>
      </c>
      <c r="E7" s="1" t="s">
        <v>323</v>
      </c>
      <c r="F7" s="16">
        <v>41540</v>
      </c>
      <c r="G7" s="16">
        <v>41548</v>
      </c>
      <c r="H7" s="17">
        <f t="shared" si="0"/>
        <v>27</v>
      </c>
      <c r="I7" s="1">
        <f t="shared" si="1"/>
        <v>27000</v>
      </c>
      <c r="J7" s="17">
        <v>19000</v>
      </c>
      <c r="K7" s="17"/>
      <c r="L7" s="18">
        <f t="shared" si="2"/>
        <v>8000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8">
        <f t="shared" si="3"/>
        <v>0</v>
      </c>
    </row>
    <row r="8" spans="1: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0"/>
        <v>27</v>
      </c>
      <c r="I8" s="1">
        <f t="shared" si="1"/>
        <v>27000</v>
      </c>
      <c r="J8" s="17">
        <v>26000</v>
      </c>
      <c r="K8" s="17"/>
      <c r="L8" s="18">
        <f t="shared" si="2"/>
        <v>1000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8">
        <f t="shared" si="3"/>
        <v>0</v>
      </c>
    </row>
    <row r="9" spans="1: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4" t="s">
        <v>6</v>
      </c>
      <c r="D9" s="3" t="s">
        <v>7</v>
      </c>
      <c r="E9" s="1" t="s">
        <v>325</v>
      </c>
      <c r="F9" s="19">
        <v>40893</v>
      </c>
      <c r="G9" s="19">
        <v>40878</v>
      </c>
      <c r="H9" s="20">
        <f t="shared" si="0"/>
        <v>49</v>
      </c>
      <c r="I9" s="5">
        <f t="shared" si="1"/>
        <v>49000</v>
      </c>
      <c r="J9" s="20">
        <f>30000+1000+1000</f>
        <v>32000</v>
      </c>
      <c r="K9" s="20"/>
      <c r="L9" s="21">
        <f t="shared" si="2"/>
        <v>17000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1">
        <f t="shared" si="3"/>
        <v>0</v>
      </c>
    </row>
    <row r="10" spans="1: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3" t="s">
        <v>8</v>
      </c>
      <c r="E10" s="1" t="s">
        <v>326</v>
      </c>
      <c r="F10" s="16">
        <v>41429</v>
      </c>
      <c r="G10" s="16">
        <v>41456</v>
      </c>
      <c r="H10" s="17">
        <f t="shared" si="0"/>
        <v>30</v>
      </c>
      <c r="I10" s="1">
        <f t="shared" si="1"/>
        <v>30000</v>
      </c>
      <c r="J10" s="17">
        <v>6000</v>
      </c>
      <c r="K10" s="17"/>
      <c r="L10" s="18">
        <f t="shared" si="2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3"/>
        <v>0</v>
      </c>
    </row>
    <row r="11" spans="1:25" ht="25.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0"/>
        <v>18</v>
      </c>
      <c r="I11" s="1">
        <f t="shared" si="1"/>
        <v>18000</v>
      </c>
      <c r="J11" s="17">
        <v>20000</v>
      </c>
      <c r="K11" s="17"/>
      <c r="L11" s="18">
        <f t="shared" si="2"/>
        <v>-2000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8">
        <f t="shared" si="3"/>
        <v>0</v>
      </c>
    </row>
    <row r="12" spans="1: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3" t="s">
        <v>10</v>
      </c>
      <c r="E12" s="1"/>
      <c r="F12" s="16">
        <v>41912</v>
      </c>
      <c r="G12" s="16">
        <v>41913</v>
      </c>
      <c r="H12" s="17">
        <f t="shared" si="0"/>
        <v>15</v>
      </c>
      <c r="I12" s="1">
        <f t="shared" si="1"/>
        <v>15000</v>
      </c>
      <c r="J12" s="17">
        <v>1000</v>
      </c>
      <c r="K12" s="17"/>
      <c r="L12" s="18">
        <f t="shared" si="2"/>
        <v>14000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3"/>
        <v>0</v>
      </c>
    </row>
    <row r="13" spans="1: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3" t="s">
        <v>11</v>
      </c>
      <c r="E13" s="1" t="s">
        <v>327</v>
      </c>
      <c r="F13" s="16">
        <v>41457</v>
      </c>
      <c r="G13" s="16">
        <v>41487</v>
      </c>
      <c r="H13" s="17">
        <f t="shared" si="0"/>
        <v>29</v>
      </c>
      <c r="I13" s="1">
        <f t="shared" si="1"/>
        <v>29000</v>
      </c>
      <c r="J13" s="17">
        <v>25000</v>
      </c>
      <c r="K13" s="17"/>
      <c r="L13" s="18">
        <f t="shared" si="2"/>
        <v>4000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8">
        <f t="shared" si="3"/>
        <v>0</v>
      </c>
    </row>
    <row r="14" spans="1: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3" t="s">
        <v>12</v>
      </c>
      <c r="E14" s="1" t="s">
        <v>328</v>
      </c>
      <c r="F14" s="16">
        <v>41414</v>
      </c>
      <c r="G14" s="16">
        <v>41426</v>
      </c>
      <c r="H14" s="17">
        <f t="shared" si="0"/>
        <v>31</v>
      </c>
      <c r="I14" s="1">
        <f t="shared" si="1"/>
        <v>31000</v>
      </c>
      <c r="J14" s="17">
        <v>10000</v>
      </c>
      <c r="K14" s="17"/>
      <c r="L14" s="18">
        <f t="shared" si="2"/>
        <v>21000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3"/>
        <v>0</v>
      </c>
    </row>
    <row r="15" spans="1: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0"/>
        <v>50</v>
      </c>
      <c r="I15" s="1">
        <f t="shared" si="1"/>
        <v>50000</v>
      </c>
      <c r="J15" s="17">
        <f>44000+1000</f>
        <v>45000</v>
      </c>
      <c r="K15" s="17">
        <v>5000</v>
      </c>
      <c r="L15" s="18">
        <f t="shared" si="2"/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8">
        <f t="shared" si="3"/>
        <v>0</v>
      </c>
    </row>
    <row r="16" spans="1: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3" t="s">
        <v>14</v>
      </c>
      <c r="E16" s="1" t="s">
        <v>330</v>
      </c>
      <c r="F16" s="16">
        <v>41467</v>
      </c>
      <c r="G16" s="16">
        <v>41518</v>
      </c>
      <c r="H16" s="17">
        <f t="shared" si="0"/>
        <v>28</v>
      </c>
      <c r="I16" s="1">
        <f t="shared" si="1"/>
        <v>28000</v>
      </c>
      <c r="J16" s="17"/>
      <c r="K16" s="17"/>
      <c r="L16" s="18">
        <f t="shared" si="2"/>
        <v>28000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8">
        <f t="shared" si="3"/>
        <v>0</v>
      </c>
    </row>
    <row r="17" spans="1: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3" t="s">
        <v>14</v>
      </c>
      <c r="E17" s="1" t="s">
        <v>331</v>
      </c>
      <c r="F17" s="16">
        <v>41204</v>
      </c>
      <c r="G17" s="16">
        <v>41214</v>
      </c>
      <c r="H17" s="17">
        <f t="shared" si="0"/>
        <v>38</v>
      </c>
      <c r="I17" s="1">
        <f t="shared" si="1"/>
        <v>38000</v>
      </c>
      <c r="J17" s="17">
        <v>27000</v>
      </c>
      <c r="K17" s="17"/>
      <c r="L17" s="18">
        <f t="shared" si="2"/>
        <v>11000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8">
        <f t="shared" si="3"/>
        <v>0</v>
      </c>
    </row>
    <row r="18" spans="1: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1"/>
        <v>0</v>
      </c>
      <c r="J18" s="17"/>
      <c r="K18" s="17"/>
      <c r="L18" s="18">
        <f t="shared" si="2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3"/>
        <v>0</v>
      </c>
    </row>
    <row r="19" spans="1: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3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1"/>
        <v>14000</v>
      </c>
      <c r="J19" s="17">
        <v>1000</v>
      </c>
      <c r="K19" s="17"/>
      <c r="L19" s="18">
        <f t="shared" si="2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8">
        <f t="shared" si="3"/>
        <v>0</v>
      </c>
    </row>
    <row r="20" spans="1: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3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1"/>
        <v>31000</v>
      </c>
      <c r="J20" s="17">
        <v>11000</v>
      </c>
      <c r="K20" s="17"/>
      <c r="L20" s="18">
        <f t="shared" si="2"/>
        <v>20000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3"/>
        <v>0</v>
      </c>
    </row>
    <row r="21" spans="1: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3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1"/>
        <v>48000</v>
      </c>
      <c r="J21" s="17">
        <f>11500+24500</f>
        <v>36000</v>
      </c>
      <c r="K21" s="17"/>
      <c r="L21" s="18">
        <f t="shared" si="2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3"/>
        <v>0</v>
      </c>
    </row>
    <row r="22" spans="1: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1"/>
        <v>0</v>
      </c>
      <c r="J22" s="17"/>
      <c r="K22" s="17"/>
      <c r="L22" s="18">
        <f t="shared" si="2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3"/>
        <v>0</v>
      </c>
    </row>
    <row r="23" spans="1:25" ht="25.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3" t="s">
        <v>20</v>
      </c>
      <c r="E23" s="1" t="s">
        <v>337</v>
      </c>
      <c r="F23" s="16">
        <v>41604</v>
      </c>
      <c r="G23" s="16">
        <v>41609</v>
      </c>
      <c r="H23" s="17">
        <f t="shared" ref="H23:H74" si="5">INT(($H$327-G23)/30)</f>
        <v>25</v>
      </c>
      <c r="I23" s="1">
        <f t="shared" si="1"/>
        <v>25000</v>
      </c>
      <c r="J23" s="17">
        <f>1000</f>
        <v>1000</v>
      </c>
      <c r="K23" s="17"/>
      <c r="L23" s="18">
        <f t="shared" si="2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3"/>
        <v>0</v>
      </c>
    </row>
    <row r="24" spans="1: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3" t="s">
        <v>21</v>
      </c>
      <c r="E24" s="1" t="s">
        <v>338</v>
      </c>
      <c r="F24" s="16">
        <v>40793</v>
      </c>
      <c r="G24" s="16">
        <v>40787</v>
      </c>
      <c r="H24" s="17">
        <f t="shared" si="5"/>
        <v>52</v>
      </c>
      <c r="I24" s="1">
        <f t="shared" si="1"/>
        <v>52000</v>
      </c>
      <c r="J24" s="17">
        <f>19000+1500+2500+23000</f>
        <v>46000</v>
      </c>
      <c r="K24" s="17"/>
      <c r="L24" s="18">
        <f t="shared" si="2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8">
        <f t="shared" si="3"/>
        <v>0</v>
      </c>
    </row>
    <row r="25" spans="1: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3" t="s">
        <v>22</v>
      </c>
      <c r="E25" s="1" t="s">
        <v>339</v>
      </c>
      <c r="F25" s="16">
        <v>41948</v>
      </c>
      <c r="G25" s="16">
        <v>41974</v>
      </c>
      <c r="H25" s="17">
        <f t="shared" si="5"/>
        <v>13</v>
      </c>
      <c r="I25" s="1">
        <f t="shared" si="1"/>
        <v>13000</v>
      </c>
      <c r="J25" s="17">
        <v>8000</v>
      </c>
      <c r="K25" s="17"/>
      <c r="L25" s="18">
        <f t="shared" si="2"/>
        <v>5000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8">
        <f t="shared" si="3"/>
        <v>0</v>
      </c>
    </row>
    <row r="26" spans="1: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3" t="s">
        <v>23</v>
      </c>
      <c r="E26" s="1" t="s">
        <v>340</v>
      </c>
      <c r="F26" s="16">
        <v>41373</v>
      </c>
      <c r="G26" s="16">
        <v>41395</v>
      </c>
      <c r="H26" s="17">
        <f t="shared" si="5"/>
        <v>32</v>
      </c>
      <c r="I26" s="1">
        <f t="shared" si="1"/>
        <v>32000</v>
      </c>
      <c r="J26" s="17">
        <v>9000</v>
      </c>
      <c r="K26" s="17"/>
      <c r="L26" s="18">
        <f t="shared" si="2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3"/>
        <v>0</v>
      </c>
    </row>
    <row r="27" spans="1: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3" t="s">
        <v>24</v>
      </c>
      <c r="E27" s="1" t="s">
        <v>341</v>
      </c>
      <c r="F27" s="16">
        <v>41008</v>
      </c>
      <c r="G27" s="16">
        <v>41000</v>
      </c>
      <c r="H27" s="17">
        <f t="shared" si="5"/>
        <v>45</v>
      </c>
      <c r="I27" s="1">
        <f t="shared" si="1"/>
        <v>45000</v>
      </c>
      <c r="J27" s="17">
        <v>1000</v>
      </c>
      <c r="K27" s="17"/>
      <c r="L27" s="18">
        <f t="shared" si="2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3"/>
        <v>0</v>
      </c>
    </row>
    <row r="28" spans="1: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3" t="s">
        <v>25</v>
      </c>
      <c r="E28" s="1" t="s">
        <v>342</v>
      </c>
      <c r="F28" s="16">
        <v>41766</v>
      </c>
      <c r="G28" s="16">
        <v>41791</v>
      </c>
      <c r="H28" s="17">
        <f t="shared" si="5"/>
        <v>19</v>
      </c>
      <c r="I28" s="1">
        <f t="shared" si="1"/>
        <v>19000</v>
      </c>
      <c r="J28" s="17">
        <v>1000</v>
      </c>
      <c r="K28" s="17"/>
      <c r="L28" s="18">
        <f t="shared" si="2"/>
        <v>18000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8">
        <f t="shared" si="3"/>
        <v>0</v>
      </c>
    </row>
    <row r="29" spans="1: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5"/>
        <v>52</v>
      </c>
      <c r="I29" s="1">
        <f t="shared" si="1"/>
        <v>52000</v>
      </c>
      <c r="J29" s="17">
        <f>50000+1000</f>
        <v>51000</v>
      </c>
      <c r="K29" s="17">
        <v>1000</v>
      </c>
      <c r="L29" s="18">
        <f t="shared" si="2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8">
        <f t="shared" si="3"/>
        <v>0</v>
      </c>
    </row>
    <row r="30" spans="1:25" ht="25.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40000</v>
      </c>
      <c r="K30" s="17">
        <v>5000</v>
      </c>
      <c r="L30" s="18">
        <v>5000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8">
        <v>5000</v>
      </c>
    </row>
    <row r="31" spans="1:25" ht="25.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5"/>
        <v>45</v>
      </c>
      <c r="I31" s="1">
        <f t="shared" si="1"/>
        <v>45000</v>
      </c>
      <c r="J31" s="17">
        <v>28000</v>
      </c>
      <c r="K31" s="17">
        <v>7000</v>
      </c>
      <c r="L31" s="18">
        <v>5000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8">
        <v>5000</v>
      </c>
    </row>
    <row r="32" spans="1: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3" t="s">
        <v>29</v>
      </c>
      <c r="E32" s="1" t="s">
        <v>346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28000</v>
      </c>
      <c r="K32" s="17"/>
      <c r="L32" s="18">
        <f t="shared" ref="L32:L95" si="6">I32-J32-K32</f>
        <v>10000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8">
        <f t="shared" ref="Y32:Y95" si="7">V32-W32-X32</f>
        <v>0</v>
      </c>
    </row>
    <row r="33" spans="1: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3" t="s">
        <v>30</v>
      </c>
      <c r="E33" s="1" t="s">
        <v>347</v>
      </c>
      <c r="F33" s="16">
        <v>41204</v>
      </c>
      <c r="G33" s="16">
        <v>41214</v>
      </c>
      <c r="H33" s="17">
        <f t="shared" si="5"/>
        <v>38</v>
      </c>
      <c r="I33" s="1">
        <f t="shared" si="1"/>
        <v>38000</v>
      </c>
      <c r="J33" s="17">
        <v>26000</v>
      </c>
      <c r="K33" s="17"/>
      <c r="L33" s="18">
        <f t="shared" si="6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7"/>
        <v>0</v>
      </c>
    </row>
    <row r="34" spans="1: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3" t="s">
        <v>31</v>
      </c>
      <c r="E34" s="1" t="s">
        <v>348</v>
      </c>
      <c r="F34" s="16">
        <v>41262</v>
      </c>
      <c r="G34" s="16">
        <v>41275</v>
      </c>
      <c r="H34" s="17">
        <f t="shared" si="5"/>
        <v>36</v>
      </c>
      <c r="I34" s="1">
        <f t="shared" si="1"/>
        <v>36000</v>
      </c>
      <c r="J34" s="17">
        <v>1000</v>
      </c>
      <c r="K34" s="17"/>
      <c r="L34" s="18">
        <f t="shared" si="6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7"/>
        <v>0</v>
      </c>
    </row>
    <row r="35" spans="1: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3" t="s">
        <v>32</v>
      </c>
      <c r="E35" s="1" t="s">
        <v>349</v>
      </c>
      <c r="F35" s="16">
        <v>41121</v>
      </c>
      <c r="G35" s="16">
        <v>41122</v>
      </c>
      <c r="H35" s="17">
        <f t="shared" si="5"/>
        <v>41</v>
      </c>
      <c r="I35" s="1">
        <f t="shared" si="1"/>
        <v>41000</v>
      </c>
      <c r="J35" s="17">
        <v>17000</v>
      </c>
      <c r="K35" s="17"/>
      <c r="L35" s="18">
        <f t="shared" si="6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7"/>
        <v>0</v>
      </c>
    </row>
    <row r="36" spans="1: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5"/>
        <v>52</v>
      </c>
      <c r="I36" s="1">
        <f t="shared" si="1"/>
        <v>52000</v>
      </c>
      <c r="J36" s="17">
        <f>32000+1000</f>
        <v>33000</v>
      </c>
      <c r="K36" s="17">
        <v>19000</v>
      </c>
      <c r="L36" s="18">
        <f t="shared" si="6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8">
        <f t="shared" si="7"/>
        <v>0</v>
      </c>
    </row>
    <row r="37" spans="1: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3" t="s">
        <v>34</v>
      </c>
      <c r="E37" s="1" t="s">
        <v>351</v>
      </c>
      <c r="F37" s="16">
        <v>41930</v>
      </c>
      <c r="G37" s="16">
        <v>41944</v>
      </c>
      <c r="H37" s="17">
        <f t="shared" si="5"/>
        <v>14</v>
      </c>
      <c r="I37" s="1">
        <f t="shared" si="1"/>
        <v>14000</v>
      </c>
      <c r="J37" s="17">
        <v>9000</v>
      </c>
      <c r="K37" s="17"/>
      <c r="L37" s="18">
        <f t="shared" si="6"/>
        <v>5000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18">
        <f t="shared" si="7"/>
        <v>0</v>
      </c>
    </row>
    <row r="38" spans="1: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5">
        <v>196</v>
      </c>
      <c r="D38" s="3" t="s">
        <v>35</v>
      </c>
      <c r="E38" s="1" t="s">
        <v>352</v>
      </c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>
        <v>10000</v>
      </c>
      <c r="K38" s="20"/>
      <c r="L38" s="21">
        <f t="shared" si="6"/>
        <v>12000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1">
        <f t="shared" si="7"/>
        <v>0</v>
      </c>
    </row>
    <row r="39" spans="1: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5">
        <v>197</v>
      </c>
      <c r="D39" s="3" t="s">
        <v>35</v>
      </c>
      <c r="E39" s="1"/>
      <c r="F39" s="19">
        <v>41674</v>
      </c>
      <c r="G39" s="19">
        <v>41699</v>
      </c>
      <c r="H39" s="20">
        <f t="shared" si="5"/>
        <v>22</v>
      </c>
      <c r="I39" s="5">
        <f t="shared" si="1"/>
        <v>22000</v>
      </c>
      <c r="J39" s="20"/>
      <c r="K39" s="20"/>
      <c r="L39" s="21">
        <f t="shared" si="6"/>
        <v>22000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1">
        <f t="shared" si="7"/>
        <v>0</v>
      </c>
    </row>
    <row r="40" spans="1: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5"/>
        <v>16</v>
      </c>
      <c r="I40" s="1">
        <f t="shared" si="1"/>
        <v>16000</v>
      </c>
      <c r="J40" s="17">
        <v>13000</v>
      </c>
      <c r="K40" s="17">
        <v>3000</v>
      </c>
      <c r="L40" s="18">
        <f t="shared" si="6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8">
        <f t="shared" si="7"/>
        <v>0</v>
      </c>
    </row>
    <row r="41" spans="1: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4">
        <v>232</v>
      </c>
      <c r="D41" s="6" t="s">
        <v>37</v>
      </c>
      <c r="E41" s="1" t="s">
        <v>354</v>
      </c>
      <c r="F41" s="16">
        <v>40955</v>
      </c>
      <c r="G41" s="16">
        <v>40940</v>
      </c>
      <c r="H41" s="17">
        <f t="shared" si="5"/>
        <v>47</v>
      </c>
      <c r="I41" s="1">
        <f t="shared" si="1"/>
        <v>47000</v>
      </c>
      <c r="J41" s="17">
        <v>1000</v>
      </c>
      <c r="K41" s="17"/>
      <c r="L41" s="18">
        <f t="shared" si="6"/>
        <v>46000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8">
        <f t="shared" si="7"/>
        <v>0</v>
      </c>
    </row>
    <row r="42" spans="1: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5"/>
        <v>44</v>
      </c>
      <c r="I42" s="1">
        <f t="shared" si="1"/>
        <v>44000</v>
      </c>
      <c r="J42" s="17">
        <v>44000</v>
      </c>
      <c r="K42" s="17"/>
      <c r="L42" s="18">
        <f t="shared" si="6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18">
        <f t="shared" si="7"/>
        <v>0</v>
      </c>
    </row>
    <row r="43" spans="1: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3" t="s">
        <v>39</v>
      </c>
      <c r="E43" s="1" t="s">
        <v>356</v>
      </c>
      <c r="F43" s="16">
        <v>40925</v>
      </c>
      <c r="G43" s="16">
        <v>40909</v>
      </c>
      <c r="H43" s="17">
        <f t="shared" si="5"/>
        <v>48</v>
      </c>
      <c r="I43" s="1">
        <f t="shared" si="1"/>
        <v>48000</v>
      </c>
      <c r="J43" s="17">
        <v>28000</v>
      </c>
      <c r="K43" s="17"/>
      <c r="L43" s="18">
        <f t="shared" si="6"/>
        <v>20000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8">
        <f t="shared" si="7"/>
        <v>0</v>
      </c>
    </row>
    <row r="44" spans="1: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3" t="s">
        <v>40</v>
      </c>
      <c r="E44" s="1" t="s">
        <v>357</v>
      </c>
      <c r="F44" s="16">
        <v>40897</v>
      </c>
      <c r="G44" s="16">
        <v>40878</v>
      </c>
      <c r="H44" s="17">
        <f t="shared" si="5"/>
        <v>49</v>
      </c>
      <c r="I44" s="1">
        <f t="shared" si="1"/>
        <v>49000</v>
      </c>
      <c r="J44" s="17">
        <f>29000+1000</f>
        <v>30000</v>
      </c>
      <c r="K44" s="17"/>
      <c r="L44" s="18">
        <f t="shared" si="6"/>
        <v>19000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8">
        <f t="shared" si="7"/>
        <v>0</v>
      </c>
    </row>
    <row r="45" spans="1: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>
        <v>2000</v>
      </c>
      <c r="K45" s="20"/>
      <c r="L45" s="21">
        <f t="shared" si="6"/>
        <v>9000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1">
        <f t="shared" si="7"/>
        <v>0</v>
      </c>
    </row>
    <row r="46" spans="1: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f t="shared" si="5"/>
        <v>11</v>
      </c>
      <c r="I46" s="5">
        <f t="shared" si="1"/>
        <v>11000</v>
      </c>
      <c r="J46" s="20"/>
      <c r="K46" s="20"/>
      <c r="L46" s="21">
        <f t="shared" si="6"/>
        <v>11000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1">
        <f t="shared" si="7"/>
        <v>0</v>
      </c>
    </row>
    <row r="47" spans="1: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5">
        <v>183</v>
      </c>
      <c r="D47" s="7" t="s">
        <v>42</v>
      </c>
      <c r="E47" s="1" t="s">
        <v>358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1">
        <f t="shared" si="7"/>
        <v>0</v>
      </c>
    </row>
    <row r="48" spans="1: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5">
        <v>187</v>
      </c>
      <c r="D48" s="3" t="s">
        <v>42</v>
      </c>
      <c r="E48" s="1" t="s">
        <v>359</v>
      </c>
      <c r="F48" s="19">
        <v>41865</v>
      </c>
      <c r="G48" s="19">
        <v>41883</v>
      </c>
      <c r="H48" s="20">
        <f t="shared" si="5"/>
        <v>16</v>
      </c>
      <c r="I48" s="5">
        <f t="shared" si="1"/>
        <v>16000</v>
      </c>
      <c r="J48" s="20"/>
      <c r="K48" s="20"/>
      <c r="L48" s="21">
        <f t="shared" si="6"/>
        <v>16000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1">
        <f t="shared" si="7"/>
        <v>0</v>
      </c>
    </row>
    <row r="49" spans="1:25">
      <c r="A49" s="41">
        <f>VLOOKUP(B49,справочник!$B$2:$E$322,4,FALSE)</f>
        <v>303</v>
      </c>
      <c r="B49" t="str">
        <f t="shared" si="4"/>
        <v>318Бурдух Юрие</v>
      </c>
      <c r="C49" s="5">
        <v>318</v>
      </c>
      <c r="D49" s="3" t="s">
        <v>43</v>
      </c>
      <c r="E49" s="1" t="s">
        <v>360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1">
        <f t="shared" si="7"/>
        <v>0</v>
      </c>
    </row>
    <row r="50" spans="1:25">
      <c r="A50" s="41">
        <f>VLOOKUP(B50,справочник!$B$2:$E$322,4,FALSE)</f>
        <v>303</v>
      </c>
      <c r="B50" t="str">
        <f t="shared" si="4"/>
        <v>319Бурдух Юрие</v>
      </c>
      <c r="C50" s="5">
        <v>319</v>
      </c>
      <c r="D50" s="3" t="s">
        <v>43</v>
      </c>
      <c r="E50" s="1" t="s">
        <v>361</v>
      </c>
      <c r="F50" s="19">
        <v>42002</v>
      </c>
      <c r="G50" s="19">
        <v>42005</v>
      </c>
      <c r="H50" s="20">
        <f t="shared" si="5"/>
        <v>12</v>
      </c>
      <c r="I50" s="5">
        <f t="shared" si="1"/>
        <v>12000</v>
      </c>
      <c r="J50" s="20"/>
      <c r="K50" s="20"/>
      <c r="L50" s="21">
        <f t="shared" si="6"/>
        <v>12000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1">
        <f t="shared" si="7"/>
        <v>0</v>
      </c>
    </row>
    <row r="51" spans="1: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5"/>
        <v>52</v>
      </c>
      <c r="I51" s="1">
        <f t="shared" si="1"/>
        <v>52000</v>
      </c>
      <c r="J51" s="17">
        <f>36000+4000+12000</f>
        <v>52000</v>
      </c>
      <c r="K51" s="17"/>
      <c r="L51" s="18">
        <f t="shared" si="6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18">
        <f t="shared" si="7"/>
        <v>0</v>
      </c>
    </row>
    <row r="52" spans="1: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3" t="s">
        <v>45</v>
      </c>
      <c r="E52" s="1" t="s">
        <v>363</v>
      </c>
      <c r="F52" s="16">
        <v>40953</v>
      </c>
      <c r="G52" s="16">
        <v>40940</v>
      </c>
      <c r="H52" s="17">
        <f t="shared" si="5"/>
        <v>47</v>
      </c>
      <c r="I52" s="1">
        <f t="shared" si="1"/>
        <v>47000</v>
      </c>
      <c r="J52" s="17">
        <v>38000</v>
      </c>
      <c r="K52" s="17"/>
      <c r="L52" s="18">
        <f t="shared" si="6"/>
        <v>9000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18">
        <f t="shared" si="7"/>
        <v>0</v>
      </c>
    </row>
    <row r="53" spans="1: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3" t="s">
        <v>46</v>
      </c>
      <c r="E53" s="1" t="s">
        <v>364</v>
      </c>
      <c r="F53" s="16">
        <v>40816</v>
      </c>
      <c r="G53" s="16">
        <v>40787</v>
      </c>
      <c r="H53" s="17">
        <f t="shared" si="5"/>
        <v>52</v>
      </c>
      <c r="I53" s="1">
        <f t="shared" si="1"/>
        <v>52000</v>
      </c>
      <c r="J53" s="17">
        <f>42000+1000</f>
        <v>43000</v>
      </c>
      <c r="K53" s="17"/>
      <c r="L53" s="18">
        <f t="shared" si="6"/>
        <v>9000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8">
        <f t="shared" si="7"/>
        <v>0</v>
      </c>
    </row>
    <row r="54" spans="1: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40817</v>
      </c>
      <c r="H54" s="17">
        <f t="shared" si="5"/>
        <v>51</v>
      </c>
      <c r="I54" s="1">
        <f t="shared" si="1"/>
        <v>51000</v>
      </c>
      <c r="J54" s="17">
        <f>34000+13000</f>
        <v>47000</v>
      </c>
      <c r="K54" s="17">
        <v>4000</v>
      </c>
      <c r="L54" s="18">
        <f t="shared" si="6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18">
        <f t="shared" si="7"/>
        <v>0</v>
      </c>
    </row>
    <row r="55" spans="1: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3" t="s">
        <v>48</v>
      </c>
      <c r="E55" s="1" t="s">
        <v>366</v>
      </c>
      <c r="F55" s="16">
        <v>40786</v>
      </c>
      <c r="G55" s="16">
        <v>40787</v>
      </c>
      <c r="H55" s="17">
        <f t="shared" si="5"/>
        <v>52</v>
      </c>
      <c r="I55" s="1">
        <f t="shared" si="1"/>
        <v>52000</v>
      </c>
      <c r="J55" s="17">
        <f>27000+2000</f>
        <v>29000</v>
      </c>
      <c r="K55" s="17"/>
      <c r="L55" s="18">
        <f t="shared" si="6"/>
        <v>23000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18">
        <f t="shared" si="7"/>
        <v>0</v>
      </c>
    </row>
    <row r="56" spans="1: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5"/>
        <v>47</v>
      </c>
      <c r="I56" s="1">
        <f t="shared" si="1"/>
        <v>47000</v>
      </c>
      <c r="J56" s="17">
        <f>33000+11000</f>
        <v>44000</v>
      </c>
      <c r="K56" s="17">
        <v>3000</v>
      </c>
      <c r="L56" s="18">
        <f t="shared" si="6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8">
        <f t="shared" si="7"/>
        <v>0</v>
      </c>
    </row>
    <row r="57" spans="1: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5"/>
        <v>53</v>
      </c>
      <c r="I57" s="1">
        <f t="shared" si="1"/>
        <v>53000</v>
      </c>
      <c r="J57" s="17">
        <f>53000</f>
        <v>53000</v>
      </c>
      <c r="K57" s="17"/>
      <c r="L57" s="18">
        <f t="shared" si="6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8">
        <f t="shared" si="7"/>
        <v>0</v>
      </c>
    </row>
    <row r="58" spans="1: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3" t="s">
        <v>51</v>
      </c>
      <c r="E58" s="1" t="s">
        <v>369</v>
      </c>
      <c r="F58" s="16">
        <v>41703</v>
      </c>
      <c r="G58" s="16">
        <v>41730</v>
      </c>
      <c r="H58" s="17">
        <f t="shared" si="5"/>
        <v>21</v>
      </c>
      <c r="I58" s="1">
        <f t="shared" si="1"/>
        <v>21000</v>
      </c>
      <c r="J58" s="17"/>
      <c r="K58" s="17"/>
      <c r="L58" s="18">
        <f t="shared" si="6"/>
        <v>21000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18">
        <f t="shared" si="7"/>
        <v>0</v>
      </c>
    </row>
    <row r="59" spans="1: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5"/>
        <v>52</v>
      </c>
      <c r="I59" s="1">
        <f t="shared" si="1"/>
        <v>52000</v>
      </c>
      <c r="J59" s="17">
        <f>48000+4000</f>
        <v>52000</v>
      </c>
      <c r="K59" s="17"/>
      <c r="L59" s="18">
        <f t="shared" si="6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8">
        <f t="shared" si="7"/>
        <v>0</v>
      </c>
    </row>
    <row r="60" spans="1: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5"/>
        <v>37</v>
      </c>
      <c r="I60" s="1">
        <f t="shared" si="1"/>
        <v>37000</v>
      </c>
      <c r="J60" s="17">
        <f>24000</f>
        <v>24000</v>
      </c>
      <c r="K60" s="17">
        <v>13000</v>
      </c>
      <c r="L60" s="18">
        <f t="shared" si="6"/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7"/>
        <v>0</v>
      </c>
    </row>
    <row r="61" spans="1: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5"/>
        <v>35</v>
      </c>
      <c r="I61" s="1">
        <f t="shared" si="1"/>
        <v>35000</v>
      </c>
      <c r="J61" s="17">
        <f>31000</f>
        <v>31000</v>
      </c>
      <c r="K61" s="17"/>
      <c r="L61" s="18">
        <f t="shared" si="6"/>
        <v>4000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8">
        <f t="shared" si="7"/>
        <v>0</v>
      </c>
    </row>
    <row r="62" spans="1: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3" t="s">
        <v>55</v>
      </c>
      <c r="E62" s="1" t="s">
        <v>373</v>
      </c>
      <c r="F62" s="16">
        <v>41407</v>
      </c>
      <c r="G62" s="16">
        <v>41426</v>
      </c>
      <c r="H62" s="17">
        <f t="shared" si="5"/>
        <v>31</v>
      </c>
      <c r="I62" s="1">
        <f t="shared" si="1"/>
        <v>31000</v>
      </c>
      <c r="J62" s="17">
        <f>12000</f>
        <v>12000</v>
      </c>
      <c r="K62" s="17"/>
      <c r="L62" s="18">
        <f t="shared" si="6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7"/>
        <v>0</v>
      </c>
    </row>
    <row r="63" spans="1: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3" t="s">
        <v>56</v>
      </c>
      <c r="E63" s="1" t="s">
        <v>374</v>
      </c>
      <c r="F63" s="16">
        <v>40921</v>
      </c>
      <c r="G63" s="16">
        <v>40909</v>
      </c>
      <c r="H63" s="17">
        <f t="shared" si="5"/>
        <v>48</v>
      </c>
      <c r="I63" s="1">
        <f t="shared" si="1"/>
        <v>48000</v>
      </c>
      <c r="J63" s="17">
        <f>27000</f>
        <v>27000</v>
      </c>
      <c r="K63" s="17"/>
      <c r="L63" s="18">
        <f t="shared" si="6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7"/>
        <v>0</v>
      </c>
    </row>
    <row r="64" spans="1: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5"/>
        <v>47</v>
      </c>
      <c r="I64" s="1">
        <f t="shared" si="1"/>
        <v>47000</v>
      </c>
      <c r="J64" s="17">
        <v>47000</v>
      </c>
      <c r="K64" s="17"/>
      <c r="L64" s="18">
        <f t="shared" si="6"/>
        <v>0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7"/>
        <v>0</v>
      </c>
    </row>
    <row r="65" spans="1: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5"/>
        <v>19</v>
      </c>
      <c r="I65" s="1">
        <f t="shared" si="1"/>
        <v>19000</v>
      </c>
      <c r="J65" s="17">
        <v>19000</v>
      </c>
      <c r="K65" s="17"/>
      <c r="L65" s="18">
        <f t="shared" si="6"/>
        <v>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8">
        <f t="shared" si="7"/>
        <v>0</v>
      </c>
    </row>
    <row r="66" spans="1: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3" t="s">
        <v>59</v>
      </c>
      <c r="E66" s="1" t="s">
        <v>377</v>
      </c>
      <c r="F66" s="16">
        <v>40772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1000+45000</f>
        <v>46000</v>
      </c>
      <c r="K66" s="17"/>
      <c r="L66" s="18">
        <f t="shared" si="6"/>
        <v>7000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8">
        <f t="shared" si="7"/>
        <v>0</v>
      </c>
    </row>
    <row r="67" spans="1: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3" t="s">
        <v>60</v>
      </c>
      <c r="E67" s="1" t="s">
        <v>378</v>
      </c>
      <c r="F67" s="16">
        <v>40774</v>
      </c>
      <c r="G67" s="16">
        <v>40756</v>
      </c>
      <c r="H67" s="17">
        <f t="shared" si="5"/>
        <v>53</v>
      </c>
      <c r="I67" s="1">
        <f t="shared" si="1"/>
        <v>53000</v>
      </c>
      <c r="J67" s="17">
        <f>42000+5000</f>
        <v>47000</v>
      </c>
      <c r="K67" s="17"/>
      <c r="L67" s="18">
        <f t="shared" si="6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7"/>
        <v>0</v>
      </c>
    </row>
    <row r="68" spans="1: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3" t="s">
        <v>61</v>
      </c>
      <c r="E68" s="1" t="s">
        <v>379</v>
      </c>
      <c r="F68" s="16">
        <v>40698</v>
      </c>
      <c r="G68" s="16">
        <v>40695</v>
      </c>
      <c r="H68" s="17">
        <f t="shared" si="5"/>
        <v>55</v>
      </c>
      <c r="I68" s="1">
        <f>H68*1000</f>
        <v>55000</v>
      </c>
      <c r="J68" s="17">
        <f>1000+42000</f>
        <v>43000</v>
      </c>
      <c r="K68" s="17"/>
      <c r="L68" s="18">
        <f t="shared" si="6"/>
        <v>12000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18">
        <f t="shared" si="7"/>
        <v>0</v>
      </c>
    </row>
    <row r="69" spans="1: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3" t="s">
        <v>62</v>
      </c>
      <c r="E69" s="1" t="s">
        <v>380</v>
      </c>
      <c r="F69" s="16">
        <v>40890</v>
      </c>
      <c r="G69" s="16">
        <v>40878</v>
      </c>
      <c r="H69" s="17">
        <f t="shared" si="5"/>
        <v>49</v>
      </c>
      <c r="I69" s="1">
        <f>H69*1000</f>
        <v>49000</v>
      </c>
      <c r="J69" s="17">
        <f>1000+36000</f>
        <v>37000</v>
      </c>
      <c r="K69" s="17"/>
      <c r="L69" s="18">
        <f t="shared" si="6"/>
        <v>12000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8">
        <f t="shared" si="7"/>
        <v>0</v>
      </c>
    </row>
    <row r="70" spans="1: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3" t="s">
        <v>63</v>
      </c>
      <c r="E70" s="1" t="s">
        <v>381</v>
      </c>
      <c r="F70" s="16">
        <v>41008</v>
      </c>
      <c r="G70" s="16">
        <v>41000</v>
      </c>
      <c r="H70" s="17">
        <f t="shared" si="5"/>
        <v>45</v>
      </c>
      <c r="I70" s="1">
        <f>H70*1000</f>
        <v>45000</v>
      </c>
      <c r="J70" s="17">
        <f>12000</f>
        <v>12000</v>
      </c>
      <c r="K70" s="17"/>
      <c r="L70" s="18">
        <f t="shared" si="6"/>
        <v>33000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18">
        <f t="shared" si="7"/>
        <v>0</v>
      </c>
    </row>
    <row r="71" spans="1: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3" t="s">
        <v>64</v>
      </c>
      <c r="E71" s="1" t="s">
        <v>382</v>
      </c>
      <c r="F71" s="16">
        <v>42025</v>
      </c>
      <c r="G71" s="16">
        <v>42036</v>
      </c>
      <c r="H71" s="17">
        <f t="shared" si="5"/>
        <v>11</v>
      </c>
      <c r="I71" s="1">
        <f>H71*1000</f>
        <v>11000</v>
      </c>
      <c r="J71" s="17">
        <v>3000</v>
      </c>
      <c r="K71" s="17"/>
      <c r="L71" s="18">
        <f t="shared" si="6"/>
        <v>8000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18">
        <f t="shared" si="7"/>
        <v>0</v>
      </c>
    </row>
    <row r="72" spans="1: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5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 t="shared" si="6"/>
        <v>0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>
        <f t="shared" si="7"/>
        <v>0</v>
      </c>
    </row>
    <row r="73" spans="1: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5"/>
        <v>47</v>
      </c>
      <c r="I73" s="1">
        <f>H73*1000</f>
        <v>47000</v>
      </c>
      <c r="J73" s="17">
        <f>18000+11000</f>
        <v>29000</v>
      </c>
      <c r="K73" s="17"/>
      <c r="L73" s="18">
        <f t="shared" si="6"/>
        <v>18000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8">
        <f t="shared" si="7"/>
        <v>0</v>
      </c>
    </row>
    <row r="74" spans="1: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3" t="s">
        <v>68</v>
      </c>
      <c r="E74" s="1" t="s">
        <v>385</v>
      </c>
      <c r="F74" s="16">
        <v>41739</v>
      </c>
      <c r="G74" s="16">
        <v>41760</v>
      </c>
      <c r="H74" s="17">
        <f t="shared" si="5"/>
        <v>20</v>
      </c>
      <c r="I74" s="1">
        <f>H74*1000</f>
        <v>20000</v>
      </c>
      <c r="J74" s="17"/>
      <c r="K74" s="17"/>
      <c r="L74" s="18">
        <f t="shared" si="6"/>
        <v>20000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18">
        <f t="shared" si="7"/>
        <v>0</v>
      </c>
    </row>
    <row r="75" spans="1: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6"/>
        <v>0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18">
        <f t="shared" si="7"/>
        <v>0</v>
      </c>
    </row>
    <row r="76" spans="1: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3" t="s">
        <v>70</v>
      </c>
      <c r="E76" s="1" t="s">
        <v>387</v>
      </c>
      <c r="F76" s="16">
        <v>41141</v>
      </c>
      <c r="G76" s="16">
        <v>41153</v>
      </c>
      <c r="H76" s="17">
        <f t="shared" ref="H76:H89" si="9">INT(($H$327-G76)/30)</f>
        <v>40</v>
      </c>
      <c r="I76" s="1">
        <f t="shared" ref="I76:I139" si="10">H76*1000</f>
        <v>40000</v>
      </c>
      <c r="J76" s="17">
        <v>30000</v>
      </c>
      <c r="K76" s="17"/>
      <c r="L76" s="18">
        <f t="shared" si="6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7"/>
        <v>0</v>
      </c>
    </row>
    <row r="77" spans="1: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9"/>
        <v>52</v>
      </c>
      <c r="I77" s="1">
        <f t="shared" si="10"/>
        <v>52000</v>
      </c>
      <c r="J77" s="17">
        <f>1000+41000</f>
        <v>42000</v>
      </c>
      <c r="K77" s="17"/>
      <c r="L77" s="18">
        <f t="shared" si="6"/>
        <v>10000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18">
        <f t="shared" si="7"/>
        <v>0</v>
      </c>
    </row>
    <row r="78" spans="1: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6" t="s">
        <v>72</v>
      </c>
      <c r="E78" s="1" t="s">
        <v>389</v>
      </c>
      <c r="F78" s="16">
        <v>40938</v>
      </c>
      <c r="G78" s="16">
        <v>40940</v>
      </c>
      <c r="H78" s="17">
        <f t="shared" si="9"/>
        <v>47</v>
      </c>
      <c r="I78" s="1">
        <f t="shared" si="10"/>
        <v>47000</v>
      </c>
      <c r="J78" s="17">
        <v>37000</v>
      </c>
      <c r="K78" s="17">
        <v>5000</v>
      </c>
      <c r="L78" s="18">
        <f t="shared" si="6"/>
        <v>5000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18">
        <f t="shared" si="7"/>
        <v>0</v>
      </c>
    </row>
    <row r="79" spans="1: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3" t="s">
        <v>73</v>
      </c>
      <c r="E79" s="1" t="s">
        <v>390</v>
      </c>
      <c r="F79" s="16">
        <v>41969</v>
      </c>
      <c r="G79" s="16">
        <v>41974</v>
      </c>
      <c r="H79" s="17">
        <f t="shared" si="9"/>
        <v>13</v>
      </c>
      <c r="I79" s="1">
        <f t="shared" si="10"/>
        <v>13000</v>
      </c>
      <c r="J79" s="17">
        <v>1000</v>
      </c>
      <c r="K79" s="17"/>
      <c r="L79" s="18">
        <f t="shared" si="6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7"/>
        <v>0</v>
      </c>
    </row>
    <row r="80" spans="1: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9"/>
        <v>29</v>
      </c>
      <c r="I80" s="1">
        <f t="shared" si="10"/>
        <v>29000</v>
      </c>
      <c r="J80" s="17">
        <v>29000</v>
      </c>
      <c r="K80" s="17"/>
      <c r="L80" s="18">
        <f t="shared" si="6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7"/>
        <v>0</v>
      </c>
    </row>
    <row r="81" spans="1: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9"/>
        <v>28</v>
      </c>
      <c r="I81" s="1">
        <f t="shared" si="10"/>
        <v>28000</v>
      </c>
      <c r="J81" s="17">
        <v>28000</v>
      </c>
      <c r="K81" s="17">
        <v>2000</v>
      </c>
      <c r="L81" s="18">
        <f t="shared" si="6"/>
        <v>-2000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18">
        <f t="shared" si="7"/>
        <v>0</v>
      </c>
    </row>
    <row r="82" spans="1: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3" t="s">
        <v>76</v>
      </c>
      <c r="E82" s="23" t="s">
        <v>338</v>
      </c>
      <c r="F82" s="24">
        <v>41100</v>
      </c>
      <c r="G82" s="24">
        <v>41091</v>
      </c>
      <c r="H82" s="17">
        <f t="shared" si="9"/>
        <v>42</v>
      </c>
      <c r="I82" s="1">
        <f t="shared" si="10"/>
        <v>42000</v>
      </c>
      <c r="J82" s="17">
        <f>21000+6000</f>
        <v>27000</v>
      </c>
      <c r="K82" s="17">
        <v>13000</v>
      </c>
      <c r="L82" s="18">
        <f t="shared" si="6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7"/>
        <v>0</v>
      </c>
    </row>
    <row r="83" spans="1: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3" t="s">
        <v>77</v>
      </c>
      <c r="E83" s="1" t="s">
        <v>393</v>
      </c>
      <c r="F83" s="16">
        <v>40690</v>
      </c>
      <c r="G83" s="16">
        <v>40695</v>
      </c>
      <c r="H83" s="17">
        <f t="shared" si="9"/>
        <v>55</v>
      </c>
      <c r="I83" s="1">
        <f t="shared" si="10"/>
        <v>55000</v>
      </c>
      <c r="J83" s="17">
        <f>41000+1000</f>
        <v>42000</v>
      </c>
      <c r="K83" s="17"/>
      <c r="L83" s="18">
        <f t="shared" si="6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7"/>
        <v>0</v>
      </c>
    </row>
    <row r="84" spans="1: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9"/>
        <v>44</v>
      </c>
      <c r="I84" s="1">
        <f t="shared" si="10"/>
        <v>44000</v>
      </c>
      <c r="J84" s="17">
        <f>32000</f>
        <v>32000</v>
      </c>
      <c r="K84" s="17"/>
      <c r="L84" s="18">
        <f t="shared" si="6"/>
        <v>12000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18">
        <f t="shared" si="7"/>
        <v>0</v>
      </c>
    </row>
    <row r="85" spans="1: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9"/>
        <v>20</v>
      </c>
      <c r="I85" s="1">
        <f t="shared" si="10"/>
        <v>20000</v>
      </c>
      <c r="J85" s="17">
        <v>17000</v>
      </c>
      <c r="K85" s="17"/>
      <c r="L85" s="18">
        <f t="shared" si="6"/>
        <v>3000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18">
        <f t="shared" si="7"/>
        <v>0</v>
      </c>
    </row>
    <row r="86" spans="1: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3" t="s">
        <v>80</v>
      </c>
      <c r="E86" s="1" t="s">
        <v>396</v>
      </c>
      <c r="F86" s="16">
        <v>41549</v>
      </c>
      <c r="G86" s="16">
        <v>41579</v>
      </c>
      <c r="H86" s="17">
        <f t="shared" si="9"/>
        <v>26</v>
      </c>
      <c r="I86" s="1">
        <f t="shared" si="10"/>
        <v>26000</v>
      </c>
      <c r="J86" s="17">
        <f>12000</f>
        <v>12000</v>
      </c>
      <c r="K86" s="17">
        <v>5000</v>
      </c>
      <c r="L86" s="18">
        <f t="shared" si="6"/>
        <v>9000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18">
        <f t="shared" si="7"/>
        <v>0</v>
      </c>
    </row>
    <row r="87" spans="1:25" ht="25.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9"/>
        <v>42</v>
      </c>
      <c r="I87" s="1">
        <f t="shared" si="10"/>
        <v>42000</v>
      </c>
      <c r="J87" s="17">
        <f>38000</f>
        <v>38000</v>
      </c>
      <c r="K87" s="17"/>
      <c r="L87" s="18">
        <f t="shared" si="6"/>
        <v>4000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18">
        <f t="shared" si="7"/>
        <v>0</v>
      </c>
    </row>
    <row r="88" spans="1: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9"/>
        <v>55</v>
      </c>
      <c r="I88" s="1">
        <f t="shared" si="10"/>
        <v>55000</v>
      </c>
      <c r="J88" s="17">
        <f>7000+48000</f>
        <v>55000</v>
      </c>
      <c r="K88" s="17"/>
      <c r="L88" s="18">
        <f t="shared" si="6"/>
        <v>0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18">
        <f t="shared" si="7"/>
        <v>0</v>
      </c>
    </row>
    <row r="89" spans="1: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9"/>
        <v>53</v>
      </c>
      <c r="I89" s="1">
        <f t="shared" si="10"/>
        <v>53000</v>
      </c>
      <c r="J89" s="17">
        <f>42000</f>
        <v>42000</v>
      </c>
      <c r="K89" s="17"/>
      <c r="L89" s="18">
        <f t="shared" si="6"/>
        <v>11000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18">
        <f t="shared" si="7"/>
        <v>0</v>
      </c>
    </row>
    <row r="90" spans="1: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4">
        <v>243</v>
      </c>
      <c r="D90" s="7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1">
        <f t="shared" si="7"/>
        <v>0</v>
      </c>
    </row>
    <row r="91" spans="1: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4">
        <v>244</v>
      </c>
      <c r="D91" s="7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0"/>
        <v>3000</v>
      </c>
      <c r="J91" s="20"/>
      <c r="K91" s="20">
        <v>3000</v>
      </c>
      <c r="L91" s="21">
        <f t="shared" si="6"/>
        <v>0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1">
        <f t="shared" si="7"/>
        <v>0</v>
      </c>
    </row>
    <row r="92" spans="1: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4" t="s">
        <v>85</v>
      </c>
      <c r="D92" s="7" t="s">
        <v>84</v>
      </c>
      <c r="E92" s="5"/>
      <c r="F92" s="19">
        <v>41456</v>
      </c>
      <c r="G92" s="19">
        <v>41456</v>
      </c>
      <c r="H92" s="20">
        <f t="shared" ref="H92:H119" si="11">INT(($H$327-G92)/30)</f>
        <v>30</v>
      </c>
      <c r="I92" s="5">
        <f t="shared" si="10"/>
        <v>30000</v>
      </c>
      <c r="J92" s="20"/>
      <c r="K92" s="20">
        <v>30000</v>
      </c>
      <c r="L92" s="21">
        <f t="shared" si="6"/>
        <v>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1">
        <f t="shared" si="7"/>
        <v>0</v>
      </c>
    </row>
    <row r="93" spans="1: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3" t="s">
        <v>86</v>
      </c>
      <c r="E93" s="1" t="s">
        <v>401</v>
      </c>
      <c r="F93" s="16">
        <v>40953</v>
      </c>
      <c r="G93" s="16">
        <v>40940</v>
      </c>
      <c r="H93" s="17">
        <f t="shared" si="11"/>
        <v>47</v>
      </c>
      <c r="I93" s="1">
        <f t="shared" si="10"/>
        <v>47000</v>
      </c>
      <c r="J93" s="17">
        <f>39000+5000</f>
        <v>44000</v>
      </c>
      <c r="K93" s="17"/>
      <c r="L93" s="18">
        <f t="shared" si="6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7"/>
        <v>0</v>
      </c>
    </row>
    <row r="94" spans="1: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 t="shared" si="11"/>
        <v>26</v>
      </c>
      <c r="I94" s="5">
        <f t="shared" si="10"/>
        <v>26000</v>
      </c>
      <c r="J94" s="20">
        <v>26000</v>
      </c>
      <c r="K94" s="20"/>
      <c r="L94" s="21">
        <f t="shared" si="6"/>
        <v>0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1">
        <f t="shared" si="7"/>
        <v>0</v>
      </c>
    </row>
    <row r="95" spans="1: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f t="shared" si="11"/>
        <v>14</v>
      </c>
      <c r="I95" s="5">
        <f t="shared" si="10"/>
        <v>14000</v>
      </c>
      <c r="J95" s="20">
        <v>0</v>
      </c>
      <c r="K95" s="20">
        <v>4000</v>
      </c>
      <c r="L95" s="21">
        <f t="shared" si="6"/>
        <v>10000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1">
        <f t="shared" si="7"/>
        <v>0</v>
      </c>
    </row>
    <row r="96" spans="1: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1"/>
        <v>30</v>
      </c>
      <c r="I96" s="1">
        <f t="shared" si="10"/>
        <v>30000</v>
      </c>
      <c r="J96" s="17">
        <v>27000</v>
      </c>
      <c r="K96" s="17"/>
      <c r="L96" s="18">
        <f t="shared" ref="L96:L132" si="12">I96-J96-K96</f>
        <v>3000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18">
        <f t="shared" ref="Y96:Y132" si="13">V96-W96-X96</f>
        <v>0</v>
      </c>
    </row>
    <row r="97" spans="1: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3" t="s">
        <v>89</v>
      </c>
      <c r="E97" s="1" t="s">
        <v>405</v>
      </c>
      <c r="F97" s="16">
        <v>41766</v>
      </c>
      <c r="G97" s="16">
        <v>41791</v>
      </c>
      <c r="H97" s="17">
        <f t="shared" si="11"/>
        <v>19</v>
      </c>
      <c r="I97" s="1">
        <f t="shared" si="10"/>
        <v>19000</v>
      </c>
      <c r="J97" s="17">
        <v>500</v>
      </c>
      <c r="K97" s="17"/>
      <c r="L97" s="18">
        <f t="shared" si="12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3"/>
        <v>0</v>
      </c>
    </row>
    <row r="98" spans="1:25">
      <c r="A98" s="41">
        <f>VLOOKUP(B98,справочник!$B$2:$E$322,4,FALSE)</f>
        <v>127</v>
      </c>
      <c r="B98" t="str">
        <f t="shared" si="8"/>
        <v>132Жохова Елена Сергеевна</v>
      </c>
      <c r="C98" s="4">
        <v>132</v>
      </c>
      <c r="D98" s="6" t="s">
        <v>90</v>
      </c>
      <c r="E98" s="1" t="s">
        <v>406</v>
      </c>
      <c r="F98" s="16">
        <v>40701</v>
      </c>
      <c r="G98" s="16">
        <v>40695</v>
      </c>
      <c r="H98" s="17">
        <f t="shared" si="11"/>
        <v>55</v>
      </c>
      <c r="I98" s="1">
        <f t="shared" si="10"/>
        <v>55000</v>
      </c>
      <c r="J98" s="17">
        <f>36000+7000</f>
        <v>43000</v>
      </c>
      <c r="K98" s="17"/>
      <c r="L98" s="18">
        <f t="shared" si="12"/>
        <v>12000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18">
        <f t="shared" si="13"/>
        <v>0</v>
      </c>
    </row>
    <row r="99" spans="1: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4">
        <v>68</v>
      </c>
      <c r="D99" s="6" t="s">
        <v>91</v>
      </c>
      <c r="E99" s="1" t="s">
        <v>407</v>
      </c>
      <c r="F99" s="16">
        <v>41100</v>
      </c>
      <c r="G99" s="16">
        <v>41091</v>
      </c>
      <c r="H99" s="17">
        <f t="shared" si="11"/>
        <v>42</v>
      </c>
      <c r="I99" s="1">
        <f t="shared" si="10"/>
        <v>42000</v>
      </c>
      <c r="J99" s="17">
        <v>39780</v>
      </c>
      <c r="K99" s="17"/>
      <c r="L99" s="18">
        <f t="shared" si="12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18">
        <f t="shared" si="13"/>
        <v>0</v>
      </c>
    </row>
    <row r="100" spans="1: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3" t="s">
        <v>92</v>
      </c>
      <c r="E100" s="1" t="s">
        <v>408</v>
      </c>
      <c r="F100" s="16">
        <v>40736</v>
      </c>
      <c r="G100" s="16">
        <v>40756</v>
      </c>
      <c r="H100" s="17">
        <f t="shared" si="11"/>
        <v>53</v>
      </c>
      <c r="I100" s="1">
        <f t="shared" si="10"/>
        <v>53000</v>
      </c>
      <c r="J100" s="17">
        <f>42000+1000</f>
        <v>43000</v>
      </c>
      <c r="K100" s="17"/>
      <c r="L100" s="18">
        <f t="shared" si="12"/>
        <v>10000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18">
        <f t="shared" si="13"/>
        <v>0</v>
      </c>
    </row>
    <row r="101" spans="1: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4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1"/>
        <v>52</v>
      </c>
      <c r="I101" s="5">
        <f t="shared" si="10"/>
        <v>52000</v>
      </c>
      <c r="J101" s="20">
        <f>5000+18000+29000</f>
        <v>52000</v>
      </c>
      <c r="K101" s="20"/>
      <c r="L101" s="21">
        <f t="shared" si="12"/>
        <v>0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1">
        <f t="shared" si="13"/>
        <v>0</v>
      </c>
    </row>
    <row r="102" spans="1: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4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f t="shared" si="11"/>
        <v>42</v>
      </c>
      <c r="I102" s="5">
        <f t="shared" si="10"/>
        <v>42000</v>
      </c>
      <c r="J102" s="20">
        <v>35000</v>
      </c>
      <c r="K102" s="20"/>
      <c r="L102" s="21">
        <f t="shared" si="12"/>
        <v>7000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1">
        <f t="shared" si="13"/>
        <v>0</v>
      </c>
    </row>
    <row r="103" spans="1: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3" t="s">
        <v>94</v>
      </c>
      <c r="E103" s="1" t="s">
        <v>411</v>
      </c>
      <c r="F103" s="16">
        <v>41414</v>
      </c>
      <c r="G103" s="16">
        <v>41426</v>
      </c>
      <c r="H103" s="17">
        <f t="shared" si="11"/>
        <v>31</v>
      </c>
      <c r="I103" s="1">
        <f t="shared" si="10"/>
        <v>31000</v>
      </c>
      <c r="J103" s="17">
        <v>5000</v>
      </c>
      <c r="K103" s="17"/>
      <c r="L103" s="18">
        <f t="shared" si="12"/>
        <v>26000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18">
        <f t="shared" si="13"/>
        <v>0</v>
      </c>
    </row>
    <row r="104" spans="1: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4">
        <v>65</v>
      </c>
      <c r="D104" s="6" t="s">
        <v>95</v>
      </c>
      <c r="E104" s="1" t="s">
        <v>412</v>
      </c>
      <c r="F104" s="16">
        <v>41513</v>
      </c>
      <c r="G104" s="16">
        <v>41518</v>
      </c>
      <c r="H104" s="17">
        <f t="shared" si="11"/>
        <v>28</v>
      </c>
      <c r="I104" s="1">
        <f t="shared" si="10"/>
        <v>28000</v>
      </c>
      <c r="J104" s="17">
        <v>0</v>
      </c>
      <c r="K104" s="17"/>
      <c r="L104" s="18">
        <f t="shared" si="12"/>
        <v>28000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18">
        <f t="shared" si="13"/>
        <v>0</v>
      </c>
    </row>
    <row r="105" spans="1: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1"/>
        <v>36</v>
      </c>
      <c r="I105" s="1">
        <f t="shared" si="10"/>
        <v>36000</v>
      </c>
      <c r="J105" s="17">
        <v>36000</v>
      </c>
      <c r="K105" s="17"/>
      <c r="L105" s="18">
        <f t="shared" si="12"/>
        <v>0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18">
        <f t="shared" si="13"/>
        <v>0</v>
      </c>
    </row>
    <row r="106" spans="1: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1"/>
        <v>38</v>
      </c>
      <c r="I106" s="1">
        <f t="shared" si="10"/>
        <v>38000</v>
      </c>
      <c r="J106" s="17">
        <v>32000</v>
      </c>
      <c r="K106" s="17"/>
      <c r="L106" s="18">
        <f t="shared" si="12"/>
        <v>6000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8">
        <f t="shared" si="13"/>
        <v>0</v>
      </c>
    </row>
    <row r="107" spans="1: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1"/>
        <v>31</v>
      </c>
      <c r="I107" s="1">
        <f t="shared" si="10"/>
        <v>31000</v>
      </c>
      <c r="J107" s="17">
        <v>28000</v>
      </c>
      <c r="K107" s="17"/>
      <c r="L107" s="18">
        <f t="shared" si="12"/>
        <v>3000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8">
        <f t="shared" si="13"/>
        <v>0</v>
      </c>
    </row>
    <row r="108" spans="1: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3" t="s">
        <v>99</v>
      </c>
      <c r="E108" s="1" t="s">
        <v>416</v>
      </c>
      <c r="F108" s="16">
        <v>41071</v>
      </c>
      <c r="G108" s="16">
        <v>41061</v>
      </c>
      <c r="H108" s="17">
        <f t="shared" si="11"/>
        <v>43</v>
      </c>
      <c r="I108" s="1">
        <f t="shared" si="10"/>
        <v>43000</v>
      </c>
      <c r="J108" s="17">
        <f>32000</f>
        <v>32000</v>
      </c>
      <c r="K108" s="17"/>
      <c r="L108" s="18">
        <f t="shared" si="12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3"/>
        <v>0</v>
      </c>
    </row>
    <row r="109" spans="1: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1"/>
        <v>19</v>
      </c>
      <c r="I109" s="1">
        <f t="shared" si="10"/>
        <v>19000</v>
      </c>
      <c r="J109" s="17">
        <v>19000</v>
      </c>
      <c r="K109" s="17"/>
      <c r="L109" s="18">
        <f t="shared" si="12"/>
        <v>0</v>
      </c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8">
        <f t="shared" si="13"/>
        <v>0</v>
      </c>
    </row>
    <row r="110" spans="1: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3" t="s">
        <v>101</v>
      </c>
      <c r="E110" s="1" t="s">
        <v>418</v>
      </c>
      <c r="F110" s="16">
        <v>40890</v>
      </c>
      <c r="G110" s="16">
        <v>40878</v>
      </c>
      <c r="H110" s="17">
        <f t="shared" si="11"/>
        <v>49</v>
      </c>
      <c r="I110" s="1">
        <f t="shared" si="10"/>
        <v>49000</v>
      </c>
      <c r="J110" s="17">
        <f>42000+1000</f>
        <v>43000</v>
      </c>
      <c r="K110" s="17"/>
      <c r="L110" s="18">
        <f t="shared" si="12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3"/>
        <v>0</v>
      </c>
    </row>
    <row r="111" spans="1: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3" t="s">
        <v>102</v>
      </c>
      <c r="E111" s="1" t="s">
        <v>419</v>
      </c>
      <c r="F111" s="16">
        <v>40862</v>
      </c>
      <c r="G111" s="16">
        <v>40848</v>
      </c>
      <c r="H111" s="17">
        <f t="shared" si="11"/>
        <v>50</v>
      </c>
      <c r="I111" s="1">
        <f t="shared" si="10"/>
        <v>50000</v>
      </c>
      <c r="J111" s="17">
        <v>16000</v>
      </c>
      <c r="K111" s="17"/>
      <c r="L111" s="18">
        <f t="shared" si="12"/>
        <v>34000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8">
        <f t="shared" si="13"/>
        <v>0</v>
      </c>
    </row>
    <row r="112" spans="1: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4">
        <v>310</v>
      </c>
      <c r="D112" s="3" t="s">
        <v>103</v>
      </c>
      <c r="E112" s="1" t="s">
        <v>420</v>
      </c>
      <c r="F112" s="16">
        <v>41994</v>
      </c>
      <c r="G112" s="16">
        <v>42005</v>
      </c>
      <c r="H112" s="17">
        <f t="shared" si="11"/>
        <v>12</v>
      </c>
      <c r="I112" s="1">
        <f t="shared" si="10"/>
        <v>12000</v>
      </c>
      <c r="J112" s="17"/>
      <c r="K112" s="17"/>
      <c r="L112" s="18">
        <f t="shared" si="12"/>
        <v>12000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8">
        <f t="shared" si="13"/>
        <v>0</v>
      </c>
    </row>
    <row r="113" spans="1: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1"/>
        <v>46</v>
      </c>
      <c r="I113" s="1">
        <f t="shared" si="10"/>
        <v>46000</v>
      </c>
      <c r="J113" s="17">
        <f>46000</f>
        <v>46000</v>
      </c>
      <c r="K113" s="17"/>
      <c r="L113" s="18">
        <f t="shared" si="12"/>
        <v>0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8">
        <f t="shared" si="13"/>
        <v>0</v>
      </c>
    </row>
    <row r="114" spans="1:25" ht="25.5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3" t="s">
        <v>105</v>
      </c>
      <c r="E114" s="1" t="s">
        <v>422</v>
      </c>
      <c r="F114" s="16">
        <v>41580</v>
      </c>
      <c r="G114" s="16">
        <v>41609</v>
      </c>
      <c r="H114" s="17">
        <f t="shared" si="11"/>
        <v>25</v>
      </c>
      <c r="I114" s="1">
        <f t="shared" si="10"/>
        <v>25000</v>
      </c>
      <c r="J114" s="17">
        <f>5000+1500+5000</f>
        <v>11500</v>
      </c>
      <c r="K114" s="17"/>
      <c r="L114" s="18">
        <f t="shared" si="12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3"/>
        <v>0</v>
      </c>
    </row>
    <row r="115" spans="1: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3" t="s">
        <v>106</v>
      </c>
      <c r="E115" s="1" t="s">
        <v>423</v>
      </c>
      <c r="F115" s="16">
        <v>41498</v>
      </c>
      <c r="G115" s="16">
        <v>41518</v>
      </c>
      <c r="H115" s="17">
        <f t="shared" si="11"/>
        <v>28</v>
      </c>
      <c r="I115" s="1">
        <f t="shared" si="10"/>
        <v>28000</v>
      </c>
      <c r="J115" s="17">
        <v>13000</v>
      </c>
      <c r="K115" s="17">
        <v>1000</v>
      </c>
      <c r="L115" s="18">
        <f t="shared" si="12"/>
        <v>14000</v>
      </c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18">
        <f t="shared" si="13"/>
        <v>0</v>
      </c>
    </row>
    <row r="116" spans="1: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1"/>
        <v>45</v>
      </c>
      <c r="I116" s="1">
        <f t="shared" si="10"/>
        <v>45000</v>
      </c>
      <c r="J116" s="17">
        <v>41000</v>
      </c>
      <c r="K116" s="17"/>
      <c r="L116" s="18">
        <f t="shared" si="12"/>
        <v>4000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18">
        <f t="shared" si="13"/>
        <v>0</v>
      </c>
    </row>
    <row r="117" spans="1: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3" t="s">
        <v>108</v>
      </c>
      <c r="E117" s="1" t="s">
        <v>425</v>
      </c>
      <c r="F117" s="16">
        <v>41463</v>
      </c>
      <c r="G117" s="16">
        <v>41282</v>
      </c>
      <c r="H117" s="17">
        <f t="shared" si="11"/>
        <v>36</v>
      </c>
      <c r="I117" s="1">
        <f t="shared" si="10"/>
        <v>36000</v>
      </c>
      <c r="J117" s="17">
        <v>1000</v>
      </c>
      <c r="K117" s="17"/>
      <c r="L117" s="18">
        <f t="shared" si="12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3"/>
        <v>0</v>
      </c>
    </row>
    <row r="118" spans="1: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1"/>
        <v>30</v>
      </c>
      <c r="I118" s="1">
        <f t="shared" si="10"/>
        <v>30000</v>
      </c>
      <c r="J118" s="17">
        <v>25000</v>
      </c>
      <c r="K118" s="17">
        <v>5000</v>
      </c>
      <c r="L118" s="18">
        <f t="shared" si="12"/>
        <v>0</v>
      </c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18">
        <f t="shared" si="13"/>
        <v>0</v>
      </c>
    </row>
    <row r="119" spans="1: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3" t="s">
        <v>110</v>
      </c>
      <c r="E119" s="1" t="s">
        <v>427</v>
      </c>
      <c r="F119" s="16">
        <v>41052</v>
      </c>
      <c r="G119" s="16">
        <v>41061</v>
      </c>
      <c r="H119" s="17">
        <f t="shared" si="11"/>
        <v>43</v>
      </c>
      <c r="I119" s="1">
        <f t="shared" si="10"/>
        <v>43000</v>
      </c>
      <c r="J119" s="17">
        <f>40500</f>
        <v>40500</v>
      </c>
      <c r="K119" s="17"/>
      <c r="L119" s="18">
        <f t="shared" si="12"/>
        <v>2500</v>
      </c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18">
        <f t="shared" si="13"/>
        <v>0</v>
      </c>
    </row>
    <row r="120" spans="1:25" ht="25.5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4">
        <v>217</v>
      </c>
      <c r="D120" s="3" t="s">
        <v>111</v>
      </c>
      <c r="E120" s="1"/>
      <c r="F120" s="1"/>
      <c r="G120" s="1"/>
      <c r="H120" s="17"/>
      <c r="I120" s="1">
        <f t="shared" si="10"/>
        <v>0</v>
      </c>
      <c r="J120" s="17"/>
      <c r="K120" s="17"/>
      <c r="L120" s="18">
        <f t="shared" si="12"/>
        <v>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18">
        <f t="shared" si="13"/>
        <v>0</v>
      </c>
    </row>
    <row r="121" spans="1: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0"/>
        <v>33000</v>
      </c>
      <c r="J121" s="17">
        <v>28000</v>
      </c>
      <c r="K121" s="17"/>
      <c r="L121" s="18">
        <f t="shared" si="12"/>
        <v>5000</v>
      </c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18">
        <f t="shared" si="13"/>
        <v>0</v>
      </c>
    </row>
    <row r="122" spans="1: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0"/>
        <v>55000</v>
      </c>
      <c r="J122" s="17">
        <v>54000</v>
      </c>
      <c r="K122" s="17">
        <v>3000</v>
      </c>
      <c r="L122" s="18">
        <f t="shared" si="12"/>
        <v>-2000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18">
        <f t="shared" si="13"/>
        <v>0</v>
      </c>
    </row>
    <row r="123" spans="1: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0"/>
        <v>40000</v>
      </c>
      <c r="J123" s="17">
        <v>35000</v>
      </c>
      <c r="K123" s="17"/>
      <c r="L123" s="18">
        <f t="shared" si="12"/>
        <v>5000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18">
        <f t="shared" si="13"/>
        <v>0</v>
      </c>
    </row>
    <row r="124" spans="1: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3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0"/>
        <v>20000</v>
      </c>
      <c r="J124" s="17">
        <v>18000</v>
      </c>
      <c r="K124" s="17"/>
      <c r="L124" s="18">
        <f t="shared" si="12"/>
        <v>2000</v>
      </c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18">
        <f t="shared" si="13"/>
        <v>0</v>
      </c>
    </row>
    <row r="125" spans="1: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3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0"/>
        <v>51000</v>
      </c>
      <c r="J125" s="17">
        <f>1000</f>
        <v>1000</v>
      </c>
      <c r="K125" s="17">
        <v>1000</v>
      </c>
      <c r="L125" s="18">
        <f t="shared" si="12"/>
        <v>49000</v>
      </c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18">
        <f t="shared" si="13"/>
        <v>0</v>
      </c>
    </row>
    <row r="126" spans="1: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3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0"/>
        <v>48000</v>
      </c>
      <c r="J126" s="17">
        <f>1000</f>
        <v>1000</v>
      </c>
      <c r="K126" s="17"/>
      <c r="L126" s="18">
        <f t="shared" si="12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3"/>
        <v>0</v>
      </c>
    </row>
    <row r="127" spans="1: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3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0"/>
        <v>36000</v>
      </c>
      <c r="J127" s="17">
        <v>18000</v>
      </c>
      <c r="K127" s="17"/>
      <c r="L127" s="18">
        <f t="shared" si="12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18">
        <f t="shared" si="13"/>
        <v>0</v>
      </c>
    </row>
    <row r="128" spans="1: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0"/>
        <v>9000</v>
      </c>
      <c r="J128" s="17">
        <v>4000</v>
      </c>
      <c r="K128" s="17">
        <v>5000</v>
      </c>
      <c r="L128" s="18">
        <f t="shared" si="12"/>
        <v>0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18">
        <f t="shared" si="13"/>
        <v>0</v>
      </c>
    </row>
    <row r="129" spans="1: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3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0"/>
        <v>52000</v>
      </c>
      <c r="J129" s="17">
        <f>2000+27000</f>
        <v>29000</v>
      </c>
      <c r="K129" s="17"/>
      <c r="L129" s="18">
        <f t="shared" si="12"/>
        <v>23000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18">
        <f t="shared" si="13"/>
        <v>0</v>
      </c>
    </row>
    <row r="130" spans="1:25" ht="25.5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3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0"/>
        <v>52000</v>
      </c>
      <c r="J130" s="17">
        <v>1000</v>
      </c>
      <c r="K130" s="17"/>
      <c r="L130" s="18">
        <f t="shared" si="12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3"/>
        <v>0</v>
      </c>
    </row>
    <row r="131" spans="1: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3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0"/>
        <v>14000</v>
      </c>
      <c r="J131" s="17">
        <v>1000</v>
      </c>
      <c r="K131" s="17"/>
      <c r="L131" s="18">
        <f t="shared" si="12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3"/>
        <v>0</v>
      </c>
    </row>
    <row r="132" spans="1: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4">
        <v>75</v>
      </c>
      <c r="D132" s="3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0"/>
        <v>52000</v>
      </c>
      <c r="J132" s="20">
        <f>3000+10000</f>
        <v>13000</v>
      </c>
      <c r="K132" s="20"/>
      <c r="L132" s="21">
        <f t="shared" si="12"/>
        <v>39000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1">
        <f t="shared" si="13"/>
        <v>0</v>
      </c>
    </row>
    <row r="133" spans="1: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4">
        <v>76</v>
      </c>
      <c r="D133" s="3" t="s">
        <v>123</v>
      </c>
      <c r="E133" s="1" t="s">
        <v>441</v>
      </c>
      <c r="F133" s="5"/>
      <c r="G133" s="5"/>
      <c r="H133" s="20"/>
      <c r="I133" s="5">
        <f t="shared" si="10"/>
        <v>0</v>
      </c>
      <c r="J133" s="20"/>
      <c r="K133" s="20"/>
      <c r="L133" s="2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1"/>
    </row>
    <row r="134" spans="1: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0"/>
        <v>27000</v>
      </c>
      <c r="J134" s="17">
        <v>24000</v>
      </c>
      <c r="K134" s="17"/>
      <c r="L134" s="18">
        <f t="shared" ref="L134:L186" si="17">I134-J134-K134</f>
        <v>3000</v>
      </c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18">
        <f t="shared" ref="Y134:Y186" si="18">V134-W134-X134</f>
        <v>0</v>
      </c>
    </row>
    <row r="135" spans="1: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3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0"/>
        <v>45000</v>
      </c>
      <c r="J135" s="17">
        <v>32000</v>
      </c>
      <c r="K135" s="17"/>
      <c r="L135" s="18">
        <f t="shared" si="17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8"/>
        <v>0</v>
      </c>
    </row>
    <row r="136" spans="1: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3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0"/>
        <v>47000</v>
      </c>
      <c r="J136" s="17">
        <v>34000</v>
      </c>
      <c r="K136" s="17"/>
      <c r="L136" s="18">
        <f t="shared" si="17"/>
        <v>13000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18">
        <f t="shared" si="18"/>
        <v>0</v>
      </c>
    </row>
    <row r="137" spans="1:25" ht="25.5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3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0"/>
        <v>18000</v>
      </c>
      <c r="J137" s="17">
        <f>5000+4000</f>
        <v>9000</v>
      </c>
      <c r="K137" s="17"/>
      <c r="L137" s="18">
        <f t="shared" si="17"/>
        <v>9000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18">
        <f t="shared" si="18"/>
        <v>0</v>
      </c>
    </row>
    <row r="138" spans="1: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3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0"/>
        <v>42000</v>
      </c>
      <c r="J138" s="17">
        <v>23000</v>
      </c>
      <c r="K138" s="17"/>
      <c r="L138" s="18">
        <f t="shared" si="17"/>
        <v>19000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18">
        <f t="shared" si="18"/>
        <v>0</v>
      </c>
    </row>
    <row r="139" spans="1:25" ht="25.5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3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0"/>
        <v>42000</v>
      </c>
      <c r="J139" s="17">
        <f>25000</f>
        <v>25000</v>
      </c>
      <c r="K139" s="17"/>
      <c r="L139" s="18">
        <f t="shared" si="17"/>
        <v>17000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18">
        <f t="shared" si="18"/>
        <v>0</v>
      </c>
    </row>
    <row r="140" spans="1: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3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18">
        <f t="shared" si="17"/>
        <v>16000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18">
        <f t="shared" si="18"/>
        <v>0</v>
      </c>
    </row>
    <row r="141" spans="1: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18">
        <f t="shared" si="17"/>
        <v>5000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18">
        <f t="shared" si="18"/>
        <v>0</v>
      </c>
    </row>
    <row r="142" spans="1: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18">
        <f t="shared" si="17"/>
        <v>0</v>
      </c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18">
        <f t="shared" si="18"/>
        <v>0</v>
      </c>
    </row>
    <row r="143" spans="1: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3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18">
        <f t="shared" si="17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8"/>
        <v>0</v>
      </c>
    </row>
    <row r="144" spans="1: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3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18">
        <f t="shared" si="17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8"/>
        <v>0</v>
      </c>
    </row>
    <row r="145" spans="1: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3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18">
        <f t="shared" si="17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18">
        <f t="shared" si="18"/>
        <v>0</v>
      </c>
    </row>
    <row r="146" spans="1: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3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18">
        <f t="shared" si="17"/>
        <v>13000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18">
        <f t="shared" si="18"/>
        <v>0</v>
      </c>
    </row>
    <row r="147" spans="1: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18">
        <f t="shared" si="17"/>
        <v>0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18">
        <f t="shared" si="18"/>
        <v>0</v>
      </c>
    </row>
    <row r="148" spans="1: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3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18">
        <f t="shared" si="17"/>
        <v>16000</v>
      </c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18">
        <f t="shared" si="18"/>
        <v>0</v>
      </c>
    </row>
    <row r="149" spans="1: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3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18">
        <f t="shared" si="17"/>
        <v>11000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18">
        <f t="shared" si="18"/>
        <v>0</v>
      </c>
    </row>
    <row r="150" spans="1: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3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18">
        <f t="shared" si="17"/>
        <v>24000</v>
      </c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18">
        <f t="shared" si="18"/>
        <v>0</v>
      </c>
    </row>
    <row r="151" spans="1: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18">
        <f t="shared" si="17"/>
        <v>4000</v>
      </c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18">
        <f t="shared" si="18"/>
        <v>0</v>
      </c>
    </row>
    <row r="152" spans="1: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3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18">
        <f t="shared" si="17"/>
        <v>20000</v>
      </c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18">
        <f t="shared" si="18"/>
        <v>0</v>
      </c>
    </row>
    <row r="153" spans="1: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18">
        <f t="shared" si="17"/>
        <v>0</v>
      </c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18">
        <f t="shared" si="18"/>
        <v>0</v>
      </c>
    </row>
    <row r="154" spans="1: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18">
        <f t="shared" si="17"/>
        <v>0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18">
        <f t="shared" si="18"/>
        <v>0</v>
      </c>
    </row>
    <row r="155" spans="1: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3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18">
        <f t="shared" si="17"/>
        <v>53000</v>
      </c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18">
        <f t="shared" si="18"/>
        <v>0</v>
      </c>
    </row>
    <row r="156" spans="1: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3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18">
        <f t="shared" si="17"/>
        <v>30000</v>
      </c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18">
        <f t="shared" si="18"/>
        <v>0</v>
      </c>
    </row>
    <row r="157" spans="1: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18">
        <f t="shared" si="17"/>
        <v>6000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18">
        <f t="shared" si="18"/>
        <v>0</v>
      </c>
    </row>
    <row r="158" spans="1: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3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18">
        <f t="shared" si="17"/>
        <v>17000</v>
      </c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18">
        <f t="shared" si="18"/>
        <v>0</v>
      </c>
    </row>
    <row r="159" spans="1: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3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18">
        <f t="shared" si="17"/>
        <v>21000</v>
      </c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18">
        <f t="shared" si="18"/>
        <v>0</v>
      </c>
    </row>
    <row r="160" spans="1: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3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18">
        <f t="shared" si="17"/>
        <v>22000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18">
        <f t="shared" si="18"/>
        <v>0</v>
      </c>
    </row>
    <row r="161" spans="1: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5">
        <v>149</v>
      </c>
      <c r="D161" s="3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21">
        <f t="shared" si="17"/>
        <v>0</v>
      </c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1">
        <f t="shared" si="18"/>
        <v>0</v>
      </c>
    </row>
    <row r="162" spans="1: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5">
        <v>147</v>
      </c>
      <c r="D162" s="3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21">
        <f t="shared" si="17"/>
        <v>0</v>
      </c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1">
        <f t="shared" si="18"/>
        <v>0</v>
      </c>
    </row>
    <row r="163" spans="1: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5">
        <v>148</v>
      </c>
      <c r="D163" s="3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21">
        <f t="shared" si="17"/>
        <v>39000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1">
        <f t="shared" si="18"/>
        <v>0</v>
      </c>
    </row>
    <row r="164" spans="1: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5">
        <v>274</v>
      </c>
      <c r="D164" s="3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21">
        <f t="shared" si="17"/>
        <v>13000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1">
        <f t="shared" si="18"/>
        <v>0</v>
      </c>
    </row>
    <row r="165" spans="1: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5">
        <v>275</v>
      </c>
      <c r="D165" s="3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21">
        <f t="shared" si="17"/>
        <v>17000</v>
      </c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1">
        <f t="shared" si="18"/>
        <v>0</v>
      </c>
    </row>
    <row r="166" spans="1: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3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18">
        <f t="shared" si="17"/>
        <v>28000</v>
      </c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18">
        <f t="shared" si="18"/>
        <v>0</v>
      </c>
    </row>
    <row r="167" spans="1: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3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18">
        <f t="shared" si="17"/>
        <v>12000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18">
        <f t="shared" si="18"/>
        <v>0</v>
      </c>
    </row>
    <row r="168" spans="1: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3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18">
        <f t="shared" si="17"/>
        <v>7000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18">
        <f t="shared" si="18"/>
        <v>0</v>
      </c>
    </row>
    <row r="169" spans="1: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4">
        <v>207</v>
      </c>
      <c r="D169" s="3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21">
        <f t="shared" si="17"/>
        <v>43000</v>
      </c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1">
        <f t="shared" si="18"/>
        <v>0</v>
      </c>
    </row>
    <row r="170" spans="1: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4">
        <v>208</v>
      </c>
      <c r="D170" s="3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21">
        <f t="shared" si="17"/>
        <v>43000</v>
      </c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1">
        <f t="shared" si="18"/>
        <v>0</v>
      </c>
    </row>
    <row r="171" spans="1: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3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18">
        <f t="shared" si="17"/>
        <v>25000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18">
        <f t="shared" si="18"/>
        <v>0</v>
      </c>
    </row>
    <row r="172" spans="1: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18">
        <f t="shared" si="17"/>
        <v>-3000</v>
      </c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18">
        <f t="shared" si="18"/>
        <v>0</v>
      </c>
    </row>
    <row r="173" spans="1: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3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18">
        <f t="shared" si="17"/>
        <v>16000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18">
        <f t="shared" si="18"/>
        <v>0</v>
      </c>
    </row>
    <row r="174" spans="1: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9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18">
        <f t="shared" si="17"/>
        <v>4000</v>
      </c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18">
        <f t="shared" si="18"/>
        <v>0</v>
      </c>
    </row>
    <row r="175" spans="1: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3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18">
        <f t="shared" si="17"/>
        <v>3000</v>
      </c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18">
        <f t="shared" si="18"/>
        <v>0</v>
      </c>
    </row>
    <row r="176" spans="1: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18">
        <f t="shared" si="17"/>
        <v>4000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18">
        <f t="shared" si="18"/>
        <v>0</v>
      </c>
    </row>
    <row r="177" spans="1: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3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18">
        <f t="shared" si="17"/>
        <v>10000</v>
      </c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18">
        <f t="shared" si="18"/>
        <v>0</v>
      </c>
    </row>
    <row r="178" spans="1: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3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18">
        <f t="shared" si="17"/>
        <v>23000</v>
      </c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18">
        <f t="shared" si="18"/>
        <v>0</v>
      </c>
    </row>
    <row r="179" spans="1: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18">
        <f t="shared" si="17"/>
        <v>2000</v>
      </c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18">
        <f t="shared" si="18"/>
        <v>0</v>
      </c>
    </row>
    <row r="180" spans="1:25" ht="25.5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18">
        <f t="shared" si="17"/>
        <v>4000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18">
        <f t="shared" si="18"/>
        <v>0</v>
      </c>
    </row>
    <row r="181" spans="1: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5">
        <v>101</v>
      </c>
      <c r="D181" s="3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21">
        <f t="shared" si="17"/>
        <v>12988</v>
      </c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1">
        <f t="shared" si="18"/>
        <v>0</v>
      </c>
    </row>
    <row r="182" spans="1: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5">
        <v>102</v>
      </c>
      <c r="D182" s="3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21">
        <f t="shared" si="17"/>
        <v>13000</v>
      </c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1">
        <f t="shared" si="18"/>
        <v>0</v>
      </c>
    </row>
    <row r="183" spans="1: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3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18">
        <f t="shared" si="17"/>
        <v>11000</v>
      </c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18">
        <f t="shared" si="18"/>
        <v>0</v>
      </c>
    </row>
    <row r="184" spans="1: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3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18">
        <f t="shared" si="17"/>
        <v>20000</v>
      </c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18">
        <f t="shared" si="18"/>
        <v>0</v>
      </c>
    </row>
    <row r="185" spans="1: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3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18">
        <f t="shared" si="17"/>
        <v>26000</v>
      </c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18">
        <f t="shared" si="18"/>
        <v>0</v>
      </c>
    </row>
    <row r="186" spans="1: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18">
        <f t="shared" si="17"/>
        <v>3000</v>
      </c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18">
        <f t="shared" si="18"/>
        <v>0</v>
      </c>
    </row>
    <row r="187" spans="1: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18"/>
    </row>
    <row r="188" spans="1:25" ht="25.5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18">
        <f t="shared" ref="L188:L251" si="22">I188-J188-K188</f>
        <v>4000</v>
      </c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18">
        <f t="shared" ref="Y188:Y251" si="23">V188-W188-X188</f>
        <v>0</v>
      </c>
    </row>
    <row r="189" spans="1: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3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18">
        <f t="shared" si="22"/>
        <v>27000</v>
      </c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18">
        <f t="shared" si="23"/>
        <v>0</v>
      </c>
    </row>
    <row r="190" spans="1: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18">
        <f t="shared" si="22"/>
        <v>-2000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18">
        <f t="shared" si="23"/>
        <v>0</v>
      </c>
    </row>
    <row r="191" spans="1:25" ht="25.5" customHeight="1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3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18">
        <f t="shared" si="22"/>
        <v>29000</v>
      </c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18">
        <f t="shared" si="23"/>
        <v>0</v>
      </c>
    </row>
    <row r="192" spans="1: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3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18">
        <f t="shared" si="22"/>
        <v>14000</v>
      </c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18">
        <f t="shared" si="23"/>
        <v>0</v>
      </c>
    </row>
    <row r="193" spans="1: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18">
        <f t="shared" si="22"/>
        <v>10000</v>
      </c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18">
        <f t="shared" si="23"/>
        <v>0</v>
      </c>
    </row>
    <row r="194" spans="1: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3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18">
        <f t="shared" si="22"/>
        <v>2000</v>
      </c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18">
        <f t="shared" si="23"/>
        <v>0</v>
      </c>
    </row>
    <row r="195" spans="1: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21">
        <f t="shared" si="22"/>
        <v>0</v>
      </c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1">
        <f t="shared" si="23"/>
        <v>0</v>
      </c>
    </row>
    <row r="196" spans="1: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21">
        <f t="shared" si="22"/>
        <v>0</v>
      </c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1">
        <f t="shared" si="23"/>
        <v>0</v>
      </c>
    </row>
    <row r="197" spans="1: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18">
        <f t="shared" si="22"/>
        <v>0</v>
      </c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18">
        <f t="shared" si="23"/>
        <v>0</v>
      </c>
    </row>
    <row r="198" spans="1: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18">
        <f t="shared" si="22"/>
        <v>0</v>
      </c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18">
        <f t="shared" si="23"/>
        <v>0</v>
      </c>
    </row>
    <row r="199" spans="1: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18">
        <f t="shared" si="22"/>
        <v>0</v>
      </c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18">
        <f t="shared" si="23"/>
        <v>0</v>
      </c>
    </row>
    <row r="200" spans="1: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3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18">
        <f t="shared" si="22"/>
        <v>3000</v>
      </c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18">
        <f t="shared" si="23"/>
        <v>0</v>
      </c>
    </row>
    <row r="201" spans="1:25" ht="25.5" customHeight="1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18">
        <f t="shared" si="22"/>
        <v>0</v>
      </c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18">
        <f t="shared" si="23"/>
        <v>0</v>
      </c>
    </row>
    <row r="202" spans="1:25" ht="25.5" customHeight="1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3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18">
        <f t="shared" si="22"/>
        <v>11000</v>
      </c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18">
        <f t="shared" si="23"/>
        <v>0</v>
      </c>
    </row>
    <row r="203" spans="1:25" ht="25.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3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18">
        <f t="shared" si="22"/>
        <v>23000</v>
      </c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18">
        <f t="shared" si="23"/>
        <v>0</v>
      </c>
    </row>
    <row r="204" spans="1: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3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18">
        <f t="shared" si="22"/>
        <v>3000</v>
      </c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18">
        <f t="shared" si="23"/>
        <v>0</v>
      </c>
    </row>
    <row r="205" spans="1:25" ht="25.5" customHeight="1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18">
        <f t="shared" si="22"/>
        <v>0</v>
      </c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18">
        <f t="shared" si="23"/>
        <v>0</v>
      </c>
    </row>
    <row r="206" spans="1: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18">
        <f t="shared" si="22"/>
        <v>0</v>
      </c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18">
        <f t="shared" si="23"/>
        <v>0</v>
      </c>
    </row>
    <row r="207" spans="1: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3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18">
        <f t="shared" si="22"/>
        <v>21000</v>
      </c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18">
        <f t="shared" si="23"/>
        <v>0</v>
      </c>
    </row>
    <row r="208" spans="1: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3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18">
        <f t="shared" si="22"/>
        <v>52000</v>
      </c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18">
        <f t="shared" si="23"/>
        <v>0</v>
      </c>
    </row>
    <row r="209" spans="1: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4">
        <v>77</v>
      </c>
      <c r="D209" s="3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18">
        <f t="shared" si="22"/>
        <v>12000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18">
        <f t="shared" si="23"/>
        <v>0</v>
      </c>
    </row>
    <row r="210" spans="1:25" ht="25.5" customHeight="1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3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18">
        <f t="shared" si="22"/>
        <v>14000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18">
        <f t="shared" si="23"/>
        <v>0</v>
      </c>
    </row>
    <row r="211" spans="1:25" ht="25.5" customHeight="1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18">
        <f t="shared" si="22"/>
        <v>0</v>
      </c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18">
        <f t="shared" si="23"/>
        <v>0</v>
      </c>
    </row>
    <row r="212" spans="1:25" ht="38.25" customHeight="1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18">
        <f t="shared" si="22"/>
        <v>8000</v>
      </c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18">
        <f t="shared" si="23"/>
        <v>0</v>
      </c>
    </row>
    <row r="213" spans="1: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3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18">
        <f t="shared" si="22"/>
        <v>15000</v>
      </c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18">
        <f t="shared" si="23"/>
        <v>0</v>
      </c>
    </row>
    <row r="214" spans="1:25" ht="25.5">
      <c r="A214" s="41" t="e">
        <f>VLOOKUP(B214,справочник!$B$2:$E$322,4,FALSE)</f>
        <v>#N/A</v>
      </c>
      <c r="B214" t="str">
        <f t="shared" si="24"/>
        <v>29Петрик Наталья Вячеславовна(ПродалаУстинова Ирина)</v>
      </c>
      <c r="C214" s="1">
        <v>29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18">
        <f t="shared" si="22"/>
        <v>0</v>
      </c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18">
        <f t="shared" si="23"/>
        <v>0</v>
      </c>
    </row>
    <row r="215" spans="1: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18">
        <f t="shared" si="22"/>
        <v>7000</v>
      </c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18">
        <f t="shared" si="23"/>
        <v>0</v>
      </c>
    </row>
    <row r="216" spans="1: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18">
        <f t="shared" si="22"/>
        <v>4000</v>
      </c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18">
        <f t="shared" si="23"/>
        <v>0</v>
      </c>
    </row>
    <row r="217" spans="1: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3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18">
        <f t="shared" si="22"/>
        <v>14000</v>
      </c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18">
        <f t="shared" si="23"/>
        <v>0</v>
      </c>
    </row>
    <row r="218" spans="1: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3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18">
        <f t="shared" si="22"/>
        <v>17000</v>
      </c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18">
        <f t="shared" si="23"/>
        <v>0</v>
      </c>
    </row>
    <row r="219" spans="1: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3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18">
        <f t="shared" si="22"/>
        <v>14000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18">
        <f t="shared" si="23"/>
        <v>0</v>
      </c>
    </row>
    <row r="220" spans="1: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3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18">
        <f t="shared" si="22"/>
        <v>3000</v>
      </c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18">
        <f t="shared" si="23"/>
        <v>0</v>
      </c>
    </row>
    <row r="221" spans="1: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3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18">
        <f t="shared" si="22"/>
        <v>21000</v>
      </c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18">
        <f t="shared" si="23"/>
        <v>0</v>
      </c>
    </row>
    <row r="222" spans="1:25" ht="25.5" customHeight="1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18">
        <f t="shared" si="22"/>
        <v>0</v>
      </c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18">
        <f t="shared" si="23"/>
        <v>0</v>
      </c>
    </row>
    <row r="223" spans="1: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18">
        <f t="shared" si="22"/>
        <v>0</v>
      </c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18">
        <f t="shared" si="23"/>
        <v>0</v>
      </c>
    </row>
    <row r="224" spans="1: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18">
        <f t="shared" si="22"/>
        <v>0</v>
      </c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18">
        <f t="shared" si="23"/>
        <v>0</v>
      </c>
    </row>
    <row r="225" spans="1: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18">
        <f t="shared" si="22"/>
        <v>0</v>
      </c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18">
        <f t="shared" si="23"/>
        <v>0</v>
      </c>
    </row>
    <row r="226" spans="1: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3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18">
        <f t="shared" si="22"/>
        <v>20000</v>
      </c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18">
        <f t="shared" si="23"/>
        <v>0</v>
      </c>
    </row>
    <row r="227" spans="1: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4" t="s">
        <v>210</v>
      </c>
      <c r="D227" s="3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21">
        <f t="shared" si="22"/>
        <v>19000</v>
      </c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1">
        <f t="shared" si="23"/>
        <v>0</v>
      </c>
    </row>
    <row r="228" spans="1:25" ht="25.5" customHeight="1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4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f t="shared" si="27"/>
        <v>51</v>
      </c>
      <c r="I228" s="5">
        <v>61000</v>
      </c>
      <c r="J228" s="20">
        <f>2000+55000</f>
        <v>57000</v>
      </c>
      <c r="K228" s="20">
        <v>4000</v>
      </c>
      <c r="L228" s="21">
        <f t="shared" si="22"/>
        <v>0</v>
      </c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1">
        <f t="shared" si="23"/>
        <v>0</v>
      </c>
    </row>
    <row r="229" spans="1:25">
      <c r="A229" s="41" t="e">
        <f>VLOOKUP(B229,справочник!$B$2:$E$322,4,FALSE)</f>
        <v>#N/A</v>
      </c>
      <c r="B229" t="str">
        <f t="shared" si="24"/>
        <v>246-247Решетов Владимир Геннадьевич</v>
      </c>
      <c r="C229" s="4" t="s">
        <v>214</v>
      </c>
      <c r="D229" s="7" t="s">
        <v>215</v>
      </c>
      <c r="E229" s="5" t="s">
        <v>527</v>
      </c>
      <c r="F229" s="19">
        <v>40816</v>
      </c>
      <c r="G229" s="19">
        <v>40817</v>
      </c>
      <c r="H229" s="20">
        <f t="shared" si="27"/>
        <v>51</v>
      </c>
      <c r="I229" s="5">
        <v>61000</v>
      </c>
      <c r="J229" s="20">
        <v>58000</v>
      </c>
      <c r="K229" s="20">
        <v>3000</v>
      </c>
      <c r="L229" s="21">
        <f t="shared" si="22"/>
        <v>0</v>
      </c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1">
        <f t="shared" si="23"/>
        <v>0</v>
      </c>
    </row>
    <row r="230" spans="1:25" ht="25.5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4">
        <v>203</v>
      </c>
      <c r="D230" s="3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18">
        <f t="shared" si="22"/>
        <v>24000</v>
      </c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18">
        <f t="shared" si="23"/>
        <v>0</v>
      </c>
    </row>
    <row r="231" spans="1: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4">
        <v>152</v>
      </c>
      <c r="D231" s="3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21">
        <f t="shared" si="22"/>
        <v>51000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1">
        <f t="shared" si="23"/>
        <v>0</v>
      </c>
    </row>
    <row r="232" spans="1: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4">
        <v>153</v>
      </c>
      <c r="D232" s="3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21">
        <f t="shared" si="22"/>
        <v>51000</v>
      </c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1">
        <f t="shared" si="23"/>
        <v>0</v>
      </c>
    </row>
    <row r="233" spans="1: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5">
        <v>80</v>
      </c>
      <c r="D233" s="7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21">
        <f t="shared" si="22"/>
        <v>3000</v>
      </c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1">
        <f t="shared" si="23"/>
        <v>0</v>
      </c>
    </row>
    <row r="234" spans="1: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5">
        <v>81</v>
      </c>
      <c r="D234" s="7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21">
        <f t="shared" si="22"/>
        <v>3000</v>
      </c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1">
        <f t="shared" si="23"/>
        <v>0</v>
      </c>
    </row>
    <row r="235" spans="1: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18">
        <f t="shared" si="22"/>
        <v>0</v>
      </c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18">
        <f t="shared" si="23"/>
        <v>0</v>
      </c>
    </row>
    <row r="236" spans="1: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3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18">
        <f t="shared" si="22"/>
        <v>20000</v>
      </c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18">
        <f t="shared" si="23"/>
        <v>0</v>
      </c>
    </row>
    <row r="237" spans="1: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18">
        <f t="shared" si="22"/>
        <v>12000</v>
      </c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18">
        <f t="shared" si="23"/>
        <v>0</v>
      </c>
    </row>
    <row r="238" spans="1:25" ht="38.25" customHeight="1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18">
        <f t="shared" si="22"/>
        <v>4000</v>
      </c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18">
        <f t="shared" si="23"/>
        <v>0</v>
      </c>
    </row>
    <row r="239" spans="1: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18">
        <f t="shared" si="22"/>
        <v>0</v>
      </c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18">
        <f t="shared" si="23"/>
        <v>0</v>
      </c>
    </row>
    <row r="240" spans="1:25" ht="25.5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3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18">
        <f t="shared" si="22"/>
        <v>32000</v>
      </c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18">
        <f t="shared" si="23"/>
        <v>0</v>
      </c>
    </row>
    <row r="241" spans="1:25" ht="25.5">
      <c r="A241" s="41">
        <f>VLOOKUP(B241,справочник!$B$2:$E$322,4,FALSE)</f>
        <v>210</v>
      </c>
      <c r="B241" t="str">
        <f t="shared" si="24"/>
        <v>219Сазонов Сергей Александрович - Диденко Оксана Владимировна</v>
      </c>
      <c r="C241" s="1">
        <v>219</v>
      </c>
      <c r="D241" s="3" t="s">
        <v>225</v>
      </c>
      <c r="E241" s="1"/>
      <c r="F241" s="16">
        <v>41913</v>
      </c>
      <c r="G241" s="16">
        <v>41944</v>
      </c>
      <c r="H241" s="17">
        <f t="shared" si="27"/>
        <v>14</v>
      </c>
      <c r="I241" s="1">
        <f t="shared" si="28"/>
        <v>14000</v>
      </c>
      <c r="J241" s="17">
        <f>6000</f>
        <v>6000</v>
      </c>
      <c r="K241" s="17"/>
      <c r="L241" s="18">
        <f t="shared" si="22"/>
        <v>8000</v>
      </c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18">
        <f t="shared" si="23"/>
        <v>0</v>
      </c>
    </row>
    <row r="242" spans="1: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3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18">
        <f t="shared" si="22"/>
        <v>20000</v>
      </c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18">
        <f t="shared" si="23"/>
        <v>0</v>
      </c>
    </row>
    <row r="243" spans="1: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4">
        <v>249</v>
      </c>
      <c r="D243" s="3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18">
        <f t="shared" si="22"/>
        <v>43000</v>
      </c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18">
        <f t="shared" si="23"/>
        <v>0</v>
      </c>
    </row>
    <row r="244" spans="1: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3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18">
        <f t="shared" si="22"/>
        <v>12000</v>
      </c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18">
        <f t="shared" si="23"/>
        <v>0</v>
      </c>
    </row>
    <row r="245" spans="1:25" ht="25.5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18">
        <f t="shared" si="22"/>
        <v>7000</v>
      </c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18">
        <f t="shared" si="23"/>
        <v>0</v>
      </c>
    </row>
    <row r="246" spans="1: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3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18">
        <f t="shared" si="22"/>
        <v>44000</v>
      </c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18">
        <f t="shared" si="23"/>
        <v>0</v>
      </c>
    </row>
    <row r="247" spans="1:25">
      <c r="A247" s="41">
        <f>VLOOKUP(B247,справочник!$B$2:$E$322,4,FALSE)</f>
        <v>278</v>
      </c>
      <c r="B247" t="str">
        <f t="shared" si="24"/>
        <v>290Севастьянов Михаил Григорьевич</v>
      </c>
      <c r="C247" s="1">
        <v>290</v>
      </c>
      <c r="D247" s="3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1">
        <f t="shared" si="28"/>
        <v>49000</v>
      </c>
      <c r="J247" s="17">
        <v>1000</v>
      </c>
      <c r="K247" s="17"/>
      <c r="L247" s="18">
        <f t="shared" si="22"/>
        <v>48000</v>
      </c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18">
        <f t="shared" si="23"/>
        <v>0</v>
      </c>
    </row>
    <row r="248" spans="1: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3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18">
        <f t="shared" si="22"/>
        <v>5000</v>
      </c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18">
        <f t="shared" si="23"/>
        <v>0</v>
      </c>
    </row>
    <row r="249" spans="1: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18">
        <f t="shared" si="22"/>
        <v>3000</v>
      </c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18">
        <f t="shared" si="23"/>
        <v>0</v>
      </c>
    </row>
    <row r="250" spans="1: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3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</f>
        <v>48000</v>
      </c>
      <c r="K250" s="17"/>
      <c r="L250" s="18">
        <f t="shared" si="22"/>
        <v>7000</v>
      </c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18">
        <f t="shared" si="23"/>
        <v>0</v>
      </c>
    </row>
    <row r="251" spans="1: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3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18">
        <f t="shared" si="22"/>
        <v>6000</v>
      </c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18">
        <f t="shared" si="23"/>
        <v>0</v>
      </c>
    </row>
    <row r="252" spans="1: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3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18">
        <f t="shared" ref="L252:L310" si="29">I252-J252-K252</f>
        <v>5000</v>
      </c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18">
        <f t="shared" ref="Y252:Y310" si="30">V252-W252-X252</f>
        <v>0</v>
      </c>
    </row>
    <row r="253" spans="1: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18">
        <f t="shared" si="29"/>
        <v>0</v>
      </c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18">
        <f t="shared" si="30"/>
        <v>0</v>
      </c>
    </row>
    <row r="254" spans="1:25" ht="25.5" customHeight="1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5" t="s">
        <v>238</v>
      </c>
      <c r="D254" s="3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21">
        <f t="shared" si="29"/>
        <v>40000</v>
      </c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1">
        <f t="shared" si="30"/>
        <v>0</v>
      </c>
    </row>
    <row r="255" spans="1: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3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18">
        <f t="shared" si="29"/>
        <v>12000</v>
      </c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18">
        <f t="shared" si="30"/>
        <v>0</v>
      </c>
    </row>
    <row r="256" spans="1:25" ht="25.5" customHeight="1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18">
        <f t="shared" si="29"/>
        <v>4000</v>
      </c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18">
        <f t="shared" si="30"/>
        <v>0</v>
      </c>
    </row>
    <row r="257" spans="1: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3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18">
        <f t="shared" si="29"/>
        <v>29000</v>
      </c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18">
        <f t="shared" si="30"/>
        <v>0</v>
      </c>
    </row>
    <row r="258" spans="1: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18">
        <f t="shared" si="29"/>
        <v>31000</v>
      </c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18">
        <f t="shared" si="30"/>
        <v>0</v>
      </c>
    </row>
    <row r="259" spans="1: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18">
        <f t="shared" si="29"/>
        <v>3000</v>
      </c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18">
        <f t="shared" si="30"/>
        <v>0</v>
      </c>
    </row>
    <row r="260" spans="1: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3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18">
        <f t="shared" si="29"/>
        <v>15000</v>
      </c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18">
        <f t="shared" si="30"/>
        <v>0</v>
      </c>
    </row>
    <row r="261" spans="1: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18">
        <f t="shared" si="29"/>
        <v>12000</v>
      </c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18">
        <f t="shared" si="30"/>
        <v>0</v>
      </c>
    </row>
    <row r="262" spans="1: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5">
        <v>191</v>
      </c>
      <c r="D262" s="3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21">
        <f t="shared" si="29"/>
        <v>27000</v>
      </c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1">
        <f t="shared" si="30"/>
        <v>0</v>
      </c>
    </row>
    <row r="263" spans="1: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5">
        <v>192</v>
      </c>
      <c r="D263" s="3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21">
        <f t="shared" si="29"/>
        <v>27000</v>
      </c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1">
        <f t="shared" si="30"/>
        <v>0</v>
      </c>
    </row>
    <row r="264" spans="1:25" ht="25.5" customHeight="1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3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18">
        <f t="shared" si="29"/>
        <v>2000</v>
      </c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8">
        <f t="shared" si="30"/>
        <v>0</v>
      </c>
    </row>
    <row r="265" spans="1: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18">
        <f t="shared" si="29"/>
        <v>0</v>
      </c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18">
        <f t="shared" si="30"/>
        <v>0</v>
      </c>
    </row>
    <row r="266" spans="1: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3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18">
        <f t="shared" si="29"/>
        <v>31000</v>
      </c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18">
        <f t="shared" si="30"/>
        <v>0</v>
      </c>
    </row>
    <row r="267" spans="1:25">
      <c r="A267" s="41">
        <f>VLOOKUP(B267,справочник!$B$2:$E$322,4,FALSE)</f>
        <v>54</v>
      </c>
      <c r="B267" t="str">
        <f t="shared" si="31"/>
        <v>56Стрелков Андрей Вячеславович</v>
      </c>
      <c r="C267" s="1">
        <v>56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18">
        <f t="shared" si="29"/>
        <v>0</v>
      </c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18">
        <f t="shared" si="30"/>
        <v>0</v>
      </c>
    </row>
    <row r="268" spans="1: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18">
        <f t="shared" si="29"/>
        <v>0</v>
      </c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18">
        <f t="shared" si="30"/>
        <v>0</v>
      </c>
    </row>
    <row r="269" spans="1: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3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18">
        <f t="shared" si="29"/>
        <v>10000</v>
      </c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18">
        <f t="shared" si="30"/>
        <v>0</v>
      </c>
    </row>
    <row r="270" spans="1: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3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18">
        <f t="shared" si="29"/>
        <v>38000</v>
      </c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18">
        <f t="shared" si="30"/>
        <v>0</v>
      </c>
    </row>
    <row r="271" spans="1: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18">
        <f t="shared" si="29"/>
        <v>8000</v>
      </c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18">
        <f t="shared" si="30"/>
        <v>0</v>
      </c>
    </row>
    <row r="272" spans="1: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3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18">
        <f t="shared" si="29"/>
        <v>10000</v>
      </c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18">
        <f t="shared" si="30"/>
        <v>0</v>
      </c>
    </row>
    <row r="273" spans="1: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3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18">
        <f t="shared" si="29"/>
        <v>15000</v>
      </c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18">
        <f t="shared" si="30"/>
        <v>0</v>
      </c>
    </row>
    <row r="274" spans="1: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3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18">
        <f t="shared" si="29"/>
        <v>11000</v>
      </c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18">
        <f t="shared" si="30"/>
        <v>0</v>
      </c>
    </row>
    <row r="275" spans="1: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18">
        <f t="shared" si="29"/>
        <v>6000</v>
      </c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18">
        <f t="shared" si="30"/>
        <v>0</v>
      </c>
    </row>
    <row r="276" spans="1: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5">
        <v>263</v>
      </c>
      <c r="D276" s="3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21">
        <f t="shared" si="29"/>
        <v>5000</v>
      </c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1">
        <f t="shared" si="30"/>
        <v>0</v>
      </c>
    </row>
    <row r="277" spans="1: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5">
        <v>264</v>
      </c>
      <c r="D277" s="3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21">
        <f t="shared" si="29"/>
        <v>5000</v>
      </c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1">
        <f t="shared" si="30"/>
        <v>0</v>
      </c>
    </row>
    <row r="278" spans="1:25" ht="25.5" customHeight="1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18">
        <f t="shared" si="29"/>
        <v>0</v>
      </c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18">
        <f t="shared" si="30"/>
        <v>0</v>
      </c>
    </row>
    <row r="279" spans="1: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18">
        <f t="shared" si="29"/>
        <v>0</v>
      </c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18">
        <f t="shared" si="30"/>
        <v>0</v>
      </c>
    </row>
    <row r="280" spans="1: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3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18">
        <f t="shared" si="29"/>
        <v>18000</v>
      </c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18">
        <f t="shared" si="30"/>
        <v>0</v>
      </c>
    </row>
    <row r="281" spans="1: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18">
        <f t="shared" si="29"/>
        <v>0</v>
      </c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18">
        <f t="shared" si="30"/>
        <v>0</v>
      </c>
    </row>
    <row r="282" spans="1: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3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18">
        <f t="shared" si="29"/>
        <v>12000</v>
      </c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18">
        <f t="shared" si="30"/>
        <v>0</v>
      </c>
    </row>
    <row r="283" spans="1:25" ht="25.5" customHeight="1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3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18">
        <f t="shared" si="29"/>
        <v>29000</v>
      </c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18">
        <f t="shared" si="30"/>
        <v>0</v>
      </c>
    </row>
    <row r="284" spans="1: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3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18">
        <f t="shared" si="29"/>
        <v>22000</v>
      </c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18">
        <f t="shared" si="30"/>
        <v>0</v>
      </c>
    </row>
    <row r="285" spans="1:25">
      <c r="A285" s="41" t="e">
        <f>VLOOKUP(B285,справочник!$B$2:$E$322,4,FALSE)</f>
        <v>#N/A</v>
      </c>
      <c r="B285" t="str">
        <f t="shared" si="31"/>
        <v>29Устинов Федор Валентинович(Петрик)</v>
      </c>
      <c r="C285" s="1">
        <v>29</v>
      </c>
      <c r="D285" s="2" t="s">
        <v>270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18">
        <f t="shared" si="29"/>
        <v>9000</v>
      </c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18">
        <f t="shared" si="30"/>
        <v>0</v>
      </c>
    </row>
    <row r="286" spans="1: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18">
        <f t="shared" si="29"/>
        <v>3000</v>
      </c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18">
        <f t="shared" si="30"/>
        <v>0</v>
      </c>
    </row>
    <row r="287" spans="1: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3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18">
        <f t="shared" si="29"/>
        <v>12000</v>
      </c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18">
        <f t="shared" si="30"/>
        <v>0</v>
      </c>
    </row>
    <row r="288" spans="1:25">
      <c r="A288" s="41">
        <f>VLOOKUP(B288,справочник!$B$2:$E$322,4,FALSE)</f>
        <v>135</v>
      </c>
      <c r="B288" t="str">
        <f t="shared" si="31"/>
        <v>142Финогин Сергей Александрович</v>
      </c>
      <c r="C288" s="4">
        <v>142</v>
      </c>
      <c r="D288" s="3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21">
        <f t="shared" si="29"/>
        <v>10000</v>
      </c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1">
        <f t="shared" si="30"/>
        <v>0</v>
      </c>
    </row>
    <row r="289" spans="1:25">
      <c r="A289" s="41">
        <f>VLOOKUP(B289,справочник!$B$2:$E$322,4,FALSE)</f>
        <v>135</v>
      </c>
      <c r="B289" t="str">
        <f t="shared" si="31"/>
        <v>143Финогин Сергей Александрович</v>
      </c>
      <c r="C289" s="4">
        <v>143</v>
      </c>
      <c r="D289" s="3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21">
        <f t="shared" si="29"/>
        <v>10000</v>
      </c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1">
        <f t="shared" si="30"/>
        <v>0</v>
      </c>
    </row>
    <row r="290" spans="1: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4" t="s">
        <v>274</v>
      </c>
      <c r="D290" s="3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21">
        <f t="shared" si="29"/>
        <v>39000</v>
      </c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1">
        <f t="shared" si="30"/>
        <v>0</v>
      </c>
    </row>
    <row r="291" spans="1: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18">
        <f t="shared" si="29"/>
        <v>0</v>
      </c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18">
        <f t="shared" si="30"/>
        <v>0</v>
      </c>
    </row>
    <row r="292" spans="1: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6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18">
        <f t="shared" si="29"/>
        <v>-13000</v>
      </c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18">
        <f t="shared" si="30"/>
        <v>0</v>
      </c>
    </row>
    <row r="293" spans="1: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3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18">
        <f t="shared" si="29"/>
        <v>2700</v>
      </c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18">
        <f t="shared" si="30"/>
        <v>0</v>
      </c>
    </row>
    <row r="294" spans="1: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3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18">
        <f t="shared" si="29"/>
        <v>11000</v>
      </c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18">
        <f t="shared" si="30"/>
        <v>0</v>
      </c>
    </row>
    <row r="295" spans="1: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18">
        <f t="shared" si="29"/>
        <v>7000</v>
      </c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18">
        <f t="shared" si="30"/>
        <v>0</v>
      </c>
    </row>
    <row r="296" spans="1:25" ht="25.5" customHeight="1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18">
        <f t="shared" si="29"/>
        <v>12000</v>
      </c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18">
        <f t="shared" si="30"/>
        <v>0</v>
      </c>
    </row>
    <row r="297" spans="1: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3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18">
        <f t="shared" si="29"/>
        <v>2000</v>
      </c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18">
        <f t="shared" si="30"/>
        <v>0</v>
      </c>
    </row>
    <row r="298" spans="1: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3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18">
        <f t="shared" si="29"/>
        <v>17000</v>
      </c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18">
        <f t="shared" si="30"/>
        <v>0</v>
      </c>
    </row>
    <row r="299" spans="1: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18">
        <f t="shared" si="29"/>
        <v>3000</v>
      </c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18">
        <f t="shared" si="30"/>
        <v>0</v>
      </c>
    </row>
    <row r="300" spans="1: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18">
        <f t="shared" si="29"/>
        <v>-2000</v>
      </c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18">
        <f t="shared" si="30"/>
        <v>0</v>
      </c>
    </row>
    <row r="301" spans="1:25" ht="25.5" customHeight="1">
      <c r="A301" s="41" t="e">
        <f>VLOOKUP(B301,справочник!$B$2:$E$322,4,FALSE)</f>
        <v>#N/A</v>
      </c>
      <c r="B301" t="str">
        <f t="shared" si="31"/>
        <v>118Хрупало Николай Алексеевич</v>
      </c>
      <c r="C301" s="1">
        <v>118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18">
        <f t="shared" si="29"/>
        <v>0</v>
      </c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18">
        <f t="shared" si="30"/>
        <v>0</v>
      </c>
    </row>
    <row r="302" spans="1:25">
      <c r="A302" s="41" t="e">
        <f>VLOOKUP(B302,справочник!$B$2:$E$322,4,FALSE)</f>
        <v>#N/A</v>
      </c>
      <c r="B302" t="str">
        <f t="shared" si="31"/>
        <v>120Хрупало Николай Алексеевич</v>
      </c>
      <c r="C302" s="4">
        <v>120</v>
      </c>
      <c r="D302" s="3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21">
        <f t="shared" si="29"/>
        <v>21000</v>
      </c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1">
        <f t="shared" si="30"/>
        <v>0</v>
      </c>
    </row>
    <row r="303" spans="1:25">
      <c r="A303" s="41" t="e">
        <f>VLOOKUP(B303,справочник!$B$2:$E$322,4,FALSE)</f>
        <v>#N/A</v>
      </c>
      <c r="B303" t="str">
        <f t="shared" si="31"/>
        <v>116Хрупало Николай Алексеевич (118+120)</v>
      </c>
      <c r="C303" s="4">
        <v>116</v>
      </c>
      <c r="D303" s="3" t="s">
        <v>286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21">
        <f t="shared" si="29"/>
        <v>41000</v>
      </c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1">
        <f t="shared" si="30"/>
        <v>0</v>
      </c>
    </row>
    <row r="304" spans="1:25" ht="25.5" customHeight="1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18">
        <f t="shared" si="29"/>
        <v>0</v>
      </c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18">
        <f t="shared" si="30"/>
        <v>0</v>
      </c>
    </row>
    <row r="305" spans="1: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3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18">
        <f t="shared" si="29"/>
        <v>9000</v>
      </c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18">
        <f t="shared" si="30"/>
        <v>0</v>
      </c>
    </row>
    <row r="306" spans="1:25" ht="25.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6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18">
        <f t="shared" si="29"/>
        <v>0</v>
      </c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18">
        <f t="shared" si="30"/>
        <v>0</v>
      </c>
    </row>
    <row r="307" spans="1: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18">
        <f t="shared" si="29"/>
        <v>0</v>
      </c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18">
        <f t="shared" si="30"/>
        <v>0</v>
      </c>
    </row>
    <row r="308" spans="1:25" ht="25.5" customHeight="1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18">
        <f t="shared" si="29"/>
        <v>0</v>
      </c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18">
        <f t="shared" si="30"/>
        <v>0</v>
      </c>
    </row>
    <row r="309" spans="1:25">
      <c r="A309" s="41" t="e">
        <f>VLOOKUP(B309,справочник!$B$2:$E$322,4,FALSE)</f>
        <v>#N/A</v>
      </c>
      <c r="B309" t="str">
        <f t="shared" si="31"/>
        <v>97Шалинов Андрей Вадимович</v>
      </c>
      <c r="C309" s="1">
        <v>97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18">
        <f t="shared" si="29"/>
        <v>4000</v>
      </c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18">
        <f t="shared" si="30"/>
        <v>0</v>
      </c>
    </row>
    <row r="310" spans="1:25">
      <c r="A310" s="41" t="e">
        <f>VLOOKUP(B310,справочник!$B$2:$E$322,4,FALSE)</f>
        <v>#N/A</v>
      </c>
      <c r="B310" t="str">
        <f t="shared" si="31"/>
        <v>93Шалинов Андрей Вадимович + уч. 97</v>
      </c>
      <c r="C310" s="4">
        <v>93</v>
      </c>
      <c r="D310" s="2" t="s">
        <v>293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18">
        <f t="shared" si="29"/>
        <v>4000</v>
      </c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18">
        <f t="shared" si="30"/>
        <v>0</v>
      </c>
    </row>
    <row r="311" spans="1: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4">
        <v>83</v>
      </c>
      <c r="D311" s="3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18">
        <v>30000</v>
      </c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18">
        <v>30000</v>
      </c>
    </row>
    <row r="312" spans="1:25">
      <c r="A312" s="41">
        <f>VLOOKUP(B312,справочник!$B$2:$E$322,4,FALSE)</f>
        <v>77</v>
      </c>
      <c r="B312" t="str">
        <f t="shared" si="31"/>
        <v>83Самородов</v>
      </c>
      <c r="C312" s="4">
        <v>83</v>
      </c>
      <c r="D312" s="3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18">
        <f t="shared" ref="L312:L326" si="37">I312-J312-K312</f>
        <v>33000</v>
      </c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18">
        <f t="shared" ref="Y312:Y326" si="38">V312-W312-X312</f>
        <v>0</v>
      </c>
    </row>
    <row r="313" spans="1:25" ht="25.5" customHeight="1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3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18">
        <f t="shared" si="37"/>
        <v>31000</v>
      </c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18">
        <f t="shared" si="38"/>
        <v>0</v>
      </c>
    </row>
    <row r="314" spans="1:25" ht="25.5" customHeight="1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18">
        <f t="shared" si="37"/>
        <v>6000</v>
      </c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18">
        <f t="shared" si="38"/>
        <v>0</v>
      </c>
    </row>
    <row r="315" spans="1: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3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18">
        <f t="shared" si="37"/>
        <v>5000</v>
      </c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18">
        <f t="shared" si="38"/>
        <v>0</v>
      </c>
    </row>
    <row r="316" spans="1: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18">
        <f t="shared" si="37"/>
        <v>4000</v>
      </c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18">
        <f t="shared" si="38"/>
        <v>0</v>
      </c>
    </row>
    <row r="317" spans="1: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3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18">
        <f t="shared" si="37"/>
        <v>15000</v>
      </c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18">
        <f t="shared" si="38"/>
        <v>0</v>
      </c>
    </row>
    <row r="318" spans="1:25" ht="25.5" customHeight="1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3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18">
        <f t="shared" si="37"/>
        <v>3000</v>
      </c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18">
        <f t="shared" si="38"/>
        <v>0</v>
      </c>
    </row>
    <row r="319" spans="1: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3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18">
        <f t="shared" si="37"/>
        <v>11000</v>
      </c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18">
        <f t="shared" si="38"/>
        <v>0</v>
      </c>
    </row>
    <row r="320" spans="1: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18">
        <f t="shared" si="37"/>
        <v>4000</v>
      </c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18">
        <f t="shared" si="38"/>
        <v>0</v>
      </c>
    </row>
    <row r="321" spans="1: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18">
        <f t="shared" si="37"/>
        <v>-1000</v>
      </c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18">
        <f t="shared" si="38"/>
        <v>0</v>
      </c>
    </row>
    <row r="322" spans="1: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18">
        <f t="shared" si="37"/>
        <v>0</v>
      </c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18">
        <f t="shared" si="38"/>
        <v>0</v>
      </c>
    </row>
    <row r="323" spans="1: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18">
        <f t="shared" si="37"/>
        <v>-4000</v>
      </c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18">
        <f t="shared" si="38"/>
        <v>0</v>
      </c>
    </row>
    <row r="324" spans="1: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3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18">
        <f t="shared" si="37"/>
        <v>22000</v>
      </c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18">
        <f t="shared" si="38"/>
        <v>0</v>
      </c>
    </row>
    <row r="325" spans="1: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18">
        <f t="shared" si="37"/>
        <v>5000</v>
      </c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18">
        <f t="shared" si="38"/>
        <v>0</v>
      </c>
    </row>
    <row r="326" spans="1:25">
      <c r="A326" s="41">
        <f>VLOOKUP(B326,справочник!$B$2:$E$322,4,FALSE)</f>
        <v>40</v>
      </c>
      <c r="B326" t="str">
        <f t="shared" ref="B326:B327" si="39">CONCATENATE(C326,D326)</f>
        <v>40Яшин Евгений Иванович</v>
      </c>
      <c r="C326" s="1">
        <v>40</v>
      </c>
      <c r="D326" s="3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18">
        <f t="shared" si="37"/>
        <v>15000</v>
      </c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18">
        <f t="shared" si="38"/>
        <v>0</v>
      </c>
    </row>
    <row r="327" spans="1:25">
      <c r="A327" s="41" t="e">
        <f>VLOOKUP(B327,справочник!$B$2:$E$322,4,FALSE)</f>
        <v>#N/A</v>
      </c>
      <c r="B327" t="str">
        <f t="shared" si="39"/>
        <v/>
      </c>
      <c r="H327" s="26">
        <v>42369</v>
      </c>
    </row>
  </sheetData>
  <autoFilter ref="A4:Y4"/>
  <mergeCells count="4">
    <mergeCell ref="C3:C4"/>
    <mergeCell ref="D3:D4"/>
    <mergeCell ref="E3:E4"/>
    <mergeCell ref="H3:L3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I336"/>
  <sheetViews>
    <sheetView topLeftCell="W1" workbookViewId="0">
      <selection activeCell="AG8" sqref="AG8"/>
    </sheetView>
  </sheetViews>
  <sheetFormatPr defaultRowHeight="15"/>
  <cols>
    <col min="1" max="1" width="20" style="41" customWidth="1"/>
    <col min="2" max="2" width="37.42578125" customWidth="1"/>
    <col min="3" max="3" width="20" customWidth="1"/>
    <col min="4" max="4" width="28.140625" customWidth="1"/>
    <col min="5" max="5" width="20" style="41" customWidth="1"/>
    <col min="22" max="22" width="77.28515625" customWidth="1"/>
    <col min="23" max="23" width="36.7109375" bestFit="1" customWidth="1"/>
    <col min="29" max="29" width="34.5703125" bestFit="1" customWidth="1"/>
    <col min="32" max="32" width="35.5703125" customWidth="1"/>
    <col min="33" max="33" width="52.140625" customWidth="1"/>
    <col min="34" max="34" width="24.28515625" bestFit="1" customWidth="1"/>
    <col min="35" max="35" width="13.85546875" customWidth="1"/>
  </cols>
  <sheetData>
    <row r="1" spans="1:35">
      <c r="A1" s="42" t="s">
        <v>617</v>
      </c>
      <c r="B1" s="42" t="s">
        <v>621</v>
      </c>
      <c r="C1" s="42" t="s">
        <v>0</v>
      </c>
      <c r="D1" s="43" t="s">
        <v>1</v>
      </c>
      <c r="E1" s="42" t="s">
        <v>617</v>
      </c>
      <c r="F1" s="52" t="s">
        <v>623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V1" s="44" t="s">
        <v>618</v>
      </c>
      <c r="W1" t="s">
        <v>620</v>
      </c>
    </row>
    <row r="2" spans="1:35" s="45" customFormat="1">
      <c r="A2" s="1">
        <v>79</v>
      </c>
      <c r="B2" s="46" t="str">
        <f t="shared" ref="B2:B65" si="0">CONCATENATE(C2,D2)</f>
        <v>84Абу Махади Мохаммед Ибрагим</v>
      </c>
      <c r="C2" s="46">
        <v>84</v>
      </c>
      <c r="D2" s="46" t="s">
        <v>2</v>
      </c>
      <c r="E2" s="1">
        <v>79</v>
      </c>
      <c r="F2" s="45">
        <f>IF(VLOOKUP(D2,$V$2:$W$299,2,FALSE)&lt;&gt;1,1,0)</f>
        <v>0</v>
      </c>
      <c r="V2" s="45" t="s">
        <v>84</v>
      </c>
      <c r="W2" s="47">
        <v>3</v>
      </c>
      <c r="AA2" s="70">
        <v>1</v>
      </c>
      <c r="AB2" s="70">
        <v>6</v>
      </c>
      <c r="AC2" s="71" t="s">
        <v>90</v>
      </c>
      <c r="AE2" s="45">
        <v>1</v>
      </c>
      <c r="AF2" s="71" t="s">
        <v>90</v>
      </c>
      <c r="AG2" s="71" t="s">
        <v>90</v>
      </c>
      <c r="AH2" s="45" t="str">
        <f>VLOOKUP(AF2,$AI$2:$AI$11,1,FALSE)</f>
        <v>Жохова Елена Сергеевна</v>
      </c>
      <c r="AI2" t="s">
        <v>148</v>
      </c>
    </row>
    <row r="3" spans="1:35" s="45" customFormat="1">
      <c r="A3" s="1">
        <v>35</v>
      </c>
      <c r="B3" s="46" t="str">
        <f t="shared" si="0"/>
        <v>35Абушаев Роман Шамильевич</v>
      </c>
      <c r="C3" s="46">
        <v>35</v>
      </c>
      <c r="D3" s="46" t="s">
        <v>3</v>
      </c>
      <c r="E3" s="1">
        <v>35</v>
      </c>
      <c r="F3" s="45">
        <f t="shared" ref="F3:F66" si="1">IF(VLOOKUP(D3,$V$2:$W$299,2,FALSE)&lt;&gt;1,1,0)</f>
        <v>0</v>
      </c>
      <c r="V3" s="45" t="s">
        <v>273</v>
      </c>
      <c r="W3" s="47">
        <v>3</v>
      </c>
      <c r="AA3" s="70">
        <v>2</v>
      </c>
      <c r="AB3" s="70">
        <v>6</v>
      </c>
      <c r="AC3" s="71" t="s">
        <v>90</v>
      </c>
      <c r="AE3" s="45">
        <v>2</v>
      </c>
      <c r="AF3" s="71" t="s">
        <v>642</v>
      </c>
      <c r="AG3" s="81" t="s">
        <v>262</v>
      </c>
      <c r="AH3" s="45" t="e">
        <f t="shared" ref="AH3:AH16" si="2">VLOOKUP(AF3,$AI$2:$AI$11,1,FALSE)</f>
        <v>#N/A</v>
      </c>
      <c r="AI3" t="s">
        <v>2</v>
      </c>
    </row>
    <row r="4" spans="1:35" s="45" customFormat="1">
      <c r="A4" s="1">
        <v>260</v>
      </c>
      <c r="B4" s="46" t="str">
        <f t="shared" si="0"/>
        <v>273Аксенов Дмитрий Викторович</v>
      </c>
      <c r="C4" s="46">
        <v>273</v>
      </c>
      <c r="D4" s="46" t="s">
        <v>4</v>
      </c>
      <c r="E4" s="1">
        <v>260</v>
      </c>
      <c r="F4" s="45">
        <f t="shared" si="1"/>
        <v>0</v>
      </c>
      <c r="V4" s="45" t="s">
        <v>285</v>
      </c>
      <c r="W4" s="47">
        <v>3</v>
      </c>
      <c r="AA4" s="70">
        <v>3</v>
      </c>
      <c r="AB4" s="70">
        <v>6</v>
      </c>
      <c r="AC4" s="71" t="s">
        <v>90</v>
      </c>
      <c r="AE4" s="45">
        <v>3</v>
      </c>
      <c r="AF4" s="71" t="s">
        <v>181</v>
      </c>
      <c r="AG4" s="71" t="s">
        <v>181</v>
      </c>
      <c r="AH4" s="45" t="str">
        <f t="shared" si="2"/>
        <v>Нелюбов Сергей Владимирович</v>
      </c>
      <c r="AI4" t="s">
        <v>181</v>
      </c>
    </row>
    <row r="5" spans="1:35" s="45" customFormat="1" ht="25.5">
      <c r="A5" s="1">
        <v>203</v>
      </c>
      <c r="B5" s="46" t="str">
        <f t="shared" si="0"/>
        <v>213Александров Владимир Александрович</v>
      </c>
      <c r="C5" s="46">
        <v>213</v>
      </c>
      <c r="D5" s="46" t="s">
        <v>5</v>
      </c>
      <c r="E5" s="1">
        <v>203</v>
      </c>
      <c r="F5" s="45">
        <f t="shared" si="1"/>
        <v>0</v>
      </c>
      <c r="V5" s="45" t="s">
        <v>150</v>
      </c>
      <c r="W5" s="47">
        <v>3</v>
      </c>
      <c r="AA5" s="70">
        <v>4</v>
      </c>
      <c r="AB5" s="70">
        <v>6</v>
      </c>
      <c r="AC5" s="71" t="s">
        <v>90</v>
      </c>
      <c r="AE5" s="45">
        <v>4</v>
      </c>
      <c r="AF5" s="71" t="s">
        <v>2</v>
      </c>
      <c r="AG5" s="71" t="s">
        <v>2</v>
      </c>
      <c r="AH5" s="45" t="str">
        <f t="shared" si="2"/>
        <v>Абу Махади Мохаммед Ибрагим</v>
      </c>
      <c r="AI5" t="s">
        <v>90</v>
      </c>
    </row>
    <row r="6" spans="1:35" s="45" customFormat="1">
      <c r="A6" s="1">
        <v>316</v>
      </c>
      <c r="B6" s="46" t="str">
        <f t="shared" si="0"/>
        <v>306-307Алексеев Андрей Олегович</v>
      </c>
      <c r="C6" s="46" t="s">
        <v>6</v>
      </c>
      <c r="D6" s="46" t="s">
        <v>7</v>
      </c>
      <c r="E6" s="1">
        <v>316</v>
      </c>
      <c r="F6" s="45">
        <f t="shared" si="1"/>
        <v>0</v>
      </c>
      <c r="V6" s="45" t="s">
        <v>261</v>
      </c>
      <c r="W6" s="47">
        <v>2</v>
      </c>
      <c r="AA6" s="70">
        <v>5</v>
      </c>
      <c r="AB6" s="70">
        <v>6</v>
      </c>
      <c r="AC6" s="71" t="s">
        <v>90</v>
      </c>
      <c r="AE6" s="45">
        <v>5</v>
      </c>
      <c r="AF6" s="71" t="s">
        <v>645</v>
      </c>
      <c r="AG6" s="81" t="s">
        <v>91</v>
      </c>
      <c r="AH6" s="45" t="e">
        <f t="shared" si="2"/>
        <v>#N/A</v>
      </c>
      <c r="AI6" t="s">
        <v>13</v>
      </c>
    </row>
    <row r="7" spans="1:35" s="45" customFormat="1">
      <c r="A7" s="1">
        <v>232</v>
      </c>
      <c r="B7" s="46" t="str">
        <f t="shared" si="0"/>
        <v xml:space="preserve">241Амплеева Мария Александровна </v>
      </c>
      <c r="C7" s="46">
        <v>241</v>
      </c>
      <c r="D7" s="46" t="s">
        <v>8</v>
      </c>
      <c r="E7" s="1">
        <v>232</v>
      </c>
      <c r="F7" s="45">
        <f t="shared" si="1"/>
        <v>0</v>
      </c>
      <c r="V7" s="45" t="s">
        <v>155</v>
      </c>
      <c r="W7" s="47">
        <v>2</v>
      </c>
      <c r="AA7" s="70">
        <v>6</v>
      </c>
      <c r="AB7" s="70">
        <v>6</v>
      </c>
      <c r="AC7" s="71" t="s">
        <v>90</v>
      </c>
      <c r="AE7" s="45">
        <v>6</v>
      </c>
      <c r="AF7" s="71" t="s">
        <v>641</v>
      </c>
      <c r="AG7" s="81" t="s">
        <v>239</v>
      </c>
      <c r="AH7" s="45" t="e">
        <f t="shared" si="2"/>
        <v>#N/A</v>
      </c>
      <c r="AI7" t="s">
        <v>247</v>
      </c>
    </row>
    <row r="8" spans="1:35" s="45" customFormat="1" ht="25.5">
      <c r="A8" s="1">
        <v>277</v>
      </c>
      <c r="B8" s="46" t="str">
        <f t="shared" si="0"/>
        <v>290Андреева Любовь Ивановна(у Севастьянова)</v>
      </c>
      <c r="C8" s="46">
        <v>290</v>
      </c>
      <c r="D8" s="46" t="s">
        <v>9</v>
      </c>
      <c r="E8" s="1">
        <v>277</v>
      </c>
      <c r="F8" s="45">
        <f t="shared" si="1"/>
        <v>0</v>
      </c>
      <c r="V8" s="45" t="s">
        <v>247</v>
      </c>
      <c r="W8" s="47">
        <v>2</v>
      </c>
      <c r="AA8" s="70">
        <v>7</v>
      </c>
      <c r="AB8" s="70">
        <v>6</v>
      </c>
      <c r="AC8" s="71" t="s">
        <v>90</v>
      </c>
      <c r="AE8" s="45">
        <v>7</v>
      </c>
      <c r="AF8" s="71" t="s">
        <v>13</v>
      </c>
      <c r="AG8" s="71" t="s">
        <v>13</v>
      </c>
      <c r="AH8" s="45" t="str">
        <f t="shared" si="2"/>
        <v>Анциферов Алексей Сергеевич</v>
      </c>
      <c r="AI8" t="s">
        <v>109</v>
      </c>
    </row>
    <row r="9" spans="1:35" s="45" customFormat="1" ht="25.5">
      <c r="A9" s="1">
        <v>221</v>
      </c>
      <c r="B9" s="46" t="str">
        <f t="shared" si="0"/>
        <v>230Анисимова (Корнеева) Татьяна Николаевна</v>
      </c>
      <c r="C9" s="46">
        <v>230</v>
      </c>
      <c r="D9" s="46" t="s">
        <v>10</v>
      </c>
      <c r="E9" s="1">
        <v>221</v>
      </c>
      <c r="F9" s="45">
        <f t="shared" si="1"/>
        <v>0</v>
      </c>
      <c r="V9" s="45" t="s">
        <v>292</v>
      </c>
      <c r="W9" s="47">
        <v>2</v>
      </c>
      <c r="AA9" s="70">
        <v>8</v>
      </c>
      <c r="AB9" s="70">
        <v>6</v>
      </c>
      <c r="AC9" s="71" t="s">
        <v>90</v>
      </c>
      <c r="AE9" s="45">
        <v>8</v>
      </c>
      <c r="AF9" s="71" t="s">
        <v>247</v>
      </c>
      <c r="AG9" s="71" t="s">
        <v>247</v>
      </c>
      <c r="AH9" s="45" t="str">
        <f t="shared" si="2"/>
        <v>Спиридонов Андрей Владимирович</v>
      </c>
      <c r="AI9" t="s">
        <v>37</v>
      </c>
    </row>
    <row r="10" spans="1:35" s="45" customFormat="1">
      <c r="A10" s="1">
        <v>259</v>
      </c>
      <c r="B10" s="46" t="str">
        <f t="shared" si="0"/>
        <v>272Анисимова Елена Анатольевна</v>
      </c>
      <c r="C10" s="46">
        <v>272</v>
      </c>
      <c r="D10" s="46" t="s">
        <v>11</v>
      </c>
      <c r="E10" s="1">
        <v>259</v>
      </c>
      <c r="F10" s="45">
        <f t="shared" si="1"/>
        <v>0</v>
      </c>
      <c r="V10" s="45" t="s">
        <v>87</v>
      </c>
      <c r="W10" s="47">
        <v>2</v>
      </c>
      <c r="AA10" s="70">
        <v>9</v>
      </c>
      <c r="AB10" s="70">
        <v>6</v>
      </c>
      <c r="AC10" s="71" t="s">
        <v>90</v>
      </c>
      <c r="AE10" s="45">
        <v>9</v>
      </c>
      <c r="AF10" s="71" t="s">
        <v>37</v>
      </c>
      <c r="AG10" s="71" t="s">
        <v>37</v>
      </c>
      <c r="AH10" s="45" t="str">
        <f t="shared" si="2"/>
        <v>Борисов Олег Александрович</v>
      </c>
      <c r="AI10" t="s">
        <v>146</v>
      </c>
    </row>
    <row r="11" spans="1:35" s="45" customFormat="1">
      <c r="A11" s="1">
        <v>109</v>
      </c>
      <c r="B11" s="46" t="str">
        <f t="shared" si="0"/>
        <v>114Антипова Жанна Михайловна</v>
      </c>
      <c r="C11" s="46">
        <v>114</v>
      </c>
      <c r="D11" s="46" t="s">
        <v>12</v>
      </c>
      <c r="E11" s="1">
        <v>109</v>
      </c>
      <c r="F11" s="45">
        <f t="shared" si="1"/>
        <v>0</v>
      </c>
      <c r="V11" s="45" t="s">
        <v>166</v>
      </c>
      <c r="W11" s="47">
        <v>2</v>
      </c>
      <c r="AA11" s="70">
        <v>10</v>
      </c>
      <c r="AB11" s="70">
        <v>6</v>
      </c>
      <c r="AC11" s="71" t="s">
        <v>90</v>
      </c>
      <c r="AE11" s="45">
        <v>10</v>
      </c>
      <c r="AF11" s="71" t="s">
        <v>109</v>
      </c>
      <c r="AG11" s="71" t="s">
        <v>109</v>
      </c>
      <c r="AH11" s="45" t="str">
        <f t="shared" si="2"/>
        <v>Карпова Елена Витальевна</v>
      </c>
      <c r="AI11" t="s">
        <v>103</v>
      </c>
    </row>
    <row r="12" spans="1:35" s="45" customFormat="1">
      <c r="A12" s="1">
        <v>130</v>
      </c>
      <c r="B12" s="46" t="str">
        <f t="shared" si="0"/>
        <v>137Анциферов Алексей Сергеевич</v>
      </c>
      <c r="C12" s="46">
        <v>137</v>
      </c>
      <c r="D12" s="46" t="s">
        <v>13</v>
      </c>
      <c r="E12" s="1">
        <v>130</v>
      </c>
      <c r="F12" s="45">
        <f t="shared" si="1"/>
        <v>0</v>
      </c>
      <c r="V12" s="45" t="s">
        <v>42</v>
      </c>
      <c r="W12" s="47">
        <v>2</v>
      </c>
      <c r="AA12" s="70">
        <v>11</v>
      </c>
      <c r="AB12" s="70">
        <v>6</v>
      </c>
      <c r="AC12" s="71" t="s">
        <v>90</v>
      </c>
      <c r="AE12" s="45">
        <v>11</v>
      </c>
      <c r="AF12" s="71" t="s">
        <v>644</v>
      </c>
      <c r="AG12" s="81" t="s">
        <v>84</v>
      </c>
      <c r="AH12" s="45" t="e">
        <f t="shared" si="2"/>
        <v>#N/A</v>
      </c>
    </row>
    <row r="13" spans="1:35" s="45" customFormat="1">
      <c r="A13" s="1">
        <v>7</v>
      </c>
      <c r="B13" s="46" t="str">
        <f t="shared" si="0"/>
        <v>14Артемьев Сергей Иванович</v>
      </c>
      <c r="C13" s="46">
        <v>14</v>
      </c>
      <c r="D13" s="46" t="s">
        <v>14</v>
      </c>
      <c r="E13" s="1">
        <v>7</v>
      </c>
      <c r="F13" s="45">
        <f t="shared" si="1"/>
        <v>1</v>
      </c>
      <c r="V13" s="45" t="s">
        <v>14</v>
      </c>
      <c r="W13" s="47">
        <v>2</v>
      </c>
      <c r="AA13" s="70">
        <v>12</v>
      </c>
      <c r="AB13" s="70">
        <v>6</v>
      </c>
      <c r="AC13" s="71" t="s">
        <v>90</v>
      </c>
      <c r="AE13" s="45">
        <v>12</v>
      </c>
      <c r="AF13" s="71" t="s">
        <v>146</v>
      </c>
      <c r="AG13" s="71" t="s">
        <v>146</v>
      </c>
      <c r="AH13" s="45" t="str">
        <f t="shared" si="2"/>
        <v>Лапшин Сергей Николаевич</v>
      </c>
    </row>
    <row r="14" spans="1:35" s="45" customFormat="1">
      <c r="A14" s="1">
        <v>7</v>
      </c>
      <c r="B14" s="46" t="str">
        <f t="shared" si="0"/>
        <v>7Артемьев Сергей Иванович</v>
      </c>
      <c r="C14" s="46">
        <v>7</v>
      </c>
      <c r="D14" s="46" t="s">
        <v>14</v>
      </c>
      <c r="E14" s="1">
        <v>7</v>
      </c>
      <c r="F14" s="45">
        <f t="shared" si="1"/>
        <v>1</v>
      </c>
      <c r="V14" s="45" t="s">
        <v>35</v>
      </c>
      <c r="W14" s="47">
        <v>2</v>
      </c>
      <c r="AA14" s="70">
        <v>13</v>
      </c>
      <c r="AB14" s="70">
        <v>6</v>
      </c>
      <c r="AC14" s="71" t="s">
        <v>90</v>
      </c>
      <c r="AE14" s="45">
        <v>13</v>
      </c>
      <c r="AF14" s="71" t="s">
        <v>643</v>
      </c>
      <c r="AG14" s="81" t="s">
        <v>180</v>
      </c>
      <c r="AH14" s="45" t="e">
        <f t="shared" si="2"/>
        <v>#N/A</v>
      </c>
    </row>
    <row r="15" spans="1:35" s="45" customFormat="1" ht="25.5">
      <c r="A15" s="1">
        <v>193</v>
      </c>
      <c r="B15" s="46" t="str">
        <f t="shared" si="0"/>
        <v>201Асташкин Павел Александрович(продал???)</v>
      </c>
      <c r="C15" s="46">
        <v>201</v>
      </c>
      <c r="D15" s="46" t="s">
        <v>15</v>
      </c>
      <c r="E15" s="1">
        <v>193</v>
      </c>
      <c r="F15" s="45">
        <f t="shared" si="1"/>
        <v>0</v>
      </c>
      <c r="V15" s="45" t="s">
        <v>93</v>
      </c>
      <c r="W15" s="47">
        <v>2</v>
      </c>
      <c r="AA15" s="70">
        <v>14</v>
      </c>
      <c r="AB15" s="70">
        <v>6</v>
      </c>
      <c r="AC15" s="71" t="s">
        <v>90</v>
      </c>
      <c r="AE15" s="45">
        <v>14</v>
      </c>
      <c r="AF15" s="71" t="s">
        <v>103</v>
      </c>
      <c r="AG15" s="71" t="s">
        <v>103</v>
      </c>
      <c r="AH15" s="45" t="str">
        <f t="shared" si="2"/>
        <v>Измайлов Михаил Михайлович</v>
      </c>
    </row>
    <row r="16" spans="1:35" s="45" customFormat="1">
      <c r="A16" s="1">
        <v>178</v>
      </c>
      <c r="B16" s="46" t="str">
        <f t="shared" si="0"/>
        <v>186Афанасьева Злата Сергеевна</v>
      </c>
      <c r="C16" s="46">
        <v>186</v>
      </c>
      <c r="D16" s="46" t="s">
        <v>16</v>
      </c>
      <c r="E16" s="1">
        <v>178</v>
      </c>
      <c r="F16" s="45">
        <f t="shared" si="1"/>
        <v>0</v>
      </c>
      <c r="V16" s="45" t="s">
        <v>143</v>
      </c>
      <c r="W16" s="47">
        <v>2</v>
      </c>
      <c r="AA16" s="70">
        <v>15</v>
      </c>
      <c r="AB16" s="70">
        <v>6</v>
      </c>
      <c r="AC16" s="71" t="s">
        <v>90</v>
      </c>
      <c r="AE16" s="45">
        <v>15</v>
      </c>
      <c r="AF16" s="71" t="s">
        <v>148</v>
      </c>
      <c r="AG16" s="71" t="s">
        <v>148</v>
      </c>
      <c r="AH16" s="45" t="str">
        <f t="shared" si="2"/>
        <v>Лебедев Андрей Анатольевич</v>
      </c>
    </row>
    <row r="17" spans="1:33" s="45" customFormat="1">
      <c r="A17" s="1">
        <v>119</v>
      </c>
      <c r="B17" s="46" t="str">
        <f t="shared" si="0"/>
        <v>124Афян Сасун Аркадиевич</v>
      </c>
      <c r="C17" s="46">
        <v>124</v>
      </c>
      <c r="D17" s="46" t="s">
        <v>17</v>
      </c>
      <c r="E17" s="1">
        <v>119</v>
      </c>
      <c r="F17" s="45">
        <f t="shared" si="1"/>
        <v>0</v>
      </c>
      <c r="V17" s="45" t="s">
        <v>151</v>
      </c>
      <c r="W17" s="47">
        <v>2</v>
      </c>
      <c r="AA17" s="70">
        <v>16</v>
      </c>
      <c r="AB17" s="70">
        <v>6</v>
      </c>
      <c r="AC17" s="71" t="s">
        <v>90</v>
      </c>
      <c r="AF17"/>
      <c r="AG17"/>
    </row>
    <row r="18" spans="1:33" s="45" customFormat="1" ht="25.5">
      <c r="A18" s="1">
        <v>293</v>
      </c>
      <c r="B18" s="46" t="str">
        <f t="shared" si="0"/>
        <v>308Ахромеев Андрей Владимирович</v>
      </c>
      <c r="C18" s="46">
        <v>308</v>
      </c>
      <c r="D18" s="46" t="s">
        <v>18</v>
      </c>
      <c r="E18" s="1">
        <v>293</v>
      </c>
      <c r="F18" s="45">
        <f t="shared" si="1"/>
        <v>0</v>
      </c>
      <c r="V18" s="45" t="s">
        <v>123</v>
      </c>
      <c r="W18" s="47">
        <v>2</v>
      </c>
      <c r="AA18" s="70">
        <v>17</v>
      </c>
      <c r="AB18" s="70">
        <v>6</v>
      </c>
      <c r="AC18" s="71" t="s">
        <v>90</v>
      </c>
      <c r="AF18"/>
      <c r="AG18"/>
    </row>
    <row r="19" spans="1:33" s="45" customFormat="1">
      <c r="A19" s="1">
        <v>191</v>
      </c>
      <c r="B19" s="46" t="str">
        <f t="shared" si="0"/>
        <v>199Бадирьян Тамара Викторовна</v>
      </c>
      <c r="C19" s="46">
        <v>199</v>
      </c>
      <c r="D19" s="46" t="s">
        <v>19</v>
      </c>
      <c r="E19" s="1">
        <v>191</v>
      </c>
      <c r="F19" s="45">
        <f t="shared" si="1"/>
        <v>0</v>
      </c>
      <c r="V19" s="45" t="s">
        <v>41</v>
      </c>
      <c r="W19" s="47">
        <v>2</v>
      </c>
      <c r="AA19" s="70">
        <v>18</v>
      </c>
      <c r="AB19" s="70">
        <v>6</v>
      </c>
      <c r="AC19" s="71" t="s">
        <v>90</v>
      </c>
      <c r="AF19"/>
      <c r="AG19"/>
    </row>
    <row r="20" spans="1:33" s="45" customFormat="1" ht="25.5">
      <c r="A20" s="1">
        <v>249</v>
      </c>
      <c r="B20" s="46" t="str">
        <f t="shared" si="0"/>
        <v>260Байбикова Рузалия Равилевна / Байбикова Руфия Равилевна</v>
      </c>
      <c r="C20" s="46">
        <v>260</v>
      </c>
      <c r="D20" s="46" t="s">
        <v>20</v>
      </c>
      <c r="E20" s="1">
        <v>249</v>
      </c>
      <c r="F20" s="45">
        <f t="shared" si="1"/>
        <v>0</v>
      </c>
      <c r="V20" s="45" t="s">
        <v>218</v>
      </c>
      <c r="W20" s="47">
        <v>2</v>
      </c>
      <c r="AA20" s="70">
        <v>19</v>
      </c>
      <c r="AB20" s="70">
        <v>6</v>
      </c>
      <c r="AC20" s="71" t="s">
        <v>90</v>
      </c>
      <c r="AF20"/>
      <c r="AG20"/>
    </row>
    <row r="21" spans="1:33" s="45" customFormat="1" ht="25.5">
      <c r="A21" s="1">
        <v>125</v>
      </c>
      <c r="B21" s="46" t="str">
        <f t="shared" si="0"/>
        <v>130Безбородова Людмила Михайловна</v>
      </c>
      <c r="C21" s="46">
        <v>130</v>
      </c>
      <c r="D21" s="46" t="s">
        <v>22</v>
      </c>
      <c r="E21" s="1">
        <v>125</v>
      </c>
      <c r="F21" s="45">
        <f t="shared" si="1"/>
        <v>0</v>
      </c>
      <c r="V21" s="45" t="s">
        <v>179</v>
      </c>
      <c r="W21" s="47">
        <v>2</v>
      </c>
      <c r="AA21" s="70">
        <v>20</v>
      </c>
      <c r="AB21" s="70">
        <v>6</v>
      </c>
      <c r="AC21" s="71" t="s">
        <v>90</v>
      </c>
      <c r="AF21"/>
      <c r="AG21"/>
    </row>
    <row r="22" spans="1:33" s="45" customFormat="1">
      <c r="A22" s="1">
        <v>229</v>
      </c>
      <c r="B22" s="46" t="str">
        <f t="shared" si="0"/>
        <v>238Безменова Татьяна Игоревна</v>
      </c>
      <c r="C22" s="46">
        <v>238</v>
      </c>
      <c r="D22" s="46" t="s">
        <v>23</v>
      </c>
      <c r="E22" s="1">
        <v>229</v>
      </c>
      <c r="F22" s="45">
        <f t="shared" si="1"/>
        <v>0</v>
      </c>
      <c r="V22" s="45" t="s">
        <v>43</v>
      </c>
      <c r="W22" s="47">
        <v>2</v>
      </c>
      <c r="AA22" s="70">
        <v>21</v>
      </c>
      <c r="AB22" s="70">
        <v>6</v>
      </c>
      <c r="AC22" s="71" t="s">
        <v>90</v>
      </c>
      <c r="AF22"/>
      <c r="AG22"/>
    </row>
    <row r="23" spans="1:33" s="45" customFormat="1">
      <c r="A23" s="1">
        <v>296</v>
      </c>
      <c r="B23" s="46" t="str">
        <f t="shared" si="0"/>
        <v>311Бекмансурова Динара Василевна</v>
      </c>
      <c r="C23" s="46">
        <v>311</v>
      </c>
      <c r="D23" s="46" t="s">
        <v>24</v>
      </c>
      <c r="E23" s="1">
        <v>296</v>
      </c>
      <c r="F23" s="45">
        <f t="shared" si="1"/>
        <v>0</v>
      </c>
      <c r="V23" s="45" t="s">
        <v>217</v>
      </c>
      <c r="W23" s="47">
        <v>2</v>
      </c>
      <c r="AA23" s="70">
        <v>22</v>
      </c>
      <c r="AB23" s="70">
        <v>6</v>
      </c>
      <c r="AC23" s="71" t="s">
        <v>90</v>
      </c>
      <c r="AF23"/>
      <c r="AG23"/>
    </row>
    <row r="24" spans="1:33" s="45" customFormat="1">
      <c r="A24" s="1">
        <v>281</v>
      </c>
      <c r="B24" s="46" t="str">
        <f t="shared" si="0"/>
        <v xml:space="preserve">293Белов Семён Иванович          </v>
      </c>
      <c r="C24" s="46">
        <v>293</v>
      </c>
      <c r="D24" s="46" t="s">
        <v>25</v>
      </c>
      <c r="E24" s="1">
        <v>281</v>
      </c>
      <c r="F24" s="45">
        <f t="shared" si="1"/>
        <v>0</v>
      </c>
      <c r="V24" s="45" t="s">
        <v>235</v>
      </c>
      <c r="W24" s="47">
        <v>1</v>
      </c>
      <c r="AA24" s="70">
        <v>23</v>
      </c>
      <c r="AB24" s="70">
        <v>6</v>
      </c>
      <c r="AC24" s="71" t="s">
        <v>90</v>
      </c>
      <c r="AF24"/>
      <c r="AG24"/>
    </row>
    <row r="25" spans="1:33" s="45" customFormat="1">
      <c r="A25" s="1">
        <v>198</v>
      </c>
      <c r="B25" s="46" t="str">
        <f t="shared" si="0"/>
        <v>206Белоглазова Людмила Ивановна</v>
      </c>
      <c r="C25" s="46">
        <v>206</v>
      </c>
      <c r="D25" s="46" t="s">
        <v>26</v>
      </c>
      <c r="E25" s="1">
        <v>198</v>
      </c>
      <c r="F25" s="45">
        <f t="shared" si="1"/>
        <v>0</v>
      </c>
      <c r="V25" s="45" t="s">
        <v>112</v>
      </c>
      <c r="W25" s="47">
        <v>1</v>
      </c>
      <c r="AA25" s="70">
        <v>24</v>
      </c>
      <c r="AB25" s="70">
        <v>6</v>
      </c>
      <c r="AC25" s="71" t="s">
        <v>90</v>
      </c>
      <c r="AF25"/>
      <c r="AG25"/>
    </row>
    <row r="26" spans="1:33" s="45" customFormat="1" ht="25.5">
      <c r="A26" s="1">
        <v>52</v>
      </c>
      <c r="B26" s="46" t="str">
        <f t="shared" si="0"/>
        <v>54Бельская Светлана Александровна (Владимир)</v>
      </c>
      <c r="C26" s="46">
        <v>54</v>
      </c>
      <c r="D26" s="46" t="s">
        <v>27</v>
      </c>
      <c r="E26" s="1">
        <v>52</v>
      </c>
      <c r="F26" s="45">
        <f t="shared" si="1"/>
        <v>0</v>
      </c>
      <c r="V26" s="45" t="s">
        <v>102</v>
      </c>
      <c r="W26" s="47">
        <v>1</v>
      </c>
      <c r="AA26" s="70">
        <v>25</v>
      </c>
      <c r="AB26" s="70">
        <v>6</v>
      </c>
      <c r="AC26" s="71" t="s">
        <v>90</v>
      </c>
      <c r="AF26"/>
      <c r="AG26"/>
    </row>
    <row r="27" spans="1:33" s="45" customFormat="1" ht="25.5">
      <c r="A27" s="1">
        <v>51</v>
      </c>
      <c r="B27" s="46" t="str">
        <f t="shared" si="0"/>
        <v>53Бельский Владимир Владимирович (Светлана)</v>
      </c>
      <c r="C27" s="46">
        <v>53</v>
      </c>
      <c r="D27" s="46" t="s">
        <v>28</v>
      </c>
      <c r="E27" s="1">
        <v>51</v>
      </c>
      <c r="F27" s="45">
        <f t="shared" si="1"/>
        <v>0</v>
      </c>
      <c r="V27" s="45" t="s">
        <v>95</v>
      </c>
      <c r="W27" s="47">
        <v>1</v>
      </c>
      <c r="AA27" s="70">
        <v>26</v>
      </c>
      <c r="AB27" s="70">
        <v>6</v>
      </c>
      <c r="AC27" s="71" t="s">
        <v>90</v>
      </c>
      <c r="AF27"/>
      <c r="AG27"/>
    </row>
    <row r="28" spans="1:33" s="45" customFormat="1">
      <c r="A28" s="1">
        <v>136</v>
      </c>
      <c r="B28" s="46" t="str">
        <f t="shared" si="0"/>
        <v>144Беляков Виктор Михайлович</v>
      </c>
      <c r="C28" s="46">
        <v>144</v>
      </c>
      <c r="D28" s="46" t="s">
        <v>29</v>
      </c>
      <c r="E28" s="1">
        <v>136</v>
      </c>
      <c r="F28" s="45">
        <f t="shared" si="1"/>
        <v>0</v>
      </c>
      <c r="V28" s="45" t="s">
        <v>254</v>
      </c>
      <c r="W28" s="47">
        <v>1</v>
      </c>
      <c r="AA28" s="70">
        <v>27</v>
      </c>
      <c r="AB28" s="70">
        <v>6</v>
      </c>
      <c r="AC28" s="71" t="s">
        <v>90</v>
      </c>
      <c r="AF28"/>
      <c r="AG28"/>
    </row>
    <row r="29" spans="1:33" s="45" customFormat="1" ht="25.5">
      <c r="A29" s="1">
        <v>11</v>
      </c>
      <c r="B29" s="46" t="str">
        <f t="shared" si="0"/>
        <v>11Бенгя Владимир Михайлович (Диана)</v>
      </c>
      <c r="C29" s="46">
        <v>11</v>
      </c>
      <c r="D29" s="46" t="s">
        <v>30</v>
      </c>
      <c r="E29" s="1">
        <v>11</v>
      </c>
      <c r="F29" s="45">
        <f t="shared" si="1"/>
        <v>0</v>
      </c>
      <c r="V29" s="45" t="s">
        <v>96</v>
      </c>
      <c r="W29" s="47">
        <v>1</v>
      </c>
      <c r="AA29" s="70">
        <v>28</v>
      </c>
      <c r="AB29" s="70">
        <v>6</v>
      </c>
      <c r="AC29" s="71" t="s">
        <v>90</v>
      </c>
      <c r="AF29"/>
      <c r="AG29"/>
    </row>
    <row r="30" spans="1:33" s="45" customFormat="1" ht="25.5">
      <c r="A30" s="1">
        <v>114</v>
      </c>
      <c r="B30" s="46" t="str">
        <f t="shared" si="0"/>
        <v>119Беспаленко Зинаида Александровна</v>
      </c>
      <c r="C30" s="46">
        <v>119</v>
      </c>
      <c r="D30" s="46" t="s">
        <v>31</v>
      </c>
      <c r="E30" s="1">
        <v>114</v>
      </c>
      <c r="F30" s="45">
        <f t="shared" si="1"/>
        <v>0</v>
      </c>
      <c r="V30" s="45" t="s">
        <v>16</v>
      </c>
      <c r="W30" s="47">
        <v>1</v>
      </c>
      <c r="AA30" s="70">
        <v>29</v>
      </c>
      <c r="AB30" s="70">
        <v>6</v>
      </c>
      <c r="AC30" s="71" t="s">
        <v>90</v>
      </c>
      <c r="AF30"/>
      <c r="AG30"/>
    </row>
    <row r="31" spans="1:33" s="45" customFormat="1">
      <c r="A31" s="1">
        <v>151</v>
      </c>
      <c r="B31" s="46" t="str">
        <f t="shared" si="0"/>
        <v>159Бирюков Александр Сергеевич</v>
      </c>
      <c r="C31" s="46">
        <v>159</v>
      </c>
      <c r="D31" s="46" t="s">
        <v>32</v>
      </c>
      <c r="E31" s="1">
        <v>151</v>
      </c>
      <c r="F31" s="45">
        <f t="shared" si="1"/>
        <v>0</v>
      </c>
      <c r="V31" s="45" t="s">
        <v>99</v>
      </c>
      <c r="W31" s="47">
        <v>1</v>
      </c>
      <c r="AA31" s="70">
        <v>30</v>
      </c>
      <c r="AB31" s="70">
        <v>6</v>
      </c>
      <c r="AC31" s="71" t="s">
        <v>90</v>
      </c>
      <c r="AF31"/>
      <c r="AG31"/>
    </row>
    <row r="32" spans="1:33" s="45" customFormat="1">
      <c r="A32" s="1">
        <v>142</v>
      </c>
      <c r="B32" s="46" t="str">
        <f t="shared" si="0"/>
        <v>150Блинков Анатолий Сергеевич</v>
      </c>
      <c r="C32" s="46">
        <v>150</v>
      </c>
      <c r="D32" s="46" t="s">
        <v>33</v>
      </c>
      <c r="E32" s="1">
        <v>142</v>
      </c>
      <c r="F32" s="45">
        <f t="shared" si="1"/>
        <v>0</v>
      </c>
      <c r="V32" s="45" t="s">
        <v>100</v>
      </c>
      <c r="W32" s="47">
        <v>1</v>
      </c>
      <c r="AA32" s="70">
        <v>31</v>
      </c>
      <c r="AB32" s="70">
        <v>15</v>
      </c>
      <c r="AC32" s="71" t="s">
        <v>642</v>
      </c>
      <c r="AF32"/>
      <c r="AG32"/>
    </row>
    <row r="33" spans="1:33" s="45" customFormat="1">
      <c r="A33" s="1">
        <v>245</v>
      </c>
      <c r="B33" s="46" t="str">
        <f t="shared" si="0"/>
        <v>256Бондарев Станислав Дмитриевич</v>
      </c>
      <c r="C33" s="46">
        <v>256</v>
      </c>
      <c r="D33" s="46" t="s">
        <v>34</v>
      </c>
      <c r="E33" s="1">
        <v>245</v>
      </c>
      <c r="F33" s="45">
        <f t="shared" si="1"/>
        <v>0</v>
      </c>
      <c r="V33" s="45" t="s">
        <v>113</v>
      </c>
      <c r="W33" s="47">
        <v>1</v>
      </c>
      <c r="AA33" s="70">
        <v>32</v>
      </c>
      <c r="AB33" s="70">
        <v>15</v>
      </c>
      <c r="AC33" s="71" t="s">
        <v>642</v>
      </c>
      <c r="AF33"/>
      <c r="AG33"/>
    </row>
    <row r="34" spans="1:33" s="45" customFormat="1">
      <c r="A34" s="1">
        <v>188</v>
      </c>
      <c r="B34" s="46" t="str">
        <f t="shared" si="0"/>
        <v>197Бондаренко Владимир Иванович</v>
      </c>
      <c r="C34" s="46">
        <v>197</v>
      </c>
      <c r="D34" s="46" t="s">
        <v>35</v>
      </c>
      <c r="E34" s="1">
        <v>188</v>
      </c>
      <c r="F34" s="45">
        <f t="shared" si="1"/>
        <v>1</v>
      </c>
      <c r="V34" s="45" t="s">
        <v>106</v>
      </c>
      <c r="W34" s="47">
        <v>1</v>
      </c>
      <c r="AA34" s="70">
        <v>33</v>
      </c>
      <c r="AB34" s="70">
        <v>15</v>
      </c>
      <c r="AC34" s="71" t="s">
        <v>642</v>
      </c>
      <c r="AF34"/>
      <c r="AG34"/>
    </row>
    <row r="35" spans="1:33" s="45" customFormat="1">
      <c r="A35" s="1">
        <v>188</v>
      </c>
      <c r="B35" s="46" t="str">
        <f t="shared" si="0"/>
        <v>196Бондаренко Владимир Иванович</v>
      </c>
      <c r="C35" s="46">
        <v>196</v>
      </c>
      <c r="D35" s="46" t="s">
        <v>35</v>
      </c>
      <c r="E35" s="1">
        <v>188</v>
      </c>
      <c r="F35" s="45">
        <f t="shared" si="1"/>
        <v>1</v>
      </c>
      <c r="V35" s="45" t="s">
        <v>115</v>
      </c>
      <c r="W35" s="47">
        <v>1</v>
      </c>
      <c r="AA35" s="70">
        <v>34</v>
      </c>
      <c r="AB35" s="70">
        <v>15</v>
      </c>
      <c r="AC35" s="71" t="s">
        <v>642</v>
      </c>
      <c r="AF35"/>
      <c r="AG35"/>
    </row>
    <row r="36" spans="1:33" s="45" customFormat="1">
      <c r="A36" s="1">
        <v>219</v>
      </c>
      <c r="B36" s="46" t="str">
        <f t="shared" si="0"/>
        <v>228Бондарь Василий Дмитриевич</v>
      </c>
      <c r="C36" s="46">
        <v>228</v>
      </c>
      <c r="D36" s="46" t="s">
        <v>36</v>
      </c>
      <c r="E36" s="1">
        <v>219</v>
      </c>
      <c r="F36" s="45">
        <f t="shared" si="1"/>
        <v>0</v>
      </c>
      <c r="V36" s="45" t="s">
        <v>69</v>
      </c>
      <c r="W36" s="47">
        <v>1</v>
      </c>
      <c r="AA36" s="70">
        <v>35</v>
      </c>
      <c r="AB36" s="70">
        <v>15</v>
      </c>
      <c r="AC36" s="71" t="s">
        <v>642</v>
      </c>
      <c r="AF36"/>
      <c r="AG36"/>
    </row>
    <row r="37" spans="1:33" s="45" customFormat="1">
      <c r="A37" s="1">
        <v>223</v>
      </c>
      <c r="B37" s="46" t="str">
        <f t="shared" si="0"/>
        <v>232Борисов Олег Александрович</v>
      </c>
      <c r="C37" s="46">
        <v>232</v>
      </c>
      <c r="D37" s="46" t="s">
        <v>37</v>
      </c>
      <c r="E37" s="1">
        <v>223</v>
      </c>
      <c r="F37" s="45">
        <f t="shared" si="1"/>
        <v>0</v>
      </c>
      <c r="V37" s="45" t="s">
        <v>117</v>
      </c>
      <c r="W37" s="47">
        <v>1</v>
      </c>
      <c r="AA37" s="70">
        <v>36</v>
      </c>
      <c r="AB37" s="70">
        <v>15</v>
      </c>
      <c r="AC37" s="71" t="s">
        <v>642</v>
      </c>
      <c r="AF37"/>
      <c r="AG37"/>
    </row>
    <row r="38" spans="1:33" s="45" customFormat="1">
      <c r="A38" s="1">
        <v>137</v>
      </c>
      <c r="B38" s="46" t="str">
        <f t="shared" si="0"/>
        <v>145Бранцова Татьяна Валерьевна</v>
      </c>
      <c r="C38" s="46">
        <v>145</v>
      </c>
      <c r="D38" s="46" t="s">
        <v>38</v>
      </c>
      <c r="E38" s="1">
        <v>137</v>
      </c>
      <c r="F38" s="45">
        <f t="shared" si="1"/>
        <v>0</v>
      </c>
      <c r="V38" s="45" t="s">
        <v>199</v>
      </c>
      <c r="W38" s="47">
        <v>1</v>
      </c>
      <c r="AA38" s="70">
        <v>37</v>
      </c>
      <c r="AB38" s="70">
        <v>15</v>
      </c>
      <c r="AC38" s="71" t="s">
        <v>642</v>
      </c>
      <c r="AF38"/>
      <c r="AG38"/>
    </row>
    <row r="39" spans="1:33" s="45" customFormat="1">
      <c r="A39" s="1">
        <v>105</v>
      </c>
      <c r="B39" s="46" t="str">
        <f t="shared" si="0"/>
        <v>110Брылёв Андрей Вячеславович</v>
      </c>
      <c r="C39" s="46">
        <v>110</v>
      </c>
      <c r="D39" s="46" t="s">
        <v>39</v>
      </c>
      <c r="E39" s="1">
        <v>105</v>
      </c>
      <c r="F39" s="45">
        <f t="shared" si="1"/>
        <v>0</v>
      </c>
      <c r="V39" s="45" t="s">
        <v>28</v>
      </c>
      <c r="W39" s="47">
        <v>1</v>
      </c>
      <c r="AA39" s="70">
        <v>38</v>
      </c>
      <c r="AB39" s="70">
        <v>15</v>
      </c>
      <c r="AC39" s="71" t="s">
        <v>642</v>
      </c>
      <c r="AF39"/>
      <c r="AG39"/>
    </row>
    <row r="40" spans="1:33" s="45" customFormat="1">
      <c r="A40" s="1">
        <v>98</v>
      </c>
      <c r="B40" s="46" t="str">
        <f t="shared" si="0"/>
        <v>103Бугрова Вероника Артуровна</v>
      </c>
      <c r="C40" s="46">
        <v>103</v>
      </c>
      <c r="D40" s="46" t="s">
        <v>40</v>
      </c>
      <c r="E40" s="1">
        <v>98</v>
      </c>
      <c r="F40" s="45">
        <f t="shared" si="1"/>
        <v>0</v>
      </c>
      <c r="V40" s="45" t="s">
        <v>74</v>
      </c>
      <c r="W40" s="47">
        <v>1</v>
      </c>
      <c r="AA40" s="70">
        <v>39</v>
      </c>
      <c r="AB40" s="70">
        <v>15</v>
      </c>
      <c r="AC40" s="71" t="s">
        <v>642</v>
      </c>
      <c r="AF40"/>
      <c r="AG40"/>
    </row>
    <row r="41" spans="1:33" s="45" customFormat="1">
      <c r="A41" s="1">
        <v>274</v>
      </c>
      <c r="B41" s="46" t="str">
        <f t="shared" si="0"/>
        <v>295Будаев Андрей Анатольевич</v>
      </c>
      <c r="C41" s="46">
        <v>295</v>
      </c>
      <c r="D41" s="46" t="s">
        <v>41</v>
      </c>
      <c r="E41" s="1">
        <v>274</v>
      </c>
      <c r="F41" s="45">
        <f t="shared" si="1"/>
        <v>1</v>
      </c>
      <c r="V41" s="45" t="s">
        <v>124</v>
      </c>
      <c r="W41" s="47">
        <v>1</v>
      </c>
      <c r="AA41" s="70">
        <v>40</v>
      </c>
      <c r="AB41" s="70">
        <v>15</v>
      </c>
      <c r="AC41" s="71" t="s">
        <v>642</v>
      </c>
      <c r="AF41"/>
      <c r="AG41"/>
    </row>
    <row r="42" spans="1:33" s="45" customFormat="1">
      <c r="A42" s="1">
        <v>274</v>
      </c>
      <c r="B42" s="46" t="str">
        <f t="shared" si="0"/>
        <v>287Будаев Андрей Анатольевич</v>
      </c>
      <c r="C42" s="46">
        <v>287</v>
      </c>
      <c r="D42" s="46" t="s">
        <v>41</v>
      </c>
      <c r="E42" s="1">
        <v>274</v>
      </c>
      <c r="F42" s="45">
        <f t="shared" si="1"/>
        <v>1</v>
      </c>
      <c r="V42" s="45" t="s">
        <v>45</v>
      </c>
      <c r="W42" s="47">
        <v>1</v>
      </c>
      <c r="AA42" s="70">
        <v>41</v>
      </c>
      <c r="AB42" s="70">
        <v>15</v>
      </c>
      <c r="AC42" s="71" t="s">
        <v>642</v>
      </c>
      <c r="AF42"/>
      <c r="AG42"/>
    </row>
    <row r="43" spans="1:33" s="45" customFormat="1">
      <c r="A43" s="1">
        <v>175</v>
      </c>
      <c r="B43" s="46" t="str">
        <f t="shared" si="0"/>
        <v>187Буланова Лилия Михайловна</v>
      </c>
      <c r="C43" s="46">
        <v>187</v>
      </c>
      <c r="D43" s="46" t="s">
        <v>42</v>
      </c>
      <c r="E43" s="1">
        <v>175</v>
      </c>
      <c r="F43" s="45">
        <f t="shared" si="1"/>
        <v>1</v>
      </c>
      <c r="V43" s="45" t="s">
        <v>137</v>
      </c>
      <c r="W43" s="47">
        <v>1</v>
      </c>
      <c r="AA43" s="70">
        <v>42</v>
      </c>
      <c r="AB43" s="70">
        <v>15</v>
      </c>
      <c r="AC43" s="71" t="s">
        <v>642</v>
      </c>
      <c r="AF43"/>
      <c r="AG43"/>
    </row>
    <row r="44" spans="1:33" s="45" customFormat="1">
      <c r="A44" s="1">
        <v>175</v>
      </c>
      <c r="B44" s="46" t="str">
        <f t="shared" si="0"/>
        <v>183Буланова Лилия Михайловна</v>
      </c>
      <c r="C44" s="46">
        <v>183</v>
      </c>
      <c r="D44" s="46" t="s">
        <v>42</v>
      </c>
      <c r="E44" s="1">
        <v>175</v>
      </c>
      <c r="F44" s="45">
        <f t="shared" si="1"/>
        <v>1</v>
      </c>
      <c r="V44" s="45" t="s">
        <v>37</v>
      </c>
      <c r="W44" s="47">
        <v>1</v>
      </c>
      <c r="AA44" s="70">
        <v>43</v>
      </c>
      <c r="AB44" s="70">
        <v>15</v>
      </c>
      <c r="AC44" s="71" t="s">
        <v>642</v>
      </c>
      <c r="AF44"/>
      <c r="AG44"/>
    </row>
    <row r="45" spans="1:33" s="45" customFormat="1">
      <c r="A45" s="1">
        <v>303</v>
      </c>
      <c r="B45" s="46" t="str">
        <f t="shared" si="0"/>
        <v>319Бурдух Юрие</v>
      </c>
      <c r="C45" s="46">
        <v>319</v>
      </c>
      <c r="D45" s="46" t="s">
        <v>43</v>
      </c>
      <c r="E45" s="1">
        <v>303</v>
      </c>
      <c r="F45" s="45">
        <f t="shared" si="1"/>
        <v>1</v>
      </c>
      <c r="V45" s="45" t="s">
        <v>142</v>
      </c>
      <c r="W45" s="47">
        <v>1</v>
      </c>
      <c r="AA45" s="70">
        <v>44</v>
      </c>
      <c r="AB45" s="70">
        <v>15</v>
      </c>
      <c r="AC45" s="71" t="s">
        <v>642</v>
      </c>
      <c r="AF45"/>
      <c r="AG45"/>
    </row>
    <row r="46" spans="1:33" s="45" customFormat="1">
      <c r="A46" s="1">
        <v>303</v>
      </c>
      <c r="B46" s="46" t="str">
        <f t="shared" si="0"/>
        <v>318Бурдух Юрие</v>
      </c>
      <c r="C46" s="46">
        <v>318</v>
      </c>
      <c r="D46" s="46" t="s">
        <v>43</v>
      </c>
      <c r="E46" s="1">
        <v>303</v>
      </c>
      <c r="F46" s="45">
        <f t="shared" si="1"/>
        <v>1</v>
      </c>
      <c r="V46" s="45" t="s">
        <v>304</v>
      </c>
      <c r="W46" s="47">
        <v>1</v>
      </c>
      <c r="AA46" s="70">
        <v>45</v>
      </c>
      <c r="AB46" s="70">
        <v>15</v>
      </c>
      <c r="AC46" s="71" t="s">
        <v>642</v>
      </c>
      <c r="AF46"/>
      <c r="AG46"/>
    </row>
    <row r="47" spans="1:33" s="45" customFormat="1">
      <c r="A47" s="1">
        <v>90</v>
      </c>
      <c r="B47" s="46" t="str">
        <f t="shared" si="0"/>
        <v>95Быданцева Нина Юрьевна</v>
      </c>
      <c r="C47" s="46">
        <v>95</v>
      </c>
      <c r="D47" s="46" t="s">
        <v>44</v>
      </c>
      <c r="E47" s="1">
        <v>90</v>
      </c>
      <c r="F47" s="45">
        <f t="shared" si="1"/>
        <v>0</v>
      </c>
      <c r="V47" s="45" t="s">
        <v>144</v>
      </c>
      <c r="W47" s="47">
        <v>1</v>
      </c>
      <c r="AA47" s="70">
        <v>46</v>
      </c>
      <c r="AB47" s="70">
        <v>15</v>
      </c>
      <c r="AC47" s="71" t="s">
        <v>642</v>
      </c>
      <c r="AF47"/>
      <c r="AG47"/>
    </row>
    <row r="48" spans="1:33" s="45" customFormat="1">
      <c r="A48" s="1">
        <v>206</v>
      </c>
      <c r="B48" s="46" t="str">
        <f t="shared" si="0"/>
        <v>216Валеев Артур Рашидович</v>
      </c>
      <c r="C48" s="46">
        <v>216</v>
      </c>
      <c r="D48" s="46" t="s">
        <v>45</v>
      </c>
      <c r="E48" s="1">
        <v>206</v>
      </c>
      <c r="F48" s="45">
        <f t="shared" si="1"/>
        <v>0</v>
      </c>
      <c r="V48" s="45" t="s">
        <v>11</v>
      </c>
      <c r="W48" s="47">
        <v>1</v>
      </c>
      <c r="AA48" s="70">
        <v>47</v>
      </c>
      <c r="AB48" s="70">
        <v>15</v>
      </c>
      <c r="AC48" s="71" t="s">
        <v>642</v>
      </c>
      <c r="AF48"/>
      <c r="AG48"/>
    </row>
    <row r="49" spans="1:33" s="45" customFormat="1" ht="25.5">
      <c r="A49" s="1">
        <v>101</v>
      </c>
      <c r="B49" s="46" t="str">
        <f t="shared" si="0"/>
        <v>106Васильев Николай Владимирович</v>
      </c>
      <c r="C49" s="46">
        <v>106</v>
      </c>
      <c r="D49" s="46" t="s">
        <v>46</v>
      </c>
      <c r="E49" s="1">
        <v>101</v>
      </c>
      <c r="F49" s="45">
        <f t="shared" si="1"/>
        <v>0</v>
      </c>
      <c r="V49" s="45" t="s">
        <v>148</v>
      </c>
      <c r="W49" s="47">
        <v>1</v>
      </c>
      <c r="AA49" s="70">
        <v>48</v>
      </c>
      <c r="AB49" s="70">
        <v>15</v>
      </c>
      <c r="AC49" s="71" t="s">
        <v>642</v>
      </c>
      <c r="AF49"/>
      <c r="AG49"/>
    </row>
    <row r="50" spans="1:33" s="45" customFormat="1">
      <c r="A50" s="1">
        <v>86</v>
      </c>
      <c r="B50" s="46" t="str">
        <f t="shared" si="0"/>
        <v>91Васильева Ольга Александровна</v>
      </c>
      <c r="C50" s="46">
        <v>91</v>
      </c>
      <c r="D50" s="46" t="s">
        <v>47</v>
      </c>
      <c r="E50" s="1">
        <v>86</v>
      </c>
      <c r="F50" s="45">
        <f t="shared" si="1"/>
        <v>0</v>
      </c>
      <c r="V50" s="45" t="s">
        <v>62</v>
      </c>
      <c r="W50" s="47">
        <v>1</v>
      </c>
      <c r="AA50" s="70">
        <v>49</v>
      </c>
      <c r="AB50" s="70">
        <v>15</v>
      </c>
      <c r="AC50" s="71" t="s">
        <v>642</v>
      </c>
      <c r="AF50"/>
      <c r="AG50"/>
    </row>
    <row r="51" spans="1:33" s="45" customFormat="1">
      <c r="A51" s="1">
        <v>43</v>
      </c>
      <c r="B51" s="46" t="str">
        <f t="shared" si="0"/>
        <v>43Васильцова Елена Владимировна</v>
      </c>
      <c r="C51" s="46">
        <v>43</v>
      </c>
      <c r="D51" s="46" t="s">
        <v>48</v>
      </c>
      <c r="E51" s="1">
        <v>43</v>
      </c>
      <c r="F51" s="45">
        <f t="shared" si="1"/>
        <v>0</v>
      </c>
      <c r="V51" s="45" t="s">
        <v>21</v>
      </c>
      <c r="W51" s="47">
        <v>1</v>
      </c>
      <c r="AA51" s="70">
        <v>50</v>
      </c>
      <c r="AB51" s="70">
        <v>15</v>
      </c>
      <c r="AC51" s="71" t="s">
        <v>642</v>
      </c>
      <c r="AF51"/>
      <c r="AG51"/>
    </row>
    <row r="52" spans="1:33" s="45" customFormat="1">
      <c r="A52" s="1">
        <v>25</v>
      </c>
      <c r="B52" s="46" t="str">
        <f t="shared" si="0"/>
        <v>25Вершинина Елена Анатольевна</v>
      </c>
      <c r="C52" s="46">
        <v>25</v>
      </c>
      <c r="D52" s="46" t="s">
        <v>49</v>
      </c>
      <c r="E52" s="1">
        <v>25</v>
      </c>
      <c r="F52" s="45">
        <f t="shared" si="1"/>
        <v>0</v>
      </c>
      <c r="V52" s="45" t="s">
        <v>264</v>
      </c>
      <c r="W52" s="47">
        <v>1</v>
      </c>
      <c r="AA52" s="70">
        <v>51</v>
      </c>
      <c r="AB52" s="70">
        <v>15</v>
      </c>
      <c r="AC52" s="71" t="s">
        <v>642</v>
      </c>
      <c r="AF52"/>
      <c r="AG52"/>
    </row>
    <row r="53" spans="1:33" s="45" customFormat="1" ht="25.5">
      <c r="A53" s="1">
        <v>138</v>
      </c>
      <c r="B53" s="46" t="str">
        <f t="shared" si="0"/>
        <v>146Виноградова Наталья Дмитриевна (Николай)</v>
      </c>
      <c r="C53" s="46">
        <v>146</v>
      </c>
      <c r="D53" s="46" t="s">
        <v>50</v>
      </c>
      <c r="E53" s="1">
        <v>138</v>
      </c>
      <c r="F53" s="45">
        <f t="shared" si="1"/>
        <v>0</v>
      </c>
      <c r="V53" s="45" t="s">
        <v>157</v>
      </c>
      <c r="W53" s="47">
        <v>1</v>
      </c>
      <c r="AA53" s="70">
        <v>52</v>
      </c>
      <c r="AB53" s="70">
        <v>15</v>
      </c>
      <c r="AC53" s="71" t="s">
        <v>642</v>
      </c>
      <c r="AF53"/>
      <c r="AG53"/>
    </row>
    <row r="54" spans="1:33" s="45" customFormat="1" ht="25.5">
      <c r="A54" s="1">
        <v>228</v>
      </c>
      <c r="B54" s="46" t="str">
        <f t="shared" si="0"/>
        <v>237Виртилецкий Денис Вячеславович</v>
      </c>
      <c r="C54" s="46">
        <v>237</v>
      </c>
      <c r="D54" s="46" t="s">
        <v>51</v>
      </c>
      <c r="E54" s="1">
        <v>228</v>
      </c>
      <c r="F54" s="45">
        <f t="shared" si="1"/>
        <v>0</v>
      </c>
      <c r="V54" s="45" t="s">
        <v>208</v>
      </c>
      <c r="W54" s="47">
        <v>1</v>
      </c>
      <c r="AA54" s="70">
        <v>53</v>
      </c>
      <c r="AB54" s="70">
        <v>15</v>
      </c>
      <c r="AC54" s="71" t="s">
        <v>642</v>
      </c>
      <c r="AF54"/>
      <c r="AG54"/>
    </row>
    <row r="55" spans="1:33" s="45" customFormat="1">
      <c r="A55" s="1">
        <v>37</v>
      </c>
      <c r="B55" s="46" t="str">
        <f t="shared" si="0"/>
        <v>37Водянова Ольга Александровна</v>
      </c>
      <c r="C55" s="46">
        <v>37</v>
      </c>
      <c r="D55" s="46" t="s">
        <v>52</v>
      </c>
      <c r="E55" s="1">
        <v>37</v>
      </c>
      <c r="F55" s="45">
        <f t="shared" si="1"/>
        <v>0</v>
      </c>
      <c r="V55" s="45" t="s">
        <v>158</v>
      </c>
      <c r="W55" s="47">
        <v>1</v>
      </c>
      <c r="AA55" s="70">
        <v>54</v>
      </c>
      <c r="AB55" s="70">
        <v>15</v>
      </c>
      <c r="AC55" s="71" t="s">
        <v>642</v>
      </c>
      <c r="AF55"/>
      <c r="AG55"/>
    </row>
    <row r="56" spans="1:33" s="45" customFormat="1">
      <c r="A56" s="1">
        <v>126</v>
      </c>
      <c r="B56" s="46" t="str">
        <f t="shared" si="0"/>
        <v>131Волгушев Дмитрий Геннадиевич</v>
      </c>
      <c r="C56" s="46">
        <v>131</v>
      </c>
      <c r="D56" s="46" t="s">
        <v>53</v>
      </c>
      <c r="E56" s="1">
        <v>126</v>
      </c>
      <c r="F56" s="45">
        <f t="shared" si="1"/>
        <v>0</v>
      </c>
      <c r="V56" s="45" t="s">
        <v>207</v>
      </c>
      <c r="W56" s="47">
        <v>1</v>
      </c>
      <c r="AA56" s="70">
        <v>55</v>
      </c>
      <c r="AB56" s="70">
        <v>15</v>
      </c>
      <c r="AC56" s="71" t="s">
        <v>642</v>
      </c>
      <c r="AF56"/>
      <c r="AG56"/>
    </row>
    <row r="57" spans="1:33" s="45" customFormat="1">
      <c r="A57" s="1">
        <v>58</v>
      </c>
      <c r="B57" s="46" t="str">
        <f t="shared" si="0"/>
        <v>60Володина Инна Александровна</v>
      </c>
      <c r="C57" s="46">
        <v>60</v>
      </c>
      <c r="D57" s="46" t="s">
        <v>54</v>
      </c>
      <c r="E57" s="1">
        <v>58</v>
      </c>
      <c r="F57" s="45">
        <f t="shared" si="1"/>
        <v>0</v>
      </c>
      <c r="V57" s="45" t="s">
        <v>163</v>
      </c>
      <c r="W57" s="47">
        <v>1</v>
      </c>
      <c r="AA57" s="70">
        <v>56</v>
      </c>
      <c r="AB57" s="70">
        <v>15</v>
      </c>
      <c r="AC57" s="71" t="s">
        <v>642</v>
      </c>
      <c r="AF57"/>
      <c r="AG57"/>
    </row>
    <row r="58" spans="1:33" s="45" customFormat="1">
      <c r="A58" s="1">
        <v>117</v>
      </c>
      <c r="B58" s="46" t="str">
        <f t="shared" si="0"/>
        <v>122Вольский Андрей Юрьевич</v>
      </c>
      <c r="C58" s="46">
        <v>122</v>
      </c>
      <c r="D58" s="46" t="s">
        <v>55</v>
      </c>
      <c r="E58" s="1">
        <v>117</v>
      </c>
      <c r="F58" s="45">
        <f t="shared" si="1"/>
        <v>0</v>
      </c>
      <c r="V58" s="45" t="s">
        <v>71</v>
      </c>
      <c r="W58" s="47">
        <v>1</v>
      </c>
      <c r="AA58" s="70">
        <v>57</v>
      </c>
      <c r="AB58" s="70">
        <v>15</v>
      </c>
      <c r="AC58" s="71" t="s">
        <v>642</v>
      </c>
      <c r="AF58"/>
      <c r="AG58"/>
    </row>
    <row r="59" spans="1:33" s="45" customFormat="1">
      <c r="A59" s="1">
        <v>61</v>
      </c>
      <c r="B59" s="46" t="str">
        <f t="shared" si="0"/>
        <v>63Высоких Антон Маркович</v>
      </c>
      <c r="C59" s="46">
        <v>63</v>
      </c>
      <c r="D59" s="46" t="s">
        <v>56</v>
      </c>
      <c r="E59" s="1">
        <v>61</v>
      </c>
      <c r="F59" s="45">
        <f t="shared" si="1"/>
        <v>0</v>
      </c>
      <c r="V59" s="45" t="s">
        <v>165</v>
      </c>
      <c r="W59" s="47">
        <v>1</v>
      </c>
      <c r="AA59" s="70">
        <v>58</v>
      </c>
      <c r="AB59" s="70">
        <v>15</v>
      </c>
      <c r="AC59" s="71" t="s">
        <v>642</v>
      </c>
      <c r="AF59"/>
      <c r="AG59"/>
    </row>
    <row r="60" spans="1:33" s="45" customFormat="1" ht="25.5">
      <c r="A60" s="1">
        <v>294</v>
      </c>
      <c r="B60" s="46" t="str">
        <f t="shared" si="0"/>
        <v>309Гайкова (Дьякова) Мария Викторовна</v>
      </c>
      <c r="C60" s="46">
        <v>309</v>
      </c>
      <c r="D60" s="46" t="s">
        <v>57</v>
      </c>
      <c r="E60" s="1">
        <v>294</v>
      </c>
      <c r="F60" s="45">
        <f t="shared" si="1"/>
        <v>0</v>
      </c>
      <c r="V60" s="45" t="s">
        <v>15</v>
      </c>
      <c r="W60" s="47">
        <v>1</v>
      </c>
      <c r="AA60" s="70">
        <v>59</v>
      </c>
      <c r="AB60" s="70">
        <v>15</v>
      </c>
      <c r="AC60" s="71" t="s">
        <v>642</v>
      </c>
      <c r="AF60"/>
      <c r="AG60"/>
    </row>
    <row r="61" spans="1:33" s="45" customFormat="1">
      <c r="A61" s="1">
        <v>286</v>
      </c>
      <c r="B61" s="46" t="str">
        <f t="shared" si="0"/>
        <v>298Ганин Александр Борисович</v>
      </c>
      <c r="C61" s="46">
        <v>298</v>
      </c>
      <c r="D61" s="46" t="s">
        <v>58</v>
      </c>
      <c r="E61" s="1">
        <v>286</v>
      </c>
      <c r="F61" s="45">
        <f t="shared" si="1"/>
        <v>0</v>
      </c>
      <c r="V61" s="45" t="s">
        <v>182</v>
      </c>
      <c r="W61" s="47">
        <v>1</v>
      </c>
      <c r="AA61" s="70">
        <v>60</v>
      </c>
      <c r="AB61" s="70">
        <v>15</v>
      </c>
      <c r="AC61" s="71" t="s">
        <v>642</v>
      </c>
      <c r="AF61"/>
      <c r="AG61"/>
    </row>
    <row r="62" spans="1:33" s="45" customFormat="1" ht="25.5">
      <c r="A62" s="1">
        <v>64</v>
      </c>
      <c r="B62" s="46" t="str">
        <f t="shared" si="0"/>
        <v>66Горбунов Владимир Александрович</v>
      </c>
      <c r="C62" s="46">
        <v>66</v>
      </c>
      <c r="D62" s="46" t="s">
        <v>59</v>
      </c>
      <c r="E62" s="1">
        <v>64</v>
      </c>
      <c r="F62" s="45">
        <f t="shared" si="1"/>
        <v>0</v>
      </c>
      <c r="V62" s="45" t="s">
        <v>133</v>
      </c>
      <c r="W62" s="47">
        <v>1</v>
      </c>
      <c r="AA62" s="70">
        <v>61</v>
      </c>
      <c r="AB62" s="70">
        <v>12</v>
      </c>
      <c r="AC62" s="71" t="s">
        <v>181</v>
      </c>
      <c r="AF62"/>
      <c r="AG62"/>
    </row>
    <row r="63" spans="1:33" s="45" customFormat="1">
      <c r="A63" s="1">
        <v>94</v>
      </c>
      <c r="B63" s="46" t="str">
        <f t="shared" si="0"/>
        <v>99Горбунов Максим Николаевич</v>
      </c>
      <c r="C63" s="46">
        <v>99</v>
      </c>
      <c r="D63" s="46" t="s">
        <v>60</v>
      </c>
      <c r="E63" s="1">
        <v>94</v>
      </c>
      <c r="F63" s="45">
        <f t="shared" si="1"/>
        <v>0</v>
      </c>
      <c r="V63" s="45" t="s">
        <v>186</v>
      </c>
      <c r="W63" s="47">
        <v>1</v>
      </c>
      <c r="AA63" s="70">
        <v>62</v>
      </c>
      <c r="AB63" s="70">
        <v>12</v>
      </c>
      <c r="AC63" s="71" t="s">
        <v>181</v>
      </c>
      <c r="AF63"/>
      <c r="AG63"/>
    </row>
    <row r="64" spans="1:33" s="45" customFormat="1">
      <c r="A64" s="1">
        <v>39</v>
      </c>
      <c r="B64" s="46" t="str">
        <f t="shared" si="0"/>
        <v>39Гордейчик Игорь Борисович</v>
      </c>
      <c r="C64" s="46">
        <v>39</v>
      </c>
      <c r="D64" s="46" t="s">
        <v>61</v>
      </c>
      <c r="E64" s="1">
        <v>39</v>
      </c>
      <c r="F64" s="45">
        <f t="shared" si="1"/>
        <v>0</v>
      </c>
      <c r="V64" s="45" t="s">
        <v>225</v>
      </c>
      <c r="W64" s="47">
        <v>1</v>
      </c>
      <c r="AA64" s="70">
        <v>63</v>
      </c>
      <c r="AB64" s="70">
        <v>12</v>
      </c>
      <c r="AC64" s="71" t="s">
        <v>181</v>
      </c>
      <c r="AF64"/>
      <c r="AG64"/>
    </row>
    <row r="65" spans="1:33" s="45" customFormat="1">
      <c r="A65" s="1">
        <v>276</v>
      </c>
      <c r="B65" s="46" t="str">
        <f t="shared" si="0"/>
        <v>289Горянов Михаил Андреевич</v>
      </c>
      <c r="C65" s="46">
        <v>289</v>
      </c>
      <c r="D65" s="46" t="s">
        <v>62</v>
      </c>
      <c r="E65" s="1">
        <v>276</v>
      </c>
      <c r="F65" s="45">
        <f t="shared" si="1"/>
        <v>0</v>
      </c>
      <c r="V65" s="45" t="s">
        <v>191</v>
      </c>
      <c r="W65" s="47">
        <v>1</v>
      </c>
      <c r="AA65" s="70">
        <v>64</v>
      </c>
      <c r="AB65" s="70">
        <v>12</v>
      </c>
      <c r="AC65" s="71" t="s">
        <v>181</v>
      </c>
      <c r="AF65"/>
      <c r="AG65"/>
    </row>
    <row r="66" spans="1:33" s="45" customFormat="1">
      <c r="A66" s="1">
        <v>148</v>
      </c>
      <c r="B66" s="46" t="str">
        <f t="shared" ref="B66:B129" si="3">CONCATENATE(C66,D66)</f>
        <v>156Горячев Дмитрий Николаевич</v>
      </c>
      <c r="C66" s="46">
        <v>156</v>
      </c>
      <c r="D66" s="46" t="s">
        <v>63</v>
      </c>
      <c r="E66" s="1">
        <v>148</v>
      </c>
      <c r="F66" s="45">
        <f t="shared" si="1"/>
        <v>0</v>
      </c>
      <c r="V66" s="45" t="s">
        <v>36</v>
      </c>
      <c r="W66" s="47">
        <v>1</v>
      </c>
      <c r="AA66" s="70">
        <v>65</v>
      </c>
      <c r="AB66" s="70">
        <v>12</v>
      </c>
      <c r="AC66" s="71" t="s">
        <v>181</v>
      </c>
      <c r="AF66"/>
      <c r="AG66"/>
    </row>
    <row r="67" spans="1:33" s="45" customFormat="1">
      <c r="A67" s="1">
        <v>308</v>
      </c>
      <c r="B67" s="46" t="str">
        <f t="shared" si="3"/>
        <v>323Губарева Татьяна Григорьевна</v>
      </c>
      <c r="C67" s="46">
        <v>323</v>
      </c>
      <c r="D67" s="46" t="s">
        <v>64</v>
      </c>
      <c r="E67" s="1">
        <v>308</v>
      </c>
      <c r="F67" s="45">
        <f t="shared" ref="F67:F130" si="4">IF(VLOOKUP(D67,$V$2:$W$299,2,FALSE)&lt;&gt;1,1,0)</f>
        <v>0</v>
      </c>
      <c r="V67" s="45" t="s">
        <v>192</v>
      </c>
      <c r="W67" s="47">
        <v>1</v>
      </c>
      <c r="AA67" s="70">
        <v>66</v>
      </c>
      <c r="AB67" s="70">
        <v>12</v>
      </c>
      <c r="AC67" s="71" t="s">
        <v>181</v>
      </c>
      <c r="AF67"/>
      <c r="AG67"/>
    </row>
    <row r="68" spans="1:33" s="45" customFormat="1">
      <c r="A68" s="1">
        <v>318</v>
      </c>
      <c r="B68" s="46" t="str">
        <f t="shared" si="3"/>
        <v>71-72Гусева Светлана Григорьевна</v>
      </c>
      <c r="C68" s="46" t="s">
        <v>65</v>
      </c>
      <c r="D68" s="46" t="s">
        <v>66</v>
      </c>
      <c r="E68" s="1">
        <v>318</v>
      </c>
      <c r="F68" s="45">
        <f t="shared" si="4"/>
        <v>0</v>
      </c>
      <c r="V68" s="45" t="s">
        <v>302</v>
      </c>
      <c r="W68" s="47">
        <v>1</v>
      </c>
      <c r="AA68" s="70">
        <v>67</v>
      </c>
      <c r="AB68" s="70">
        <v>12</v>
      </c>
      <c r="AC68" s="71" t="s">
        <v>181</v>
      </c>
      <c r="AF68"/>
      <c r="AG68"/>
    </row>
    <row r="69" spans="1:33" s="45" customFormat="1">
      <c r="A69" s="1">
        <v>236</v>
      </c>
      <c r="B69" s="46" t="str">
        <f t="shared" si="3"/>
        <v>245Давыдова Анна Сергеевна</v>
      </c>
      <c r="C69" s="46">
        <v>245</v>
      </c>
      <c r="D69" s="46" t="s">
        <v>67</v>
      </c>
      <c r="E69" s="1">
        <v>236</v>
      </c>
      <c r="F69" s="45">
        <f t="shared" si="4"/>
        <v>0</v>
      </c>
      <c r="V69" s="45" t="s">
        <v>193</v>
      </c>
      <c r="W69" s="47">
        <v>1</v>
      </c>
      <c r="AA69" s="70">
        <v>68</v>
      </c>
      <c r="AB69" s="70">
        <v>12</v>
      </c>
      <c r="AC69" s="71" t="s">
        <v>181</v>
      </c>
      <c r="AF69"/>
      <c r="AG69"/>
    </row>
    <row r="70" spans="1:33" s="45" customFormat="1" ht="25.5">
      <c r="A70" s="1">
        <v>226</v>
      </c>
      <c r="B70" s="46" t="str">
        <f t="shared" si="3"/>
        <v xml:space="preserve">235Данильянц Юрий Константинович   </v>
      </c>
      <c r="C70" s="46">
        <v>235</v>
      </c>
      <c r="D70" s="46" t="s">
        <v>68</v>
      </c>
      <c r="E70" s="1">
        <v>226</v>
      </c>
      <c r="F70" s="45">
        <f t="shared" si="4"/>
        <v>0</v>
      </c>
      <c r="V70" s="45" t="s">
        <v>67</v>
      </c>
      <c r="W70" s="47">
        <v>1</v>
      </c>
      <c r="AA70" s="70">
        <v>69</v>
      </c>
      <c r="AB70" s="70">
        <v>12</v>
      </c>
      <c r="AC70" s="71" t="s">
        <v>181</v>
      </c>
      <c r="AF70"/>
      <c r="AG70"/>
    </row>
    <row r="71" spans="1:33" s="45" customFormat="1">
      <c r="A71" s="1">
        <v>285</v>
      </c>
      <c r="B71" s="46" t="str">
        <f t="shared" si="3"/>
        <v>297Даточный Алексей Валерьевич</v>
      </c>
      <c r="C71" s="46">
        <v>297</v>
      </c>
      <c r="D71" s="46" t="s">
        <v>69</v>
      </c>
      <c r="E71" s="1">
        <v>285</v>
      </c>
      <c r="F71" s="45">
        <f t="shared" si="4"/>
        <v>0</v>
      </c>
      <c r="V71" s="45" t="s">
        <v>198</v>
      </c>
      <c r="W71" s="47">
        <v>1</v>
      </c>
      <c r="AA71" s="70">
        <v>70</v>
      </c>
      <c r="AB71" s="70">
        <v>12</v>
      </c>
      <c r="AC71" s="71" t="s">
        <v>181</v>
      </c>
      <c r="AF71"/>
      <c r="AG71"/>
    </row>
    <row r="72" spans="1:33" s="45" customFormat="1">
      <c r="A72" s="1">
        <v>24</v>
      </c>
      <c r="B72" s="46" t="str">
        <f t="shared" si="3"/>
        <v>24Двойрина Юлия Владимировна</v>
      </c>
      <c r="C72" s="46">
        <v>24</v>
      </c>
      <c r="D72" s="46" t="s">
        <v>70</v>
      </c>
      <c r="E72" s="1">
        <v>24</v>
      </c>
      <c r="F72" s="45">
        <f t="shared" si="4"/>
        <v>0</v>
      </c>
      <c r="V72" s="45" t="s">
        <v>34</v>
      </c>
      <c r="W72" s="47">
        <v>1</v>
      </c>
      <c r="AA72" s="70">
        <v>71</v>
      </c>
      <c r="AB72" s="70">
        <v>12</v>
      </c>
      <c r="AC72" s="71" t="s">
        <v>181</v>
      </c>
      <c r="AF72"/>
      <c r="AG72"/>
    </row>
    <row r="73" spans="1:33" s="45" customFormat="1">
      <c r="A73" s="1">
        <v>50</v>
      </c>
      <c r="B73" s="46" t="str">
        <f t="shared" si="3"/>
        <v>50Денисов Дмитрий Алексеевич</v>
      </c>
      <c r="C73" s="46">
        <v>50</v>
      </c>
      <c r="D73" s="46" t="s">
        <v>71</v>
      </c>
      <c r="E73" s="1">
        <v>50</v>
      </c>
      <c r="F73" s="45">
        <f t="shared" si="4"/>
        <v>0</v>
      </c>
      <c r="V73" s="45" t="s">
        <v>205</v>
      </c>
      <c r="W73" s="47">
        <v>1</v>
      </c>
      <c r="AA73" s="70">
        <v>72</v>
      </c>
      <c r="AB73" s="70">
        <v>12</v>
      </c>
      <c r="AC73" s="71" t="s">
        <v>181</v>
      </c>
      <c r="AF73"/>
      <c r="AG73"/>
    </row>
    <row r="74" spans="1:33" s="45" customFormat="1">
      <c r="A74" s="1">
        <v>122</v>
      </c>
      <c r="B74" s="46" t="str">
        <f t="shared" si="3"/>
        <v>127Денисов Сергей Александрович</v>
      </c>
      <c r="C74" s="46">
        <v>127</v>
      </c>
      <c r="D74" s="46" t="s">
        <v>72</v>
      </c>
      <c r="E74" s="1">
        <v>122</v>
      </c>
      <c r="F74" s="45">
        <f t="shared" si="4"/>
        <v>0</v>
      </c>
      <c r="V74" s="45" t="s">
        <v>266</v>
      </c>
      <c r="W74" s="47">
        <v>1</v>
      </c>
      <c r="AA74" s="70">
        <v>73</v>
      </c>
      <c r="AB74" s="70">
        <v>12</v>
      </c>
      <c r="AC74" s="71" t="s">
        <v>181</v>
      </c>
      <c r="AF74"/>
      <c r="AG74"/>
    </row>
    <row r="75" spans="1:33" s="45" customFormat="1" ht="25.5">
      <c r="A75" s="1">
        <v>301</v>
      </c>
      <c r="B75" s="46" t="str">
        <f t="shared" si="3"/>
        <v>316Десюкова Марина Александровна</v>
      </c>
      <c r="C75" s="46">
        <v>316</v>
      </c>
      <c r="D75" s="46" t="s">
        <v>73</v>
      </c>
      <c r="E75" s="1">
        <v>301</v>
      </c>
      <c r="F75" s="45">
        <f t="shared" si="4"/>
        <v>0</v>
      </c>
      <c r="V75" s="45" t="s">
        <v>30</v>
      </c>
      <c r="W75" s="47">
        <v>1</v>
      </c>
      <c r="AA75" s="70">
        <v>74</v>
      </c>
      <c r="AB75" s="70">
        <v>12</v>
      </c>
      <c r="AC75" s="71" t="s">
        <v>181</v>
      </c>
      <c r="AF75"/>
      <c r="AG75"/>
    </row>
    <row r="76" spans="1:33" s="45" customFormat="1" ht="25.5">
      <c r="A76" s="1">
        <v>18</v>
      </c>
      <c r="B76" s="46" t="str">
        <f t="shared" si="3"/>
        <v>18Дидушко Денис Васильевич (Василий)</v>
      </c>
      <c r="C76" s="46">
        <v>18</v>
      </c>
      <c r="D76" s="46" t="s">
        <v>74</v>
      </c>
      <c r="E76" s="1">
        <v>18</v>
      </c>
      <c r="F76" s="45">
        <f t="shared" si="4"/>
        <v>0</v>
      </c>
      <c r="V76" s="45" t="s">
        <v>81</v>
      </c>
      <c r="W76" s="47">
        <v>1</v>
      </c>
      <c r="AA76" s="70">
        <v>75</v>
      </c>
      <c r="AB76" s="70">
        <v>12</v>
      </c>
      <c r="AC76" s="71" t="s">
        <v>181</v>
      </c>
      <c r="AF76"/>
      <c r="AG76"/>
    </row>
    <row r="77" spans="1:33" s="45" customFormat="1" ht="25.5">
      <c r="A77" s="1">
        <v>155</v>
      </c>
      <c r="B77" s="46" t="str">
        <f t="shared" si="3"/>
        <v>163Дорошенко Владимир Алексеевич</v>
      </c>
      <c r="C77" s="46">
        <v>163</v>
      </c>
      <c r="D77" s="46" t="s">
        <v>75</v>
      </c>
      <c r="E77" s="1">
        <v>155</v>
      </c>
      <c r="F77" s="45">
        <f t="shared" si="4"/>
        <v>0</v>
      </c>
      <c r="V77" s="45" t="s">
        <v>219</v>
      </c>
      <c r="W77" s="47">
        <v>1</v>
      </c>
      <c r="AA77" s="70">
        <v>76</v>
      </c>
      <c r="AB77" s="70">
        <v>12</v>
      </c>
      <c r="AC77" s="71" t="s">
        <v>181</v>
      </c>
      <c r="AF77"/>
      <c r="AG77"/>
    </row>
    <row r="78" spans="1:33" s="45" customFormat="1">
      <c r="A78" s="1">
        <v>44</v>
      </c>
      <c r="B78" s="46" t="str">
        <f t="shared" si="3"/>
        <v>44Дубов Александр Сергеевич</v>
      </c>
      <c r="C78" s="46">
        <v>44</v>
      </c>
      <c r="D78" s="46" t="s">
        <v>76</v>
      </c>
      <c r="E78" s="1">
        <v>44</v>
      </c>
      <c r="F78" s="45">
        <f t="shared" si="4"/>
        <v>0</v>
      </c>
      <c r="V78" s="45" t="s">
        <v>236</v>
      </c>
      <c r="W78" s="47">
        <v>1</v>
      </c>
      <c r="AA78" s="70">
        <v>77</v>
      </c>
      <c r="AB78" s="70">
        <v>12</v>
      </c>
      <c r="AC78" s="71" t="s">
        <v>181</v>
      </c>
      <c r="AF78"/>
      <c r="AG78"/>
    </row>
    <row r="79" spans="1:33" s="45" customFormat="1">
      <c r="A79" s="1">
        <v>132</v>
      </c>
      <c r="B79" s="46" t="str">
        <f t="shared" si="3"/>
        <v>139Евглевская Ольга Борисовна</v>
      </c>
      <c r="C79" s="46">
        <v>139</v>
      </c>
      <c r="D79" s="46" t="s">
        <v>77</v>
      </c>
      <c r="E79" s="1">
        <v>132</v>
      </c>
      <c r="F79" s="45">
        <f t="shared" si="4"/>
        <v>0</v>
      </c>
      <c r="V79" s="45" t="s">
        <v>230</v>
      </c>
      <c r="W79" s="47">
        <v>1</v>
      </c>
      <c r="AA79" s="70">
        <v>78</v>
      </c>
      <c r="AB79" s="70">
        <v>12</v>
      </c>
      <c r="AC79" s="71" t="s">
        <v>181</v>
      </c>
      <c r="AF79"/>
      <c r="AG79"/>
    </row>
    <row r="80" spans="1:33" s="45" customFormat="1">
      <c r="A80" s="1">
        <v>159</v>
      </c>
      <c r="B80" s="46" t="str">
        <f t="shared" si="3"/>
        <v>167Евсеев Александр Сергеевич</v>
      </c>
      <c r="C80" s="46">
        <v>167</v>
      </c>
      <c r="D80" s="46" t="s">
        <v>78</v>
      </c>
      <c r="E80" s="1">
        <v>159</v>
      </c>
      <c r="F80" s="45">
        <f t="shared" si="4"/>
        <v>0</v>
      </c>
      <c r="V80" s="45" t="s">
        <v>232</v>
      </c>
      <c r="W80" s="47">
        <v>1</v>
      </c>
      <c r="AA80" s="70">
        <v>79</v>
      </c>
      <c r="AB80" s="70">
        <v>12</v>
      </c>
      <c r="AC80" s="71" t="s">
        <v>181</v>
      </c>
      <c r="AF80"/>
      <c r="AG80"/>
    </row>
    <row r="81" spans="1:33" s="45" customFormat="1">
      <c r="A81" s="1">
        <v>181</v>
      </c>
      <c r="B81" s="46" t="str">
        <f t="shared" si="3"/>
        <v xml:space="preserve">189Елисеев Сергей Вячеславович          </v>
      </c>
      <c r="C81" s="46">
        <v>189</v>
      </c>
      <c r="D81" s="46" t="s">
        <v>79</v>
      </c>
      <c r="E81" s="1">
        <v>181</v>
      </c>
      <c r="F81" s="45">
        <f t="shared" si="4"/>
        <v>0</v>
      </c>
      <c r="V81" s="45" t="s">
        <v>237</v>
      </c>
      <c r="W81" s="47">
        <v>1</v>
      </c>
      <c r="AA81" s="70">
        <v>80</v>
      </c>
      <c r="AB81" s="70">
        <v>12</v>
      </c>
      <c r="AC81" s="71" t="s">
        <v>181</v>
      </c>
      <c r="AF81"/>
      <c r="AG81"/>
    </row>
    <row r="82" spans="1:33" s="45" customFormat="1" ht="25.5">
      <c r="A82" s="1">
        <v>284</v>
      </c>
      <c r="B82" s="46" t="str">
        <f t="shared" si="3"/>
        <v>296Епанчинцева Людмила Филипповна</v>
      </c>
      <c r="C82" s="46">
        <v>296</v>
      </c>
      <c r="D82" s="46" t="s">
        <v>80</v>
      </c>
      <c r="E82" s="1">
        <v>284</v>
      </c>
      <c r="F82" s="45">
        <f t="shared" si="4"/>
        <v>0</v>
      </c>
      <c r="V82" s="45" t="s">
        <v>135</v>
      </c>
      <c r="W82" s="47">
        <v>1</v>
      </c>
      <c r="AA82" s="70">
        <v>81</v>
      </c>
      <c r="AB82" s="70">
        <v>2</v>
      </c>
      <c r="AC82" s="71" t="s">
        <v>2</v>
      </c>
      <c r="AF82"/>
      <c r="AG82"/>
    </row>
    <row r="83" spans="1:33" s="45" customFormat="1" ht="25.5">
      <c r="A83" s="1">
        <v>264</v>
      </c>
      <c r="B83" s="46" t="str">
        <f t="shared" si="3"/>
        <v>277Еременко Виктор Александрович (Валентина)</v>
      </c>
      <c r="C83" s="46">
        <v>277</v>
      </c>
      <c r="D83" s="46" t="s">
        <v>81</v>
      </c>
      <c r="E83" s="1">
        <v>264</v>
      </c>
      <c r="F83" s="45">
        <f t="shared" si="4"/>
        <v>0</v>
      </c>
      <c r="V83" s="45" t="s">
        <v>242</v>
      </c>
      <c r="W83" s="47">
        <v>1</v>
      </c>
      <c r="AA83" s="70">
        <v>82</v>
      </c>
      <c r="AB83" s="70">
        <v>2</v>
      </c>
      <c r="AC83" s="71" t="s">
        <v>2</v>
      </c>
      <c r="AF83"/>
      <c r="AG83"/>
    </row>
    <row r="84" spans="1:33" s="45" customFormat="1">
      <c r="A84" s="1">
        <v>32</v>
      </c>
      <c r="B84" s="46" t="str">
        <f t="shared" si="3"/>
        <v>32Ермакова Татьяна Викторовна</v>
      </c>
      <c r="C84" s="46">
        <v>32</v>
      </c>
      <c r="D84" s="46" t="s">
        <v>82</v>
      </c>
      <c r="E84" s="1">
        <v>32</v>
      </c>
      <c r="F84" s="45">
        <f t="shared" si="4"/>
        <v>0</v>
      </c>
      <c r="V84" s="45" t="s">
        <v>3</v>
      </c>
      <c r="W84" s="47">
        <v>1</v>
      </c>
      <c r="AA84" s="70">
        <v>83</v>
      </c>
      <c r="AB84" s="70">
        <v>2</v>
      </c>
      <c r="AC84" s="71" t="s">
        <v>2</v>
      </c>
      <c r="AF84"/>
      <c r="AG84"/>
    </row>
    <row r="85" spans="1:33" s="45" customFormat="1" ht="25.5">
      <c r="A85" s="1">
        <v>49</v>
      </c>
      <c r="B85" s="46" t="str">
        <f t="shared" si="3"/>
        <v>49Ермолаева Виктория Александровна</v>
      </c>
      <c r="C85" s="46">
        <v>49</v>
      </c>
      <c r="D85" s="46" t="s">
        <v>83</v>
      </c>
      <c r="E85" s="1">
        <v>49</v>
      </c>
      <c r="F85" s="45">
        <f t="shared" si="4"/>
        <v>0</v>
      </c>
      <c r="V85" s="45" t="s">
        <v>248</v>
      </c>
      <c r="W85" s="47">
        <v>1</v>
      </c>
      <c r="AA85" s="70">
        <v>84</v>
      </c>
      <c r="AB85" s="70">
        <v>2</v>
      </c>
      <c r="AC85" s="71" t="s">
        <v>2</v>
      </c>
      <c r="AF85"/>
      <c r="AG85"/>
    </row>
    <row r="86" spans="1:33" s="45" customFormat="1" ht="25.5">
      <c r="A86" s="1">
        <v>234</v>
      </c>
      <c r="B86" s="46" t="str">
        <f t="shared" si="3"/>
        <v>243-244Ермошина Татьяна Евгеньевна (Владимир)</v>
      </c>
      <c r="C86" s="46" t="s">
        <v>85</v>
      </c>
      <c r="D86" s="46" t="s">
        <v>84</v>
      </c>
      <c r="E86" s="1">
        <v>234</v>
      </c>
      <c r="F86" s="45">
        <f t="shared" si="4"/>
        <v>1</v>
      </c>
      <c r="V86" s="45" t="s">
        <v>127</v>
      </c>
      <c r="W86" s="47">
        <v>1</v>
      </c>
      <c r="AA86" s="70">
        <v>85</v>
      </c>
      <c r="AB86" s="70">
        <v>2</v>
      </c>
      <c r="AC86" s="71" t="s">
        <v>2</v>
      </c>
      <c r="AF86"/>
      <c r="AG86"/>
    </row>
    <row r="87" spans="1:33" s="45" customFormat="1" ht="25.5">
      <c r="A87" s="1">
        <v>234</v>
      </c>
      <c r="B87" s="46" t="str">
        <f t="shared" si="3"/>
        <v>244Ермошина Татьяна Евгеньевна (Владимир)</v>
      </c>
      <c r="C87" s="46">
        <v>244</v>
      </c>
      <c r="D87" s="46" t="s">
        <v>84</v>
      </c>
      <c r="E87" s="1">
        <v>234</v>
      </c>
      <c r="F87" s="45">
        <f t="shared" si="4"/>
        <v>1</v>
      </c>
      <c r="V87" s="45" t="s">
        <v>251</v>
      </c>
      <c r="W87" s="47">
        <v>1</v>
      </c>
      <c r="AA87" s="70">
        <v>86</v>
      </c>
      <c r="AB87" s="70">
        <v>2</v>
      </c>
      <c r="AC87" s="71" t="s">
        <v>2</v>
      </c>
      <c r="AF87"/>
      <c r="AG87"/>
    </row>
    <row r="88" spans="1:33" s="45" customFormat="1" ht="25.5">
      <c r="A88" s="1">
        <v>234</v>
      </c>
      <c r="B88" s="46" t="str">
        <f t="shared" si="3"/>
        <v>243Ермошина Татьяна Евгеньевна (Владимир)</v>
      </c>
      <c r="C88" s="46">
        <v>243</v>
      </c>
      <c r="D88" s="46" t="s">
        <v>84</v>
      </c>
      <c r="E88" s="1">
        <v>234</v>
      </c>
      <c r="F88" s="45">
        <f t="shared" si="4"/>
        <v>1</v>
      </c>
      <c r="V88" s="45" t="s">
        <v>267</v>
      </c>
      <c r="W88" s="47">
        <v>1</v>
      </c>
      <c r="AA88" s="70">
        <v>87</v>
      </c>
      <c r="AB88" s="70">
        <v>2</v>
      </c>
      <c r="AC88" s="71" t="s">
        <v>2</v>
      </c>
      <c r="AF88"/>
      <c r="AG88"/>
    </row>
    <row r="89" spans="1:33" s="45" customFormat="1">
      <c r="A89" s="1">
        <v>254</v>
      </c>
      <c r="B89" s="46" t="str">
        <f t="shared" si="3"/>
        <v>267Ершова Виктория Львовна</v>
      </c>
      <c r="C89" s="46">
        <v>267</v>
      </c>
      <c r="D89" s="46" t="s">
        <v>86</v>
      </c>
      <c r="E89" s="1">
        <v>254</v>
      </c>
      <c r="F89" s="45">
        <f t="shared" si="4"/>
        <v>0</v>
      </c>
      <c r="V89" s="45" t="s">
        <v>257</v>
      </c>
      <c r="W89" s="47">
        <v>1</v>
      </c>
      <c r="AA89" s="70">
        <v>88</v>
      </c>
      <c r="AB89" s="70">
        <v>2</v>
      </c>
      <c r="AC89" s="71" t="s">
        <v>2</v>
      </c>
      <c r="AF89"/>
      <c r="AG89"/>
    </row>
    <row r="90" spans="1:33" s="45" customFormat="1">
      <c r="A90" s="1">
        <v>230</v>
      </c>
      <c r="B90" s="46" t="str">
        <f t="shared" si="3"/>
        <v>257Жарикова Светлана Юрьевна</v>
      </c>
      <c r="C90" s="46">
        <v>257</v>
      </c>
      <c r="D90" s="46" t="s">
        <v>87</v>
      </c>
      <c r="E90" s="1">
        <v>230</v>
      </c>
      <c r="F90" s="45">
        <f t="shared" si="4"/>
        <v>1</v>
      </c>
      <c r="V90" s="45" t="s">
        <v>255</v>
      </c>
      <c r="W90" s="47">
        <v>1</v>
      </c>
      <c r="AA90" s="70">
        <v>89</v>
      </c>
      <c r="AB90" s="70">
        <v>2</v>
      </c>
      <c r="AC90" s="71" t="s">
        <v>2</v>
      </c>
      <c r="AF90"/>
      <c r="AG90"/>
    </row>
    <row r="91" spans="1:33" s="45" customFormat="1">
      <c r="A91" s="1">
        <v>230</v>
      </c>
      <c r="B91" s="46" t="str">
        <f t="shared" si="3"/>
        <v>239Жарикова Светлана Юрьевна</v>
      </c>
      <c r="C91" s="46">
        <v>239</v>
      </c>
      <c r="D91" s="46" t="s">
        <v>87</v>
      </c>
      <c r="E91" s="1">
        <v>230</v>
      </c>
      <c r="F91" s="45">
        <f t="shared" si="4"/>
        <v>1</v>
      </c>
      <c r="V91" s="45" t="s">
        <v>258</v>
      </c>
      <c r="W91" s="47">
        <v>1</v>
      </c>
      <c r="AA91" s="70">
        <v>90</v>
      </c>
      <c r="AB91" s="70">
        <v>2</v>
      </c>
      <c r="AC91" s="71" t="s">
        <v>2</v>
      </c>
      <c r="AF91"/>
      <c r="AG91"/>
    </row>
    <row r="92" spans="1:33" s="45" customFormat="1">
      <c r="A92" s="1">
        <v>4</v>
      </c>
      <c r="B92" s="46" t="str">
        <f t="shared" si="3"/>
        <v>4Жигунов Юрий Александрович</v>
      </c>
      <c r="C92" s="46">
        <v>4</v>
      </c>
      <c r="D92" s="46" t="s">
        <v>88</v>
      </c>
      <c r="E92" s="1">
        <v>4</v>
      </c>
      <c r="F92" s="45">
        <f t="shared" si="4"/>
        <v>0</v>
      </c>
      <c r="V92" s="45" t="s">
        <v>201</v>
      </c>
      <c r="W92" s="47">
        <v>1</v>
      </c>
      <c r="AA92" s="70">
        <v>91</v>
      </c>
      <c r="AB92" s="70">
        <v>2</v>
      </c>
      <c r="AC92" s="71" t="s">
        <v>2</v>
      </c>
      <c r="AF92"/>
      <c r="AG92"/>
    </row>
    <row r="93" spans="1:33" s="45" customFormat="1">
      <c r="A93" s="1">
        <v>213</v>
      </c>
      <c r="B93" s="46" t="str">
        <f t="shared" si="3"/>
        <v>222Жирная Татьяна Сергеевна</v>
      </c>
      <c r="C93" s="46">
        <v>222</v>
      </c>
      <c r="D93" s="46" t="s">
        <v>89</v>
      </c>
      <c r="E93" s="1">
        <v>213</v>
      </c>
      <c r="F93" s="45">
        <f t="shared" si="4"/>
        <v>0</v>
      </c>
      <c r="V93" s="45" t="s">
        <v>259</v>
      </c>
      <c r="W93" s="47">
        <v>1</v>
      </c>
      <c r="AA93" s="70">
        <v>92</v>
      </c>
      <c r="AB93" s="70">
        <v>2</v>
      </c>
      <c r="AC93" s="71" t="s">
        <v>2</v>
      </c>
      <c r="AF93"/>
      <c r="AG93"/>
    </row>
    <row r="94" spans="1:33" s="45" customFormat="1">
      <c r="A94" s="1">
        <v>127</v>
      </c>
      <c r="B94" s="46" t="str">
        <f t="shared" si="3"/>
        <v>132Жохова Елена Сергеевна</v>
      </c>
      <c r="C94" s="46">
        <v>132</v>
      </c>
      <c r="D94" s="46" t="s">
        <v>90</v>
      </c>
      <c r="E94" s="1">
        <v>127</v>
      </c>
      <c r="F94" s="45">
        <f t="shared" si="4"/>
        <v>0</v>
      </c>
      <c r="V94" s="45" t="s">
        <v>79</v>
      </c>
      <c r="W94" s="47">
        <v>1</v>
      </c>
      <c r="AA94" s="70">
        <v>93</v>
      </c>
      <c r="AB94" s="70">
        <v>2</v>
      </c>
      <c r="AC94" s="71" t="s">
        <v>2</v>
      </c>
      <c r="AF94"/>
      <c r="AG94"/>
    </row>
    <row r="95" spans="1:33" s="45" customFormat="1" ht="25.5">
      <c r="A95" s="1">
        <v>66</v>
      </c>
      <c r="B95" s="46" t="str">
        <f t="shared" si="3"/>
        <v>68Заборская Светлана Анатольевна (Андрей)</v>
      </c>
      <c r="C95" s="46">
        <v>68</v>
      </c>
      <c r="D95" s="46" t="s">
        <v>91</v>
      </c>
      <c r="E95" s="1">
        <v>66</v>
      </c>
      <c r="F95" s="45">
        <f t="shared" si="4"/>
        <v>0</v>
      </c>
      <c r="V95" s="45" t="s">
        <v>262</v>
      </c>
      <c r="W95" s="47">
        <v>1</v>
      </c>
      <c r="AA95" s="70">
        <v>94</v>
      </c>
      <c r="AB95" s="70">
        <v>2</v>
      </c>
      <c r="AC95" s="71" t="s">
        <v>2</v>
      </c>
      <c r="AF95"/>
      <c r="AG95"/>
    </row>
    <row r="96" spans="1:33" s="45" customFormat="1" ht="25.5">
      <c r="A96" s="1">
        <v>36</v>
      </c>
      <c r="B96" s="46" t="str">
        <f t="shared" si="3"/>
        <v>36Закревская Марина Владимировна</v>
      </c>
      <c r="C96" s="46">
        <v>36</v>
      </c>
      <c r="D96" s="46" t="s">
        <v>92</v>
      </c>
      <c r="E96" s="1">
        <v>36</v>
      </c>
      <c r="F96" s="45">
        <f t="shared" si="4"/>
        <v>0</v>
      </c>
      <c r="V96" s="45" t="s">
        <v>172</v>
      </c>
      <c r="W96" s="47">
        <v>1</v>
      </c>
      <c r="AA96" s="70">
        <v>95</v>
      </c>
      <c r="AB96" s="70">
        <v>2</v>
      </c>
      <c r="AC96" s="71" t="s">
        <v>2</v>
      </c>
      <c r="AF96"/>
      <c r="AG96"/>
    </row>
    <row r="97" spans="1:33" s="45" customFormat="1" ht="25.5">
      <c r="A97" s="1">
        <v>38</v>
      </c>
      <c r="B97" s="46" t="str">
        <f t="shared" si="3"/>
        <v>255Заручинский Вячеслав Владимирович</v>
      </c>
      <c r="C97" s="46">
        <v>255</v>
      </c>
      <c r="D97" s="46" t="s">
        <v>93</v>
      </c>
      <c r="E97" s="1">
        <v>38</v>
      </c>
      <c r="F97" s="45">
        <f t="shared" si="4"/>
        <v>1</v>
      </c>
      <c r="V97" s="45" t="s">
        <v>271</v>
      </c>
      <c r="W97" s="47">
        <v>1</v>
      </c>
      <c r="AA97" s="70">
        <v>96</v>
      </c>
      <c r="AB97" s="70">
        <v>2</v>
      </c>
      <c r="AC97" s="71" t="s">
        <v>2</v>
      </c>
      <c r="AF97"/>
      <c r="AG97"/>
    </row>
    <row r="98" spans="1:33" s="45" customFormat="1" ht="25.5">
      <c r="A98" s="1">
        <v>38</v>
      </c>
      <c r="B98" s="46" t="str">
        <f t="shared" si="3"/>
        <v>38Заручинский Вячеслав Владимирович</v>
      </c>
      <c r="C98" s="46">
        <v>38</v>
      </c>
      <c r="D98" s="46" t="s">
        <v>93</v>
      </c>
      <c r="E98" s="1">
        <v>38</v>
      </c>
      <c r="F98" s="45">
        <f t="shared" si="4"/>
        <v>1</v>
      </c>
      <c r="V98" s="45" t="s">
        <v>19</v>
      </c>
      <c r="W98" s="47">
        <v>1</v>
      </c>
      <c r="AA98" s="70">
        <v>97</v>
      </c>
      <c r="AB98" s="70">
        <v>2</v>
      </c>
      <c r="AC98" s="71" t="s">
        <v>2</v>
      </c>
      <c r="AF98"/>
      <c r="AG98"/>
    </row>
    <row r="99" spans="1:33" s="45" customFormat="1" ht="25.5">
      <c r="A99" s="1">
        <v>12</v>
      </c>
      <c r="B99" s="46" t="str">
        <f t="shared" si="3"/>
        <v>12Захаренкова Светлана Евгеньевна</v>
      </c>
      <c r="C99" s="46">
        <v>12</v>
      </c>
      <c r="D99" s="46" t="s">
        <v>94</v>
      </c>
      <c r="E99" s="1">
        <v>12</v>
      </c>
      <c r="F99" s="45">
        <f t="shared" si="4"/>
        <v>0</v>
      </c>
      <c r="V99" s="45" t="s">
        <v>272</v>
      </c>
      <c r="W99" s="47">
        <v>1</v>
      </c>
      <c r="AA99" s="70">
        <v>98</v>
      </c>
      <c r="AB99" s="70">
        <v>2</v>
      </c>
      <c r="AC99" s="71" t="s">
        <v>2</v>
      </c>
      <c r="AF99"/>
      <c r="AG99"/>
    </row>
    <row r="100" spans="1:33" s="45" customFormat="1">
      <c r="A100" s="1">
        <v>63</v>
      </c>
      <c r="B100" s="46" t="str">
        <f t="shared" si="3"/>
        <v>65Захаров Михаил Сергеевич</v>
      </c>
      <c r="C100" s="46">
        <v>65</v>
      </c>
      <c r="D100" s="46" t="s">
        <v>95</v>
      </c>
      <c r="E100" s="1">
        <v>63</v>
      </c>
      <c r="F100" s="45">
        <f t="shared" si="4"/>
        <v>0</v>
      </c>
      <c r="V100" s="45" t="s">
        <v>216</v>
      </c>
      <c r="W100" s="47">
        <v>1</v>
      </c>
      <c r="AA100" s="70">
        <v>99</v>
      </c>
      <c r="AB100" s="70">
        <v>2</v>
      </c>
      <c r="AC100" s="71" t="s">
        <v>2</v>
      </c>
      <c r="AF100"/>
      <c r="AG100"/>
    </row>
    <row r="101" spans="1:33" s="45" customFormat="1">
      <c r="A101" s="1">
        <v>16</v>
      </c>
      <c r="B101" s="46" t="str">
        <f t="shared" si="3"/>
        <v>16Захарова Людмила Захаровна</v>
      </c>
      <c r="C101" s="46">
        <v>16</v>
      </c>
      <c r="D101" s="46" t="s">
        <v>96</v>
      </c>
      <c r="E101" s="1">
        <v>16</v>
      </c>
      <c r="F101" s="45">
        <f t="shared" si="4"/>
        <v>0</v>
      </c>
      <c r="V101" s="45" t="s">
        <v>275</v>
      </c>
      <c r="W101" s="47">
        <v>1</v>
      </c>
      <c r="AA101" s="70">
        <v>100</v>
      </c>
      <c r="AB101" s="70">
        <v>2</v>
      </c>
      <c r="AC101" s="71" t="s">
        <v>2</v>
      </c>
      <c r="AF101"/>
      <c r="AG101"/>
    </row>
    <row r="102" spans="1:33" s="45" customFormat="1">
      <c r="A102" s="1">
        <v>121</v>
      </c>
      <c r="B102" s="46" t="str">
        <f t="shared" si="3"/>
        <v>126Зиннатов Рафаэль Шакурович</v>
      </c>
      <c r="C102" s="46">
        <v>126</v>
      </c>
      <c r="D102" s="46" t="s">
        <v>97</v>
      </c>
      <c r="E102" s="1">
        <v>121</v>
      </c>
      <c r="F102" s="45">
        <f t="shared" si="4"/>
        <v>0</v>
      </c>
      <c r="V102" s="45" t="s">
        <v>76</v>
      </c>
      <c r="W102" s="47">
        <v>1</v>
      </c>
      <c r="AA102" s="70">
        <v>101</v>
      </c>
      <c r="AB102" s="70">
        <v>1</v>
      </c>
      <c r="AC102" s="71" t="s">
        <v>645</v>
      </c>
      <c r="AF102"/>
      <c r="AG102"/>
    </row>
    <row r="103" spans="1:33" s="45" customFormat="1">
      <c r="A103" s="1">
        <v>156</v>
      </c>
      <c r="B103" s="46" t="str">
        <f t="shared" si="3"/>
        <v>164Иваненко Петр Олегович</v>
      </c>
      <c r="C103" s="46">
        <v>164</v>
      </c>
      <c r="D103" s="46" t="s">
        <v>98</v>
      </c>
      <c r="E103" s="1">
        <v>156</v>
      </c>
      <c r="F103" s="45">
        <f t="shared" si="4"/>
        <v>0</v>
      </c>
      <c r="V103" s="45" t="s">
        <v>276</v>
      </c>
      <c r="W103" s="47">
        <v>1</v>
      </c>
      <c r="AA103" s="70">
        <v>102</v>
      </c>
      <c r="AB103" s="70">
        <v>1</v>
      </c>
      <c r="AC103" s="71" t="s">
        <v>645</v>
      </c>
      <c r="AF103"/>
      <c r="AG103"/>
    </row>
    <row r="104" spans="1:33" s="45" customFormat="1">
      <c r="A104" s="1">
        <v>5</v>
      </c>
      <c r="B104" s="46" t="str">
        <f t="shared" si="3"/>
        <v>5Иванов Владимир Николаевич</v>
      </c>
      <c r="C104" s="46">
        <v>5</v>
      </c>
      <c r="D104" s="46" t="s">
        <v>99</v>
      </c>
      <c r="E104" s="1">
        <v>5</v>
      </c>
      <c r="F104" s="45">
        <f t="shared" si="4"/>
        <v>0</v>
      </c>
      <c r="V104" s="45" t="s">
        <v>188</v>
      </c>
      <c r="W104" s="47">
        <v>1</v>
      </c>
      <c r="AA104" s="70">
        <v>103</v>
      </c>
      <c r="AB104" s="70">
        <v>1</v>
      </c>
      <c r="AC104" s="71" t="s">
        <v>645</v>
      </c>
      <c r="AF104"/>
      <c r="AG104"/>
    </row>
    <row r="105" spans="1:33" s="45" customFormat="1">
      <c r="A105" s="1">
        <v>214</v>
      </c>
      <c r="B105" s="46" t="str">
        <f t="shared" si="3"/>
        <v>223Иванов Денис Сильвестрович</v>
      </c>
      <c r="C105" s="46">
        <v>223</v>
      </c>
      <c r="D105" s="46" t="s">
        <v>100</v>
      </c>
      <c r="E105" s="1">
        <v>214</v>
      </c>
      <c r="F105" s="45">
        <f t="shared" si="4"/>
        <v>0</v>
      </c>
      <c r="V105" s="45" t="s">
        <v>281</v>
      </c>
      <c r="W105" s="47">
        <v>1</v>
      </c>
      <c r="AA105" s="70">
        <v>104</v>
      </c>
      <c r="AB105" s="70">
        <v>1</v>
      </c>
      <c r="AC105" s="71" t="s">
        <v>645</v>
      </c>
      <c r="AF105"/>
      <c r="AG105"/>
    </row>
    <row r="106" spans="1:33" s="45" customFormat="1">
      <c r="A106" s="1">
        <v>279</v>
      </c>
      <c r="B106" s="46" t="str">
        <f t="shared" si="3"/>
        <v>291Иванова Светлана Сергеевна</v>
      </c>
      <c r="C106" s="46">
        <v>291</v>
      </c>
      <c r="D106" s="46" t="s">
        <v>101</v>
      </c>
      <c r="E106" s="1">
        <v>279</v>
      </c>
      <c r="F106" s="45">
        <f t="shared" si="4"/>
        <v>0</v>
      </c>
      <c r="V106" s="45" t="s">
        <v>110</v>
      </c>
      <c r="W106" s="47">
        <v>1</v>
      </c>
      <c r="AA106" s="70">
        <v>105</v>
      </c>
      <c r="AB106" s="70">
        <v>1</v>
      </c>
      <c r="AC106" s="71" t="s">
        <v>645</v>
      </c>
      <c r="AF106"/>
      <c r="AG106"/>
    </row>
    <row r="107" spans="1:33" s="45" customFormat="1">
      <c r="A107" s="1">
        <v>197</v>
      </c>
      <c r="B107" s="46" t="str">
        <f t="shared" si="3"/>
        <v>205Иванова Татьяна Викторовна</v>
      </c>
      <c r="C107" s="46">
        <v>205</v>
      </c>
      <c r="D107" s="46" t="s">
        <v>102</v>
      </c>
      <c r="E107" s="1">
        <v>197</v>
      </c>
      <c r="F107" s="45">
        <f t="shared" si="4"/>
        <v>0</v>
      </c>
      <c r="V107" s="45" t="s">
        <v>282</v>
      </c>
      <c r="W107" s="47">
        <v>1</v>
      </c>
      <c r="AA107" s="70">
        <v>106</v>
      </c>
      <c r="AB107" s="70">
        <v>1</v>
      </c>
      <c r="AC107" s="71" t="s">
        <v>645</v>
      </c>
      <c r="AF107"/>
      <c r="AG107"/>
    </row>
    <row r="108" spans="1:33" s="45" customFormat="1">
      <c r="A108" s="1">
        <v>295</v>
      </c>
      <c r="B108" s="46" t="str">
        <f t="shared" si="3"/>
        <v>310Измайлов Михаил Михайлович</v>
      </c>
      <c r="C108" s="46">
        <v>310</v>
      </c>
      <c r="D108" s="46" t="s">
        <v>103</v>
      </c>
      <c r="E108" s="1">
        <v>295</v>
      </c>
      <c r="F108" s="45">
        <f t="shared" si="4"/>
        <v>0</v>
      </c>
      <c r="V108" s="45" t="s">
        <v>170</v>
      </c>
      <c r="W108" s="47">
        <v>1</v>
      </c>
      <c r="AA108" s="70">
        <v>107</v>
      </c>
      <c r="AB108" s="70">
        <v>1</v>
      </c>
      <c r="AC108" s="71" t="s">
        <v>645</v>
      </c>
      <c r="AF108"/>
      <c r="AG108"/>
    </row>
    <row r="109" spans="1:33" s="45" customFormat="1">
      <c r="A109" s="1">
        <v>196</v>
      </c>
      <c r="B109" s="46" t="str">
        <f t="shared" si="3"/>
        <v>204Казарин Сергей Викторович</v>
      </c>
      <c r="C109" s="46">
        <v>204</v>
      </c>
      <c r="D109" s="46" t="s">
        <v>104</v>
      </c>
      <c r="E109" s="1">
        <v>196</v>
      </c>
      <c r="F109" s="45">
        <f t="shared" si="4"/>
        <v>0</v>
      </c>
      <c r="V109" s="45" t="s">
        <v>288</v>
      </c>
      <c r="W109" s="47">
        <v>1</v>
      </c>
      <c r="AA109" s="70">
        <v>108</v>
      </c>
      <c r="AB109" s="70">
        <v>1</v>
      </c>
      <c r="AC109" s="71" t="s">
        <v>645</v>
      </c>
      <c r="AF109"/>
      <c r="AG109"/>
    </row>
    <row r="110" spans="1:33" s="45" customFormat="1" ht="38.25">
      <c r="A110" s="1">
        <v>124</v>
      </c>
      <c r="B110" s="46" t="str">
        <f t="shared" si="3"/>
        <v>129Казымов Горхмаз Гамид/Лавренчук Александр Владиславович</v>
      </c>
      <c r="C110" s="46">
        <v>129</v>
      </c>
      <c r="D110" s="46" t="s">
        <v>105</v>
      </c>
      <c r="E110" s="1">
        <v>124</v>
      </c>
      <c r="F110" s="45">
        <f t="shared" si="4"/>
        <v>0</v>
      </c>
      <c r="V110" s="45" t="s">
        <v>82</v>
      </c>
      <c r="W110" s="47">
        <v>1</v>
      </c>
      <c r="AA110" s="70">
        <v>109</v>
      </c>
      <c r="AB110" s="70">
        <v>1</v>
      </c>
      <c r="AC110" s="71" t="s">
        <v>645</v>
      </c>
      <c r="AF110"/>
      <c r="AG110"/>
    </row>
    <row r="111" spans="1:33" s="45" customFormat="1">
      <c r="A111" s="1">
        <v>250</v>
      </c>
      <c r="B111" s="46" t="str">
        <f t="shared" si="3"/>
        <v>261Каляникова Наталья Сергеевна</v>
      </c>
      <c r="C111" s="46">
        <v>261</v>
      </c>
      <c r="D111" s="46" t="s">
        <v>106</v>
      </c>
      <c r="E111" s="1">
        <v>250</v>
      </c>
      <c r="F111" s="45">
        <f t="shared" si="4"/>
        <v>0</v>
      </c>
      <c r="V111" s="45" t="s">
        <v>289</v>
      </c>
      <c r="W111" s="47">
        <v>1</v>
      </c>
      <c r="AA111" s="70">
        <v>110</v>
      </c>
      <c r="AB111" s="70">
        <v>1</v>
      </c>
      <c r="AC111" s="71" t="s">
        <v>645</v>
      </c>
      <c r="AF111"/>
      <c r="AG111"/>
    </row>
    <row r="112" spans="1:33" s="45" customFormat="1">
      <c r="A112" s="1">
        <v>153</v>
      </c>
      <c r="B112" s="46" t="str">
        <f t="shared" si="3"/>
        <v>161Канышкина Юлия Юрьевна</v>
      </c>
      <c r="C112" s="46">
        <v>161</v>
      </c>
      <c r="D112" s="46" t="s">
        <v>107</v>
      </c>
      <c r="E112" s="1">
        <v>153</v>
      </c>
      <c r="F112" s="45">
        <f t="shared" si="4"/>
        <v>0</v>
      </c>
      <c r="V112" s="45" t="s">
        <v>10</v>
      </c>
      <c r="W112" s="47">
        <v>1</v>
      </c>
      <c r="AA112" s="70">
        <v>111</v>
      </c>
      <c r="AB112" s="70">
        <v>1</v>
      </c>
      <c r="AC112" s="71" t="s">
        <v>645</v>
      </c>
      <c r="AF112"/>
      <c r="AG112"/>
    </row>
    <row r="113" spans="1:33" s="45" customFormat="1">
      <c r="A113" s="1">
        <v>106</v>
      </c>
      <c r="B113" s="46" t="str">
        <f t="shared" si="3"/>
        <v>111Карпекина Лилия Рафаэльевна</v>
      </c>
      <c r="C113" s="46">
        <v>111</v>
      </c>
      <c r="D113" s="46" t="s">
        <v>108</v>
      </c>
      <c r="E113" s="1">
        <v>106</v>
      </c>
      <c r="F113" s="45">
        <f t="shared" si="4"/>
        <v>0</v>
      </c>
      <c r="V113" s="45" t="s">
        <v>300</v>
      </c>
      <c r="W113" s="47">
        <v>1</v>
      </c>
      <c r="AA113" s="70">
        <v>112</v>
      </c>
      <c r="AB113" s="70">
        <v>1</v>
      </c>
      <c r="AC113" s="71" t="s">
        <v>645</v>
      </c>
      <c r="AF113"/>
      <c r="AG113"/>
    </row>
    <row r="114" spans="1:33" s="45" customFormat="1">
      <c r="A114" s="1">
        <v>222</v>
      </c>
      <c r="B114" s="46" t="str">
        <f t="shared" si="3"/>
        <v>231Карпова Елена Витальевна</v>
      </c>
      <c r="C114" s="46">
        <v>231</v>
      </c>
      <c r="D114" s="46" t="s">
        <v>109</v>
      </c>
      <c r="E114" s="1">
        <v>222</v>
      </c>
      <c r="F114" s="45">
        <f t="shared" si="4"/>
        <v>0</v>
      </c>
      <c r="V114" s="45" t="s">
        <v>138</v>
      </c>
      <c r="W114" s="47">
        <v>1</v>
      </c>
      <c r="AA114" s="70">
        <v>113</v>
      </c>
      <c r="AB114" s="70">
        <v>1</v>
      </c>
      <c r="AC114" s="71" t="s">
        <v>645</v>
      </c>
      <c r="AF114"/>
      <c r="AG114"/>
    </row>
    <row r="115" spans="1:33" s="45" customFormat="1">
      <c r="A115" s="1">
        <v>208</v>
      </c>
      <c r="B115" s="46" t="str">
        <f t="shared" si="3"/>
        <v>218Катушкин Роман Юрьевич</v>
      </c>
      <c r="C115" s="46">
        <v>218</v>
      </c>
      <c r="D115" s="46" t="s">
        <v>110</v>
      </c>
      <c r="E115" s="1">
        <v>208</v>
      </c>
      <c r="F115" s="45">
        <f t="shared" si="4"/>
        <v>0</v>
      </c>
      <c r="V115" s="45" t="s">
        <v>303</v>
      </c>
      <c r="W115" s="47">
        <v>1</v>
      </c>
      <c r="AA115" s="70">
        <v>114</v>
      </c>
      <c r="AB115" s="70">
        <v>1</v>
      </c>
      <c r="AC115" s="71" t="s">
        <v>645</v>
      </c>
      <c r="AF115"/>
      <c r="AG115"/>
    </row>
    <row r="116" spans="1:33" s="45" customFormat="1" ht="38.25">
      <c r="A116" s="1">
        <v>207</v>
      </c>
      <c r="B116" s="46" t="str">
        <f t="shared" si="3"/>
        <v>217Катушкин Роман Юрьевич//Валеев Артур Рашидович</v>
      </c>
      <c r="C116" s="46">
        <v>217</v>
      </c>
      <c r="D116" s="46" t="s">
        <v>111</v>
      </c>
      <c r="E116" s="1">
        <v>207</v>
      </c>
      <c r="F116" s="45">
        <f t="shared" si="4"/>
        <v>0</v>
      </c>
      <c r="V116" s="45" t="s">
        <v>23</v>
      </c>
      <c r="W116" s="47">
        <v>1</v>
      </c>
      <c r="AA116" s="70">
        <v>115</v>
      </c>
      <c r="AB116" s="70">
        <v>1</v>
      </c>
      <c r="AC116" s="71" t="s">
        <v>645</v>
      </c>
      <c r="AF116"/>
      <c r="AG116"/>
    </row>
    <row r="117" spans="1:33" s="45" customFormat="1">
      <c r="A117" s="1">
        <v>231</v>
      </c>
      <c r="B117" s="46" t="str">
        <f t="shared" si="3"/>
        <v>240Кашичкин Александр Борисович</v>
      </c>
      <c r="C117" s="46">
        <v>240</v>
      </c>
      <c r="D117" s="46" t="s">
        <v>112</v>
      </c>
      <c r="E117" s="1">
        <v>231</v>
      </c>
      <c r="F117" s="45">
        <f t="shared" si="4"/>
        <v>0</v>
      </c>
      <c r="V117" s="45" t="s">
        <v>305</v>
      </c>
      <c r="W117" s="47">
        <v>1</v>
      </c>
      <c r="AA117" s="70">
        <v>116</v>
      </c>
      <c r="AB117" s="70">
        <v>1</v>
      </c>
      <c r="AC117" s="71" t="s">
        <v>645</v>
      </c>
      <c r="AF117"/>
      <c r="AG117"/>
    </row>
    <row r="118" spans="1:33" s="45" customFormat="1" ht="25.5">
      <c r="A118" s="1">
        <v>76</v>
      </c>
      <c r="B118" s="46" t="str">
        <f t="shared" si="3"/>
        <v>82Киеня Валентина Александровна (Анатолий)</v>
      </c>
      <c r="C118" s="46">
        <v>82</v>
      </c>
      <c r="D118" s="46" t="s">
        <v>113</v>
      </c>
      <c r="E118" s="1">
        <v>76</v>
      </c>
      <c r="F118" s="45">
        <f t="shared" si="4"/>
        <v>0</v>
      </c>
      <c r="V118" s="45" t="s">
        <v>283</v>
      </c>
      <c r="W118" s="47">
        <v>1</v>
      </c>
      <c r="AA118" s="70">
        <v>117</v>
      </c>
      <c r="AB118" s="70">
        <v>1</v>
      </c>
      <c r="AC118" s="71" t="s">
        <v>645</v>
      </c>
      <c r="AF118"/>
      <c r="AG118"/>
    </row>
    <row r="119" spans="1:33" s="45" customFormat="1" ht="25.5">
      <c r="A119" s="1">
        <v>82</v>
      </c>
      <c r="B119" s="46" t="str">
        <f t="shared" si="3"/>
        <v>87Кикоть Наталья Петровна (Андрей)</v>
      </c>
      <c r="C119" s="46">
        <v>87</v>
      </c>
      <c r="D119" s="46" t="s">
        <v>114</v>
      </c>
      <c r="E119" s="1">
        <v>82</v>
      </c>
      <c r="F119" s="45">
        <f t="shared" si="4"/>
        <v>0</v>
      </c>
      <c r="V119" s="45" t="s">
        <v>306</v>
      </c>
      <c r="W119" s="47">
        <v>1</v>
      </c>
      <c r="AA119" s="70">
        <v>118</v>
      </c>
      <c r="AB119" s="70">
        <v>1</v>
      </c>
      <c r="AC119" s="71" t="s">
        <v>645</v>
      </c>
      <c r="AF119"/>
      <c r="AG119"/>
    </row>
    <row r="120" spans="1:33" s="45" customFormat="1">
      <c r="A120" s="1">
        <v>8</v>
      </c>
      <c r="B120" s="46" t="str">
        <f t="shared" si="3"/>
        <v>8Кириенко Раиса Федоровна</v>
      </c>
      <c r="C120" s="46">
        <v>8</v>
      </c>
      <c r="D120" s="46" t="s">
        <v>115</v>
      </c>
      <c r="E120" s="1">
        <v>8</v>
      </c>
      <c r="F120" s="45">
        <f t="shared" si="4"/>
        <v>0</v>
      </c>
      <c r="V120" s="45" t="s">
        <v>227</v>
      </c>
      <c r="W120" s="47">
        <v>1</v>
      </c>
      <c r="AA120" s="70">
        <v>119</v>
      </c>
      <c r="AB120" s="70">
        <v>1</v>
      </c>
      <c r="AC120" s="71" t="s">
        <v>645</v>
      </c>
      <c r="AF120"/>
      <c r="AG120"/>
    </row>
    <row r="121" spans="1:33" s="45" customFormat="1">
      <c r="A121" s="1">
        <v>149</v>
      </c>
      <c r="B121" s="46" t="str">
        <f t="shared" si="3"/>
        <v>157Кириллов Вадим Александрович</v>
      </c>
      <c r="C121" s="46">
        <v>157</v>
      </c>
      <c r="D121" s="46" t="s">
        <v>116</v>
      </c>
      <c r="E121" s="1">
        <v>149</v>
      </c>
      <c r="F121" s="45">
        <f t="shared" si="4"/>
        <v>0</v>
      </c>
      <c r="V121" s="45" t="s">
        <v>308</v>
      </c>
      <c r="W121" s="47">
        <v>1</v>
      </c>
      <c r="AA121" s="70">
        <v>120</v>
      </c>
      <c r="AB121" s="70">
        <v>1</v>
      </c>
      <c r="AC121" s="71" t="s">
        <v>645</v>
      </c>
      <c r="AF121"/>
      <c r="AG121"/>
    </row>
    <row r="122" spans="1:33" s="45" customFormat="1" ht="25.5">
      <c r="A122" s="1">
        <v>30</v>
      </c>
      <c r="B122" s="46" t="str">
        <f t="shared" si="3"/>
        <v>30Кириллов Дмитрий Александрович</v>
      </c>
      <c r="C122" s="46">
        <v>30</v>
      </c>
      <c r="D122" s="46" t="s">
        <v>117</v>
      </c>
      <c r="E122" s="1">
        <v>30</v>
      </c>
      <c r="F122" s="45">
        <f t="shared" si="4"/>
        <v>0</v>
      </c>
      <c r="V122" s="45" t="s">
        <v>175</v>
      </c>
      <c r="W122" s="47">
        <v>1</v>
      </c>
      <c r="AA122" s="70">
        <v>121</v>
      </c>
      <c r="AB122" s="70">
        <v>1</v>
      </c>
      <c r="AC122" s="71" t="s">
        <v>645</v>
      </c>
      <c r="AF122"/>
      <c r="AG122"/>
    </row>
    <row r="123" spans="1:33" s="45" customFormat="1">
      <c r="A123" s="1">
        <v>269</v>
      </c>
      <c r="B123" s="46" t="str">
        <f t="shared" si="3"/>
        <v>282Коваленко Ирина Леонидовна</v>
      </c>
      <c r="C123" s="46">
        <v>282</v>
      </c>
      <c r="D123" s="46" t="s">
        <v>118</v>
      </c>
      <c r="E123" s="1">
        <v>269</v>
      </c>
      <c r="F123" s="45">
        <f t="shared" si="4"/>
        <v>0</v>
      </c>
      <c r="V123" s="45" t="s">
        <v>309</v>
      </c>
      <c r="W123" s="47">
        <v>1</v>
      </c>
      <c r="AA123" s="70">
        <v>122</v>
      </c>
      <c r="AB123" s="70">
        <v>1</v>
      </c>
      <c r="AC123" s="71" t="s">
        <v>645</v>
      </c>
      <c r="AF123"/>
      <c r="AG123"/>
    </row>
    <row r="124" spans="1:33" s="45" customFormat="1" ht="25.5">
      <c r="A124" s="1">
        <v>271</v>
      </c>
      <c r="B124" s="46" t="str">
        <f t="shared" si="3"/>
        <v>284Кожемякин Сергей Владимирович</v>
      </c>
      <c r="C124" s="46">
        <v>284</v>
      </c>
      <c r="D124" s="46" t="s">
        <v>119</v>
      </c>
      <c r="E124" s="1">
        <v>271</v>
      </c>
      <c r="F124" s="45">
        <f t="shared" si="4"/>
        <v>0</v>
      </c>
      <c r="V124" s="45" t="s">
        <v>277</v>
      </c>
      <c r="W124" s="47">
        <v>1</v>
      </c>
      <c r="AA124" s="70">
        <v>123</v>
      </c>
      <c r="AB124" s="70">
        <v>1</v>
      </c>
      <c r="AC124" s="71" t="s">
        <v>645</v>
      </c>
      <c r="AF124"/>
      <c r="AG124"/>
    </row>
    <row r="125" spans="1:33" s="45" customFormat="1">
      <c r="A125" s="1">
        <v>265</v>
      </c>
      <c r="B125" s="46" t="str">
        <f t="shared" si="3"/>
        <v>278Козловский Алексей Гаврилович</v>
      </c>
      <c r="C125" s="46">
        <v>278</v>
      </c>
      <c r="D125" s="46" t="s">
        <v>120</v>
      </c>
      <c r="E125" s="1">
        <v>265</v>
      </c>
      <c r="F125" s="45">
        <f t="shared" si="4"/>
        <v>0</v>
      </c>
      <c r="V125" s="45" t="s">
        <v>295</v>
      </c>
      <c r="W125" s="47">
        <v>1</v>
      </c>
      <c r="AA125" s="70">
        <v>124</v>
      </c>
      <c r="AB125" s="70">
        <v>1</v>
      </c>
      <c r="AC125" s="71" t="s">
        <v>645</v>
      </c>
      <c r="AF125"/>
      <c r="AG125"/>
    </row>
    <row r="126" spans="1:33" s="45" customFormat="1" ht="25.5">
      <c r="A126" s="1">
        <v>173</v>
      </c>
      <c r="B126" s="46" t="str">
        <f t="shared" si="3"/>
        <v>181Колесников Никита Олегович(у Кряжковой Виктория Сергеевна</v>
      </c>
      <c r="C126" s="46">
        <v>181</v>
      </c>
      <c r="D126" s="46" t="s">
        <v>121</v>
      </c>
      <c r="E126" s="1">
        <v>173</v>
      </c>
      <c r="F126" s="45">
        <f t="shared" si="4"/>
        <v>0</v>
      </c>
      <c r="V126" s="45" t="s">
        <v>91</v>
      </c>
      <c r="W126" s="47">
        <v>1</v>
      </c>
      <c r="AA126" s="70">
        <v>125</v>
      </c>
      <c r="AB126" s="70">
        <v>1</v>
      </c>
      <c r="AC126" s="71" t="s">
        <v>645</v>
      </c>
      <c r="AF126"/>
      <c r="AG126"/>
    </row>
    <row r="127" spans="1:33" s="45" customFormat="1">
      <c r="A127" s="1">
        <v>305</v>
      </c>
      <c r="B127" s="46" t="str">
        <f t="shared" si="3"/>
        <v>320Колесов Вадим Владимирович</v>
      </c>
      <c r="C127" s="46">
        <v>320</v>
      </c>
      <c r="D127" s="46" t="s">
        <v>122</v>
      </c>
      <c r="E127" s="1">
        <v>305</v>
      </c>
      <c r="F127" s="45">
        <f t="shared" si="4"/>
        <v>0</v>
      </c>
      <c r="V127" s="45" t="s">
        <v>294</v>
      </c>
      <c r="W127" s="47">
        <v>1</v>
      </c>
      <c r="AA127" s="70">
        <v>126</v>
      </c>
      <c r="AB127" s="70">
        <v>1</v>
      </c>
      <c r="AC127" s="71" t="s">
        <v>645</v>
      </c>
      <c r="AF127"/>
      <c r="AG127"/>
    </row>
    <row r="128" spans="1:33" s="45" customFormat="1">
      <c r="A128" s="1">
        <v>69</v>
      </c>
      <c r="B128" s="46" t="str">
        <f t="shared" si="3"/>
        <v>76Колташ Анна Владимировна</v>
      </c>
      <c r="C128" s="46">
        <v>76</v>
      </c>
      <c r="D128" s="46" t="s">
        <v>123</v>
      </c>
      <c r="E128" s="1">
        <v>69</v>
      </c>
      <c r="F128" s="45">
        <f t="shared" si="4"/>
        <v>1</v>
      </c>
      <c r="V128" s="45" t="s">
        <v>169</v>
      </c>
      <c r="W128" s="47">
        <v>1</v>
      </c>
      <c r="AA128" s="70">
        <v>127</v>
      </c>
      <c r="AB128" s="70">
        <v>1</v>
      </c>
      <c r="AC128" s="71" t="s">
        <v>645</v>
      </c>
      <c r="AF128"/>
      <c r="AG128"/>
    </row>
    <row r="129" spans="1:33" s="45" customFormat="1">
      <c r="A129" s="1">
        <v>69</v>
      </c>
      <c r="B129" s="46" t="str">
        <f t="shared" si="3"/>
        <v>75Колташ Анна Владимировна</v>
      </c>
      <c r="C129" s="46">
        <v>75</v>
      </c>
      <c r="D129" s="46" t="s">
        <v>123</v>
      </c>
      <c r="E129" s="1">
        <v>69</v>
      </c>
      <c r="F129" s="45">
        <f t="shared" si="4"/>
        <v>1</v>
      </c>
      <c r="V129" s="45" t="s">
        <v>2</v>
      </c>
      <c r="W129" s="47">
        <v>1</v>
      </c>
      <c r="AA129" s="70">
        <v>128</v>
      </c>
      <c r="AB129" s="70">
        <v>1</v>
      </c>
      <c r="AC129" s="71" t="s">
        <v>645</v>
      </c>
      <c r="AF129"/>
      <c r="AG129"/>
    </row>
    <row r="130" spans="1:33" s="45" customFormat="1">
      <c r="A130" s="1">
        <v>1</v>
      </c>
      <c r="B130" s="46" t="str">
        <f t="shared" ref="B130:B193" si="5">CONCATENATE(C130,D130)</f>
        <v>1Колыгина Нина Николаевна</v>
      </c>
      <c r="C130" s="46">
        <v>1</v>
      </c>
      <c r="D130" s="46" t="s">
        <v>124</v>
      </c>
      <c r="E130" s="1">
        <v>1</v>
      </c>
      <c r="F130" s="45">
        <f t="shared" si="4"/>
        <v>0</v>
      </c>
      <c r="V130" s="45" t="s">
        <v>92</v>
      </c>
      <c r="W130" s="47">
        <v>1</v>
      </c>
      <c r="AA130" s="70">
        <v>129</v>
      </c>
      <c r="AB130" s="70">
        <v>1</v>
      </c>
      <c r="AC130" s="71" t="s">
        <v>645</v>
      </c>
      <c r="AF130"/>
      <c r="AG130"/>
    </row>
    <row r="131" spans="1:33" s="45" customFormat="1" ht="25.5">
      <c r="A131" s="1">
        <v>302</v>
      </c>
      <c r="B131" s="46" t="str">
        <f t="shared" si="5"/>
        <v>317Колышкина Александра Сергеевна</v>
      </c>
      <c r="C131" s="46">
        <v>317</v>
      </c>
      <c r="D131" s="46" t="s">
        <v>125</v>
      </c>
      <c r="E131" s="1">
        <v>302</v>
      </c>
      <c r="F131" s="45">
        <f t="shared" ref="F131:F194" si="6">IF(VLOOKUP(D131,$V$2:$W$299,2,FALSE)&lt;&gt;1,1,0)</f>
        <v>0</v>
      </c>
      <c r="V131" s="45" t="s">
        <v>194</v>
      </c>
      <c r="W131" s="47">
        <v>1</v>
      </c>
      <c r="AA131" s="70">
        <v>130</v>
      </c>
      <c r="AB131" s="70">
        <v>1</v>
      </c>
      <c r="AC131" s="71" t="s">
        <v>645</v>
      </c>
      <c r="AF131"/>
      <c r="AG131"/>
    </row>
    <row r="132" spans="1:33" s="45" customFormat="1">
      <c r="A132" s="1">
        <v>123</v>
      </c>
      <c r="B132" s="46" t="str">
        <f t="shared" si="5"/>
        <v>128Кондратьева Юлия Викторовна</v>
      </c>
      <c r="C132" s="46">
        <v>128</v>
      </c>
      <c r="D132" s="46" t="s">
        <v>126</v>
      </c>
      <c r="E132" s="1">
        <v>123</v>
      </c>
      <c r="F132" s="45">
        <f t="shared" si="6"/>
        <v>0</v>
      </c>
      <c r="V132" s="45" t="s">
        <v>139</v>
      </c>
      <c r="W132" s="47">
        <v>1</v>
      </c>
      <c r="AA132" s="70">
        <v>131</v>
      </c>
      <c r="AB132" s="70">
        <v>13</v>
      </c>
      <c r="AC132" s="71" t="s">
        <v>641</v>
      </c>
      <c r="AF132"/>
      <c r="AG132"/>
    </row>
    <row r="133" spans="1:33" s="45" customFormat="1" ht="25.5">
      <c r="A133" s="1">
        <v>163</v>
      </c>
      <c r="B133" s="46" t="str">
        <f t="shared" si="5"/>
        <v>171Кондратюк Наталья Петровна 1/2,  Соболев Олег Юрьевич 1/2</v>
      </c>
      <c r="C133" s="46">
        <v>171</v>
      </c>
      <c r="D133" s="46" t="s">
        <v>127</v>
      </c>
      <c r="E133" s="1">
        <v>163</v>
      </c>
      <c r="F133" s="45">
        <f t="shared" si="6"/>
        <v>0</v>
      </c>
      <c r="V133" s="45" t="s">
        <v>181</v>
      </c>
      <c r="W133" s="47">
        <v>1</v>
      </c>
      <c r="AA133" s="70">
        <v>132</v>
      </c>
      <c r="AB133" s="70">
        <v>13</v>
      </c>
      <c r="AC133" s="71" t="s">
        <v>641</v>
      </c>
      <c r="AF133"/>
      <c r="AG133"/>
    </row>
    <row r="134" spans="1:33" s="45" customFormat="1">
      <c r="A134" s="1">
        <v>110</v>
      </c>
      <c r="B134" s="46" t="str">
        <f t="shared" si="5"/>
        <v>115Кондрашов Роман Вячеславович</v>
      </c>
      <c r="C134" s="46">
        <v>115</v>
      </c>
      <c r="D134" s="46" t="s">
        <v>128</v>
      </c>
      <c r="E134" s="1">
        <v>110</v>
      </c>
      <c r="F134" s="45">
        <f t="shared" si="6"/>
        <v>0</v>
      </c>
      <c r="V134" s="45" t="s">
        <v>162</v>
      </c>
      <c r="W134" s="47">
        <v>1</v>
      </c>
      <c r="AA134" s="70">
        <v>133</v>
      </c>
      <c r="AB134" s="70">
        <v>13</v>
      </c>
      <c r="AC134" s="71" t="s">
        <v>641</v>
      </c>
      <c r="AF134"/>
      <c r="AG134"/>
    </row>
    <row r="135" spans="1:33" s="45" customFormat="1" ht="38.25">
      <c r="A135" s="1">
        <v>112</v>
      </c>
      <c r="B135" s="46" t="str">
        <f t="shared" si="5"/>
        <v>117Кондрашов Сергей Вячеславович//Балыкин Александр Иванович</v>
      </c>
      <c r="C135" s="46">
        <v>117</v>
      </c>
      <c r="D135" s="46" t="s">
        <v>129</v>
      </c>
      <c r="E135" s="1">
        <v>112</v>
      </c>
      <c r="F135" s="45">
        <f t="shared" si="6"/>
        <v>0</v>
      </c>
      <c r="V135" s="45" t="s">
        <v>114</v>
      </c>
      <c r="W135" s="47">
        <v>1</v>
      </c>
      <c r="AA135" s="70">
        <v>134</v>
      </c>
      <c r="AB135" s="70">
        <v>13</v>
      </c>
      <c r="AC135" s="71" t="s">
        <v>641</v>
      </c>
      <c r="AF135"/>
      <c r="AG135"/>
    </row>
    <row r="136" spans="1:33" s="45" customFormat="1">
      <c r="A136" s="1">
        <v>190</v>
      </c>
      <c r="B136" s="46" t="str">
        <f t="shared" si="5"/>
        <v>198Коновальцев Олег Серафимович</v>
      </c>
      <c r="C136" s="46">
        <v>198</v>
      </c>
      <c r="D136" s="46" t="s">
        <v>130</v>
      </c>
      <c r="E136" s="1">
        <v>190</v>
      </c>
      <c r="F136" s="45">
        <f t="shared" si="6"/>
        <v>0</v>
      </c>
      <c r="V136" s="45" t="s">
        <v>27</v>
      </c>
      <c r="W136" s="47">
        <v>1</v>
      </c>
      <c r="AA136" s="70">
        <v>135</v>
      </c>
      <c r="AB136" s="70">
        <v>13</v>
      </c>
      <c r="AC136" s="71" t="s">
        <v>641</v>
      </c>
      <c r="AF136"/>
      <c r="AG136"/>
    </row>
    <row r="137" spans="1:33" s="45" customFormat="1" ht="25.5">
      <c r="A137" s="1">
        <v>83</v>
      </c>
      <c r="B137" s="46" t="str">
        <f t="shared" si="5"/>
        <v>88Кононенко Алла Николаевна (Александр)</v>
      </c>
      <c r="C137" s="46">
        <v>88</v>
      </c>
      <c r="D137" s="46" t="s">
        <v>131</v>
      </c>
      <c r="E137" s="1">
        <v>83</v>
      </c>
      <c r="F137" s="45">
        <f t="shared" si="6"/>
        <v>0</v>
      </c>
      <c r="V137" s="45" t="s">
        <v>131</v>
      </c>
      <c r="W137" s="47">
        <v>1</v>
      </c>
      <c r="AA137" s="70">
        <v>136</v>
      </c>
      <c r="AB137" s="70">
        <v>13</v>
      </c>
      <c r="AC137" s="71" t="s">
        <v>641</v>
      </c>
      <c r="AF137"/>
      <c r="AG137"/>
    </row>
    <row r="138" spans="1:33" s="45" customFormat="1" ht="25.5">
      <c r="A138" s="1">
        <v>133</v>
      </c>
      <c r="B138" s="46" t="str">
        <f t="shared" si="5"/>
        <v>140Короткевич Наталья Владимировна</v>
      </c>
      <c r="C138" s="46">
        <v>140</v>
      </c>
      <c r="D138" s="46" t="s">
        <v>132</v>
      </c>
      <c r="E138" s="1">
        <v>133</v>
      </c>
      <c r="F138" s="45">
        <f t="shared" si="6"/>
        <v>0</v>
      </c>
      <c r="V138" s="45" t="s">
        <v>231</v>
      </c>
      <c r="W138" s="47">
        <v>1</v>
      </c>
      <c r="AA138" s="70">
        <v>137</v>
      </c>
      <c r="AB138" s="70">
        <v>13</v>
      </c>
      <c r="AC138" s="71" t="s">
        <v>641</v>
      </c>
      <c r="AF138"/>
      <c r="AG138"/>
    </row>
    <row r="139" spans="1:33" s="45" customFormat="1">
      <c r="A139" s="1">
        <v>202</v>
      </c>
      <c r="B139" s="46" t="str">
        <f t="shared" si="5"/>
        <v>212Корчинская Ирина Анатольевна</v>
      </c>
      <c r="C139" s="46">
        <v>212</v>
      </c>
      <c r="D139" s="46" t="s">
        <v>133</v>
      </c>
      <c r="E139" s="1">
        <v>202</v>
      </c>
      <c r="F139" s="45">
        <f t="shared" si="6"/>
        <v>0</v>
      </c>
      <c r="V139" s="45" t="s">
        <v>291</v>
      </c>
      <c r="W139" s="47">
        <v>1</v>
      </c>
      <c r="AA139" s="70">
        <v>138</v>
      </c>
      <c r="AB139" s="70">
        <v>13</v>
      </c>
      <c r="AC139" s="71" t="s">
        <v>641</v>
      </c>
      <c r="AF139"/>
      <c r="AG139"/>
    </row>
    <row r="140" spans="1:33" s="45" customFormat="1" ht="25.5">
      <c r="A140" s="1">
        <v>192</v>
      </c>
      <c r="B140" s="46" t="str">
        <f t="shared" si="5"/>
        <v>200Косенков Степан Фед-ч(Галактионова)</v>
      </c>
      <c r="C140" s="46">
        <v>200</v>
      </c>
      <c r="D140" s="46" t="s">
        <v>134</v>
      </c>
      <c r="E140" s="1">
        <v>192</v>
      </c>
      <c r="F140" s="45">
        <f t="shared" si="6"/>
        <v>0</v>
      </c>
      <c r="V140" s="45" t="s">
        <v>187</v>
      </c>
      <c r="W140" s="47">
        <v>1</v>
      </c>
      <c r="AA140" s="70">
        <v>139</v>
      </c>
      <c r="AB140" s="70">
        <v>13</v>
      </c>
      <c r="AC140" s="71" t="s">
        <v>641</v>
      </c>
      <c r="AF140"/>
      <c r="AG140"/>
    </row>
    <row r="141" spans="1:33" s="45" customFormat="1">
      <c r="A141" s="1">
        <v>289</v>
      </c>
      <c r="B141" s="46" t="str">
        <f t="shared" si="5"/>
        <v>301Косенкова Елизавета Евгеньевна</v>
      </c>
      <c r="C141" s="46">
        <v>301</v>
      </c>
      <c r="D141" s="46" t="s">
        <v>135</v>
      </c>
      <c r="E141" s="1">
        <v>289</v>
      </c>
      <c r="F141" s="45">
        <f t="shared" si="6"/>
        <v>0</v>
      </c>
      <c r="V141" s="45" t="s">
        <v>184</v>
      </c>
      <c r="W141" s="47">
        <v>1</v>
      </c>
      <c r="AA141" s="70">
        <v>140</v>
      </c>
      <c r="AB141" s="70">
        <v>13</v>
      </c>
      <c r="AC141" s="71" t="s">
        <v>641</v>
      </c>
      <c r="AF141"/>
      <c r="AG141"/>
    </row>
    <row r="142" spans="1:33" s="45" customFormat="1">
      <c r="A142" s="1">
        <v>143</v>
      </c>
      <c r="B142" s="46" t="str">
        <f t="shared" si="5"/>
        <v>151Красникова Раиса Михайловна</v>
      </c>
      <c r="C142" s="46">
        <v>151</v>
      </c>
      <c r="D142" s="46" t="s">
        <v>136</v>
      </c>
      <c r="E142" s="1">
        <v>143</v>
      </c>
      <c r="F142" s="45">
        <f t="shared" si="6"/>
        <v>0</v>
      </c>
      <c r="V142" s="45" t="s">
        <v>178</v>
      </c>
      <c r="W142" s="47">
        <v>1</v>
      </c>
      <c r="AA142" s="70">
        <v>141</v>
      </c>
      <c r="AB142" s="70">
        <v>13</v>
      </c>
      <c r="AC142" s="71" t="s">
        <v>641</v>
      </c>
      <c r="AF142"/>
      <c r="AG142"/>
    </row>
    <row r="143" spans="1:33" s="45" customFormat="1">
      <c r="A143" s="1">
        <v>62</v>
      </c>
      <c r="B143" s="46" t="str">
        <f t="shared" si="5"/>
        <v>64Кривой Владимир Аркадьевич</v>
      </c>
      <c r="C143" s="46">
        <v>64</v>
      </c>
      <c r="D143" s="46" t="s">
        <v>137</v>
      </c>
      <c r="E143" s="1">
        <v>62</v>
      </c>
      <c r="F143" s="45">
        <f t="shared" si="6"/>
        <v>0</v>
      </c>
      <c r="V143" s="45" t="s">
        <v>47</v>
      </c>
      <c r="W143" s="47">
        <v>1</v>
      </c>
      <c r="AA143" s="70">
        <v>142</v>
      </c>
      <c r="AB143" s="70">
        <v>13</v>
      </c>
      <c r="AC143" s="71" t="s">
        <v>641</v>
      </c>
      <c r="AF143"/>
      <c r="AG143"/>
    </row>
    <row r="144" spans="1:33" s="45" customFormat="1">
      <c r="A144" s="1">
        <v>225</v>
      </c>
      <c r="B144" s="46" t="str">
        <f t="shared" si="5"/>
        <v>234Крупник Андрей Валерьевич</v>
      </c>
      <c r="C144" s="46">
        <v>234</v>
      </c>
      <c r="D144" s="46" t="s">
        <v>138</v>
      </c>
      <c r="E144" s="1">
        <v>225</v>
      </c>
      <c r="F144" s="45">
        <f t="shared" si="6"/>
        <v>0</v>
      </c>
      <c r="V144" s="45" t="s">
        <v>189</v>
      </c>
      <c r="W144" s="47">
        <v>1</v>
      </c>
      <c r="AA144" s="70">
        <v>143</v>
      </c>
      <c r="AB144" s="70">
        <v>13</v>
      </c>
      <c r="AC144" s="71" t="s">
        <v>641</v>
      </c>
      <c r="AF144"/>
      <c r="AG144"/>
    </row>
    <row r="145" spans="1:33" s="45" customFormat="1" ht="25.5">
      <c r="A145" s="1">
        <v>266</v>
      </c>
      <c r="B145" s="46" t="str">
        <f t="shared" si="5"/>
        <v>279Кудревцев Евгений Александрович</v>
      </c>
      <c r="C145" s="46">
        <v>279</v>
      </c>
      <c r="D145" s="46" t="s">
        <v>139</v>
      </c>
      <c r="E145" s="1">
        <v>266</v>
      </c>
      <c r="F145" s="45">
        <f t="shared" si="6"/>
        <v>0</v>
      </c>
      <c r="V145" s="45" t="s">
        <v>160</v>
      </c>
      <c r="W145" s="47">
        <v>1</v>
      </c>
      <c r="AA145" s="70">
        <v>144</v>
      </c>
      <c r="AB145" s="70">
        <v>13</v>
      </c>
      <c r="AC145" s="71" t="s">
        <v>641</v>
      </c>
      <c r="AF145"/>
      <c r="AG145"/>
    </row>
    <row r="146" spans="1:33" s="45" customFormat="1">
      <c r="A146" s="1">
        <v>157</v>
      </c>
      <c r="B146" s="46" t="str">
        <f t="shared" si="5"/>
        <v>165Кудрявцева Наталья Викторовна</v>
      </c>
      <c r="C146" s="46">
        <v>165</v>
      </c>
      <c r="D146" s="46" t="s">
        <v>140</v>
      </c>
      <c r="E146" s="1">
        <v>157</v>
      </c>
      <c r="F146" s="45">
        <f t="shared" si="6"/>
        <v>0</v>
      </c>
      <c r="V146" s="45" t="s">
        <v>149</v>
      </c>
      <c r="W146" s="47">
        <v>1</v>
      </c>
      <c r="AA146" s="70">
        <v>145</v>
      </c>
      <c r="AB146" s="70">
        <v>13</v>
      </c>
      <c r="AC146" s="71" t="s">
        <v>641</v>
      </c>
      <c r="AF146"/>
      <c r="AG146"/>
    </row>
    <row r="147" spans="1:33" s="45" customFormat="1" ht="25.5">
      <c r="A147" s="1">
        <v>194</v>
      </c>
      <c r="B147" s="46" t="str">
        <f t="shared" si="5"/>
        <v>202Куликов Александр Владимирович</v>
      </c>
      <c r="C147" s="46">
        <v>202</v>
      </c>
      <c r="D147" s="46" t="s">
        <v>141</v>
      </c>
      <c r="E147" s="1">
        <v>194</v>
      </c>
      <c r="F147" s="45">
        <f t="shared" si="6"/>
        <v>0</v>
      </c>
      <c r="V147" s="45" t="s">
        <v>190</v>
      </c>
      <c r="W147" s="47">
        <v>1</v>
      </c>
      <c r="AA147" s="70">
        <v>146</v>
      </c>
      <c r="AB147" s="70">
        <v>13</v>
      </c>
      <c r="AC147" s="71" t="s">
        <v>641</v>
      </c>
      <c r="AF147"/>
      <c r="AG147"/>
    </row>
    <row r="148" spans="1:33" s="45" customFormat="1" ht="25.5">
      <c r="A148" s="1">
        <v>65</v>
      </c>
      <c r="B148" s="46" t="str">
        <f t="shared" si="5"/>
        <v xml:space="preserve">67Куликова Наталья Александровна </v>
      </c>
      <c r="C148" s="46">
        <v>67</v>
      </c>
      <c r="D148" s="46" t="s">
        <v>142</v>
      </c>
      <c r="E148" s="1">
        <v>65</v>
      </c>
      <c r="F148" s="45">
        <f t="shared" si="6"/>
        <v>0</v>
      </c>
      <c r="V148" s="45" t="s">
        <v>204</v>
      </c>
      <c r="W148" s="47">
        <v>1</v>
      </c>
      <c r="AA148" s="70">
        <v>147</v>
      </c>
      <c r="AB148" s="70">
        <v>13</v>
      </c>
      <c r="AC148" s="71" t="s">
        <v>641</v>
      </c>
      <c r="AF148"/>
      <c r="AG148"/>
    </row>
    <row r="149" spans="1:33" s="45" customFormat="1">
      <c r="A149" s="1">
        <v>216</v>
      </c>
      <c r="B149" s="46" t="str">
        <f t="shared" si="5"/>
        <v xml:space="preserve">226Кулиш Сергей Александрович       </v>
      </c>
      <c r="C149" s="46">
        <v>226</v>
      </c>
      <c r="D149" s="48" t="s">
        <v>143</v>
      </c>
      <c r="E149" s="1">
        <v>216</v>
      </c>
      <c r="F149" s="45">
        <f t="shared" si="6"/>
        <v>1</v>
      </c>
      <c r="V149" s="45" t="s">
        <v>44</v>
      </c>
      <c r="W149" s="47">
        <v>1</v>
      </c>
      <c r="AA149" s="70">
        <v>148</v>
      </c>
      <c r="AB149" s="70">
        <v>13</v>
      </c>
      <c r="AC149" s="71" t="s">
        <v>641</v>
      </c>
      <c r="AF149"/>
      <c r="AG149"/>
    </row>
    <row r="150" spans="1:33" s="45" customFormat="1">
      <c r="A150" s="1">
        <v>216</v>
      </c>
      <c r="B150" s="46" t="str">
        <f t="shared" si="5"/>
        <v xml:space="preserve">225Кулиш Сергей Александрович       </v>
      </c>
      <c r="C150" s="46">
        <v>225</v>
      </c>
      <c r="D150" s="48" t="s">
        <v>143</v>
      </c>
      <c r="E150" s="1">
        <v>216</v>
      </c>
      <c r="F150" s="45">
        <f t="shared" si="6"/>
        <v>1</v>
      </c>
      <c r="V150" s="45" t="s">
        <v>260</v>
      </c>
      <c r="W150" s="47">
        <v>1</v>
      </c>
      <c r="AA150" s="70">
        <v>149</v>
      </c>
      <c r="AB150" s="70">
        <v>13</v>
      </c>
      <c r="AC150" s="71" t="s">
        <v>641</v>
      </c>
      <c r="AF150"/>
      <c r="AG150"/>
    </row>
    <row r="151" spans="1:33" s="45" customFormat="1">
      <c r="A151" s="1">
        <v>56</v>
      </c>
      <c r="B151" s="46" t="str">
        <f t="shared" si="5"/>
        <v>58Кушваха Виджай Шанкар</v>
      </c>
      <c r="C151" s="46">
        <v>58</v>
      </c>
      <c r="D151" s="46" t="s">
        <v>144</v>
      </c>
      <c r="E151" s="1">
        <v>56</v>
      </c>
      <c r="F151" s="45">
        <f t="shared" si="6"/>
        <v>0</v>
      </c>
      <c r="V151" s="45" t="s">
        <v>250</v>
      </c>
      <c r="W151" s="47">
        <v>1</v>
      </c>
      <c r="AA151" s="70">
        <v>150</v>
      </c>
      <c r="AB151" s="70">
        <v>13</v>
      </c>
      <c r="AC151" s="71" t="s">
        <v>641</v>
      </c>
      <c r="AF151"/>
      <c r="AG151"/>
    </row>
    <row r="152" spans="1:33" s="45" customFormat="1">
      <c r="A152" s="1">
        <v>150</v>
      </c>
      <c r="B152" s="46" t="str">
        <f t="shared" si="5"/>
        <v>158Лайпанов Рустам Сеитбиевич</v>
      </c>
      <c r="C152" s="46">
        <v>158</v>
      </c>
      <c r="D152" s="46" t="s">
        <v>145</v>
      </c>
      <c r="E152" s="1">
        <v>150</v>
      </c>
      <c r="F152" s="45">
        <f t="shared" si="6"/>
        <v>0</v>
      </c>
      <c r="V152" s="45" t="s">
        <v>156</v>
      </c>
      <c r="W152" s="47">
        <v>1</v>
      </c>
      <c r="AA152" s="70">
        <v>151</v>
      </c>
      <c r="AB152" s="70">
        <v>13</v>
      </c>
      <c r="AC152" s="71" t="s">
        <v>641</v>
      </c>
      <c r="AF152"/>
      <c r="AG152"/>
    </row>
    <row r="153" spans="1:33" s="45" customFormat="1">
      <c r="A153" s="1">
        <v>243</v>
      </c>
      <c r="B153" s="46" t="str">
        <f t="shared" si="5"/>
        <v>254Лапшин Сергей Николаевич</v>
      </c>
      <c r="C153" s="46">
        <v>254</v>
      </c>
      <c r="D153" s="46" t="s">
        <v>146</v>
      </c>
      <c r="E153" s="1">
        <v>243</v>
      </c>
      <c r="F153" s="45">
        <f t="shared" si="6"/>
        <v>0</v>
      </c>
      <c r="V153" s="45" t="s">
        <v>48</v>
      </c>
      <c r="W153" s="47">
        <v>1</v>
      </c>
      <c r="AA153" s="70">
        <v>152</v>
      </c>
      <c r="AB153" s="70">
        <v>13</v>
      </c>
      <c r="AC153" s="71" t="s">
        <v>641</v>
      </c>
      <c r="AF153"/>
      <c r="AG153"/>
    </row>
    <row r="154" spans="1:33" s="45" customFormat="1" ht="25.5">
      <c r="A154" s="1">
        <v>220</v>
      </c>
      <c r="B154" s="46" t="str">
        <f t="shared" si="5"/>
        <v>229Ларионова Наталья Владимировна</v>
      </c>
      <c r="C154" s="46">
        <v>229</v>
      </c>
      <c r="D154" s="46" t="s">
        <v>147</v>
      </c>
      <c r="E154" s="1">
        <v>220</v>
      </c>
      <c r="F154" s="45">
        <f t="shared" si="6"/>
        <v>0</v>
      </c>
      <c r="V154" s="45" t="s">
        <v>153</v>
      </c>
      <c r="W154" s="47">
        <v>1</v>
      </c>
      <c r="AA154" s="70">
        <v>153</v>
      </c>
      <c r="AB154" s="70">
        <v>13</v>
      </c>
      <c r="AC154" s="71" t="s">
        <v>641</v>
      </c>
      <c r="AF154"/>
      <c r="AG154"/>
    </row>
    <row r="155" spans="1:33" s="45" customFormat="1">
      <c r="A155" s="1">
        <v>3</v>
      </c>
      <c r="B155" s="46" t="str">
        <f t="shared" si="5"/>
        <v>3Лебедев Андрей Анатольевич</v>
      </c>
      <c r="C155" s="46">
        <v>3</v>
      </c>
      <c r="D155" s="46" t="s">
        <v>148</v>
      </c>
      <c r="E155" s="1">
        <v>3</v>
      </c>
      <c r="F155" s="45">
        <f t="shared" si="6"/>
        <v>0</v>
      </c>
      <c r="V155" s="45" t="s">
        <v>265</v>
      </c>
      <c r="W155" s="47">
        <v>1</v>
      </c>
      <c r="AA155" s="70">
        <v>154</v>
      </c>
      <c r="AB155" s="70">
        <v>13</v>
      </c>
      <c r="AC155" s="71" t="s">
        <v>641</v>
      </c>
      <c r="AF155"/>
      <c r="AG155"/>
    </row>
    <row r="156" spans="1:33" s="45" customFormat="1">
      <c r="A156" s="1">
        <v>158</v>
      </c>
      <c r="B156" s="46" t="str">
        <f t="shared" si="5"/>
        <v>166Лебедева Елена Александровна</v>
      </c>
      <c r="C156" s="46">
        <v>166</v>
      </c>
      <c r="D156" s="46" t="s">
        <v>149</v>
      </c>
      <c r="E156" s="1">
        <v>158</v>
      </c>
      <c r="F156" s="45">
        <f t="shared" si="6"/>
        <v>0</v>
      </c>
      <c r="V156" s="45" t="s">
        <v>290</v>
      </c>
      <c r="W156" s="47">
        <v>1</v>
      </c>
      <c r="AA156" s="70">
        <v>155</v>
      </c>
      <c r="AB156" s="70">
        <v>13</v>
      </c>
      <c r="AC156" s="71" t="s">
        <v>641</v>
      </c>
      <c r="AF156"/>
      <c r="AG156"/>
    </row>
    <row r="157" spans="1:33" s="45" customFormat="1" ht="25.5">
      <c r="A157" s="1">
        <v>139</v>
      </c>
      <c r="B157" s="46" t="str">
        <f t="shared" si="5"/>
        <v>149Левина Елена Александровна (Дмитрий)</v>
      </c>
      <c r="C157" s="46">
        <v>149</v>
      </c>
      <c r="D157" s="46" t="s">
        <v>150</v>
      </c>
      <c r="E157" s="1">
        <v>139</v>
      </c>
      <c r="F157" s="45">
        <f t="shared" si="6"/>
        <v>1</v>
      </c>
      <c r="V157" s="45" t="s">
        <v>60</v>
      </c>
      <c r="W157" s="47">
        <v>1</v>
      </c>
      <c r="AA157" s="70">
        <v>156</v>
      </c>
      <c r="AB157" s="70">
        <v>3</v>
      </c>
      <c r="AC157" s="71" t="s">
        <v>13</v>
      </c>
      <c r="AF157"/>
      <c r="AG157"/>
    </row>
    <row r="158" spans="1:33" s="45" customFormat="1" ht="25.5">
      <c r="A158" s="1">
        <v>139</v>
      </c>
      <c r="B158" s="46" t="str">
        <f t="shared" si="5"/>
        <v>148Левина Елена Александровна (Дмитрий)</v>
      </c>
      <c r="C158" s="46">
        <v>148</v>
      </c>
      <c r="D158" s="46" t="s">
        <v>150</v>
      </c>
      <c r="E158" s="1">
        <v>139</v>
      </c>
      <c r="F158" s="45">
        <f t="shared" si="6"/>
        <v>1</v>
      </c>
      <c r="V158" s="45" t="s">
        <v>61</v>
      </c>
      <c r="W158" s="47">
        <v>1</v>
      </c>
      <c r="AA158" s="70">
        <v>157</v>
      </c>
      <c r="AB158" s="70">
        <v>3</v>
      </c>
      <c r="AC158" s="71" t="s">
        <v>13</v>
      </c>
      <c r="AF158"/>
      <c r="AG158"/>
    </row>
    <row r="159" spans="1:33" s="45" customFormat="1" ht="25.5">
      <c r="A159" s="1">
        <v>139</v>
      </c>
      <c r="B159" s="46" t="str">
        <f t="shared" si="5"/>
        <v>147Левина Елена Александровна (Дмитрий)</v>
      </c>
      <c r="C159" s="46">
        <v>147</v>
      </c>
      <c r="D159" s="46" t="s">
        <v>150</v>
      </c>
      <c r="E159" s="1">
        <v>139</v>
      </c>
      <c r="F159" s="45">
        <f t="shared" si="6"/>
        <v>1</v>
      </c>
      <c r="V159" s="45" t="s">
        <v>298</v>
      </c>
      <c r="W159" s="47">
        <v>1</v>
      </c>
      <c r="AA159" s="70">
        <v>158</v>
      </c>
      <c r="AB159" s="70">
        <v>3</v>
      </c>
      <c r="AC159" s="71" t="s">
        <v>13</v>
      </c>
      <c r="AF159"/>
      <c r="AG159"/>
    </row>
    <row r="160" spans="1:33" s="45" customFormat="1">
      <c r="A160" s="1">
        <v>261</v>
      </c>
      <c r="B160" s="46" t="str">
        <f t="shared" si="5"/>
        <v>275Леськов Олег Петрович</v>
      </c>
      <c r="C160" s="46">
        <v>275</v>
      </c>
      <c r="D160" s="46" t="s">
        <v>151</v>
      </c>
      <c r="E160" s="1">
        <v>261</v>
      </c>
      <c r="F160" s="45">
        <f t="shared" si="6"/>
        <v>1</v>
      </c>
      <c r="V160" s="45" t="s">
        <v>121</v>
      </c>
      <c r="W160" s="47">
        <v>1</v>
      </c>
      <c r="AA160" s="70">
        <v>159</v>
      </c>
      <c r="AB160" s="70">
        <v>3</v>
      </c>
      <c r="AC160" s="71" t="s">
        <v>13</v>
      </c>
      <c r="AF160"/>
      <c r="AG160"/>
    </row>
    <row r="161" spans="1:33" s="45" customFormat="1">
      <c r="A161" s="1">
        <v>261</v>
      </c>
      <c r="B161" s="46" t="str">
        <f t="shared" si="5"/>
        <v>274Леськов Олег Петрович</v>
      </c>
      <c r="C161" s="46">
        <v>274</v>
      </c>
      <c r="D161" s="46" t="s">
        <v>151</v>
      </c>
      <c r="E161" s="1">
        <v>261</v>
      </c>
      <c r="F161" s="45">
        <f t="shared" si="6"/>
        <v>1</v>
      </c>
      <c r="V161" s="45" t="s">
        <v>49</v>
      </c>
      <c r="W161" s="47">
        <v>1</v>
      </c>
      <c r="AA161" s="70">
        <v>160</v>
      </c>
      <c r="AB161" s="70">
        <v>3</v>
      </c>
      <c r="AC161" s="71" t="s">
        <v>13</v>
      </c>
      <c r="AF161"/>
      <c r="AG161"/>
    </row>
    <row r="162" spans="1:33" s="45" customFormat="1">
      <c r="A162" s="1">
        <v>72</v>
      </c>
      <c r="B162" s="46" t="str">
        <f t="shared" si="5"/>
        <v>78Лещёва Ольга Владимировна</v>
      </c>
      <c r="C162" s="46">
        <v>78</v>
      </c>
      <c r="D162" s="46" t="s">
        <v>21</v>
      </c>
      <c r="E162" s="1">
        <v>72</v>
      </c>
      <c r="F162" s="45">
        <f t="shared" si="6"/>
        <v>0</v>
      </c>
      <c r="V162" s="45" t="s">
        <v>70</v>
      </c>
      <c r="W162" s="47">
        <v>1</v>
      </c>
      <c r="AA162" s="70">
        <v>161</v>
      </c>
      <c r="AB162" s="70">
        <v>3</v>
      </c>
      <c r="AC162" s="71" t="s">
        <v>13</v>
      </c>
      <c r="AF162"/>
      <c r="AG162"/>
    </row>
    <row r="163" spans="1:33" s="45" customFormat="1">
      <c r="A163" s="1">
        <v>288</v>
      </c>
      <c r="B163" s="46" t="str">
        <f t="shared" si="5"/>
        <v>300Ли Наталья Сергеевна</v>
      </c>
      <c r="C163" s="46">
        <v>300</v>
      </c>
      <c r="D163" s="46" t="s">
        <v>152</v>
      </c>
      <c r="E163" s="1">
        <v>288</v>
      </c>
      <c r="F163" s="45">
        <f t="shared" si="6"/>
        <v>0</v>
      </c>
      <c r="V163" s="45" t="s">
        <v>40</v>
      </c>
      <c r="W163" s="47">
        <v>1</v>
      </c>
      <c r="AA163" s="70">
        <v>162</v>
      </c>
      <c r="AB163" s="70">
        <v>3</v>
      </c>
      <c r="AC163" s="71" t="s">
        <v>13</v>
      </c>
      <c r="AF163"/>
      <c r="AG163"/>
    </row>
    <row r="164" spans="1:33" s="45" customFormat="1" ht="25.5">
      <c r="A164" s="1">
        <v>166</v>
      </c>
      <c r="B164" s="46" t="str">
        <f t="shared" si="5"/>
        <v>174Ловыгина Татьяна Александровна</v>
      </c>
      <c r="C164" s="46">
        <v>174</v>
      </c>
      <c r="D164" s="46" t="s">
        <v>153</v>
      </c>
      <c r="E164" s="1">
        <v>166</v>
      </c>
      <c r="F164" s="45">
        <f t="shared" si="6"/>
        <v>0</v>
      </c>
      <c r="V164" s="45" t="s">
        <v>203</v>
      </c>
      <c r="W164" s="47">
        <v>1</v>
      </c>
      <c r="AA164" s="70">
        <v>163</v>
      </c>
      <c r="AB164" s="70">
        <v>3</v>
      </c>
      <c r="AC164" s="71" t="s">
        <v>13</v>
      </c>
      <c r="AF164"/>
      <c r="AG164"/>
    </row>
    <row r="165" spans="1:33" s="45" customFormat="1" ht="25.5">
      <c r="A165" s="1">
        <v>118</v>
      </c>
      <c r="B165" s="46" t="str">
        <f t="shared" si="5"/>
        <v>123Лопухинова Надежда Михайловна</v>
      </c>
      <c r="C165" s="46">
        <v>123</v>
      </c>
      <c r="D165" s="46" t="s">
        <v>154</v>
      </c>
      <c r="E165" s="1">
        <v>118</v>
      </c>
      <c r="F165" s="45">
        <f t="shared" si="6"/>
        <v>0</v>
      </c>
      <c r="V165" s="45" t="s">
        <v>268</v>
      </c>
      <c r="W165" s="47">
        <v>1</v>
      </c>
      <c r="AA165" s="70">
        <v>164</v>
      </c>
      <c r="AB165" s="70">
        <v>3</v>
      </c>
      <c r="AC165" s="71" t="s">
        <v>13</v>
      </c>
      <c r="AF165"/>
      <c r="AG165"/>
    </row>
    <row r="166" spans="1:33" s="45" customFormat="1">
      <c r="A166" s="1">
        <v>199</v>
      </c>
      <c r="B166" s="46" t="str">
        <f t="shared" si="5"/>
        <v>208Лошкарев Виктор Ильич</v>
      </c>
      <c r="C166" s="46">
        <v>208</v>
      </c>
      <c r="D166" s="46" t="s">
        <v>155</v>
      </c>
      <c r="E166" s="1">
        <v>199</v>
      </c>
      <c r="F166" s="45">
        <f t="shared" si="6"/>
        <v>1</v>
      </c>
      <c r="V166" s="45" t="s">
        <v>287</v>
      </c>
      <c r="W166" s="47">
        <v>1</v>
      </c>
      <c r="AA166" s="70">
        <v>165</v>
      </c>
      <c r="AB166" s="70">
        <v>3</v>
      </c>
      <c r="AC166" s="71" t="s">
        <v>13</v>
      </c>
      <c r="AF166"/>
      <c r="AG166"/>
    </row>
    <row r="167" spans="1:33" s="45" customFormat="1">
      <c r="A167" s="1">
        <v>199</v>
      </c>
      <c r="B167" s="46" t="str">
        <f t="shared" si="5"/>
        <v>207Лошкарев Виктор Ильич</v>
      </c>
      <c r="C167" s="46">
        <v>207</v>
      </c>
      <c r="D167" s="46" t="s">
        <v>155</v>
      </c>
      <c r="E167" s="1">
        <v>199</v>
      </c>
      <c r="F167" s="45">
        <f t="shared" si="6"/>
        <v>1</v>
      </c>
      <c r="V167" s="45" t="s">
        <v>245</v>
      </c>
      <c r="W167" s="47">
        <v>1</v>
      </c>
      <c r="AA167" s="70">
        <v>166</v>
      </c>
      <c r="AB167" s="70">
        <v>3</v>
      </c>
      <c r="AC167" s="71" t="s">
        <v>13</v>
      </c>
      <c r="AF167"/>
      <c r="AG167"/>
    </row>
    <row r="168" spans="1:33" s="45" customFormat="1">
      <c r="A168" s="1">
        <v>164</v>
      </c>
      <c r="B168" s="46" t="str">
        <f t="shared" si="5"/>
        <v>172Лунёв Денис Александрович</v>
      </c>
      <c r="C168" s="46">
        <v>172</v>
      </c>
      <c r="D168" s="46" t="s">
        <v>156</v>
      </c>
      <c r="E168" s="1">
        <v>164</v>
      </c>
      <c r="F168" s="45">
        <f t="shared" si="6"/>
        <v>0</v>
      </c>
      <c r="V168" s="45" t="s">
        <v>297</v>
      </c>
      <c r="W168" s="47">
        <v>1</v>
      </c>
      <c r="AA168" s="70">
        <v>167</v>
      </c>
      <c r="AB168" s="70">
        <v>3</v>
      </c>
      <c r="AC168" s="71" t="s">
        <v>13</v>
      </c>
      <c r="AF168"/>
      <c r="AG168"/>
    </row>
    <row r="169" spans="1:33" s="45" customFormat="1">
      <c r="A169" s="1">
        <v>34</v>
      </c>
      <c r="B169" s="46" t="str">
        <f t="shared" si="5"/>
        <v>34Лунева Ольга Петровна</v>
      </c>
      <c r="C169" s="46">
        <v>34</v>
      </c>
      <c r="D169" s="46" t="s">
        <v>157</v>
      </c>
      <c r="E169" s="1">
        <v>34</v>
      </c>
      <c r="F169" s="45">
        <f t="shared" si="6"/>
        <v>0</v>
      </c>
      <c r="V169" s="45" t="s">
        <v>46</v>
      </c>
      <c r="W169" s="47">
        <v>1</v>
      </c>
      <c r="AA169" s="70">
        <v>168</v>
      </c>
      <c r="AB169" s="70">
        <v>3</v>
      </c>
      <c r="AC169" s="71" t="s">
        <v>13</v>
      </c>
      <c r="AF169"/>
      <c r="AG169"/>
    </row>
    <row r="170" spans="1:33" s="45" customFormat="1">
      <c r="A170" s="1">
        <v>13</v>
      </c>
      <c r="B170" s="46" t="str">
        <f t="shared" si="5"/>
        <v>13Малов Алексей Викторович</v>
      </c>
      <c r="C170" s="46">
        <v>13</v>
      </c>
      <c r="D170" s="46" t="s">
        <v>158</v>
      </c>
      <c r="E170" s="1">
        <v>13</v>
      </c>
      <c r="F170" s="45">
        <f t="shared" si="6"/>
        <v>0</v>
      </c>
      <c r="V170" s="45" t="s">
        <v>200</v>
      </c>
      <c r="W170" s="47">
        <v>1</v>
      </c>
      <c r="AA170" s="70">
        <v>169</v>
      </c>
      <c r="AB170" s="70">
        <v>3</v>
      </c>
      <c r="AC170" s="71" t="s">
        <v>13</v>
      </c>
      <c r="AF170"/>
      <c r="AG170"/>
    </row>
    <row r="171" spans="1:33" s="45" customFormat="1">
      <c r="A171" s="1">
        <v>273</v>
      </c>
      <c r="B171" s="46" t="str">
        <f t="shared" si="5"/>
        <v>286Маргиева Марина Евгеньевна</v>
      </c>
      <c r="C171" s="46">
        <v>286</v>
      </c>
      <c r="D171" s="49" t="s">
        <v>159</v>
      </c>
      <c r="E171" s="1">
        <v>273</v>
      </c>
      <c r="F171" s="45">
        <f t="shared" si="6"/>
        <v>0</v>
      </c>
      <c r="V171" s="45" t="s">
        <v>206</v>
      </c>
      <c r="W171" s="47">
        <v>1</v>
      </c>
      <c r="AA171" s="70">
        <v>170</v>
      </c>
      <c r="AB171" s="70">
        <v>3</v>
      </c>
      <c r="AC171" s="71" t="s">
        <v>13</v>
      </c>
      <c r="AF171"/>
      <c r="AG171"/>
    </row>
    <row r="172" spans="1:33" s="45" customFormat="1" ht="25.5">
      <c r="A172" s="1">
        <v>87</v>
      </c>
      <c r="B172" s="46" t="str">
        <f t="shared" si="5"/>
        <v>92Маркина Людмила Николаевна, Марина</v>
      </c>
      <c r="C172" s="46">
        <v>92</v>
      </c>
      <c r="D172" s="46" t="s">
        <v>160</v>
      </c>
      <c r="E172" s="1">
        <v>87</v>
      </c>
      <c r="F172" s="45">
        <f t="shared" si="6"/>
        <v>0</v>
      </c>
      <c r="V172" s="45" t="s">
        <v>173</v>
      </c>
      <c r="W172" s="47">
        <v>1</v>
      </c>
      <c r="AA172" s="70">
        <v>171</v>
      </c>
      <c r="AB172" s="70">
        <v>3</v>
      </c>
      <c r="AC172" s="71" t="s">
        <v>13</v>
      </c>
      <c r="AF172"/>
      <c r="AG172"/>
    </row>
    <row r="173" spans="1:33" s="45" customFormat="1">
      <c r="A173" s="1">
        <v>154</v>
      </c>
      <c r="B173" s="46" t="str">
        <f t="shared" si="5"/>
        <v>162Марков Максим Юрьевич</v>
      </c>
      <c r="C173" s="46">
        <v>162</v>
      </c>
      <c r="D173" s="46" t="s">
        <v>161</v>
      </c>
      <c r="E173" s="1">
        <v>154</v>
      </c>
      <c r="F173" s="45">
        <f t="shared" si="6"/>
        <v>0</v>
      </c>
      <c r="V173" s="45" t="s">
        <v>279</v>
      </c>
      <c r="W173" s="47">
        <v>1</v>
      </c>
      <c r="AA173" s="70">
        <v>172</v>
      </c>
      <c r="AB173" s="70">
        <v>3</v>
      </c>
      <c r="AC173" s="71" t="s">
        <v>13</v>
      </c>
      <c r="AF173"/>
      <c r="AG173"/>
    </row>
    <row r="174" spans="1:33" s="45" customFormat="1">
      <c r="A174" s="1">
        <v>270</v>
      </c>
      <c r="B174" s="46" t="str">
        <f t="shared" si="5"/>
        <v>283Маркова Тамара Ивановна</v>
      </c>
      <c r="C174" s="46">
        <v>283</v>
      </c>
      <c r="D174" s="46" t="s">
        <v>162</v>
      </c>
      <c r="E174" s="1">
        <v>270</v>
      </c>
      <c r="F174" s="45">
        <f t="shared" si="6"/>
        <v>0</v>
      </c>
      <c r="V174" s="45" t="s">
        <v>130</v>
      </c>
      <c r="W174" s="47">
        <v>1</v>
      </c>
      <c r="AA174" s="70">
        <v>173</v>
      </c>
      <c r="AB174" s="70">
        <v>3</v>
      </c>
      <c r="AC174" s="71" t="s">
        <v>13</v>
      </c>
      <c r="AF174"/>
      <c r="AG174"/>
    </row>
    <row r="175" spans="1:33" s="45" customFormat="1" ht="25.5">
      <c r="A175" s="1">
        <v>9</v>
      </c>
      <c r="B175" s="46" t="str">
        <f t="shared" si="5"/>
        <v>9Марковнина Светлана Викторовна</v>
      </c>
      <c r="C175" s="46">
        <v>9</v>
      </c>
      <c r="D175" s="46" t="s">
        <v>163</v>
      </c>
      <c r="E175" s="1">
        <v>9</v>
      </c>
      <c r="F175" s="45">
        <f t="shared" si="6"/>
        <v>0</v>
      </c>
      <c r="V175" s="45" t="s">
        <v>183</v>
      </c>
      <c r="W175" s="47">
        <v>1</v>
      </c>
      <c r="AA175" s="70">
        <v>174</v>
      </c>
      <c r="AB175" s="70">
        <v>3</v>
      </c>
      <c r="AC175" s="71" t="s">
        <v>13</v>
      </c>
      <c r="AF175"/>
      <c r="AG175"/>
    </row>
    <row r="176" spans="1:33" s="45" customFormat="1" ht="25.5">
      <c r="A176" s="1">
        <v>129</v>
      </c>
      <c r="B176" s="46" t="str">
        <f t="shared" si="5"/>
        <v>136Маслов Александр Александрович</v>
      </c>
      <c r="C176" s="46">
        <v>136</v>
      </c>
      <c r="D176" s="46" t="s">
        <v>164</v>
      </c>
      <c r="E176" s="1">
        <v>129</v>
      </c>
      <c r="F176" s="45">
        <f t="shared" si="6"/>
        <v>0</v>
      </c>
      <c r="V176" s="45" t="s">
        <v>134</v>
      </c>
      <c r="W176" s="47">
        <v>1</v>
      </c>
      <c r="AA176" s="70">
        <v>175</v>
      </c>
      <c r="AB176" s="70">
        <v>3</v>
      </c>
      <c r="AC176" s="71" t="s">
        <v>13</v>
      </c>
      <c r="AF176"/>
      <c r="AG176"/>
    </row>
    <row r="177" spans="1:33" s="45" customFormat="1" ht="38.25">
      <c r="A177" s="1">
        <v>42</v>
      </c>
      <c r="B177" s="46" t="str">
        <f t="shared" si="5"/>
        <v>42Маслов Андрей Геннадьевич (1/2)                 Щербакова Надежда Михайловна (1/2)</v>
      </c>
      <c r="C177" s="46">
        <v>42</v>
      </c>
      <c r="D177" s="46" t="s">
        <v>165</v>
      </c>
      <c r="E177" s="1">
        <v>42</v>
      </c>
      <c r="F177" s="45">
        <f t="shared" si="6"/>
        <v>0</v>
      </c>
      <c r="V177" s="45" t="s">
        <v>39</v>
      </c>
      <c r="W177" s="47">
        <v>1</v>
      </c>
      <c r="AA177" s="70">
        <v>176</v>
      </c>
      <c r="AB177" s="70">
        <v>3</v>
      </c>
      <c r="AC177" s="71" t="s">
        <v>13</v>
      </c>
      <c r="AF177"/>
      <c r="AG177"/>
    </row>
    <row r="178" spans="1:33" s="45" customFormat="1">
      <c r="A178" s="1">
        <v>96</v>
      </c>
      <c r="B178" s="46" t="str">
        <f t="shared" si="5"/>
        <v>102Маслова Валентина Петровна</v>
      </c>
      <c r="C178" s="46">
        <v>102</v>
      </c>
      <c r="D178" s="46" t="s">
        <v>166</v>
      </c>
      <c r="E178" s="1">
        <v>96</v>
      </c>
      <c r="F178" s="45">
        <f t="shared" si="6"/>
        <v>1</v>
      </c>
      <c r="V178" s="45" t="s">
        <v>141</v>
      </c>
      <c r="W178" s="47">
        <v>1</v>
      </c>
      <c r="AA178" s="70">
        <v>177</v>
      </c>
      <c r="AB178" s="70">
        <v>3</v>
      </c>
      <c r="AC178" s="71" t="s">
        <v>13</v>
      </c>
      <c r="AF178"/>
      <c r="AG178"/>
    </row>
    <row r="179" spans="1:33" s="45" customFormat="1">
      <c r="A179" s="1">
        <v>96</v>
      </c>
      <c r="B179" s="46" t="str">
        <f t="shared" si="5"/>
        <v>101Маслова Валентина Петровна</v>
      </c>
      <c r="C179" s="46">
        <v>101</v>
      </c>
      <c r="D179" s="46" t="s">
        <v>166</v>
      </c>
      <c r="E179" s="1">
        <v>96</v>
      </c>
      <c r="F179" s="45">
        <f t="shared" si="6"/>
        <v>1</v>
      </c>
      <c r="V179" s="45" t="s">
        <v>108</v>
      </c>
      <c r="W179" s="47">
        <v>1</v>
      </c>
      <c r="AA179" s="70">
        <v>178</v>
      </c>
      <c r="AB179" s="70">
        <v>3</v>
      </c>
      <c r="AC179" s="71" t="s">
        <v>13</v>
      </c>
      <c r="AF179"/>
      <c r="AG179"/>
    </row>
    <row r="180" spans="1:33" s="45" customFormat="1">
      <c r="A180" s="1">
        <v>292</v>
      </c>
      <c r="B180" s="46" t="str">
        <f t="shared" si="5"/>
        <v>305Матвеев Денис Львович</v>
      </c>
      <c r="C180" s="46">
        <v>305</v>
      </c>
      <c r="D180" s="46" t="s">
        <v>167</v>
      </c>
      <c r="E180" s="1">
        <v>292</v>
      </c>
      <c r="F180" s="45">
        <f t="shared" si="6"/>
        <v>0</v>
      </c>
      <c r="V180" s="45" t="s">
        <v>104</v>
      </c>
      <c r="W180" s="47">
        <v>1</v>
      </c>
      <c r="AA180" s="70">
        <v>179</v>
      </c>
      <c r="AB180" s="70">
        <v>3</v>
      </c>
      <c r="AC180" s="71" t="s">
        <v>13</v>
      </c>
      <c r="AF180"/>
      <c r="AG180"/>
    </row>
    <row r="181" spans="1:33" s="45" customFormat="1" ht="25.5">
      <c r="A181" s="1">
        <v>209</v>
      </c>
      <c r="B181" s="46" t="str">
        <f t="shared" si="5"/>
        <v>219Мельников Михаил Вячеславович / Диденко</v>
      </c>
      <c r="C181" s="46">
        <v>219</v>
      </c>
      <c r="D181" s="46" t="s">
        <v>168</v>
      </c>
      <c r="E181" s="1">
        <v>209</v>
      </c>
      <c r="F181" s="45">
        <f t="shared" si="6"/>
        <v>0</v>
      </c>
      <c r="V181" s="45" t="s">
        <v>241</v>
      </c>
      <c r="W181" s="47">
        <v>1</v>
      </c>
      <c r="AA181" s="70">
        <v>180</v>
      </c>
      <c r="AB181" s="70">
        <v>3</v>
      </c>
      <c r="AC181" s="71" t="s">
        <v>13</v>
      </c>
      <c r="AF181"/>
      <c r="AG181"/>
    </row>
    <row r="182" spans="1:33" s="45" customFormat="1">
      <c r="A182" s="1">
        <v>257</v>
      </c>
      <c r="B182" s="46" t="str">
        <f t="shared" si="5"/>
        <v>270Месхидзе Оксана Валерьевна</v>
      </c>
      <c r="C182" s="46">
        <v>270</v>
      </c>
      <c r="D182" s="46" t="s">
        <v>169</v>
      </c>
      <c r="E182" s="1">
        <v>257</v>
      </c>
      <c r="F182" s="45">
        <f t="shared" si="6"/>
        <v>0</v>
      </c>
      <c r="V182" s="45" t="s">
        <v>26</v>
      </c>
      <c r="W182" s="47">
        <v>1</v>
      </c>
      <c r="AA182" s="70">
        <v>181</v>
      </c>
      <c r="AB182" s="70">
        <v>14</v>
      </c>
      <c r="AC182" s="71" t="s">
        <v>247</v>
      </c>
      <c r="AF182"/>
      <c r="AG182"/>
    </row>
    <row r="183" spans="1:33" s="45" customFormat="1">
      <c r="A183" s="1">
        <v>212</v>
      </c>
      <c r="B183" s="46" t="str">
        <f t="shared" si="5"/>
        <v>221Милишенко Надежда Ивановна</v>
      </c>
      <c r="C183" s="46">
        <v>221</v>
      </c>
      <c r="D183" s="46" t="s">
        <v>170</v>
      </c>
      <c r="E183" s="1">
        <v>212</v>
      </c>
      <c r="F183" s="45">
        <f t="shared" si="6"/>
        <v>0</v>
      </c>
      <c r="V183" s="45" t="s">
        <v>299</v>
      </c>
      <c r="W183" s="47">
        <v>1</v>
      </c>
      <c r="AA183" s="70">
        <v>182</v>
      </c>
      <c r="AB183" s="70">
        <v>14</v>
      </c>
      <c r="AC183" s="71" t="s">
        <v>247</v>
      </c>
      <c r="AF183"/>
      <c r="AG183"/>
    </row>
    <row r="184" spans="1:33" s="45" customFormat="1">
      <c r="A184" s="1">
        <v>320</v>
      </c>
      <c r="B184" s="46" t="str">
        <f t="shared" si="5"/>
        <v>Милоянин Алексей Леонидович</v>
      </c>
      <c r="C184" s="46"/>
      <c r="D184" s="46" t="s">
        <v>171</v>
      </c>
      <c r="E184" s="1">
        <v>320</v>
      </c>
      <c r="F184" s="45">
        <f t="shared" si="6"/>
        <v>1</v>
      </c>
      <c r="V184" s="45" t="s">
        <v>195</v>
      </c>
      <c r="W184" s="47">
        <v>1</v>
      </c>
      <c r="AA184" s="70">
        <v>183</v>
      </c>
      <c r="AB184" s="70">
        <v>14</v>
      </c>
      <c r="AC184" s="71" t="s">
        <v>247</v>
      </c>
      <c r="AF184"/>
      <c r="AG184"/>
    </row>
    <row r="185" spans="1:33" s="45" customFormat="1" ht="38.25">
      <c r="A185" s="1">
        <v>186</v>
      </c>
      <c r="B185" s="46" t="str">
        <f t="shared" si="5"/>
        <v>194Мирошниченко Андрей Иванович Захарова Елена Александровна</v>
      </c>
      <c r="C185" s="46">
        <v>194</v>
      </c>
      <c r="D185" s="46" t="s">
        <v>172</v>
      </c>
      <c r="E185" s="1">
        <v>186</v>
      </c>
      <c r="F185" s="45">
        <f t="shared" si="6"/>
        <v>0</v>
      </c>
      <c r="V185" s="45" t="s">
        <v>12</v>
      </c>
      <c r="W185" s="47">
        <v>1</v>
      </c>
      <c r="AA185" s="70">
        <v>184</v>
      </c>
      <c r="AB185" s="70">
        <v>14</v>
      </c>
      <c r="AC185" s="71" t="s">
        <v>247</v>
      </c>
      <c r="AF185"/>
      <c r="AG185"/>
    </row>
    <row r="186" spans="1:33" s="45" customFormat="1" ht="25.5">
      <c r="A186" s="1">
        <v>187</v>
      </c>
      <c r="B186" s="46" t="str">
        <f t="shared" si="5"/>
        <v>195Мирошниченко Екатерина Олеговна</v>
      </c>
      <c r="C186" s="46">
        <v>195</v>
      </c>
      <c r="D186" s="46" t="s">
        <v>173</v>
      </c>
      <c r="E186" s="1">
        <v>187</v>
      </c>
      <c r="F186" s="45">
        <f t="shared" si="6"/>
        <v>0</v>
      </c>
      <c r="V186" s="45" t="s">
        <v>5</v>
      </c>
      <c r="W186" s="47">
        <v>1</v>
      </c>
      <c r="AA186" s="70">
        <v>185</v>
      </c>
      <c r="AB186" s="70">
        <v>14</v>
      </c>
      <c r="AC186" s="71" t="s">
        <v>247</v>
      </c>
      <c r="AF186"/>
      <c r="AG186"/>
    </row>
    <row r="187" spans="1:33" s="45" customFormat="1">
      <c r="A187" s="1">
        <v>211</v>
      </c>
      <c r="B187" s="46" t="str">
        <f t="shared" si="5"/>
        <v>220Модин Игорь Николаевич</v>
      </c>
      <c r="C187" s="46">
        <v>220</v>
      </c>
      <c r="D187" s="46" t="s">
        <v>174</v>
      </c>
      <c r="E187" s="1">
        <v>211</v>
      </c>
      <c r="F187" s="45">
        <f t="shared" si="6"/>
        <v>0</v>
      </c>
      <c r="V187" s="45" t="s">
        <v>128</v>
      </c>
      <c r="W187" s="47">
        <v>1</v>
      </c>
      <c r="AA187" s="70">
        <v>186</v>
      </c>
      <c r="AB187" s="70">
        <v>14</v>
      </c>
      <c r="AC187" s="71" t="s">
        <v>247</v>
      </c>
      <c r="AF187"/>
      <c r="AG187"/>
    </row>
    <row r="188" spans="1:33" s="45" customFormat="1">
      <c r="A188" s="1">
        <v>242</v>
      </c>
      <c r="B188" s="46" t="str">
        <f t="shared" si="5"/>
        <v>253Моисеев Андрей Валентинович</v>
      </c>
      <c r="C188" s="46">
        <v>253</v>
      </c>
      <c r="D188" s="46" t="s">
        <v>175</v>
      </c>
      <c r="E188" s="1">
        <v>242</v>
      </c>
      <c r="F188" s="45">
        <f t="shared" si="6"/>
        <v>0</v>
      </c>
      <c r="V188" s="45" t="s">
        <v>240</v>
      </c>
      <c r="W188" s="47">
        <v>1</v>
      </c>
      <c r="AA188" s="70">
        <v>187</v>
      </c>
      <c r="AB188" s="70">
        <v>14</v>
      </c>
      <c r="AC188" s="71" t="s">
        <v>247</v>
      </c>
      <c r="AF188"/>
      <c r="AG188"/>
    </row>
    <row r="189" spans="1:33" s="45" customFormat="1" ht="25.5">
      <c r="A189" s="1">
        <v>218</v>
      </c>
      <c r="B189" s="46" t="str">
        <f t="shared" si="5"/>
        <v>227Молчанова Ирина Владимировна</v>
      </c>
      <c r="C189" s="50">
        <v>227</v>
      </c>
      <c r="D189" s="46" t="s">
        <v>176</v>
      </c>
      <c r="E189" s="1">
        <v>218</v>
      </c>
      <c r="F189" s="45">
        <f t="shared" si="6"/>
        <v>0</v>
      </c>
      <c r="V189" s="45" t="s">
        <v>129</v>
      </c>
      <c r="W189" s="47">
        <v>1</v>
      </c>
      <c r="AA189" s="70">
        <v>188</v>
      </c>
      <c r="AB189" s="70">
        <v>14</v>
      </c>
      <c r="AC189" s="71" t="s">
        <v>247</v>
      </c>
      <c r="AF189"/>
      <c r="AG189"/>
    </row>
    <row r="190" spans="1:33" s="45" customFormat="1" ht="25.5">
      <c r="A190" s="1">
        <v>120</v>
      </c>
      <c r="B190" s="46" t="str">
        <f t="shared" si="5"/>
        <v>125Мудрак Владимир Григорьевич (Марина)</v>
      </c>
      <c r="C190" s="46">
        <v>125</v>
      </c>
      <c r="D190" s="46" t="s">
        <v>177</v>
      </c>
      <c r="E190" s="1">
        <v>120</v>
      </c>
      <c r="F190" s="45">
        <f t="shared" si="6"/>
        <v>0</v>
      </c>
      <c r="V190" s="45" t="s">
        <v>111</v>
      </c>
      <c r="W190" s="47">
        <v>1</v>
      </c>
      <c r="AA190" s="70">
        <v>189</v>
      </c>
      <c r="AB190" s="70">
        <v>14</v>
      </c>
      <c r="AC190" s="71" t="s">
        <v>247</v>
      </c>
      <c r="AF190"/>
      <c r="AG190"/>
    </row>
    <row r="191" spans="1:33" s="45" customFormat="1">
      <c r="A191" s="1">
        <v>287</v>
      </c>
      <c r="B191" s="46" t="str">
        <f t="shared" si="5"/>
        <v>299Мурадова Альбина Сергеевна</v>
      </c>
      <c r="C191" s="46">
        <v>299</v>
      </c>
      <c r="D191" s="46" t="s">
        <v>178</v>
      </c>
      <c r="E191" s="1">
        <v>287</v>
      </c>
      <c r="F191" s="45">
        <f t="shared" si="6"/>
        <v>0</v>
      </c>
      <c r="V191" s="45" t="s">
        <v>52</v>
      </c>
      <c r="W191" s="47">
        <v>1</v>
      </c>
      <c r="AA191" s="70">
        <v>190</v>
      </c>
      <c r="AB191" s="70">
        <v>14</v>
      </c>
      <c r="AC191" s="71" t="s">
        <v>247</v>
      </c>
      <c r="AF191"/>
      <c r="AG191"/>
    </row>
    <row r="192" spans="1:33" s="45" customFormat="1" ht="25.5">
      <c r="A192" s="1">
        <v>170</v>
      </c>
      <c r="B192" s="46" t="str">
        <f t="shared" si="5"/>
        <v>179Науменко Дмитрий Александрович</v>
      </c>
      <c r="C192" s="46">
        <v>179</v>
      </c>
      <c r="D192" s="46" t="s">
        <v>179</v>
      </c>
      <c r="E192" s="1">
        <v>170</v>
      </c>
      <c r="F192" s="45">
        <f t="shared" si="6"/>
        <v>1</v>
      </c>
      <c r="V192" s="45" t="s">
        <v>168</v>
      </c>
      <c r="W192" s="47">
        <v>1</v>
      </c>
      <c r="AA192" s="70">
        <v>191</v>
      </c>
      <c r="AB192" s="70">
        <v>14</v>
      </c>
      <c r="AC192" s="71" t="s">
        <v>247</v>
      </c>
      <c r="AF192"/>
      <c r="AG192"/>
    </row>
    <row r="193" spans="1:33" s="45" customFormat="1" ht="25.5">
      <c r="A193" s="1">
        <v>170</v>
      </c>
      <c r="B193" s="46" t="str">
        <f t="shared" si="5"/>
        <v>178Науменко Дмитрий Александрович</v>
      </c>
      <c r="C193" s="46">
        <v>178</v>
      </c>
      <c r="D193" s="46" t="s">
        <v>179</v>
      </c>
      <c r="E193" s="1">
        <v>170</v>
      </c>
      <c r="F193" s="45">
        <f t="shared" si="6"/>
        <v>1</v>
      </c>
      <c r="V193" s="45" t="s">
        <v>31</v>
      </c>
      <c r="W193" s="47">
        <v>1</v>
      </c>
      <c r="AA193" s="70">
        <v>192</v>
      </c>
      <c r="AB193" s="70">
        <v>14</v>
      </c>
      <c r="AC193" s="71" t="s">
        <v>247</v>
      </c>
      <c r="AF193"/>
      <c r="AG193"/>
    </row>
    <row r="194" spans="1:33" s="45" customFormat="1" ht="25.5">
      <c r="A194" s="1">
        <v>290</v>
      </c>
      <c r="B194" s="46" t="str">
        <f t="shared" ref="B194:B256" si="7">CONCATENATE(C194,D194)</f>
        <v>303Недосенко Татьяна Сергеевна (Олег)</v>
      </c>
      <c r="C194" s="46">
        <v>303</v>
      </c>
      <c r="D194" s="46" t="s">
        <v>180</v>
      </c>
      <c r="E194" s="1">
        <v>290</v>
      </c>
      <c r="F194" s="45">
        <f t="shared" si="6"/>
        <v>0</v>
      </c>
      <c r="V194" s="45" t="s">
        <v>174</v>
      </c>
      <c r="W194" s="47">
        <v>1</v>
      </c>
      <c r="AA194" s="70">
        <v>193</v>
      </c>
      <c r="AB194" s="70">
        <v>14</v>
      </c>
      <c r="AC194" s="71" t="s">
        <v>247</v>
      </c>
      <c r="AF194"/>
      <c r="AG194"/>
    </row>
    <row r="195" spans="1:33" s="45" customFormat="1">
      <c r="A195" s="1">
        <v>81</v>
      </c>
      <c r="B195" s="46" t="str">
        <f t="shared" si="7"/>
        <v>86Нелюбов Сергей Владимирович</v>
      </c>
      <c r="C195" s="46">
        <v>86</v>
      </c>
      <c r="D195" s="46" t="s">
        <v>181</v>
      </c>
      <c r="E195" s="1">
        <v>81</v>
      </c>
      <c r="F195" s="45">
        <f t="shared" ref="F195:F257" si="8">IF(VLOOKUP(D195,$V$2:$W$299,2,FALSE)&lt;&gt;1,1,0)</f>
        <v>0</v>
      </c>
      <c r="V195" s="45" t="s">
        <v>256</v>
      </c>
      <c r="W195" s="47">
        <v>1</v>
      </c>
      <c r="AA195" s="70">
        <v>194</v>
      </c>
      <c r="AB195" s="70">
        <v>14</v>
      </c>
      <c r="AC195" s="71" t="s">
        <v>247</v>
      </c>
      <c r="AF195"/>
      <c r="AG195"/>
    </row>
    <row r="196" spans="1:33" s="45" customFormat="1">
      <c r="A196" s="1">
        <v>31</v>
      </c>
      <c r="B196" s="46" t="str">
        <f t="shared" si="7"/>
        <v>31Нефедов Михаил Владимирович</v>
      </c>
      <c r="C196" s="46">
        <v>31</v>
      </c>
      <c r="D196" s="46" t="s">
        <v>182</v>
      </c>
      <c r="E196" s="1">
        <v>31</v>
      </c>
      <c r="F196" s="45">
        <f t="shared" si="8"/>
        <v>0</v>
      </c>
      <c r="V196" s="45" t="s">
        <v>89</v>
      </c>
      <c r="W196" s="47">
        <v>1</v>
      </c>
      <c r="AA196" s="70">
        <v>195</v>
      </c>
      <c r="AB196" s="70">
        <v>14</v>
      </c>
      <c r="AC196" s="71" t="s">
        <v>247</v>
      </c>
      <c r="AF196"/>
      <c r="AG196"/>
    </row>
    <row r="197" spans="1:33" s="45" customFormat="1">
      <c r="A197" s="1">
        <v>104</v>
      </c>
      <c r="B197" s="46" t="str">
        <f t="shared" si="7"/>
        <v>109Никифоров Андрей Леонидович</v>
      </c>
      <c r="C197" s="46">
        <v>109</v>
      </c>
      <c r="D197" s="46" t="s">
        <v>183</v>
      </c>
      <c r="E197" s="1">
        <v>104</v>
      </c>
      <c r="F197" s="45">
        <f t="shared" si="8"/>
        <v>0</v>
      </c>
      <c r="V197" s="45" t="s">
        <v>55</v>
      </c>
      <c r="W197" s="47">
        <v>1</v>
      </c>
      <c r="AA197" s="70">
        <v>196</v>
      </c>
      <c r="AB197" s="70">
        <v>14</v>
      </c>
      <c r="AC197" s="71" t="s">
        <v>247</v>
      </c>
      <c r="AF197"/>
      <c r="AG197"/>
    </row>
    <row r="198" spans="1:33" s="45" customFormat="1">
      <c r="A198" s="1">
        <v>85</v>
      </c>
      <c r="B198" s="46" t="str">
        <f t="shared" si="7"/>
        <v>90Новиков Виктор Викторович</v>
      </c>
      <c r="C198" s="46">
        <v>90</v>
      </c>
      <c r="D198" s="46" t="s">
        <v>184</v>
      </c>
      <c r="E198" s="1">
        <v>85</v>
      </c>
      <c r="F198" s="45">
        <f t="shared" si="8"/>
        <v>0</v>
      </c>
      <c r="V198" s="45" t="s">
        <v>233</v>
      </c>
      <c r="W198" s="47">
        <v>1</v>
      </c>
      <c r="AA198" s="70">
        <v>197</v>
      </c>
      <c r="AB198" s="70">
        <v>14</v>
      </c>
      <c r="AC198" s="71" t="s">
        <v>247</v>
      </c>
      <c r="AF198"/>
      <c r="AG198"/>
    </row>
    <row r="199" spans="1:33" s="45" customFormat="1">
      <c r="A199" s="1">
        <v>300</v>
      </c>
      <c r="B199" s="46" t="str">
        <f t="shared" si="7"/>
        <v>315Новикова Наталья Петровна</v>
      </c>
      <c r="C199" s="46">
        <v>315</v>
      </c>
      <c r="D199" s="46" t="s">
        <v>185</v>
      </c>
      <c r="E199" s="1">
        <v>300</v>
      </c>
      <c r="F199" s="45">
        <f t="shared" si="8"/>
        <v>0</v>
      </c>
      <c r="V199" s="45" t="s">
        <v>154</v>
      </c>
      <c r="W199" s="47">
        <v>1</v>
      </c>
      <c r="AA199" s="70">
        <v>198</v>
      </c>
      <c r="AB199" s="70">
        <v>14</v>
      </c>
      <c r="AC199" s="71" t="s">
        <v>247</v>
      </c>
      <c r="AF199"/>
      <c r="AG199"/>
    </row>
    <row r="200" spans="1:33" s="45" customFormat="1" ht="25.5">
      <c r="A200" s="1">
        <v>47</v>
      </c>
      <c r="B200" s="46" t="str">
        <f t="shared" si="7"/>
        <v>47Новикова Светлана Владимировна (Анатолий)</v>
      </c>
      <c r="C200" s="46">
        <v>47</v>
      </c>
      <c r="D200" s="46" t="s">
        <v>186</v>
      </c>
      <c r="E200" s="1">
        <v>47</v>
      </c>
      <c r="F200" s="45">
        <f t="shared" si="8"/>
        <v>0</v>
      </c>
      <c r="V200" s="45" t="s">
        <v>176</v>
      </c>
      <c r="W200" s="47">
        <v>1</v>
      </c>
      <c r="AA200" s="70">
        <v>199</v>
      </c>
      <c r="AB200" s="70">
        <v>14</v>
      </c>
      <c r="AC200" s="71" t="s">
        <v>247</v>
      </c>
      <c r="AF200"/>
      <c r="AG200"/>
    </row>
    <row r="201" spans="1:33" s="45" customFormat="1" ht="25.5">
      <c r="A201" s="1">
        <v>282</v>
      </c>
      <c r="B201" s="46" t="str">
        <f t="shared" si="7"/>
        <v xml:space="preserve">294Нормуротов Анваржон Абдирайимович    </v>
      </c>
      <c r="C201" s="46">
        <v>294</v>
      </c>
      <c r="D201" s="46" t="s">
        <v>187</v>
      </c>
      <c r="E201" s="1">
        <v>282</v>
      </c>
      <c r="F201" s="45">
        <f t="shared" si="8"/>
        <v>0</v>
      </c>
      <c r="V201" s="45" t="s">
        <v>17</v>
      </c>
      <c r="W201" s="47">
        <v>1</v>
      </c>
      <c r="AA201" s="70">
        <v>200</v>
      </c>
      <c r="AB201" s="70">
        <v>14</v>
      </c>
      <c r="AC201" s="71" t="s">
        <v>247</v>
      </c>
      <c r="AF201"/>
      <c r="AG201"/>
    </row>
    <row r="202" spans="1:33" s="45" customFormat="1" ht="25.5">
      <c r="A202" s="1">
        <v>204</v>
      </c>
      <c r="B202" s="46" t="str">
        <f t="shared" si="7"/>
        <v xml:space="preserve">214Носикова Александра Васильевна </v>
      </c>
      <c r="C202" s="46">
        <v>214</v>
      </c>
      <c r="D202" s="46" t="s">
        <v>188</v>
      </c>
      <c r="E202" s="1">
        <v>204</v>
      </c>
      <c r="F202" s="45">
        <f t="shared" si="8"/>
        <v>0</v>
      </c>
      <c r="V202" s="45" t="s">
        <v>147</v>
      </c>
      <c r="W202" s="47">
        <v>1</v>
      </c>
      <c r="AA202" s="70">
        <v>201</v>
      </c>
      <c r="AB202" s="70">
        <v>4</v>
      </c>
      <c r="AC202" s="71" t="s">
        <v>37</v>
      </c>
      <c r="AF202"/>
      <c r="AG202"/>
    </row>
    <row r="203" spans="1:33" s="45" customFormat="1">
      <c r="A203" s="1">
        <v>291</v>
      </c>
      <c r="B203" s="46" t="str">
        <f t="shared" si="7"/>
        <v>304Носикова Мария Леонидовна</v>
      </c>
      <c r="C203" s="46">
        <v>304</v>
      </c>
      <c r="D203" s="46" t="s">
        <v>189</v>
      </c>
      <c r="E203" s="1">
        <v>291</v>
      </c>
      <c r="F203" s="45">
        <f t="shared" si="8"/>
        <v>0</v>
      </c>
      <c r="V203" s="45" t="s">
        <v>177</v>
      </c>
      <c r="W203" s="47">
        <v>1</v>
      </c>
      <c r="AA203" s="70">
        <v>202</v>
      </c>
      <c r="AB203" s="70">
        <v>4</v>
      </c>
      <c r="AC203" s="71" t="s">
        <v>37</v>
      </c>
      <c r="AF203"/>
      <c r="AG203"/>
    </row>
    <row r="204" spans="1:33" s="45" customFormat="1" ht="25.5">
      <c r="A204" s="1">
        <v>89</v>
      </c>
      <c r="B204" s="46" t="str">
        <f t="shared" si="7"/>
        <v xml:space="preserve">94Олег (Гусев Николай Михайлович — был) </v>
      </c>
      <c r="C204" s="46">
        <v>94</v>
      </c>
      <c r="D204" s="46" t="s">
        <v>190</v>
      </c>
      <c r="E204" s="1">
        <v>89</v>
      </c>
      <c r="F204" s="45">
        <f t="shared" si="8"/>
        <v>0</v>
      </c>
      <c r="V204" s="45" t="s">
        <v>109</v>
      </c>
      <c r="W204" s="47">
        <v>1</v>
      </c>
      <c r="AA204" s="70">
        <v>203</v>
      </c>
      <c r="AB204" s="70">
        <v>4</v>
      </c>
      <c r="AC204" s="71" t="s">
        <v>37</v>
      </c>
      <c r="AF204"/>
      <c r="AG204"/>
    </row>
    <row r="205" spans="1:33" s="45" customFormat="1" ht="25.5">
      <c r="A205" s="1">
        <v>26</v>
      </c>
      <c r="B205" s="46" t="str">
        <f t="shared" si="7"/>
        <v xml:space="preserve">26Олейников Дмитрий Александрович </v>
      </c>
      <c r="C205" s="46">
        <v>26</v>
      </c>
      <c r="D205" s="46" t="s">
        <v>191</v>
      </c>
      <c r="E205" s="1">
        <v>26</v>
      </c>
      <c r="F205" s="45">
        <f t="shared" si="8"/>
        <v>0</v>
      </c>
      <c r="V205" s="45" t="s">
        <v>97</v>
      </c>
      <c r="W205" s="47">
        <v>1</v>
      </c>
      <c r="AA205" s="70">
        <v>204</v>
      </c>
      <c r="AB205" s="70">
        <v>4</v>
      </c>
      <c r="AC205" s="71" t="s">
        <v>37</v>
      </c>
      <c r="AF205"/>
      <c r="AG205"/>
    </row>
    <row r="206" spans="1:33" s="45" customFormat="1" ht="25.5">
      <c r="A206" s="1">
        <v>71</v>
      </c>
      <c r="B206" s="46" t="str">
        <f t="shared" si="7"/>
        <v>77Олейникова Евгения Александровна</v>
      </c>
      <c r="C206" s="46">
        <v>77</v>
      </c>
      <c r="D206" s="46" t="s">
        <v>192</v>
      </c>
      <c r="E206" s="1">
        <v>71</v>
      </c>
      <c r="F206" s="45">
        <f t="shared" si="8"/>
        <v>0</v>
      </c>
      <c r="V206" s="45" t="s">
        <v>220</v>
      </c>
      <c r="W206" s="47">
        <v>1</v>
      </c>
      <c r="AA206" s="70">
        <v>205</v>
      </c>
      <c r="AB206" s="70">
        <v>4</v>
      </c>
      <c r="AC206" s="71" t="s">
        <v>37</v>
      </c>
      <c r="AF206"/>
      <c r="AG206"/>
    </row>
    <row r="207" spans="1:33" s="45" customFormat="1" ht="25.5">
      <c r="A207" s="1">
        <v>6</v>
      </c>
      <c r="B207" s="46" t="str">
        <f t="shared" si="7"/>
        <v>6Осадчев Константин Владимирович</v>
      </c>
      <c r="C207" s="46">
        <v>6</v>
      </c>
      <c r="D207" s="46" t="s">
        <v>193</v>
      </c>
      <c r="E207" s="1">
        <v>6</v>
      </c>
      <c r="F207" s="45">
        <f t="shared" si="8"/>
        <v>0</v>
      </c>
      <c r="V207" s="45" t="s">
        <v>72</v>
      </c>
      <c r="W207" s="47">
        <v>1</v>
      </c>
      <c r="AA207" s="70">
        <v>206</v>
      </c>
      <c r="AB207" s="70">
        <v>4</v>
      </c>
      <c r="AC207" s="71" t="s">
        <v>37</v>
      </c>
      <c r="AF207"/>
      <c r="AG207"/>
    </row>
    <row r="208" spans="1:33" s="45" customFormat="1">
      <c r="A208" s="1">
        <v>80</v>
      </c>
      <c r="B208" s="46" t="str">
        <f t="shared" si="7"/>
        <v>85Острикова Наталья Львовна</v>
      </c>
      <c r="C208" s="46">
        <v>85</v>
      </c>
      <c r="D208" s="46" t="s">
        <v>194</v>
      </c>
      <c r="E208" s="1">
        <v>80</v>
      </c>
      <c r="F208" s="45">
        <f t="shared" si="8"/>
        <v>0</v>
      </c>
      <c r="V208" s="45" t="s">
        <v>68</v>
      </c>
      <c r="W208" s="47">
        <v>1</v>
      </c>
      <c r="AA208" s="70">
        <v>207</v>
      </c>
      <c r="AB208" s="70">
        <v>4</v>
      </c>
      <c r="AC208" s="71" t="s">
        <v>37</v>
      </c>
      <c r="AF208"/>
      <c r="AG208"/>
    </row>
    <row r="209" spans="1:33" s="45" customFormat="1" ht="25.5">
      <c r="A209" s="1">
        <v>201</v>
      </c>
      <c r="B209" s="46" t="str">
        <f t="shared" si="7"/>
        <v>209Пархачева Эльвира Валентиновна (Алксандр)</v>
      </c>
      <c r="C209" s="46">
        <v>209</v>
      </c>
      <c r="D209" s="46" t="s">
        <v>195</v>
      </c>
      <c r="E209" s="1">
        <v>201</v>
      </c>
      <c r="F209" s="45">
        <f t="shared" si="8"/>
        <v>0</v>
      </c>
      <c r="V209" s="45" t="s">
        <v>126</v>
      </c>
      <c r="W209" s="47">
        <v>1</v>
      </c>
      <c r="AA209" s="70">
        <v>208</v>
      </c>
      <c r="AB209" s="70">
        <v>4</v>
      </c>
      <c r="AC209" s="71" t="s">
        <v>37</v>
      </c>
      <c r="AF209"/>
      <c r="AG209"/>
    </row>
    <row r="210" spans="1:33" s="45" customFormat="1" ht="25.5">
      <c r="A210" s="1">
        <v>147</v>
      </c>
      <c r="B210" s="46" t="str">
        <f t="shared" si="7"/>
        <v>155Пахарева Ольга Александровна (Дмитрий)</v>
      </c>
      <c r="C210" s="46">
        <v>155</v>
      </c>
      <c r="D210" s="46" t="s">
        <v>196</v>
      </c>
      <c r="E210" s="1">
        <v>147</v>
      </c>
      <c r="F210" s="45">
        <f t="shared" si="8"/>
        <v>0</v>
      </c>
      <c r="V210" s="45" t="s">
        <v>51</v>
      </c>
      <c r="W210" s="47">
        <v>1</v>
      </c>
      <c r="AA210" s="70">
        <v>209</v>
      </c>
      <c r="AB210" s="70">
        <v>4</v>
      </c>
      <c r="AC210" s="71" t="s">
        <v>37</v>
      </c>
      <c r="AF210"/>
      <c r="AG210"/>
    </row>
    <row r="211" spans="1:33" s="45" customFormat="1">
      <c r="A211" s="1">
        <v>29</v>
      </c>
      <c r="B211" s="46" t="str">
        <f t="shared" si="7"/>
        <v>29Петрик Наталья Вячеславовна</v>
      </c>
      <c r="C211" s="46">
        <v>29</v>
      </c>
      <c r="D211" s="46" t="s">
        <v>707</v>
      </c>
      <c r="E211" s="1">
        <v>29</v>
      </c>
      <c r="F211" s="45">
        <f>IF(VLOOKUP(D211,$V$2:$W$299,2,FALSE)&lt;&gt;1,1,0)</f>
        <v>0</v>
      </c>
      <c r="V211" s="45" t="s">
        <v>105</v>
      </c>
      <c r="W211" s="47">
        <v>1</v>
      </c>
      <c r="AA211" s="70">
        <v>210</v>
      </c>
      <c r="AB211" s="70">
        <v>4</v>
      </c>
      <c r="AC211" s="71" t="s">
        <v>37</v>
      </c>
      <c r="AF211"/>
      <c r="AG211"/>
    </row>
    <row r="212" spans="1:33" s="45" customFormat="1">
      <c r="A212" s="1">
        <v>33</v>
      </c>
      <c r="B212" s="46" t="str">
        <f t="shared" si="7"/>
        <v>33Петров Борис Викторович</v>
      </c>
      <c r="C212" s="46">
        <v>33</v>
      </c>
      <c r="D212" s="46" t="s">
        <v>198</v>
      </c>
      <c r="E212" s="1">
        <v>33</v>
      </c>
      <c r="F212" s="45">
        <f t="shared" si="8"/>
        <v>0</v>
      </c>
      <c r="V212" s="45" t="s">
        <v>83</v>
      </c>
      <c r="W212" s="47">
        <v>1</v>
      </c>
      <c r="AA212" s="70">
        <v>211</v>
      </c>
      <c r="AB212" s="70">
        <v>4</v>
      </c>
      <c r="AC212" s="71" t="s">
        <v>37</v>
      </c>
      <c r="AF212"/>
      <c r="AG212"/>
    </row>
    <row r="213" spans="1:33" s="45" customFormat="1">
      <c r="A213" s="1">
        <v>169</v>
      </c>
      <c r="B213" s="46" t="str">
        <f t="shared" si="7"/>
        <v>177Петрова Елена Николаевна</v>
      </c>
      <c r="C213" s="46">
        <v>177</v>
      </c>
      <c r="D213" s="46" t="s">
        <v>199</v>
      </c>
      <c r="E213" s="1">
        <v>169</v>
      </c>
      <c r="F213" s="45">
        <f t="shared" si="8"/>
        <v>0</v>
      </c>
      <c r="V213" s="45" t="s">
        <v>22</v>
      </c>
      <c r="W213" s="47">
        <v>1</v>
      </c>
      <c r="AA213" s="70">
        <v>212</v>
      </c>
      <c r="AB213" s="70">
        <v>4</v>
      </c>
      <c r="AC213" s="71" t="s">
        <v>37</v>
      </c>
      <c r="AF213"/>
      <c r="AG213"/>
    </row>
    <row r="214" spans="1:33" s="45" customFormat="1">
      <c r="A214" s="1">
        <v>185</v>
      </c>
      <c r="B214" s="46" t="str">
        <f t="shared" si="7"/>
        <v>193Петункин Игорь Минович</v>
      </c>
      <c r="C214" s="46">
        <v>193</v>
      </c>
      <c r="D214" s="46" t="s">
        <v>200</v>
      </c>
      <c r="E214" s="1">
        <v>185</v>
      </c>
      <c r="F214" s="45">
        <f t="shared" si="8"/>
        <v>0</v>
      </c>
      <c r="V214" s="45" t="s">
        <v>8</v>
      </c>
      <c r="W214" s="47">
        <v>1</v>
      </c>
      <c r="AA214" s="70">
        <v>213</v>
      </c>
      <c r="AB214" s="70">
        <v>4</v>
      </c>
      <c r="AC214" s="71" t="s">
        <v>37</v>
      </c>
      <c r="AF214"/>
      <c r="AG214"/>
    </row>
    <row r="215" spans="1:33" s="45" customFormat="1" ht="25.5">
      <c r="A215" s="1">
        <v>176</v>
      </c>
      <c r="B215" s="46" t="str">
        <f t="shared" si="7"/>
        <v>184Пикалёва Алла Григорьевна (Юрий)</v>
      </c>
      <c r="C215" s="46">
        <v>184</v>
      </c>
      <c r="D215" s="46" t="s">
        <v>201</v>
      </c>
      <c r="E215" s="1">
        <v>176</v>
      </c>
      <c r="F215" s="45">
        <f t="shared" si="8"/>
        <v>0</v>
      </c>
      <c r="V215" s="45" t="s">
        <v>53</v>
      </c>
      <c r="W215" s="47">
        <v>1</v>
      </c>
      <c r="AA215" s="70">
        <v>214</v>
      </c>
      <c r="AB215" s="70">
        <v>4</v>
      </c>
      <c r="AC215" s="71" t="s">
        <v>37</v>
      </c>
      <c r="AF215"/>
      <c r="AG215"/>
    </row>
    <row r="216" spans="1:33" s="45" customFormat="1" ht="25.5">
      <c r="A216" s="1">
        <v>307</v>
      </c>
      <c r="B216" s="46" t="str">
        <f t="shared" si="7"/>
        <v>322Поликарпова Наталья Дмитриевна</v>
      </c>
      <c r="C216" s="46">
        <v>322</v>
      </c>
      <c r="D216" s="46" t="s">
        <v>202</v>
      </c>
      <c r="E216" s="1">
        <v>307</v>
      </c>
      <c r="F216" s="45">
        <f t="shared" si="8"/>
        <v>0</v>
      </c>
      <c r="V216" s="45" t="s">
        <v>88</v>
      </c>
      <c r="W216" s="47">
        <v>1</v>
      </c>
      <c r="AA216" s="70">
        <v>215</v>
      </c>
      <c r="AB216" s="70">
        <v>4</v>
      </c>
      <c r="AC216" s="71" t="s">
        <v>37</v>
      </c>
      <c r="AF216"/>
      <c r="AG216"/>
    </row>
    <row r="217" spans="1:33" s="45" customFormat="1" ht="25.5">
      <c r="A217" s="1">
        <v>177</v>
      </c>
      <c r="B217" s="46" t="str">
        <f t="shared" si="7"/>
        <v>185Полякова Марина Александровна</v>
      </c>
      <c r="C217" s="46">
        <v>185</v>
      </c>
      <c r="D217" s="46" t="s">
        <v>203</v>
      </c>
      <c r="E217" s="1">
        <v>177</v>
      </c>
      <c r="F217" s="45">
        <f t="shared" si="8"/>
        <v>0</v>
      </c>
      <c r="V217" s="45" t="s">
        <v>90</v>
      </c>
      <c r="W217" s="47">
        <v>1</v>
      </c>
      <c r="AA217" s="70">
        <v>216</v>
      </c>
      <c r="AB217" s="70">
        <v>4</v>
      </c>
      <c r="AC217" s="71" t="s">
        <v>37</v>
      </c>
      <c r="AF217"/>
      <c r="AG217"/>
    </row>
    <row r="218" spans="1:33" s="45" customFormat="1">
      <c r="A218" s="1">
        <v>160</v>
      </c>
      <c r="B218" s="46" t="str">
        <f t="shared" si="7"/>
        <v>168Пономарева Олеся Сергеевна</v>
      </c>
      <c r="C218" s="46">
        <v>168</v>
      </c>
      <c r="D218" s="46" t="s">
        <v>204</v>
      </c>
      <c r="E218" s="1">
        <v>160</v>
      </c>
      <c r="F218" s="45">
        <f t="shared" si="8"/>
        <v>0</v>
      </c>
      <c r="V218" s="45" t="s">
        <v>243</v>
      </c>
      <c r="W218" s="47">
        <v>1</v>
      </c>
      <c r="AA218" s="70">
        <v>217</v>
      </c>
      <c r="AB218" s="70">
        <v>4</v>
      </c>
      <c r="AC218" s="71" t="s">
        <v>37</v>
      </c>
      <c r="AF218"/>
      <c r="AG218"/>
    </row>
    <row r="219" spans="1:33" s="45" customFormat="1">
      <c r="A219" s="1">
        <v>53</v>
      </c>
      <c r="B219" s="46" t="str">
        <f t="shared" si="7"/>
        <v>55Попова Нина Ивановна</v>
      </c>
      <c r="C219" s="46">
        <v>55</v>
      </c>
      <c r="D219" s="46" t="s">
        <v>205</v>
      </c>
      <c r="E219" s="1">
        <v>53</v>
      </c>
      <c r="F219" s="45">
        <f t="shared" si="8"/>
        <v>0</v>
      </c>
      <c r="V219" s="45" t="s">
        <v>229</v>
      </c>
      <c r="W219" s="47">
        <v>1</v>
      </c>
      <c r="AA219" s="70">
        <v>218</v>
      </c>
      <c r="AB219" s="70">
        <v>4</v>
      </c>
      <c r="AC219" s="71" t="s">
        <v>37</v>
      </c>
      <c r="AF219"/>
      <c r="AG219"/>
    </row>
    <row r="220" spans="1:33" s="45" customFormat="1">
      <c r="A220" s="1">
        <v>102</v>
      </c>
      <c r="B220" s="46" t="str">
        <f t="shared" si="7"/>
        <v>107Постернак Татьяна Николаевна</v>
      </c>
      <c r="C220" s="46">
        <v>107</v>
      </c>
      <c r="D220" s="46" t="s">
        <v>206</v>
      </c>
      <c r="E220" s="1">
        <v>102</v>
      </c>
      <c r="F220" s="45">
        <f t="shared" si="8"/>
        <v>0</v>
      </c>
      <c r="V220" s="45" t="s">
        <v>226</v>
      </c>
      <c r="W220" s="47">
        <v>1</v>
      </c>
      <c r="AA220" s="70">
        <v>219</v>
      </c>
      <c r="AB220" s="70">
        <v>4</v>
      </c>
      <c r="AC220" s="71" t="s">
        <v>37</v>
      </c>
      <c r="AF220"/>
      <c r="AG220"/>
    </row>
    <row r="221" spans="1:33" s="45" customFormat="1" ht="25.5">
      <c r="A221" s="1">
        <v>174</v>
      </c>
      <c r="B221" s="46" t="str">
        <f t="shared" si="7"/>
        <v>182Просянов Александр Александрович</v>
      </c>
      <c r="C221" s="46">
        <v>182</v>
      </c>
      <c r="D221" s="46" t="s">
        <v>207</v>
      </c>
      <c r="E221" s="1">
        <v>174</v>
      </c>
      <c r="F221" s="45">
        <f t="shared" si="8"/>
        <v>0</v>
      </c>
      <c r="V221" s="45" t="s">
        <v>164</v>
      </c>
      <c r="W221" s="47">
        <v>1</v>
      </c>
      <c r="AA221" s="70">
        <v>220</v>
      </c>
      <c r="AB221" s="70">
        <v>4</v>
      </c>
      <c r="AC221" s="71" t="s">
        <v>37</v>
      </c>
      <c r="AF221"/>
      <c r="AG221"/>
    </row>
    <row r="222" spans="1:33" s="45" customFormat="1" ht="25.5">
      <c r="A222" s="1">
        <v>165</v>
      </c>
      <c r="B222" s="46" t="str">
        <f t="shared" si="7"/>
        <v xml:space="preserve">173Прохоров Владимир Михайлович        </v>
      </c>
      <c r="C222" s="46">
        <v>173</v>
      </c>
      <c r="D222" s="46" t="s">
        <v>208</v>
      </c>
      <c r="E222" s="1">
        <v>165</v>
      </c>
      <c r="F222" s="45">
        <f t="shared" si="8"/>
        <v>0</v>
      </c>
      <c r="V222" s="45" t="s">
        <v>234</v>
      </c>
      <c r="W222" s="47">
        <v>1</v>
      </c>
      <c r="AA222" s="70">
        <v>221</v>
      </c>
      <c r="AB222" s="70">
        <v>8</v>
      </c>
      <c r="AC222" s="71" t="s">
        <v>109</v>
      </c>
      <c r="AF222"/>
      <c r="AG222"/>
    </row>
    <row r="223" spans="1:33" s="45" customFormat="1" ht="25.5">
      <c r="A223" s="1">
        <v>251</v>
      </c>
      <c r="B223" s="46" t="str">
        <f t="shared" si="7"/>
        <v xml:space="preserve">262Пузанова Екатерина Вячеславовна        </v>
      </c>
      <c r="C223" s="46">
        <v>262</v>
      </c>
      <c r="D223" s="46" t="s">
        <v>209</v>
      </c>
      <c r="E223" s="1">
        <v>251</v>
      </c>
      <c r="F223" s="45">
        <f t="shared" si="8"/>
        <v>0</v>
      </c>
      <c r="V223" s="45" t="s">
        <v>13</v>
      </c>
      <c r="W223" s="47">
        <v>1</v>
      </c>
      <c r="AA223" s="70">
        <v>222</v>
      </c>
      <c r="AB223" s="70">
        <v>8</v>
      </c>
      <c r="AC223" s="71" t="s">
        <v>109</v>
      </c>
      <c r="AF223"/>
      <c r="AG223"/>
    </row>
    <row r="224" spans="1:33" s="45" customFormat="1">
      <c r="A224" s="1">
        <v>315</v>
      </c>
      <c r="B224" s="46" t="str">
        <f t="shared" si="7"/>
        <v>265-266Ратников Алексей Сергеевич</v>
      </c>
      <c r="C224" s="46" t="s">
        <v>210</v>
      </c>
      <c r="D224" s="46" t="s">
        <v>211</v>
      </c>
      <c r="E224" s="1">
        <v>315</v>
      </c>
      <c r="F224" s="45">
        <f t="shared" si="8"/>
        <v>0</v>
      </c>
      <c r="V224" s="45" t="s">
        <v>146</v>
      </c>
      <c r="W224" s="47">
        <v>1</v>
      </c>
      <c r="AA224" s="70">
        <v>223</v>
      </c>
      <c r="AB224" s="70">
        <v>8</v>
      </c>
      <c r="AC224" s="71" t="s">
        <v>109</v>
      </c>
      <c r="AF224"/>
      <c r="AG224"/>
    </row>
    <row r="225" spans="1:33" s="45" customFormat="1" ht="25.5">
      <c r="A225" s="1">
        <v>312</v>
      </c>
      <c r="B225" s="46" t="str">
        <f t="shared" si="7"/>
        <v>306-307-210-211Решетов Владимир Генадьевич</v>
      </c>
      <c r="C225" s="46" t="s">
        <v>693</v>
      </c>
      <c r="D225" s="46" t="s">
        <v>213</v>
      </c>
      <c r="E225" s="1">
        <v>312</v>
      </c>
      <c r="F225" s="45">
        <f t="shared" si="8"/>
        <v>0</v>
      </c>
      <c r="V225" s="45" t="s">
        <v>246</v>
      </c>
      <c r="W225" s="47">
        <v>1</v>
      </c>
      <c r="AA225" s="70">
        <v>224</v>
      </c>
      <c r="AB225" s="70">
        <v>8</v>
      </c>
      <c r="AC225" s="71" t="s">
        <v>109</v>
      </c>
      <c r="AF225"/>
      <c r="AG225"/>
    </row>
    <row r="226" spans="1:33" s="45" customFormat="1" ht="25.5">
      <c r="A226" s="1">
        <v>195</v>
      </c>
      <c r="B226" s="46" t="str">
        <f t="shared" si="7"/>
        <v>203Родичева Наталья Николаевна - Завилевская Е.И. ???</v>
      </c>
      <c r="C226" s="46">
        <v>203</v>
      </c>
      <c r="D226" s="46" t="s">
        <v>216</v>
      </c>
      <c r="E226" s="1">
        <v>195</v>
      </c>
      <c r="F226" s="45">
        <f t="shared" si="8"/>
        <v>0</v>
      </c>
      <c r="V226" s="45" t="s">
        <v>278</v>
      </c>
      <c r="W226" s="47">
        <v>1</v>
      </c>
      <c r="AA226" s="70">
        <v>225</v>
      </c>
      <c r="AB226" s="70">
        <v>8</v>
      </c>
      <c r="AC226" s="71" t="s">
        <v>109</v>
      </c>
      <c r="AF226"/>
      <c r="AG226"/>
    </row>
    <row r="227" spans="1:33" s="45" customFormat="1">
      <c r="A227" s="1">
        <v>144</v>
      </c>
      <c r="B227" s="46" t="str">
        <f t="shared" si="7"/>
        <v>153Рожкова Глафира Андреевна</v>
      </c>
      <c r="C227" s="46">
        <v>153</v>
      </c>
      <c r="D227" s="46" t="s">
        <v>217</v>
      </c>
      <c r="E227" s="1">
        <v>144</v>
      </c>
      <c r="F227" s="45">
        <f t="shared" si="8"/>
        <v>1</v>
      </c>
      <c r="V227" s="45" t="s">
        <v>77</v>
      </c>
      <c r="W227" s="47">
        <v>1</v>
      </c>
      <c r="AA227" s="70">
        <v>226</v>
      </c>
      <c r="AB227" s="70">
        <v>8</v>
      </c>
      <c r="AC227" s="71" t="s">
        <v>109</v>
      </c>
      <c r="AF227"/>
      <c r="AG227"/>
    </row>
    <row r="228" spans="1:33" s="45" customFormat="1">
      <c r="A228" s="1">
        <v>144</v>
      </c>
      <c r="B228" s="46" t="str">
        <f t="shared" si="7"/>
        <v>152Рожкова Глафира Андреевна</v>
      </c>
      <c r="C228" s="46">
        <v>152</v>
      </c>
      <c r="D228" s="46" t="s">
        <v>217</v>
      </c>
      <c r="E228" s="1">
        <v>144</v>
      </c>
      <c r="F228" s="45">
        <f t="shared" si="8"/>
        <v>1</v>
      </c>
      <c r="V228" s="45" t="s">
        <v>20</v>
      </c>
      <c r="W228" s="47">
        <v>1</v>
      </c>
      <c r="AA228" s="70">
        <v>227</v>
      </c>
      <c r="AB228" s="70">
        <v>8</v>
      </c>
      <c r="AC228" s="71" t="s">
        <v>109</v>
      </c>
      <c r="AF228"/>
      <c r="AG228"/>
    </row>
    <row r="229" spans="1:33" s="45" customFormat="1">
      <c r="A229" s="1">
        <v>74</v>
      </c>
      <c r="B229" s="46" t="str">
        <f t="shared" si="7"/>
        <v>81Розова Татьяна Викторовна</v>
      </c>
      <c r="C229" s="46">
        <v>81</v>
      </c>
      <c r="D229" s="46" t="s">
        <v>218</v>
      </c>
      <c r="E229" s="1">
        <v>74</v>
      </c>
      <c r="F229" s="45">
        <f t="shared" si="8"/>
        <v>1</v>
      </c>
      <c r="V229" s="45" t="s">
        <v>132</v>
      </c>
      <c r="W229" s="47">
        <v>1</v>
      </c>
      <c r="AA229" s="70">
        <v>228</v>
      </c>
      <c r="AB229" s="70">
        <v>8</v>
      </c>
      <c r="AC229" s="71" t="s">
        <v>109</v>
      </c>
      <c r="AF229"/>
      <c r="AG229"/>
    </row>
    <row r="230" spans="1:33" s="45" customFormat="1">
      <c r="A230" s="1">
        <v>74</v>
      </c>
      <c r="B230" s="46" t="str">
        <f t="shared" si="7"/>
        <v>80Розова Татьяна Викторовна</v>
      </c>
      <c r="C230" s="46">
        <v>80</v>
      </c>
      <c r="D230" s="46" t="s">
        <v>218</v>
      </c>
      <c r="E230" s="1">
        <v>74</v>
      </c>
      <c r="F230" s="45">
        <f t="shared" si="8"/>
        <v>1</v>
      </c>
      <c r="V230" s="45" t="s">
        <v>209</v>
      </c>
      <c r="W230" s="47">
        <v>1</v>
      </c>
      <c r="AA230" s="70">
        <v>229</v>
      </c>
      <c r="AB230" s="70">
        <v>8</v>
      </c>
      <c r="AC230" s="71" t="s">
        <v>109</v>
      </c>
      <c r="AF230"/>
      <c r="AG230"/>
    </row>
    <row r="231" spans="1:33" s="45" customFormat="1">
      <c r="A231" s="1">
        <v>68</v>
      </c>
      <c r="B231" s="46" t="str">
        <f t="shared" si="7"/>
        <v>70Рощина Ирина Михайловна</v>
      </c>
      <c r="C231" s="46">
        <v>70</v>
      </c>
      <c r="D231" s="46" t="s">
        <v>219</v>
      </c>
      <c r="E231" s="1">
        <v>68</v>
      </c>
      <c r="F231" s="45">
        <f t="shared" si="8"/>
        <v>0</v>
      </c>
      <c r="V231" s="45" t="s">
        <v>221</v>
      </c>
      <c r="W231" s="47">
        <v>1</v>
      </c>
      <c r="AA231" s="70">
        <v>230</v>
      </c>
      <c r="AB231" s="70">
        <v>8</v>
      </c>
      <c r="AC231" s="71" t="s">
        <v>109</v>
      </c>
      <c r="AF231"/>
      <c r="AG231"/>
    </row>
    <row r="232" spans="1:33" s="45" customFormat="1">
      <c r="A232" s="1">
        <v>224</v>
      </c>
      <c r="B232" s="46" t="str">
        <f t="shared" si="7"/>
        <v xml:space="preserve">233Рудая Наталья Викторовна           </v>
      </c>
      <c r="C232" s="46">
        <v>233</v>
      </c>
      <c r="D232" s="46" t="s">
        <v>220</v>
      </c>
      <c r="E232" s="1">
        <v>224</v>
      </c>
      <c r="F232" s="45">
        <f t="shared" si="8"/>
        <v>0</v>
      </c>
      <c r="V232" s="45" t="s">
        <v>86</v>
      </c>
      <c r="W232" s="47">
        <v>1</v>
      </c>
      <c r="AA232" s="70">
        <v>231</v>
      </c>
      <c r="AB232" s="70">
        <v>8</v>
      </c>
      <c r="AC232" s="71" t="s">
        <v>109</v>
      </c>
      <c r="AF232"/>
      <c r="AG232"/>
    </row>
    <row r="233" spans="1:33" s="45" customFormat="1">
      <c r="A233" s="1">
        <v>134</v>
      </c>
      <c r="B233" s="46" t="str">
        <f t="shared" si="7"/>
        <v>141Рыбалкин Андрей Сергеевич</v>
      </c>
      <c r="C233" s="46">
        <v>141</v>
      </c>
      <c r="D233" s="46" t="s">
        <v>221</v>
      </c>
      <c r="E233" s="1">
        <v>134</v>
      </c>
      <c r="F233" s="45">
        <f t="shared" si="8"/>
        <v>0</v>
      </c>
      <c r="V233" s="45" t="s">
        <v>54</v>
      </c>
      <c r="W233" s="47">
        <v>1</v>
      </c>
      <c r="AA233" s="70">
        <v>232</v>
      </c>
      <c r="AB233" s="70">
        <v>8</v>
      </c>
      <c r="AC233" s="71" t="s">
        <v>109</v>
      </c>
      <c r="AF233"/>
      <c r="AG233"/>
    </row>
    <row r="234" spans="1:33" s="45" customFormat="1">
      <c r="A234" s="1">
        <v>267</v>
      </c>
      <c r="B234" s="46" t="str">
        <f t="shared" si="7"/>
        <v>280Рыжов Андрей Николаевич</v>
      </c>
      <c r="C234" s="46">
        <v>280</v>
      </c>
      <c r="D234" s="46" t="s">
        <v>222</v>
      </c>
      <c r="E234" s="1">
        <v>267</v>
      </c>
      <c r="F234" s="45">
        <f t="shared" si="8"/>
        <v>0</v>
      </c>
      <c r="V234" s="45" t="s">
        <v>284</v>
      </c>
      <c r="W234" s="47">
        <v>1</v>
      </c>
      <c r="AA234" s="70">
        <v>233</v>
      </c>
      <c r="AB234" s="70">
        <v>8</v>
      </c>
      <c r="AC234" s="71" t="s">
        <v>109</v>
      </c>
      <c r="AF234"/>
      <c r="AG234"/>
    </row>
    <row r="235" spans="1:33" s="45" customFormat="1">
      <c r="A235" s="1">
        <v>258</v>
      </c>
      <c r="B235" s="46" t="str">
        <f t="shared" si="7"/>
        <v>271Савина Нина Ивановна</v>
      </c>
      <c r="C235" s="46">
        <v>271</v>
      </c>
      <c r="D235" s="46" t="s">
        <v>223</v>
      </c>
      <c r="E235" s="1">
        <v>258</v>
      </c>
      <c r="F235" s="45">
        <f t="shared" si="8"/>
        <v>0</v>
      </c>
      <c r="V235" s="45" t="s">
        <v>29</v>
      </c>
      <c r="W235" s="47">
        <v>1</v>
      </c>
      <c r="AA235" s="70">
        <v>234</v>
      </c>
      <c r="AB235" s="70">
        <v>8</v>
      </c>
      <c r="AC235" s="71" t="s">
        <v>109</v>
      </c>
      <c r="AF235"/>
      <c r="AG235"/>
    </row>
    <row r="236" spans="1:33" s="45" customFormat="1" ht="38.25">
      <c r="A236" s="1">
        <v>299</v>
      </c>
      <c r="B236" s="46" t="str">
        <f t="shared" si="7"/>
        <v>314Садовников Алексей Владимирович(Рошка Александр Николаевич)</v>
      </c>
      <c r="C236" s="46">
        <v>314</v>
      </c>
      <c r="D236" s="46" t="s">
        <v>224</v>
      </c>
      <c r="E236" s="1">
        <v>299</v>
      </c>
      <c r="F236" s="45">
        <f t="shared" si="8"/>
        <v>0</v>
      </c>
      <c r="V236" s="45" t="s">
        <v>223</v>
      </c>
      <c r="W236" s="47">
        <v>1</v>
      </c>
      <c r="AA236" s="70">
        <v>235</v>
      </c>
      <c r="AB236" s="70">
        <v>8</v>
      </c>
      <c r="AC236" s="71" t="s">
        <v>109</v>
      </c>
      <c r="AF236"/>
      <c r="AG236"/>
    </row>
    <row r="237" spans="1:33" s="45" customFormat="1" ht="25.5">
      <c r="A237" s="1">
        <v>210</v>
      </c>
      <c r="B237" s="46" t="str">
        <f t="shared" si="7"/>
        <v>219Сазонов Сергей Александрович - Диденко Оксана Владимировна</v>
      </c>
      <c r="C237" s="46">
        <v>219</v>
      </c>
      <c r="D237" s="46" t="s">
        <v>225</v>
      </c>
      <c r="E237" s="1">
        <v>210</v>
      </c>
      <c r="F237" s="45">
        <f t="shared" si="8"/>
        <v>0</v>
      </c>
      <c r="V237" s="45" t="s">
        <v>38</v>
      </c>
      <c r="W237" s="47">
        <v>1</v>
      </c>
      <c r="AA237" s="70">
        <v>236</v>
      </c>
      <c r="AB237" s="70">
        <v>8</v>
      </c>
      <c r="AC237" s="71" t="s">
        <v>109</v>
      </c>
      <c r="AF237"/>
      <c r="AG237"/>
    </row>
    <row r="238" spans="1:33" s="45" customFormat="1">
      <c r="A238" s="1">
        <v>239</v>
      </c>
      <c r="B238" s="46" t="str">
        <f t="shared" si="7"/>
        <v>250Салопаева Татьяна Сергеевна</v>
      </c>
      <c r="C238" s="46">
        <v>250</v>
      </c>
      <c r="D238" s="46" t="s">
        <v>226</v>
      </c>
      <c r="E238" s="1">
        <v>239</v>
      </c>
      <c r="F238" s="45">
        <f t="shared" si="8"/>
        <v>0</v>
      </c>
      <c r="V238" s="45" t="s">
        <v>4</v>
      </c>
      <c r="W238" s="47">
        <v>1</v>
      </c>
      <c r="AA238" s="70">
        <v>237</v>
      </c>
      <c r="AB238" s="70">
        <v>8</v>
      </c>
      <c r="AC238" s="71" t="s">
        <v>109</v>
      </c>
      <c r="AF238"/>
      <c r="AG238"/>
    </row>
    <row r="239" spans="1:33" s="45" customFormat="1" ht="25.5">
      <c r="A239" s="1">
        <v>238</v>
      </c>
      <c r="B239" s="46" t="str">
        <f t="shared" si="7"/>
        <v>249Самоволькина Ирина Владимировна</v>
      </c>
      <c r="C239" s="46">
        <v>249</v>
      </c>
      <c r="D239" s="46" t="s">
        <v>227</v>
      </c>
      <c r="E239" s="1">
        <v>238</v>
      </c>
      <c r="F239" s="45">
        <f t="shared" si="8"/>
        <v>0</v>
      </c>
      <c r="V239" s="45" t="s">
        <v>50</v>
      </c>
      <c r="W239" s="47">
        <v>1</v>
      </c>
      <c r="AA239" s="70">
        <v>238</v>
      </c>
      <c r="AB239" s="70">
        <v>8</v>
      </c>
      <c r="AC239" s="71" t="s">
        <v>109</v>
      </c>
      <c r="AF239"/>
      <c r="AG239"/>
    </row>
    <row r="240" spans="1:33" s="45" customFormat="1">
      <c r="A240" s="1">
        <v>77</v>
      </c>
      <c r="B240" s="46" t="str">
        <f t="shared" si="7"/>
        <v>83Самородов</v>
      </c>
      <c r="C240" s="46">
        <v>83</v>
      </c>
      <c r="D240" s="46" t="s">
        <v>295</v>
      </c>
      <c r="E240" s="1">
        <v>77</v>
      </c>
      <c r="F240" s="45">
        <f t="shared" si="8"/>
        <v>0</v>
      </c>
      <c r="V240" s="45" t="s">
        <v>244</v>
      </c>
      <c r="W240" s="47">
        <v>1</v>
      </c>
      <c r="AA240" s="70">
        <v>239</v>
      </c>
      <c r="AB240" s="70">
        <v>8</v>
      </c>
      <c r="AC240" s="71" t="s">
        <v>109</v>
      </c>
      <c r="AF240"/>
      <c r="AG240"/>
    </row>
    <row r="241" spans="1:33" s="45" customFormat="1">
      <c r="A241" s="1">
        <v>297</v>
      </c>
      <c r="B241" s="46" t="str">
        <f t="shared" si="7"/>
        <v>312Саргсян Оганнес Ншанович</v>
      </c>
      <c r="C241" s="46">
        <v>312</v>
      </c>
      <c r="D241" s="46" t="s">
        <v>228</v>
      </c>
      <c r="E241" s="1">
        <v>297</v>
      </c>
      <c r="F241" s="45">
        <f t="shared" si="8"/>
        <v>0</v>
      </c>
      <c r="V241" s="45" t="s">
        <v>56</v>
      </c>
      <c r="W241" s="47">
        <v>1</v>
      </c>
      <c r="AA241" s="70">
        <v>240</v>
      </c>
      <c r="AB241" s="70">
        <v>8</v>
      </c>
      <c r="AC241" s="71" t="s">
        <v>109</v>
      </c>
      <c r="AF241"/>
      <c r="AG241"/>
    </row>
    <row r="242" spans="1:33" s="45" customFormat="1" ht="38.25">
      <c r="A242" s="1">
        <v>128</v>
      </c>
      <c r="B242" s="46" t="str">
        <f t="shared" si="7"/>
        <v>135Сафронова Наталья Михайловна (у Дедков Илья Егорьевич купила)</v>
      </c>
      <c r="C242" s="46">
        <v>135</v>
      </c>
      <c r="D242" s="46" t="s">
        <v>229</v>
      </c>
      <c r="E242" s="1">
        <v>128</v>
      </c>
      <c r="F242" s="45">
        <f t="shared" si="8"/>
        <v>0</v>
      </c>
      <c r="V242" s="45" t="s">
        <v>120</v>
      </c>
      <c r="W242" s="47">
        <v>1</v>
      </c>
      <c r="AA242" s="70">
        <v>241</v>
      </c>
      <c r="AB242" s="70">
        <v>5</v>
      </c>
      <c r="AC242" s="71" t="s">
        <v>644</v>
      </c>
      <c r="AF242"/>
      <c r="AG242"/>
    </row>
    <row r="243" spans="1:33" s="45" customFormat="1">
      <c r="A243" s="1">
        <v>67</v>
      </c>
      <c r="B243" s="46" t="str">
        <f t="shared" si="7"/>
        <v>69Сбитнева Юлия Сергеевна</v>
      </c>
      <c r="C243" s="46">
        <v>69</v>
      </c>
      <c r="D243" s="46" t="s">
        <v>230</v>
      </c>
      <c r="E243" s="1">
        <v>67</v>
      </c>
      <c r="F243" s="45">
        <f t="shared" si="8"/>
        <v>0</v>
      </c>
      <c r="V243" s="45" t="s">
        <v>33</v>
      </c>
      <c r="W243" s="47">
        <v>1</v>
      </c>
      <c r="AA243" s="70">
        <v>242</v>
      </c>
      <c r="AB243" s="70">
        <v>5</v>
      </c>
      <c r="AC243" s="71" t="s">
        <v>644</v>
      </c>
      <c r="AF243"/>
      <c r="AG243"/>
    </row>
    <row r="244" spans="1:33" s="45" customFormat="1" ht="25.5">
      <c r="A244" s="1">
        <v>278</v>
      </c>
      <c r="B244" s="46" t="str">
        <f t="shared" si="7"/>
        <v>290Севастьянов Михаил Григорьевич</v>
      </c>
      <c r="C244" s="46">
        <v>290</v>
      </c>
      <c r="D244" s="46" t="s">
        <v>231</v>
      </c>
      <c r="E244" s="1">
        <v>278</v>
      </c>
      <c r="F244" s="45">
        <f t="shared" si="8"/>
        <v>0</v>
      </c>
      <c r="V244" s="45" t="s">
        <v>222</v>
      </c>
      <c r="W244" s="47">
        <v>1</v>
      </c>
      <c r="AA244" s="70">
        <v>243</v>
      </c>
      <c r="AB244" s="70">
        <v>5</v>
      </c>
      <c r="AC244" s="71" t="s">
        <v>644</v>
      </c>
      <c r="AF244"/>
      <c r="AG244"/>
    </row>
    <row r="245" spans="1:33" s="45" customFormat="1">
      <c r="A245" s="1">
        <v>280</v>
      </c>
      <c r="B245" s="46" t="str">
        <f t="shared" si="7"/>
        <v>292Севрюгина Ольга Викторовна</v>
      </c>
      <c r="C245" s="46">
        <v>292</v>
      </c>
      <c r="D245" s="46" t="s">
        <v>232</v>
      </c>
      <c r="E245" s="1">
        <v>280</v>
      </c>
      <c r="F245" s="45">
        <f t="shared" si="8"/>
        <v>0</v>
      </c>
      <c r="V245" s="45" t="s">
        <v>136</v>
      </c>
      <c r="W245" s="47">
        <v>1</v>
      </c>
      <c r="AA245" s="70">
        <v>244</v>
      </c>
      <c r="AB245" s="70">
        <v>5</v>
      </c>
      <c r="AC245" s="71" t="s">
        <v>644</v>
      </c>
      <c r="AF245"/>
      <c r="AG245"/>
    </row>
    <row r="246" spans="1:33" s="45" customFormat="1">
      <c r="A246" s="1">
        <v>215</v>
      </c>
      <c r="B246" s="46" t="str">
        <f t="shared" si="7"/>
        <v xml:space="preserve">224Семенова Рима Прановна    </v>
      </c>
      <c r="C246" s="46">
        <v>224</v>
      </c>
      <c r="D246" s="46" t="s">
        <v>233</v>
      </c>
      <c r="E246" s="1">
        <v>215</v>
      </c>
      <c r="F246" s="45">
        <f t="shared" si="8"/>
        <v>0</v>
      </c>
      <c r="V246" s="45" t="s">
        <v>118</v>
      </c>
      <c r="W246" s="47">
        <v>1</v>
      </c>
      <c r="AA246" s="70">
        <v>245</v>
      </c>
      <c r="AB246" s="70">
        <v>5</v>
      </c>
      <c r="AC246" s="71" t="s">
        <v>644</v>
      </c>
      <c r="AF246"/>
      <c r="AG246"/>
    </row>
    <row r="247" spans="1:33" s="45" customFormat="1">
      <c r="A247" s="1">
        <v>241</v>
      </c>
      <c r="B247" s="46" t="str">
        <f t="shared" si="7"/>
        <v>252Сёмин Александр Иванович</v>
      </c>
      <c r="C247" s="46">
        <v>252</v>
      </c>
      <c r="D247" s="46" t="s">
        <v>234</v>
      </c>
      <c r="E247" s="1">
        <v>241</v>
      </c>
      <c r="F247" s="45">
        <f t="shared" si="8"/>
        <v>0</v>
      </c>
      <c r="V247" s="45" t="s">
        <v>167</v>
      </c>
      <c r="W247" s="47">
        <v>1</v>
      </c>
      <c r="AA247" s="70">
        <v>246</v>
      </c>
      <c r="AB247" s="70">
        <v>5</v>
      </c>
      <c r="AC247" s="71" t="s">
        <v>644</v>
      </c>
      <c r="AF247"/>
      <c r="AG247"/>
    </row>
    <row r="248" spans="1:33" s="45" customFormat="1">
      <c r="A248" s="1">
        <v>161</v>
      </c>
      <c r="B248" s="46" t="str">
        <f t="shared" si="7"/>
        <v>169Сергиенко Николай Михайлович</v>
      </c>
      <c r="C248" s="46">
        <v>169</v>
      </c>
      <c r="D248" s="46" t="s">
        <v>235</v>
      </c>
      <c r="E248" s="1">
        <v>161</v>
      </c>
      <c r="F248" s="45">
        <f t="shared" si="8"/>
        <v>0</v>
      </c>
      <c r="V248" s="45" t="s">
        <v>119</v>
      </c>
      <c r="W248" s="47">
        <v>1</v>
      </c>
      <c r="AA248" s="70">
        <v>247</v>
      </c>
      <c r="AB248" s="70">
        <v>5</v>
      </c>
      <c r="AC248" s="71" t="s">
        <v>644</v>
      </c>
      <c r="AF248"/>
      <c r="AG248"/>
    </row>
    <row r="249" spans="1:33" s="45" customFormat="1">
      <c r="A249" s="1">
        <v>272</v>
      </c>
      <c r="B249" s="46" t="str">
        <f t="shared" si="7"/>
        <v>285Серебряков Игорь Васильевич</v>
      </c>
      <c r="C249" s="46">
        <v>285</v>
      </c>
      <c r="D249" s="46" t="s">
        <v>236</v>
      </c>
      <c r="E249" s="1">
        <v>272</v>
      </c>
      <c r="F249" s="45">
        <f t="shared" si="8"/>
        <v>0</v>
      </c>
      <c r="V249" s="45" t="s">
        <v>18</v>
      </c>
      <c r="W249" s="47">
        <v>1</v>
      </c>
      <c r="AA249" s="70">
        <v>248</v>
      </c>
      <c r="AB249" s="70">
        <v>5</v>
      </c>
      <c r="AC249" s="71" t="s">
        <v>644</v>
      </c>
      <c r="AF249"/>
      <c r="AG249"/>
    </row>
    <row r="250" spans="1:33" s="45" customFormat="1">
      <c r="A250" s="1">
        <v>19</v>
      </c>
      <c r="B250" s="46" t="str">
        <f t="shared" si="7"/>
        <v>19Серкин Сергей Львовович</v>
      </c>
      <c r="C250" s="46">
        <v>19</v>
      </c>
      <c r="D250" s="46" t="s">
        <v>237</v>
      </c>
      <c r="E250" s="1">
        <v>19</v>
      </c>
      <c r="F250" s="45">
        <f t="shared" si="8"/>
        <v>0</v>
      </c>
      <c r="V250" s="45" t="s">
        <v>159</v>
      </c>
      <c r="W250" s="47">
        <v>1</v>
      </c>
      <c r="AA250" s="70">
        <v>249</v>
      </c>
      <c r="AB250" s="70">
        <v>5</v>
      </c>
      <c r="AC250" s="71" t="s">
        <v>644</v>
      </c>
      <c r="AF250"/>
      <c r="AG250"/>
    </row>
    <row r="251" spans="1:33" s="45" customFormat="1">
      <c r="A251" s="1">
        <v>310</v>
      </c>
      <c r="B251" s="46" t="str">
        <f t="shared" si="7"/>
        <v>133-134Сидельникова Ольга Петровна</v>
      </c>
      <c r="C251" s="46" t="s">
        <v>238</v>
      </c>
      <c r="D251" s="46" t="s">
        <v>239</v>
      </c>
      <c r="E251" s="1">
        <v>310</v>
      </c>
      <c r="F251" s="45">
        <f t="shared" si="8"/>
        <v>0</v>
      </c>
      <c r="V251" s="45" t="s">
        <v>103</v>
      </c>
      <c r="W251" s="47">
        <v>1</v>
      </c>
      <c r="AA251" s="70">
        <v>250</v>
      </c>
      <c r="AB251" s="70">
        <v>5</v>
      </c>
      <c r="AC251" s="71" t="s">
        <v>644</v>
      </c>
      <c r="AF251"/>
      <c r="AG251"/>
    </row>
    <row r="252" spans="1:33" s="45" customFormat="1">
      <c r="A252" s="1">
        <v>205</v>
      </c>
      <c r="B252" s="46" t="str">
        <f t="shared" si="7"/>
        <v>215Сидоров Александр Юрьевич</v>
      </c>
      <c r="C252" s="46">
        <v>215</v>
      </c>
      <c r="D252" s="46" t="s">
        <v>240</v>
      </c>
      <c r="E252" s="1">
        <v>205</v>
      </c>
      <c r="F252" s="45">
        <f t="shared" si="8"/>
        <v>0</v>
      </c>
      <c r="V252" s="45" t="s">
        <v>280</v>
      </c>
      <c r="W252" s="47">
        <v>1</v>
      </c>
      <c r="AA252" s="70">
        <v>251</v>
      </c>
      <c r="AB252" s="70">
        <v>5</v>
      </c>
      <c r="AC252" s="71" t="s">
        <v>644</v>
      </c>
      <c r="AF252"/>
      <c r="AG252"/>
    </row>
    <row r="253" spans="1:33" s="45" customFormat="1" ht="25.5">
      <c r="A253" s="1">
        <v>107</v>
      </c>
      <c r="B253" s="46" t="str">
        <f t="shared" si="7"/>
        <v>112Сиротин Дмитрий Борисович (Приставалова)</v>
      </c>
      <c r="C253" s="46">
        <v>112</v>
      </c>
      <c r="D253" s="46" t="s">
        <v>241</v>
      </c>
      <c r="E253" s="1">
        <v>107</v>
      </c>
      <c r="F253" s="45">
        <f t="shared" si="8"/>
        <v>0</v>
      </c>
      <c r="V253" s="45" t="s">
        <v>228</v>
      </c>
      <c r="W253" s="47">
        <v>1</v>
      </c>
      <c r="AA253" s="70">
        <v>252</v>
      </c>
      <c r="AB253" s="70">
        <v>5</v>
      </c>
      <c r="AC253" s="71" t="s">
        <v>644</v>
      </c>
      <c r="AF253"/>
      <c r="AG253"/>
    </row>
    <row r="254" spans="1:33" s="45" customFormat="1">
      <c r="A254" s="1">
        <v>48</v>
      </c>
      <c r="B254" s="46" t="str">
        <f t="shared" si="7"/>
        <v>48Сломов Константин Витальевич</v>
      </c>
      <c r="C254" s="46">
        <v>48</v>
      </c>
      <c r="D254" s="46" t="s">
        <v>242</v>
      </c>
      <c r="E254" s="1">
        <v>48</v>
      </c>
      <c r="F254" s="45">
        <f t="shared" si="8"/>
        <v>0</v>
      </c>
      <c r="V254" s="45" t="s">
        <v>9</v>
      </c>
      <c r="W254" s="47">
        <v>1</v>
      </c>
      <c r="AA254" s="70">
        <v>253</v>
      </c>
      <c r="AB254" s="70">
        <v>5</v>
      </c>
      <c r="AC254" s="71" t="s">
        <v>644</v>
      </c>
      <c r="AF254"/>
      <c r="AG254"/>
    </row>
    <row r="255" spans="1:33" s="45" customFormat="1" ht="25.5">
      <c r="A255" s="1">
        <v>237</v>
      </c>
      <c r="B255" s="46" t="str">
        <f t="shared" si="7"/>
        <v>248Смирнов Максим Анатольевич, Светлана</v>
      </c>
      <c r="C255" s="46">
        <v>248</v>
      </c>
      <c r="D255" s="46" t="s">
        <v>243</v>
      </c>
      <c r="E255" s="1">
        <v>237</v>
      </c>
      <c r="F255" s="45">
        <f t="shared" si="8"/>
        <v>0</v>
      </c>
      <c r="V255" s="45" t="s">
        <v>224</v>
      </c>
      <c r="W255" s="47">
        <v>1</v>
      </c>
      <c r="AA255" s="70">
        <v>254</v>
      </c>
      <c r="AB255" s="70">
        <v>5</v>
      </c>
      <c r="AC255" s="71" t="s">
        <v>644</v>
      </c>
      <c r="AF255"/>
      <c r="AG255"/>
    </row>
    <row r="256" spans="1:33" s="45" customFormat="1">
      <c r="A256" s="1">
        <v>263</v>
      </c>
      <c r="B256" s="46" t="str">
        <f t="shared" si="7"/>
        <v>276Соколова Ирина Анатольевна</v>
      </c>
      <c r="C256" s="46">
        <v>276</v>
      </c>
      <c r="D256" s="46" t="s">
        <v>244</v>
      </c>
      <c r="E256" s="1">
        <v>263</v>
      </c>
      <c r="F256" s="45">
        <f t="shared" si="8"/>
        <v>0</v>
      </c>
      <c r="V256" s="45" t="s">
        <v>101</v>
      </c>
      <c r="W256" s="47">
        <v>1</v>
      </c>
      <c r="AA256" s="70">
        <v>255</v>
      </c>
      <c r="AB256" s="70">
        <v>5</v>
      </c>
      <c r="AC256" s="71" t="s">
        <v>644</v>
      </c>
      <c r="AF256"/>
      <c r="AG256"/>
    </row>
    <row r="257" spans="1:33" s="45" customFormat="1">
      <c r="A257" s="1">
        <v>100</v>
      </c>
      <c r="B257" s="46" t="str">
        <f t="shared" ref="B257:B320" si="9">CONCATENATE(C257,D257)</f>
        <v>105Солодкий Дмитрий Павлович</v>
      </c>
      <c r="C257" s="46">
        <v>105</v>
      </c>
      <c r="D257" s="46" t="s">
        <v>245</v>
      </c>
      <c r="E257" s="1">
        <v>100</v>
      </c>
      <c r="F257" s="45">
        <f t="shared" si="8"/>
        <v>0</v>
      </c>
      <c r="V257" s="45" t="s">
        <v>73</v>
      </c>
      <c r="W257" s="47">
        <v>1</v>
      </c>
      <c r="AA257" s="70">
        <v>256</v>
      </c>
      <c r="AB257" s="70">
        <v>5</v>
      </c>
      <c r="AC257" s="71" t="s">
        <v>644</v>
      </c>
      <c r="AF257"/>
      <c r="AG257"/>
    </row>
    <row r="258" spans="1:33" s="45" customFormat="1">
      <c r="A258" s="1">
        <v>131</v>
      </c>
      <c r="B258" s="46" t="str">
        <f t="shared" si="9"/>
        <v>138Спивак Сергей Николаевич</v>
      </c>
      <c r="C258" s="46">
        <v>138</v>
      </c>
      <c r="D258" s="46" t="s">
        <v>246</v>
      </c>
      <c r="E258" s="1">
        <v>131</v>
      </c>
      <c r="F258" s="45">
        <f t="shared" ref="F258:F321" si="10">IF(VLOOKUP(D258,$V$2:$W$299,2,FALSE)&lt;&gt;1,1,0)</f>
        <v>0</v>
      </c>
      <c r="V258" s="45" t="s">
        <v>25</v>
      </c>
      <c r="W258" s="47">
        <v>1</v>
      </c>
      <c r="AA258" s="70">
        <v>257</v>
      </c>
      <c r="AB258" s="70">
        <v>5</v>
      </c>
      <c r="AC258" s="71" t="s">
        <v>644</v>
      </c>
      <c r="AF258"/>
      <c r="AG258"/>
    </row>
    <row r="259" spans="1:33" s="45" customFormat="1" ht="25.5">
      <c r="A259" s="1">
        <v>183</v>
      </c>
      <c r="B259" s="46" t="str">
        <f t="shared" si="9"/>
        <v>192Спиридонов Андрей Владимирович</v>
      </c>
      <c r="C259" s="46">
        <v>192</v>
      </c>
      <c r="D259" s="46" t="s">
        <v>247</v>
      </c>
      <c r="E259" s="1">
        <v>183</v>
      </c>
      <c r="F259" s="45">
        <f t="shared" si="10"/>
        <v>1</v>
      </c>
      <c r="V259" s="45" t="s">
        <v>59</v>
      </c>
      <c r="W259" s="47">
        <v>1</v>
      </c>
      <c r="AA259" s="70">
        <v>258</v>
      </c>
      <c r="AB259" s="70">
        <v>5</v>
      </c>
      <c r="AC259" s="71" t="s">
        <v>644</v>
      </c>
      <c r="AF259"/>
      <c r="AG259"/>
    </row>
    <row r="260" spans="1:33" s="45" customFormat="1" ht="25.5">
      <c r="A260" s="1">
        <v>183</v>
      </c>
      <c r="B260" s="46" t="str">
        <f t="shared" si="9"/>
        <v>191Спиридонов Андрей Владимирович</v>
      </c>
      <c r="C260" s="46">
        <v>191</v>
      </c>
      <c r="D260" s="46" t="s">
        <v>247</v>
      </c>
      <c r="E260" s="1">
        <v>183</v>
      </c>
      <c r="F260" s="45">
        <f t="shared" si="10"/>
        <v>1</v>
      </c>
      <c r="V260" s="45" t="s">
        <v>80</v>
      </c>
      <c r="W260" s="47">
        <v>1</v>
      </c>
      <c r="AA260" s="70">
        <v>259</v>
      </c>
      <c r="AB260" s="70">
        <v>5</v>
      </c>
      <c r="AC260" s="71" t="s">
        <v>644</v>
      </c>
      <c r="AF260"/>
      <c r="AG260"/>
    </row>
    <row r="261" spans="1:33" s="45" customFormat="1">
      <c r="A261" s="1">
        <v>21</v>
      </c>
      <c r="B261" s="46" t="str">
        <f t="shared" si="9"/>
        <v>21Старостин Виктор Вячеславович</v>
      </c>
      <c r="C261" s="46">
        <v>21</v>
      </c>
      <c r="D261" s="46" t="s">
        <v>248</v>
      </c>
      <c r="E261" s="1">
        <v>21</v>
      </c>
      <c r="F261" s="45">
        <f t="shared" si="10"/>
        <v>0</v>
      </c>
      <c r="V261" s="45" t="s">
        <v>296</v>
      </c>
      <c r="W261" s="47">
        <v>1</v>
      </c>
      <c r="AA261" s="70">
        <v>260</v>
      </c>
      <c r="AB261" s="70">
        <v>5</v>
      </c>
      <c r="AC261" s="71" t="s">
        <v>644</v>
      </c>
      <c r="AF261"/>
      <c r="AG261"/>
    </row>
    <row r="262" spans="1:33" s="45" customFormat="1" ht="25.5">
      <c r="A262" s="1">
        <v>298</v>
      </c>
      <c r="B262" s="46" t="str">
        <f t="shared" si="9"/>
        <v>313Степанов Валерий Владимирович</v>
      </c>
      <c r="C262" s="46">
        <v>313</v>
      </c>
      <c r="D262" s="46" t="s">
        <v>249</v>
      </c>
      <c r="E262" s="1">
        <v>298</v>
      </c>
      <c r="F262" s="45">
        <f t="shared" si="10"/>
        <v>0</v>
      </c>
      <c r="V262" s="45" t="s">
        <v>58</v>
      </c>
      <c r="W262" s="47">
        <v>1</v>
      </c>
      <c r="AA262" s="70">
        <v>261</v>
      </c>
      <c r="AB262" s="70">
        <v>9</v>
      </c>
      <c r="AC262" s="71" t="s">
        <v>146</v>
      </c>
      <c r="AF262"/>
      <c r="AG262"/>
    </row>
    <row r="263" spans="1:33" s="45" customFormat="1" ht="25.5">
      <c r="A263" s="1">
        <v>91</v>
      </c>
      <c r="B263" s="46" t="str">
        <f t="shared" si="9"/>
        <v>96Степанова Марина Николаевна (Артем)</v>
      </c>
      <c r="C263" s="46">
        <v>96</v>
      </c>
      <c r="D263" s="46" t="s">
        <v>250</v>
      </c>
      <c r="E263" s="1">
        <v>91</v>
      </c>
      <c r="F263" s="45">
        <f t="shared" si="10"/>
        <v>0</v>
      </c>
      <c r="V263" s="45" t="s">
        <v>64</v>
      </c>
      <c r="W263" s="47">
        <v>1</v>
      </c>
      <c r="AA263" s="70">
        <v>262</v>
      </c>
      <c r="AB263" s="70">
        <v>9</v>
      </c>
      <c r="AC263" s="71" t="s">
        <v>146</v>
      </c>
      <c r="AF263"/>
      <c r="AG263"/>
    </row>
    <row r="264" spans="1:33" s="45" customFormat="1">
      <c r="A264" s="1">
        <v>54</v>
      </c>
      <c r="B264" s="46" t="str">
        <f t="shared" si="9"/>
        <v>56Стрелков Андрей Вячеславович</v>
      </c>
      <c r="C264" s="46">
        <v>56</v>
      </c>
      <c r="D264" s="46" t="s">
        <v>251</v>
      </c>
      <c r="E264" s="1">
        <v>54</v>
      </c>
      <c r="F264" s="45">
        <f t="shared" si="10"/>
        <v>0</v>
      </c>
      <c r="V264" s="45" t="s">
        <v>152</v>
      </c>
      <c r="W264" s="47">
        <v>1</v>
      </c>
      <c r="AA264" s="70">
        <v>263</v>
      </c>
      <c r="AB264" s="70">
        <v>9</v>
      </c>
      <c r="AC264" s="71" t="s">
        <v>146</v>
      </c>
      <c r="AF264"/>
      <c r="AG264"/>
    </row>
    <row r="265" spans="1:33" s="45" customFormat="1">
      <c r="A265" s="1">
        <v>317</v>
      </c>
      <c r="B265" s="46" t="str">
        <f t="shared" si="9"/>
        <v xml:space="preserve">51-52Стрелков Андрей Вячеславович  </v>
      </c>
      <c r="C265" s="46" t="s">
        <v>252</v>
      </c>
      <c r="D265" s="46" t="s">
        <v>253</v>
      </c>
      <c r="E265" s="1">
        <v>317</v>
      </c>
      <c r="F265" s="45">
        <f t="shared" si="10"/>
        <v>0</v>
      </c>
      <c r="V265" s="45" t="s">
        <v>239</v>
      </c>
      <c r="W265" s="47">
        <v>1</v>
      </c>
      <c r="AA265" s="70">
        <v>264</v>
      </c>
      <c r="AB265" s="70">
        <v>9</v>
      </c>
      <c r="AC265" s="71" t="s">
        <v>146</v>
      </c>
      <c r="AF265"/>
      <c r="AG265"/>
    </row>
    <row r="266" spans="1:33" s="45" customFormat="1">
      <c r="A266" s="1">
        <v>268</v>
      </c>
      <c r="B266" s="46" t="str">
        <f t="shared" si="9"/>
        <v>281Стрелков Николай Валентинович</v>
      </c>
      <c r="C266" s="46">
        <v>281</v>
      </c>
      <c r="D266" s="46" t="s">
        <v>254</v>
      </c>
      <c r="E266" s="1">
        <v>268</v>
      </c>
      <c r="F266" s="45">
        <f t="shared" si="10"/>
        <v>0</v>
      </c>
      <c r="V266" s="45" t="s">
        <v>180</v>
      </c>
      <c r="W266" s="47">
        <v>1</v>
      </c>
      <c r="AA266" s="70">
        <v>265</v>
      </c>
      <c r="AB266" s="70">
        <v>9</v>
      </c>
      <c r="AC266" s="71" t="s">
        <v>146</v>
      </c>
      <c r="AF266"/>
      <c r="AG266"/>
    </row>
    <row r="267" spans="1:33" s="45" customFormat="1">
      <c r="A267" s="1">
        <v>172</v>
      </c>
      <c r="B267" s="46" t="str">
        <f t="shared" si="9"/>
        <v>180Ступнев Евгений  Романович</v>
      </c>
      <c r="C267" s="46">
        <v>180</v>
      </c>
      <c r="D267" s="46" t="s">
        <v>255</v>
      </c>
      <c r="E267" s="1">
        <v>172</v>
      </c>
      <c r="F267" s="45">
        <f t="shared" si="10"/>
        <v>0</v>
      </c>
      <c r="V267" s="45" t="s">
        <v>211</v>
      </c>
      <c r="W267" s="47">
        <v>1</v>
      </c>
      <c r="AA267" s="70">
        <v>266</v>
      </c>
      <c r="AB267" s="70">
        <v>9</v>
      </c>
      <c r="AC267" s="71" t="s">
        <v>146</v>
      </c>
      <c r="AF267"/>
      <c r="AG267"/>
    </row>
    <row r="268" spans="1:33" s="45" customFormat="1">
      <c r="A268" s="1">
        <v>116</v>
      </c>
      <c r="B268" s="46" t="str">
        <f t="shared" si="9"/>
        <v>121Суворов Сергей Анатольевич</v>
      </c>
      <c r="C268" s="46">
        <v>121</v>
      </c>
      <c r="D268" s="46" t="s">
        <v>256</v>
      </c>
      <c r="E268" s="1">
        <v>116</v>
      </c>
      <c r="F268" s="45">
        <f t="shared" si="10"/>
        <v>0</v>
      </c>
      <c r="V268" s="45" t="s">
        <v>94</v>
      </c>
      <c r="W268" s="47">
        <v>1</v>
      </c>
      <c r="AA268" s="70">
        <v>267</v>
      </c>
      <c r="AB268" s="70">
        <v>9</v>
      </c>
      <c r="AC268" s="71" t="s">
        <v>146</v>
      </c>
      <c r="AF268"/>
      <c r="AG268"/>
    </row>
    <row r="269" spans="1:33" s="45" customFormat="1">
      <c r="A269" s="1">
        <v>57</v>
      </c>
      <c r="B269" s="46" t="str">
        <f t="shared" si="9"/>
        <v>59Суркова Татьяна Александровна</v>
      </c>
      <c r="C269" s="46">
        <v>59</v>
      </c>
      <c r="D269" s="46" t="s">
        <v>257</v>
      </c>
      <c r="E269" s="1">
        <v>57</v>
      </c>
      <c r="F269" s="45">
        <f t="shared" si="10"/>
        <v>0</v>
      </c>
      <c r="V269" s="45" t="s">
        <v>253</v>
      </c>
      <c r="W269" s="47">
        <v>1</v>
      </c>
      <c r="AA269" s="70">
        <v>268</v>
      </c>
      <c r="AB269" s="70">
        <v>9</v>
      </c>
      <c r="AC269" s="71" t="s">
        <v>146</v>
      </c>
      <c r="AF269"/>
      <c r="AG269"/>
    </row>
    <row r="270" spans="1:33" s="45" customFormat="1">
      <c r="A270" s="1">
        <v>46</v>
      </c>
      <c r="B270" s="46" t="str">
        <f t="shared" si="9"/>
        <v>46Сысоев Евгений Анатольевич</v>
      </c>
      <c r="C270" s="46">
        <v>46</v>
      </c>
      <c r="D270" s="46" t="s">
        <v>258</v>
      </c>
      <c r="E270" s="1">
        <v>46</v>
      </c>
      <c r="F270" s="45">
        <f t="shared" si="10"/>
        <v>0</v>
      </c>
      <c r="V270" s="45" t="s">
        <v>57</v>
      </c>
      <c r="W270" s="47">
        <v>1</v>
      </c>
      <c r="AA270" s="70">
        <v>269</v>
      </c>
      <c r="AB270" s="70">
        <v>9</v>
      </c>
      <c r="AC270" s="71" t="s">
        <v>146</v>
      </c>
      <c r="AF270"/>
      <c r="AG270"/>
    </row>
    <row r="271" spans="1:33" s="45" customFormat="1">
      <c r="A271" s="1">
        <v>73</v>
      </c>
      <c r="B271" s="46" t="str">
        <f t="shared" si="9"/>
        <v>79Сысоев Семен Евгеньевич</v>
      </c>
      <c r="C271" s="46">
        <v>79</v>
      </c>
      <c r="D271" s="46" t="s">
        <v>259</v>
      </c>
      <c r="E271" s="1">
        <v>73</v>
      </c>
      <c r="F271" s="45">
        <f t="shared" si="10"/>
        <v>0</v>
      </c>
      <c r="V271" s="45" t="s">
        <v>269</v>
      </c>
      <c r="W271" s="47">
        <v>1</v>
      </c>
      <c r="AA271" s="70">
        <v>270</v>
      </c>
      <c r="AB271" s="70">
        <v>9</v>
      </c>
      <c r="AC271" s="71" t="s">
        <v>146</v>
      </c>
      <c r="AF271"/>
      <c r="AG271"/>
    </row>
    <row r="272" spans="1:33" s="45" customFormat="1">
      <c r="A272" s="1">
        <v>162</v>
      </c>
      <c r="B272" s="46" t="str">
        <f t="shared" si="9"/>
        <v>170Тадлов Виталий Петрович</v>
      </c>
      <c r="C272" s="46">
        <v>170</v>
      </c>
      <c r="D272" s="46" t="s">
        <v>260</v>
      </c>
      <c r="E272" s="1">
        <v>162</v>
      </c>
      <c r="F272" s="45">
        <f t="shared" si="10"/>
        <v>0</v>
      </c>
      <c r="V272" s="45" t="s">
        <v>24</v>
      </c>
      <c r="W272" s="47">
        <v>1</v>
      </c>
      <c r="AA272" s="70">
        <v>271</v>
      </c>
      <c r="AB272" s="70">
        <v>9</v>
      </c>
      <c r="AC272" s="71" t="s">
        <v>146</v>
      </c>
      <c r="AF272"/>
      <c r="AG272"/>
    </row>
    <row r="273" spans="1:33" s="45" customFormat="1">
      <c r="A273" s="1">
        <v>252</v>
      </c>
      <c r="B273" s="46" t="str">
        <f t="shared" si="9"/>
        <v>264Тарасенко Анатолий Семенович</v>
      </c>
      <c r="C273" s="46">
        <v>264</v>
      </c>
      <c r="D273" s="46" t="s">
        <v>261</v>
      </c>
      <c r="E273" s="1">
        <v>252</v>
      </c>
      <c r="F273" s="45">
        <f t="shared" si="10"/>
        <v>1</v>
      </c>
      <c r="V273" s="45" t="s">
        <v>196</v>
      </c>
      <c r="W273" s="47">
        <v>1</v>
      </c>
      <c r="AA273" s="70">
        <v>272</v>
      </c>
      <c r="AB273" s="70">
        <v>9</v>
      </c>
      <c r="AC273" s="71" t="s">
        <v>146</v>
      </c>
      <c r="AF273"/>
      <c r="AG273"/>
    </row>
    <row r="274" spans="1:33" s="45" customFormat="1">
      <c r="A274" s="1">
        <v>252</v>
      </c>
      <c r="B274" s="46" t="str">
        <f t="shared" si="9"/>
        <v>263Тарасенко Анатолий Семенович</v>
      </c>
      <c r="C274" s="46">
        <v>263</v>
      </c>
      <c r="D274" s="46" t="s">
        <v>261</v>
      </c>
      <c r="E274" s="1">
        <v>252</v>
      </c>
      <c r="F274" s="45">
        <f t="shared" si="10"/>
        <v>1</v>
      </c>
      <c r="V274" s="45" t="s">
        <v>249</v>
      </c>
      <c r="W274" s="47">
        <v>1</v>
      </c>
      <c r="AA274" s="70">
        <v>273</v>
      </c>
      <c r="AB274" s="70">
        <v>9</v>
      </c>
      <c r="AC274" s="71" t="s">
        <v>146</v>
      </c>
      <c r="AF274"/>
      <c r="AG274"/>
    </row>
    <row r="275" spans="1:33" s="45" customFormat="1">
      <c r="A275" s="1">
        <v>45</v>
      </c>
      <c r="B275" s="46" t="str">
        <f t="shared" si="9"/>
        <v>45Темникова Елена Станиславовна</v>
      </c>
      <c r="C275" s="46">
        <v>45</v>
      </c>
      <c r="D275" s="46" t="s">
        <v>262</v>
      </c>
      <c r="E275" s="1">
        <v>45</v>
      </c>
      <c r="F275" s="45">
        <f t="shared" si="10"/>
        <v>0</v>
      </c>
      <c r="V275" s="45" t="s">
        <v>63</v>
      </c>
      <c r="W275" s="47">
        <v>1</v>
      </c>
      <c r="AA275" s="70">
        <v>274</v>
      </c>
      <c r="AB275" s="70">
        <v>9</v>
      </c>
      <c r="AC275" s="71" t="s">
        <v>146</v>
      </c>
      <c r="AF275"/>
      <c r="AG275"/>
    </row>
    <row r="276" spans="1:33" s="45" customFormat="1">
      <c r="A276" s="1">
        <v>319</v>
      </c>
      <c r="B276" s="46" t="str">
        <f t="shared" si="9"/>
        <v>73-74Тимофеева Лариса Викторовна</v>
      </c>
      <c r="C276" s="46" t="s">
        <v>263</v>
      </c>
      <c r="D276" s="46" t="s">
        <v>264</v>
      </c>
      <c r="E276" s="1">
        <v>319</v>
      </c>
      <c r="F276" s="45">
        <f t="shared" si="10"/>
        <v>0</v>
      </c>
      <c r="V276" s="45" t="s">
        <v>185</v>
      </c>
      <c r="W276" s="47">
        <v>1</v>
      </c>
      <c r="AA276" s="70">
        <v>275</v>
      </c>
      <c r="AB276" s="70">
        <v>9</v>
      </c>
      <c r="AC276" s="71" t="s">
        <v>146</v>
      </c>
      <c r="AF276"/>
      <c r="AG276"/>
    </row>
    <row r="277" spans="1:33" s="45" customFormat="1" ht="25.5">
      <c r="A277" s="1">
        <v>93</v>
      </c>
      <c r="B277" s="46" t="str">
        <f t="shared" si="9"/>
        <v>98Тимофеева Татьяна Александровна (Денис)</v>
      </c>
      <c r="C277" s="46">
        <v>98</v>
      </c>
      <c r="D277" s="46" t="s">
        <v>265</v>
      </c>
      <c r="E277" s="1">
        <v>93</v>
      </c>
      <c r="F277" s="45">
        <f t="shared" si="10"/>
        <v>0</v>
      </c>
      <c r="V277" s="45" t="s">
        <v>116</v>
      </c>
      <c r="W277" s="47">
        <v>1</v>
      </c>
      <c r="AA277" s="70">
        <v>276</v>
      </c>
      <c r="AB277" s="70">
        <v>9</v>
      </c>
      <c r="AC277" s="71" t="s">
        <v>146</v>
      </c>
      <c r="AF277"/>
      <c r="AG277"/>
    </row>
    <row r="278" spans="1:33" s="45" customFormat="1" ht="25.5">
      <c r="A278" s="1">
        <v>255</v>
      </c>
      <c r="B278" s="46" t="str">
        <f t="shared" si="9"/>
        <v>268Толкова Елена Анатольевна (Олег)</v>
      </c>
      <c r="C278" s="46">
        <v>268</v>
      </c>
      <c r="D278" s="46" t="s">
        <v>266</v>
      </c>
      <c r="E278" s="1">
        <v>255</v>
      </c>
      <c r="F278" s="45">
        <f t="shared" si="10"/>
        <v>0</v>
      </c>
      <c r="V278" s="45" t="s">
        <v>125</v>
      </c>
      <c r="W278" s="47">
        <v>1</v>
      </c>
      <c r="AA278" s="70">
        <v>277</v>
      </c>
      <c r="AB278" s="70">
        <v>9</v>
      </c>
      <c r="AC278" s="71" t="s">
        <v>146</v>
      </c>
      <c r="AF278"/>
      <c r="AG278"/>
    </row>
    <row r="279" spans="1:33" s="45" customFormat="1">
      <c r="A279" s="1">
        <v>167</v>
      </c>
      <c r="B279" s="46" t="str">
        <f t="shared" si="9"/>
        <v>175Трубченко Петр Александрович</v>
      </c>
      <c r="C279" s="46">
        <v>175</v>
      </c>
      <c r="D279" s="46" t="s">
        <v>267</v>
      </c>
      <c r="E279" s="1">
        <v>167</v>
      </c>
      <c r="F279" s="45">
        <f t="shared" si="10"/>
        <v>0</v>
      </c>
      <c r="V279" s="45" t="s">
        <v>145</v>
      </c>
      <c r="W279" s="47">
        <v>1</v>
      </c>
      <c r="AA279" s="70">
        <v>278</v>
      </c>
      <c r="AB279" s="70">
        <v>9</v>
      </c>
      <c r="AC279" s="71" t="s">
        <v>146</v>
      </c>
      <c r="AF279"/>
      <c r="AG279"/>
    </row>
    <row r="280" spans="1:33" s="45" customFormat="1">
      <c r="A280" s="1">
        <v>99</v>
      </c>
      <c r="B280" s="46" t="str">
        <f t="shared" si="9"/>
        <v>104Трыкин Евгений Викторович</v>
      </c>
      <c r="C280" s="46">
        <v>104</v>
      </c>
      <c r="D280" s="46" t="s">
        <v>268</v>
      </c>
      <c r="E280" s="1">
        <v>99</v>
      </c>
      <c r="F280" s="45">
        <f t="shared" si="10"/>
        <v>0</v>
      </c>
      <c r="V280" s="45" t="s">
        <v>122</v>
      </c>
      <c r="W280" s="47">
        <v>1</v>
      </c>
      <c r="AA280" s="70">
        <v>279</v>
      </c>
      <c r="AB280" s="70">
        <v>9</v>
      </c>
      <c r="AC280" s="71" t="s">
        <v>146</v>
      </c>
      <c r="AF280"/>
      <c r="AG280"/>
    </row>
    <row r="281" spans="1:33" s="45" customFormat="1">
      <c r="A281" s="1">
        <v>146</v>
      </c>
      <c r="B281" s="46" t="str">
        <f t="shared" si="9"/>
        <v>154Тюленев Вячеслав Рудольфович</v>
      </c>
      <c r="C281" s="46">
        <v>154</v>
      </c>
      <c r="D281" s="46" t="s">
        <v>269</v>
      </c>
      <c r="E281" s="1">
        <v>146</v>
      </c>
      <c r="F281" s="45">
        <f t="shared" si="10"/>
        <v>0</v>
      </c>
      <c r="V281" s="45" t="s">
        <v>32</v>
      </c>
      <c r="W281" s="47">
        <v>1</v>
      </c>
      <c r="AA281" s="70">
        <v>280</v>
      </c>
      <c r="AB281" s="70">
        <v>9</v>
      </c>
      <c r="AC281" s="71" t="s">
        <v>146</v>
      </c>
      <c r="AF281"/>
      <c r="AG281"/>
    </row>
    <row r="282" spans="1:33" s="45" customFormat="1">
      <c r="A282" s="1"/>
      <c r="B282" s="46"/>
      <c r="C282" s="46"/>
      <c r="D282" s="2"/>
      <c r="E282" s="1"/>
      <c r="V282" s="45" t="s">
        <v>202</v>
      </c>
      <c r="W282" s="47">
        <v>1</v>
      </c>
      <c r="AA282" s="70">
        <v>281</v>
      </c>
      <c r="AB282" s="70">
        <v>11</v>
      </c>
      <c r="AC282" s="71" t="s">
        <v>643</v>
      </c>
      <c r="AF282"/>
      <c r="AG282"/>
    </row>
    <row r="283" spans="1:33" s="45" customFormat="1" ht="25.5">
      <c r="A283" s="1">
        <v>28</v>
      </c>
      <c r="B283" s="46" t="str">
        <f t="shared" si="9"/>
        <v>28Федорова Наталья Владимировна</v>
      </c>
      <c r="C283" s="46">
        <v>28</v>
      </c>
      <c r="D283" s="46" t="s">
        <v>271</v>
      </c>
      <c r="E283" s="1">
        <v>28</v>
      </c>
      <c r="F283" s="45">
        <f t="shared" si="10"/>
        <v>0</v>
      </c>
      <c r="V283" s="45" t="s">
        <v>301</v>
      </c>
      <c r="W283" s="47">
        <v>1</v>
      </c>
      <c r="AA283" s="70">
        <v>282</v>
      </c>
      <c r="AB283" s="70">
        <v>11</v>
      </c>
      <c r="AC283" s="71" t="s">
        <v>643</v>
      </c>
      <c r="AF283"/>
      <c r="AG283"/>
    </row>
    <row r="284" spans="1:33" s="45" customFormat="1">
      <c r="A284" s="1">
        <v>27</v>
      </c>
      <c r="B284" s="46" t="str">
        <f t="shared" si="9"/>
        <v>27Федорова Юлия Владимировна</v>
      </c>
      <c r="C284" s="46">
        <v>27</v>
      </c>
      <c r="D284" s="46" t="s">
        <v>272</v>
      </c>
      <c r="E284" s="1">
        <v>27</v>
      </c>
      <c r="F284" s="45">
        <f t="shared" si="10"/>
        <v>0</v>
      </c>
      <c r="V284" s="45" t="s">
        <v>307</v>
      </c>
      <c r="W284" s="47">
        <v>1</v>
      </c>
      <c r="AA284" s="70">
        <v>283</v>
      </c>
      <c r="AB284" s="70">
        <v>11</v>
      </c>
      <c r="AC284" s="71" t="s">
        <v>643</v>
      </c>
      <c r="AF284"/>
      <c r="AG284"/>
    </row>
    <row r="285" spans="1:33" s="45" customFormat="1">
      <c r="A285" s="1">
        <v>135</v>
      </c>
      <c r="B285" s="46" t="str">
        <f t="shared" si="9"/>
        <v>142-143Финогин Сергей Александрович</v>
      </c>
      <c r="C285" s="46" t="s">
        <v>274</v>
      </c>
      <c r="D285" s="46" t="s">
        <v>273</v>
      </c>
      <c r="E285" s="1">
        <v>135</v>
      </c>
      <c r="F285" s="45">
        <f t="shared" si="10"/>
        <v>1</v>
      </c>
      <c r="V285" s="45" t="s">
        <v>107</v>
      </c>
      <c r="W285" s="47">
        <v>1</v>
      </c>
      <c r="AA285" s="70">
        <v>284</v>
      </c>
      <c r="AB285" s="70">
        <v>11</v>
      </c>
      <c r="AC285" s="71" t="s">
        <v>643</v>
      </c>
      <c r="AF285"/>
      <c r="AG285"/>
    </row>
    <row r="286" spans="1:33" s="45" customFormat="1">
      <c r="A286" s="1">
        <v>135</v>
      </c>
      <c r="B286" s="46" t="str">
        <f t="shared" si="9"/>
        <v>143Финогин Сергей Александрович</v>
      </c>
      <c r="C286" s="46">
        <v>143</v>
      </c>
      <c r="D286" s="46" t="s">
        <v>273</v>
      </c>
      <c r="E286" s="1">
        <v>135</v>
      </c>
      <c r="F286" s="45">
        <f t="shared" si="10"/>
        <v>1</v>
      </c>
      <c r="V286" s="45" t="s">
        <v>213</v>
      </c>
      <c r="W286" s="47">
        <v>1</v>
      </c>
      <c r="AA286" s="70">
        <v>285</v>
      </c>
      <c r="AB286" s="70">
        <v>11</v>
      </c>
      <c r="AC286" s="71" t="s">
        <v>643</v>
      </c>
      <c r="AF286"/>
      <c r="AG286"/>
    </row>
    <row r="287" spans="1:33" s="45" customFormat="1">
      <c r="A287" s="1">
        <v>135</v>
      </c>
      <c r="B287" s="46" t="str">
        <f t="shared" si="9"/>
        <v>142Финогин Сергей Александрович</v>
      </c>
      <c r="C287" s="46">
        <v>142</v>
      </c>
      <c r="D287" s="46" t="s">
        <v>273</v>
      </c>
      <c r="E287" s="1">
        <v>135</v>
      </c>
      <c r="F287" s="45">
        <f t="shared" si="10"/>
        <v>1</v>
      </c>
      <c r="V287" s="45" t="s">
        <v>161</v>
      </c>
      <c r="W287" s="47">
        <v>1</v>
      </c>
      <c r="AA287" s="70">
        <v>286</v>
      </c>
      <c r="AB287" s="70">
        <v>11</v>
      </c>
      <c r="AC287" s="71" t="s">
        <v>643</v>
      </c>
      <c r="AF287"/>
      <c r="AG287"/>
    </row>
    <row r="288" spans="1:33" s="45" customFormat="1">
      <c r="A288" s="1">
        <v>59</v>
      </c>
      <c r="B288" s="46" t="str">
        <f t="shared" si="9"/>
        <v>61Фисенко Вадим Петрович</v>
      </c>
      <c r="C288" s="46">
        <v>61</v>
      </c>
      <c r="D288" s="46" t="s">
        <v>275</v>
      </c>
      <c r="E288" s="1">
        <v>59</v>
      </c>
      <c r="F288" s="45">
        <f t="shared" si="10"/>
        <v>0</v>
      </c>
      <c r="V288" s="45" t="s">
        <v>7</v>
      </c>
      <c r="W288" s="47">
        <v>1</v>
      </c>
      <c r="AA288" s="70">
        <v>287</v>
      </c>
      <c r="AB288" s="70">
        <v>11</v>
      </c>
      <c r="AC288" s="71" t="s">
        <v>643</v>
      </c>
      <c r="AF288"/>
      <c r="AG288"/>
    </row>
    <row r="289" spans="1:33" s="45" customFormat="1">
      <c r="A289" s="1">
        <v>60</v>
      </c>
      <c r="B289" s="46" t="str">
        <f t="shared" si="9"/>
        <v>62Фисенко Дмитрий Петрович</v>
      </c>
      <c r="C289" s="46">
        <v>62</v>
      </c>
      <c r="D289" s="46" t="s">
        <v>276</v>
      </c>
      <c r="E289" s="1">
        <v>60</v>
      </c>
      <c r="F289" s="45">
        <f t="shared" si="10"/>
        <v>0</v>
      </c>
      <c r="V289" s="45" t="s">
        <v>75</v>
      </c>
      <c r="W289" s="47">
        <v>1</v>
      </c>
      <c r="AA289" s="70">
        <v>288</v>
      </c>
      <c r="AB289" s="70">
        <v>11</v>
      </c>
      <c r="AC289" s="71" t="s">
        <v>643</v>
      </c>
      <c r="AF289"/>
      <c r="AG289"/>
    </row>
    <row r="290" spans="1:33" s="45" customFormat="1">
      <c r="A290" s="1">
        <v>248</v>
      </c>
      <c r="B290" s="46" t="str">
        <f t="shared" si="9"/>
        <v>259Фомин Андрей Анатольевич</v>
      </c>
      <c r="C290" s="46">
        <v>259</v>
      </c>
      <c r="D290" s="46" t="s">
        <v>277</v>
      </c>
      <c r="E290" s="1">
        <v>248</v>
      </c>
      <c r="F290" s="45">
        <f t="shared" si="10"/>
        <v>0</v>
      </c>
      <c r="V290" s="45" t="s">
        <v>66</v>
      </c>
      <c r="W290" s="47">
        <v>1</v>
      </c>
      <c r="AA290" s="70">
        <v>289</v>
      </c>
      <c r="AB290" s="70">
        <v>11</v>
      </c>
      <c r="AC290" s="71" t="s">
        <v>643</v>
      </c>
      <c r="AF290"/>
      <c r="AG290"/>
    </row>
    <row r="291" spans="1:33" s="45" customFormat="1">
      <c r="A291" s="1">
        <v>247</v>
      </c>
      <c r="B291" s="46" t="str">
        <f t="shared" si="9"/>
        <v>258Фомин Игорь Анатольевич</v>
      </c>
      <c r="C291" s="46">
        <v>258</v>
      </c>
      <c r="D291" s="46" t="s">
        <v>278</v>
      </c>
      <c r="E291" s="1">
        <v>247</v>
      </c>
      <c r="F291" s="45">
        <f t="shared" si="10"/>
        <v>0</v>
      </c>
      <c r="V291" s="45" t="s">
        <v>98</v>
      </c>
      <c r="W291" s="47">
        <v>1</v>
      </c>
      <c r="AA291" s="70">
        <v>290</v>
      </c>
      <c r="AB291" s="70">
        <v>11</v>
      </c>
      <c r="AC291" s="71" t="s">
        <v>643</v>
      </c>
      <c r="AF291"/>
      <c r="AG291"/>
    </row>
    <row r="292" spans="1:33" s="45" customFormat="1">
      <c r="A292" s="1">
        <v>103</v>
      </c>
      <c r="B292" s="46" t="str">
        <f t="shared" si="9"/>
        <v>108Фомичев Александр Петрович</v>
      </c>
      <c r="C292" s="46">
        <v>108</v>
      </c>
      <c r="D292" s="46" t="s">
        <v>279</v>
      </c>
      <c r="E292" s="1">
        <v>103</v>
      </c>
      <c r="F292" s="45">
        <f t="shared" si="10"/>
        <v>0</v>
      </c>
      <c r="V292" s="45" t="s">
        <v>707</v>
      </c>
      <c r="W292" s="47">
        <v>1</v>
      </c>
      <c r="AA292" s="70">
        <v>291</v>
      </c>
      <c r="AB292" s="70">
        <v>11</v>
      </c>
      <c r="AC292" s="71" t="s">
        <v>643</v>
      </c>
      <c r="AF292"/>
      <c r="AG292"/>
    </row>
    <row r="293" spans="1:33" s="45" customFormat="1">
      <c r="A293" s="1">
        <v>275</v>
      </c>
      <c r="B293" s="46" t="str">
        <f t="shared" si="9"/>
        <v>288Хайлов Алексей Анатольевич</v>
      </c>
      <c r="C293" s="46">
        <v>288</v>
      </c>
      <c r="D293" s="46" t="s">
        <v>280</v>
      </c>
      <c r="E293" s="1">
        <v>275</v>
      </c>
      <c r="F293" s="45">
        <f t="shared" si="10"/>
        <v>0</v>
      </c>
      <c r="V293" s="45" t="s">
        <v>140</v>
      </c>
      <c r="W293" s="47">
        <v>1</v>
      </c>
      <c r="AA293" s="70">
        <v>292</v>
      </c>
      <c r="AB293" s="70">
        <v>11</v>
      </c>
      <c r="AC293" s="71" t="s">
        <v>643</v>
      </c>
      <c r="AF293"/>
      <c r="AG293"/>
    </row>
    <row r="294" spans="1:33" s="45" customFormat="1">
      <c r="A294" s="1">
        <v>22</v>
      </c>
      <c r="B294" s="46" t="str">
        <f t="shared" si="9"/>
        <v>22Хан Виталий Борисович</v>
      </c>
      <c r="C294" s="46">
        <v>22</v>
      </c>
      <c r="D294" s="46" t="s">
        <v>281</v>
      </c>
      <c r="E294" s="1">
        <v>22</v>
      </c>
      <c r="F294" s="45">
        <f t="shared" si="10"/>
        <v>0</v>
      </c>
      <c r="V294" s="45" t="s">
        <v>78</v>
      </c>
      <c r="W294" s="47">
        <v>1</v>
      </c>
      <c r="AA294" s="70">
        <v>293</v>
      </c>
      <c r="AB294" s="70">
        <v>11</v>
      </c>
      <c r="AC294" s="71" t="s">
        <v>643</v>
      </c>
      <c r="AF294"/>
      <c r="AG294"/>
    </row>
    <row r="295" spans="1:33" s="45" customFormat="1" ht="25.5">
      <c r="A295" s="1">
        <v>20</v>
      </c>
      <c r="B295" s="46" t="str">
        <f t="shared" si="9"/>
        <v>20Харинкина Танзиля Гарафутдиновна</v>
      </c>
      <c r="C295" s="46">
        <v>20</v>
      </c>
      <c r="D295" s="46" t="s">
        <v>282</v>
      </c>
      <c r="E295" s="1">
        <v>20</v>
      </c>
      <c r="F295" s="45">
        <f t="shared" si="10"/>
        <v>0</v>
      </c>
      <c r="V295" s="45" t="s">
        <v>704</v>
      </c>
      <c r="W295" s="47"/>
      <c r="AA295" s="70">
        <v>294</v>
      </c>
      <c r="AB295" s="70">
        <v>11</v>
      </c>
      <c r="AC295" s="71" t="s">
        <v>643</v>
      </c>
      <c r="AF295"/>
      <c r="AG295"/>
    </row>
    <row r="296" spans="1:33" s="45" customFormat="1">
      <c r="A296" s="1">
        <v>233</v>
      </c>
      <c r="B296" s="46" t="str">
        <f t="shared" si="9"/>
        <v>242Хаустова Люция Егоровна</v>
      </c>
      <c r="C296" s="46">
        <v>242</v>
      </c>
      <c r="D296" s="46" t="s">
        <v>283</v>
      </c>
      <c r="E296" s="1">
        <v>233</v>
      </c>
      <c r="F296" s="45">
        <f t="shared" si="10"/>
        <v>0</v>
      </c>
      <c r="V296" s="45" t="s">
        <v>171</v>
      </c>
      <c r="W296" s="47"/>
      <c r="AA296" s="70">
        <v>295</v>
      </c>
      <c r="AB296" s="70">
        <v>11</v>
      </c>
      <c r="AC296" s="71" t="s">
        <v>643</v>
      </c>
      <c r="AF296"/>
      <c r="AG296"/>
    </row>
    <row r="297" spans="1:33" s="45" customFormat="1">
      <c r="A297" s="1">
        <v>256</v>
      </c>
      <c r="B297" s="46" t="str">
        <f t="shared" si="9"/>
        <v>269Хачатрян Алла Самвеловна</v>
      </c>
      <c r="C297" s="46">
        <v>269</v>
      </c>
      <c r="D297" s="46" t="s">
        <v>284</v>
      </c>
      <c r="E297" s="1">
        <v>256</v>
      </c>
      <c r="F297" s="45">
        <f t="shared" si="10"/>
        <v>0</v>
      </c>
      <c r="V297" s="45" t="s">
        <v>619</v>
      </c>
      <c r="W297" s="47">
        <v>319</v>
      </c>
      <c r="AA297" s="70">
        <v>296</v>
      </c>
      <c r="AB297" s="70">
        <v>11</v>
      </c>
      <c r="AC297" s="71" t="s">
        <v>643</v>
      </c>
      <c r="AF297"/>
      <c r="AG297"/>
    </row>
    <row r="298" spans="1:33" s="45" customFormat="1">
      <c r="A298" s="1">
        <v>113</v>
      </c>
      <c r="B298" s="46" t="str">
        <f t="shared" si="9"/>
        <v>116+118+120Хрупало Николай Алексеевич</v>
      </c>
      <c r="C298" s="91" t="s">
        <v>705</v>
      </c>
      <c r="D298" s="46" t="s">
        <v>285</v>
      </c>
      <c r="E298" s="1">
        <v>113</v>
      </c>
      <c r="F298" s="45">
        <f t="shared" si="10"/>
        <v>1</v>
      </c>
      <c r="V298"/>
      <c r="W298"/>
      <c r="AA298" s="70">
        <v>297</v>
      </c>
      <c r="AB298" s="70">
        <v>11</v>
      </c>
      <c r="AC298" s="71" t="s">
        <v>643</v>
      </c>
      <c r="AF298"/>
      <c r="AG298"/>
    </row>
    <row r="299" spans="1:33" s="45" customFormat="1">
      <c r="A299" s="1">
        <v>113</v>
      </c>
      <c r="B299" s="46" t="str">
        <f t="shared" si="9"/>
        <v>116+118+120Хрупало Николай Алексеевич</v>
      </c>
      <c r="C299" s="91" t="s">
        <v>705</v>
      </c>
      <c r="D299" s="46" t="s">
        <v>285</v>
      </c>
      <c r="E299" s="1">
        <v>113</v>
      </c>
      <c r="F299" s="45">
        <f t="shared" si="10"/>
        <v>1</v>
      </c>
      <c r="V299"/>
      <c r="W299"/>
      <c r="AA299" s="70">
        <v>298</v>
      </c>
      <c r="AB299" s="70">
        <v>11</v>
      </c>
      <c r="AC299" s="71" t="s">
        <v>643</v>
      </c>
      <c r="AF299"/>
      <c r="AG299"/>
    </row>
    <row r="300" spans="1:33" s="45" customFormat="1">
      <c r="A300" s="1">
        <v>113</v>
      </c>
      <c r="B300" s="46" t="str">
        <f t="shared" si="9"/>
        <v>116+118+120Хрупало Николай Алексеевич</v>
      </c>
      <c r="C300" s="91" t="s">
        <v>705</v>
      </c>
      <c r="D300" s="46" t="s">
        <v>285</v>
      </c>
      <c r="E300" s="1">
        <v>113</v>
      </c>
      <c r="F300" s="45">
        <f t="shared" si="10"/>
        <v>1</v>
      </c>
      <c r="V300"/>
      <c r="W300"/>
      <c r="AA300" s="70">
        <v>299</v>
      </c>
      <c r="AB300" s="70">
        <v>11</v>
      </c>
      <c r="AC300" s="71" t="s">
        <v>643</v>
      </c>
      <c r="AF300"/>
      <c r="AG300"/>
    </row>
    <row r="301" spans="1:33" s="45" customFormat="1" ht="25.5">
      <c r="A301" s="1">
        <v>180</v>
      </c>
      <c r="B301" s="46" t="str">
        <f t="shared" si="9"/>
        <v>188Черешнева Виктория Викторовна</v>
      </c>
      <c r="C301" s="46">
        <v>188</v>
      </c>
      <c r="D301" s="46" t="s">
        <v>287</v>
      </c>
      <c r="E301" s="1">
        <v>180</v>
      </c>
      <c r="F301" s="45">
        <f t="shared" si="10"/>
        <v>0</v>
      </c>
      <c r="AA301" s="70">
        <v>300</v>
      </c>
      <c r="AB301" s="70">
        <v>11</v>
      </c>
      <c r="AC301" s="71" t="s">
        <v>643</v>
      </c>
      <c r="AF301"/>
      <c r="AG301"/>
    </row>
    <row r="302" spans="1:33" s="45" customFormat="1">
      <c r="A302" s="1">
        <v>2</v>
      </c>
      <c r="B302" s="46" t="str">
        <f t="shared" si="9"/>
        <v xml:space="preserve">2Чернявская Оксана Юрьевна        </v>
      </c>
      <c r="C302" s="46">
        <v>2</v>
      </c>
      <c r="D302" s="46" t="s">
        <v>288</v>
      </c>
      <c r="E302" s="1">
        <v>2</v>
      </c>
      <c r="F302" s="45">
        <f t="shared" si="10"/>
        <v>0</v>
      </c>
      <c r="AA302" s="70">
        <v>301</v>
      </c>
      <c r="AB302" s="70">
        <v>7</v>
      </c>
      <c r="AC302" s="71" t="s">
        <v>103</v>
      </c>
      <c r="AF302"/>
      <c r="AG302"/>
    </row>
    <row r="303" spans="1:33" s="45" customFormat="1" ht="25.5">
      <c r="A303" s="1">
        <v>23</v>
      </c>
      <c r="B303" s="46" t="str">
        <f t="shared" si="9"/>
        <v>23Чигрины Анна Анатольевна и Геннадий Иванович</v>
      </c>
      <c r="C303" s="46">
        <v>23</v>
      </c>
      <c r="D303" s="46" t="s">
        <v>289</v>
      </c>
      <c r="E303" s="1">
        <v>23</v>
      </c>
      <c r="F303" s="45">
        <f t="shared" si="10"/>
        <v>0</v>
      </c>
      <c r="AA303" s="70">
        <v>302</v>
      </c>
      <c r="AB303" s="70">
        <v>7</v>
      </c>
      <c r="AC303" s="71" t="s">
        <v>103</v>
      </c>
      <c r="AF303"/>
      <c r="AG303"/>
    </row>
    <row r="304" spans="1:33" s="45" customFormat="1">
      <c r="A304" s="1">
        <v>168</v>
      </c>
      <c r="B304" s="46" t="str">
        <f t="shared" si="9"/>
        <v>176Чикачёв Сергей Иванович</v>
      </c>
      <c r="C304" s="46">
        <v>176</v>
      </c>
      <c r="D304" s="46" t="s">
        <v>290</v>
      </c>
      <c r="E304" s="1">
        <v>168</v>
      </c>
      <c r="F304" s="45">
        <f t="shared" si="10"/>
        <v>0</v>
      </c>
      <c r="AA304" s="70">
        <v>303</v>
      </c>
      <c r="AB304" s="70">
        <v>7</v>
      </c>
      <c r="AC304" s="71" t="s">
        <v>103</v>
      </c>
      <c r="AF304"/>
      <c r="AG304"/>
    </row>
    <row r="305" spans="1:33" s="45" customFormat="1">
      <c r="A305" s="1">
        <v>84</v>
      </c>
      <c r="B305" s="46" t="str">
        <f t="shared" si="9"/>
        <v>89Шабунина Светлана Николаевна</v>
      </c>
      <c r="C305" s="46">
        <v>89</v>
      </c>
      <c r="D305" s="46" t="s">
        <v>291</v>
      </c>
      <c r="E305" s="1">
        <v>84</v>
      </c>
      <c r="F305" s="45">
        <f t="shared" si="10"/>
        <v>0</v>
      </c>
      <c r="AA305" s="70">
        <v>304</v>
      </c>
      <c r="AB305" s="70">
        <v>7</v>
      </c>
      <c r="AC305" s="71" t="s">
        <v>103</v>
      </c>
      <c r="AF305"/>
      <c r="AG305"/>
    </row>
    <row r="306" spans="1:33" s="45" customFormat="1">
      <c r="A306" s="1">
        <v>88</v>
      </c>
      <c r="B306" s="46" t="str">
        <f t="shared" si="9"/>
        <v>97+93Шалинов Андрей Вадимович</v>
      </c>
      <c r="C306" s="91" t="s">
        <v>706</v>
      </c>
      <c r="D306" s="46" t="s">
        <v>292</v>
      </c>
      <c r="E306" s="1">
        <v>88</v>
      </c>
      <c r="F306" s="45">
        <f t="shared" si="10"/>
        <v>1</v>
      </c>
      <c r="AA306" s="70">
        <v>305</v>
      </c>
      <c r="AB306" s="70">
        <v>7</v>
      </c>
      <c r="AC306" s="71" t="s">
        <v>103</v>
      </c>
      <c r="AF306"/>
      <c r="AG306"/>
    </row>
    <row r="307" spans="1:33" s="45" customFormat="1">
      <c r="A307" s="1">
        <v>88</v>
      </c>
      <c r="B307" s="46" t="str">
        <f t="shared" si="9"/>
        <v>97+93Шалинов Андрей Вадимович</v>
      </c>
      <c r="C307" s="91" t="s">
        <v>706</v>
      </c>
      <c r="D307" s="46" t="s">
        <v>292</v>
      </c>
      <c r="E307" s="1">
        <v>88</v>
      </c>
      <c r="F307" s="45">
        <f t="shared" si="10"/>
        <v>1</v>
      </c>
      <c r="AA307" s="70">
        <v>306</v>
      </c>
      <c r="AB307" s="70">
        <v>7</v>
      </c>
      <c r="AC307" s="71" t="s">
        <v>103</v>
      </c>
      <c r="AF307"/>
      <c r="AG307"/>
    </row>
    <row r="308" spans="1:33" s="45" customFormat="1">
      <c r="A308" s="1">
        <v>78</v>
      </c>
      <c r="B308" s="46" t="str">
        <f t="shared" si="9"/>
        <v>83Шелухина Мария Сергеевна</v>
      </c>
      <c r="C308" s="46">
        <v>83</v>
      </c>
      <c r="D308" s="46" t="s">
        <v>294</v>
      </c>
      <c r="E308" s="1">
        <v>78</v>
      </c>
      <c r="F308" s="45">
        <f t="shared" si="10"/>
        <v>0</v>
      </c>
      <c r="AA308" s="70">
        <v>307</v>
      </c>
      <c r="AB308" s="70">
        <v>7</v>
      </c>
      <c r="AC308" s="71" t="s">
        <v>103</v>
      </c>
      <c r="AF308"/>
      <c r="AG308"/>
    </row>
    <row r="309" spans="1:33" s="45" customFormat="1" ht="25.5">
      <c r="A309" s="1">
        <v>306</v>
      </c>
      <c r="B309" s="46" t="str">
        <f t="shared" si="9"/>
        <v>321Шептухина Александра Борисовна</v>
      </c>
      <c r="C309" s="46">
        <v>321</v>
      </c>
      <c r="D309" s="46" t="s">
        <v>296</v>
      </c>
      <c r="E309" s="1">
        <v>306</v>
      </c>
      <c r="F309" s="45">
        <f t="shared" si="10"/>
        <v>0</v>
      </c>
      <c r="AA309" s="70">
        <v>308</v>
      </c>
      <c r="AB309" s="70">
        <v>7</v>
      </c>
      <c r="AC309" s="71" t="s">
        <v>103</v>
      </c>
      <c r="AF309"/>
      <c r="AG309"/>
    </row>
    <row r="310" spans="1:33" s="45" customFormat="1" ht="25.5">
      <c r="A310" s="1">
        <v>182</v>
      </c>
      <c r="B310" s="46" t="str">
        <f t="shared" si="9"/>
        <v>190Широков Евгений Александрович</v>
      </c>
      <c r="C310" s="46">
        <v>190</v>
      </c>
      <c r="D310" s="46" t="s">
        <v>297</v>
      </c>
      <c r="E310" s="1">
        <v>182</v>
      </c>
      <c r="F310" s="45">
        <f t="shared" si="10"/>
        <v>0</v>
      </c>
      <c r="AA310" s="70">
        <v>309</v>
      </c>
      <c r="AB310" s="70">
        <v>7</v>
      </c>
      <c r="AC310" s="71" t="s">
        <v>103</v>
      </c>
      <c r="AF310"/>
      <c r="AG310"/>
    </row>
    <row r="311" spans="1:33" s="45" customFormat="1" ht="25.5">
      <c r="A311" s="1">
        <v>95</v>
      </c>
      <c r="B311" s="46" t="str">
        <f t="shared" si="9"/>
        <v>100Шорахматов Мухаммадхуджа Замшоевич</v>
      </c>
      <c r="C311" s="46">
        <v>100</v>
      </c>
      <c r="D311" s="46" t="s">
        <v>298</v>
      </c>
      <c r="E311" s="1">
        <v>95</v>
      </c>
      <c r="F311" s="45">
        <f t="shared" si="10"/>
        <v>0</v>
      </c>
      <c r="AA311" s="70">
        <v>310</v>
      </c>
      <c r="AB311" s="70">
        <v>7</v>
      </c>
      <c r="AC311" s="71" t="s">
        <v>103</v>
      </c>
      <c r="AF311"/>
      <c r="AG311"/>
    </row>
    <row r="312" spans="1:33" s="45" customFormat="1" ht="25.5">
      <c r="A312" s="1">
        <v>108</v>
      </c>
      <c r="B312" s="46" t="str">
        <f t="shared" si="9"/>
        <v>113Шурдук Лариса Анатольевна (Игорь)</v>
      </c>
      <c r="C312" s="46">
        <v>113</v>
      </c>
      <c r="D312" s="46" t="s">
        <v>299</v>
      </c>
      <c r="E312" s="1">
        <v>108</v>
      </c>
      <c r="F312" s="45">
        <f t="shared" si="10"/>
        <v>0</v>
      </c>
      <c r="AA312" s="70">
        <v>311</v>
      </c>
      <c r="AB312" s="70">
        <v>7</v>
      </c>
      <c r="AC312" s="71" t="s">
        <v>103</v>
      </c>
      <c r="AF312"/>
      <c r="AG312"/>
    </row>
    <row r="313" spans="1:33" s="45" customFormat="1">
      <c r="A313" s="1">
        <v>41</v>
      </c>
      <c r="B313" s="46" t="str">
        <f t="shared" si="9"/>
        <v>41Шустов Василий Александрович</v>
      </c>
      <c r="C313" s="46">
        <v>41</v>
      </c>
      <c r="D313" s="46" t="s">
        <v>300</v>
      </c>
      <c r="E313" s="1">
        <v>41</v>
      </c>
      <c r="F313" s="45">
        <f t="shared" si="10"/>
        <v>0</v>
      </c>
      <c r="AA313" s="70">
        <v>312</v>
      </c>
      <c r="AB313" s="70">
        <v>7</v>
      </c>
      <c r="AC313" s="71" t="s">
        <v>103</v>
      </c>
      <c r="AF313"/>
      <c r="AG313"/>
    </row>
    <row r="314" spans="1:33" s="45" customFormat="1">
      <c r="A314" s="1">
        <v>152</v>
      </c>
      <c r="B314" s="46" t="str">
        <f t="shared" si="9"/>
        <v>160Щербаков Павел Евгеньевич</v>
      </c>
      <c r="C314" s="46">
        <v>160</v>
      </c>
      <c r="D314" s="46" t="s">
        <v>301</v>
      </c>
      <c r="E314" s="1">
        <v>152</v>
      </c>
      <c r="F314" s="45">
        <f t="shared" si="10"/>
        <v>0</v>
      </c>
      <c r="AA314" s="70">
        <v>313</v>
      </c>
      <c r="AB314" s="70">
        <v>7</v>
      </c>
      <c r="AC314" s="71" t="s">
        <v>103</v>
      </c>
      <c r="AF314"/>
      <c r="AG314"/>
    </row>
    <row r="315" spans="1:33" s="45" customFormat="1">
      <c r="A315" s="1">
        <v>227</v>
      </c>
      <c r="B315" s="46" t="str">
        <f t="shared" si="9"/>
        <v xml:space="preserve">236Щербакова Татьяна Дмитриевна      </v>
      </c>
      <c r="C315" s="46">
        <v>236</v>
      </c>
      <c r="D315" s="46" t="s">
        <v>302</v>
      </c>
      <c r="E315" s="1">
        <v>227</v>
      </c>
      <c r="F315" s="45">
        <f t="shared" si="10"/>
        <v>0</v>
      </c>
      <c r="AA315" s="70">
        <v>314</v>
      </c>
      <c r="AB315" s="70">
        <v>7</v>
      </c>
      <c r="AC315" s="71" t="s">
        <v>103</v>
      </c>
      <c r="AF315"/>
      <c r="AG315"/>
    </row>
    <row r="316" spans="1:33" s="45" customFormat="1" ht="25.5">
      <c r="A316" s="1">
        <v>15</v>
      </c>
      <c r="B316" s="46" t="str">
        <f t="shared" si="9"/>
        <v>15Элефтерова Евгения Викторовна (Михаил)</v>
      </c>
      <c r="C316" s="46">
        <v>15</v>
      </c>
      <c r="D316" s="46" t="s">
        <v>303</v>
      </c>
      <c r="E316" s="1">
        <v>15</v>
      </c>
      <c r="F316" s="45">
        <f t="shared" si="10"/>
        <v>0</v>
      </c>
      <c r="AA316" s="70">
        <v>315</v>
      </c>
      <c r="AB316" s="70">
        <v>7</v>
      </c>
      <c r="AC316" s="71" t="s">
        <v>103</v>
      </c>
      <c r="AF316"/>
      <c r="AG316"/>
    </row>
    <row r="317" spans="1:33" s="45" customFormat="1">
      <c r="A317" s="1">
        <v>240</v>
      </c>
      <c r="B317" s="46" t="str">
        <f t="shared" si="9"/>
        <v>251Якиманский Александр Александрович</v>
      </c>
      <c r="C317" s="46">
        <v>251</v>
      </c>
      <c r="D317" s="49" t="s">
        <v>304</v>
      </c>
      <c r="E317" s="1">
        <v>240</v>
      </c>
      <c r="F317" s="45">
        <f t="shared" si="10"/>
        <v>0</v>
      </c>
      <c r="AA317" s="70">
        <v>316</v>
      </c>
      <c r="AB317" s="70">
        <v>7</v>
      </c>
      <c r="AC317" s="71" t="s">
        <v>103</v>
      </c>
      <c r="AF317"/>
      <c r="AG317"/>
    </row>
    <row r="318" spans="1:33" s="45" customFormat="1">
      <c r="A318" s="1">
        <v>10</v>
      </c>
      <c r="B318" s="46" t="str">
        <f t="shared" si="9"/>
        <v>10Якушина Любовь Викторовна</v>
      </c>
      <c r="C318" s="46">
        <v>10</v>
      </c>
      <c r="D318" s="46" t="s">
        <v>305</v>
      </c>
      <c r="E318" s="1">
        <v>10</v>
      </c>
      <c r="F318" s="45">
        <f t="shared" si="10"/>
        <v>0</v>
      </c>
      <c r="AA318" s="70">
        <v>317</v>
      </c>
      <c r="AB318" s="70">
        <v>7</v>
      </c>
      <c r="AC318" s="71" t="s">
        <v>103</v>
      </c>
      <c r="AF318"/>
      <c r="AG318"/>
    </row>
    <row r="319" spans="1:33" s="45" customFormat="1">
      <c r="A319" s="1">
        <v>55</v>
      </c>
      <c r="B319" s="46" t="str">
        <f t="shared" si="9"/>
        <v>57Янковская Елена Александровна</v>
      </c>
      <c r="C319" s="46">
        <v>57</v>
      </c>
      <c r="D319" s="46" t="s">
        <v>306</v>
      </c>
      <c r="E319" s="1">
        <v>55</v>
      </c>
      <c r="F319" s="45">
        <f t="shared" si="10"/>
        <v>0</v>
      </c>
      <c r="AA319" s="70">
        <v>318</v>
      </c>
      <c r="AB319" s="70">
        <v>7</v>
      </c>
      <c r="AC319" s="71" t="s">
        <v>103</v>
      </c>
      <c r="AF319"/>
      <c r="AG319"/>
    </row>
    <row r="320" spans="1:33" s="45" customFormat="1">
      <c r="A320" s="1">
        <v>309</v>
      </c>
      <c r="B320" s="46" t="str">
        <f t="shared" si="9"/>
        <v>324Янковская Яна Валерьевна</v>
      </c>
      <c r="C320" s="46">
        <v>324</v>
      </c>
      <c r="D320" s="46" t="s">
        <v>307</v>
      </c>
      <c r="E320" s="1">
        <v>309</v>
      </c>
      <c r="F320" s="45">
        <f t="shared" si="10"/>
        <v>0</v>
      </c>
      <c r="AA320" s="70">
        <v>319</v>
      </c>
      <c r="AB320" s="70">
        <v>7</v>
      </c>
      <c r="AC320" s="71" t="s">
        <v>103</v>
      </c>
      <c r="AF320"/>
      <c r="AG320"/>
    </row>
    <row r="321" spans="1:33" s="45" customFormat="1">
      <c r="A321" s="1">
        <v>17</v>
      </c>
      <c r="B321" s="46" t="str">
        <f t="shared" ref="B321:B336" si="11">CONCATENATE(C321,D321)</f>
        <v>17Яструб Валерий Викторович</v>
      </c>
      <c r="C321" s="46">
        <v>17</v>
      </c>
      <c r="D321" s="46" t="s">
        <v>308</v>
      </c>
      <c r="E321" s="1">
        <v>17</v>
      </c>
      <c r="F321" s="45">
        <f t="shared" si="10"/>
        <v>0</v>
      </c>
      <c r="AA321" s="70">
        <v>320</v>
      </c>
      <c r="AB321" s="70">
        <v>7</v>
      </c>
      <c r="AC321" s="71" t="s">
        <v>103</v>
      </c>
      <c r="AF321"/>
      <c r="AG321"/>
    </row>
    <row r="322" spans="1:33" s="45" customFormat="1">
      <c r="A322" s="1">
        <v>40</v>
      </c>
      <c r="B322" s="46" t="str">
        <f t="shared" si="11"/>
        <v>40Яшин Евгений Иванович</v>
      </c>
      <c r="C322" s="46">
        <v>40</v>
      </c>
      <c r="D322" s="46" t="s">
        <v>309</v>
      </c>
      <c r="E322" s="1">
        <v>40</v>
      </c>
      <c r="F322" s="45">
        <f t="shared" ref="F322" si="12">IF(VLOOKUP(D322,$V$2:$W$299,2,FALSE)&lt;&gt;1,1,0)</f>
        <v>0</v>
      </c>
      <c r="AA322" s="70">
        <v>321</v>
      </c>
      <c r="AB322" s="70">
        <v>7</v>
      </c>
      <c r="AC322" s="71" t="s">
        <v>103</v>
      </c>
      <c r="AF322"/>
      <c r="AG322"/>
    </row>
    <row r="323" spans="1:33" s="45" customFormat="1" ht="25.5">
      <c r="A323" s="41">
        <v>321</v>
      </c>
      <c r="B323" s="46" t="str">
        <f t="shared" si="11"/>
        <v>ВОЛГЕЩЕВ ДМИТРИЙЦ ГЕННАДЬЕВИЧ</v>
      </c>
      <c r="C323"/>
      <c r="D323" s="76" t="s">
        <v>688</v>
      </c>
      <c r="E323" s="41">
        <v>321</v>
      </c>
      <c r="F323"/>
      <c r="AA323" s="70">
        <v>322</v>
      </c>
      <c r="AB323" s="70">
        <v>7</v>
      </c>
      <c r="AC323" s="71" t="s">
        <v>103</v>
      </c>
      <c r="AF323"/>
      <c r="AG323"/>
    </row>
    <row r="324" spans="1:33" ht="25.5">
      <c r="A324" s="41">
        <v>322</v>
      </c>
      <c r="B324" s="46" t="str">
        <f t="shared" si="11"/>
        <v>ИВАНОВ СЕРГЕЙ АЛЕКСАНДРОВИЧ</v>
      </c>
      <c r="D324" s="77" t="s">
        <v>689</v>
      </c>
      <c r="E324" s="41">
        <v>322</v>
      </c>
      <c r="AA324" s="70">
        <v>323</v>
      </c>
      <c r="AB324" s="70">
        <v>7</v>
      </c>
      <c r="AC324" s="71" t="s">
        <v>103</v>
      </c>
    </row>
    <row r="325" spans="1:33">
      <c r="A325" s="41">
        <v>323</v>
      </c>
      <c r="B325" s="46" t="str">
        <f t="shared" si="11"/>
        <v>ЛЕСКОВСКИЙ АНАТОЛИЙ ВИТАЛЬЕВИЧ</v>
      </c>
      <c r="D325" s="75" t="s">
        <v>690</v>
      </c>
      <c r="E325" s="41">
        <v>323</v>
      </c>
      <c r="AA325" s="70">
        <v>324</v>
      </c>
      <c r="AB325" s="70">
        <v>7</v>
      </c>
      <c r="AC325" s="71" t="s">
        <v>103</v>
      </c>
    </row>
    <row r="326" spans="1:33">
      <c r="A326" s="41">
        <v>324</v>
      </c>
      <c r="B326" s="46" t="str">
        <f t="shared" si="11"/>
        <v>камышкина юлия юрьевна</v>
      </c>
      <c r="D326" s="78" t="s">
        <v>692</v>
      </c>
      <c r="E326" s="41">
        <v>324</v>
      </c>
    </row>
    <row r="327" spans="1:33">
      <c r="A327" s="41">
        <v>325</v>
      </c>
      <c r="B327" s="46" t="str">
        <f t="shared" si="11"/>
        <v/>
      </c>
    </row>
    <row r="328" spans="1:33">
      <c r="A328" s="41">
        <v>326</v>
      </c>
      <c r="B328" s="46" t="str">
        <f t="shared" si="11"/>
        <v/>
      </c>
    </row>
    <row r="329" spans="1:33">
      <c r="A329" s="41">
        <v>327</v>
      </c>
      <c r="B329" s="46" t="str">
        <f t="shared" si="11"/>
        <v/>
      </c>
    </row>
    <row r="330" spans="1:33">
      <c r="A330" s="41">
        <v>328</v>
      </c>
      <c r="B330" s="46" t="str">
        <f t="shared" si="11"/>
        <v/>
      </c>
    </row>
    <row r="331" spans="1:33">
      <c r="A331" s="41">
        <v>329</v>
      </c>
      <c r="B331" s="46" t="str">
        <f t="shared" si="11"/>
        <v/>
      </c>
    </row>
    <row r="332" spans="1:33">
      <c r="A332" s="41">
        <v>330</v>
      </c>
      <c r="B332" s="46" t="str">
        <f t="shared" si="11"/>
        <v/>
      </c>
    </row>
    <row r="333" spans="1:33">
      <c r="A333" s="41">
        <v>331</v>
      </c>
      <c r="B333" s="46" t="str">
        <f t="shared" si="11"/>
        <v/>
      </c>
    </row>
    <row r="334" spans="1:33">
      <c r="A334" s="41">
        <v>332</v>
      </c>
      <c r="B334" s="46" t="str">
        <f t="shared" si="11"/>
        <v/>
      </c>
    </row>
    <row r="335" spans="1:33">
      <c r="A335" s="41">
        <v>333</v>
      </c>
      <c r="B335" s="46" t="str">
        <f t="shared" si="11"/>
        <v/>
      </c>
    </row>
    <row r="336" spans="1:33">
      <c r="A336" s="41">
        <v>334</v>
      </c>
      <c r="B336" s="46" t="str">
        <f t="shared" si="11"/>
        <v/>
      </c>
    </row>
  </sheetData>
  <autoFilter ref="A1:AI281"/>
  <sortState ref="B2:E323">
    <sortCondition ref="C2:C323"/>
    <sortCondition ref="D2:D323"/>
  </sortState>
  <pageMargins left="0.7" right="0.7" top="0.75" bottom="0.75" header="0.3" footer="0.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C1:V625"/>
  <sheetViews>
    <sheetView topLeftCell="A315" workbookViewId="0">
      <selection activeCell="C331" sqref="C331"/>
    </sheetView>
  </sheetViews>
  <sheetFormatPr defaultRowHeight="15"/>
  <cols>
    <col min="3" max="3" width="14.28515625" customWidth="1"/>
    <col min="4" max="5" width="25" customWidth="1"/>
    <col min="6" max="11" width="10.42578125" bestFit="1" customWidth="1"/>
    <col min="15" max="15" width="17.28515625" customWidth="1"/>
    <col min="16" max="21" width="30" bestFit="1" customWidth="1"/>
  </cols>
  <sheetData>
    <row r="1" spans="3:22">
      <c r="C1" s="41" t="s">
        <v>617</v>
      </c>
      <c r="D1" s="41" t="s">
        <v>639</v>
      </c>
      <c r="E1" s="41" t="s">
        <v>679</v>
      </c>
      <c r="F1" s="28">
        <v>42370</v>
      </c>
      <c r="G1" s="28">
        <v>42401</v>
      </c>
      <c r="H1" s="28">
        <v>42430</v>
      </c>
      <c r="I1" s="28">
        <v>42461</v>
      </c>
      <c r="J1" s="28">
        <v>42491</v>
      </c>
      <c r="K1" s="28">
        <v>42522</v>
      </c>
    </row>
    <row r="2" spans="3:22">
      <c r="C2" s="41">
        <v>79</v>
      </c>
      <c r="D2" s="1">
        <v>84</v>
      </c>
      <c r="E2" s="1">
        <v>800</v>
      </c>
      <c r="F2" s="22"/>
      <c r="G2" s="22">
        <v>4000</v>
      </c>
      <c r="H2" s="22"/>
      <c r="I2" s="22">
        <v>2400</v>
      </c>
      <c r="J2" s="22"/>
      <c r="K2" s="22"/>
      <c r="O2" s="44" t="s">
        <v>618</v>
      </c>
      <c r="P2" t="s">
        <v>681</v>
      </c>
      <c r="Q2" t="s">
        <v>682</v>
      </c>
      <c r="R2" t="s">
        <v>683</v>
      </c>
      <c r="S2" t="s">
        <v>684</v>
      </c>
      <c r="T2" t="s">
        <v>685</v>
      </c>
      <c r="U2" t="s">
        <v>686</v>
      </c>
    </row>
    <row r="3" spans="3:22">
      <c r="C3" s="41">
        <v>35</v>
      </c>
      <c r="D3" s="1">
        <v>35</v>
      </c>
      <c r="E3" s="1">
        <v>800</v>
      </c>
      <c r="F3" s="22"/>
      <c r="G3" s="22"/>
      <c r="H3" s="22"/>
      <c r="I3" s="22"/>
      <c r="J3" s="22"/>
      <c r="K3" s="22"/>
      <c r="O3" s="45">
        <v>1</v>
      </c>
      <c r="P3" s="61"/>
      <c r="Q3" s="61">
        <v>1</v>
      </c>
      <c r="R3" s="61"/>
      <c r="S3" s="61"/>
      <c r="T3" s="61"/>
      <c r="U3" s="61"/>
      <c r="V3">
        <f>COUNTA(P3:U3)</f>
        <v>1</v>
      </c>
    </row>
    <row r="4" spans="3:22">
      <c r="C4" s="41">
        <v>260</v>
      </c>
      <c r="D4" s="1">
        <v>273</v>
      </c>
      <c r="E4" s="1">
        <v>800</v>
      </c>
      <c r="F4" s="22"/>
      <c r="G4" s="22">
        <v>2000</v>
      </c>
      <c r="H4" s="22"/>
      <c r="I4" s="22"/>
      <c r="J4" s="22">
        <v>1000</v>
      </c>
      <c r="K4" s="22">
        <v>2000</v>
      </c>
      <c r="O4" s="45">
        <v>2</v>
      </c>
      <c r="P4" s="61"/>
      <c r="Q4" s="61"/>
      <c r="R4" s="61"/>
      <c r="S4" s="61"/>
      <c r="T4" s="61"/>
      <c r="U4" s="61"/>
      <c r="V4">
        <f t="shared" ref="V4:V67" si="0">COUNTA(P4:U4)</f>
        <v>0</v>
      </c>
    </row>
    <row r="5" spans="3:22">
      <c r="C5" s="41">
        <v>203</v>
      </c>
      <c r="D5" s="1">
        <v>213</v>
      </c>
      <c r="E5" s="1">
        <v>800</v>
      </c>
      <c r="F5" s="22">
        <v>2600</v>
      </c>
      <c r="G5" s="22"/>
      <c r="H5" s="22"/>
      <c r="I5" s="22"/>
      <c r="J5" s="22">
        <v>4200</v>
      </c>
      <c r="K5" s="22"/>
      <c r="O5" s="45">
        <v>3</v>
      </c>
      <c r="P5" s="61"/>
      <c r="Q5" s="61"/>
      <c r="R5" s="61"/>
      <c r="S5" s="61"/>
      <c r="T5" s="61"/>
      <c r="U5" s="61"/>
      <c r="V5">
        <f t="shared" si="0"/>
        <v>0</v>
      </c>
    </row>
    <row r="6" spans="3:22">
      <c r="C6" s="41">
        <v>316</v>
      </c>
      <c r="D6" s="1" t="s">
        <v>6</v>
      </c>
      <c r="E6" s="1">
        <v>800</v>
      </c>
      <c r="F6" s="22">
        <v>800</v>
      </c>
      <c r="G6" s="22"/>
      <c r="H6" s="22"/>
      <c r="I6" s="22"/>
      <c r="J6" s="22"/>
      <c r="K6" s="22"/>
      <c r="O6" s="45">
        <v>4</v>
      </c>
      <c r="P6" s="61"/>
      <c r="Q6" s="61"/>
      <c r="R6" s="61"/>
      <c r="S6" s="61"/>
      <c r="T6" s="61">
        <v>1</v>
      </c>
      <c r="U6" s="61"/>
      <c r="V6">
        <f t="shared" si="0"/>
        <v>1</v>
      </c>
    </row>
    <row r="7" spans="3:22">
      <c r="C7" s="41">
        <v>232</v>
      </c>
      <c r="D7" s="1">
        <v>241</v>
      </c>
      <c r="E7" s="1">
        <v>800</v>
      </c>
      <c r="F7" s="22"/>
      <c r="G7" s="22"/>
      <c r="H7" s="22"/>
      <c r="I7" s="22"/>
      <c r="J7" s="22"/>
      <c r="K7" s="22"/>
      <c r="O7" s="45">
        <v>5</v>
      </c>
      <c r="P7" s="61"/>
      <c r="Q7" s="61"/>
      <c r="R7" s="61"/>
      <c r="S7" s="61"/>
      <c r="T7" s="61"/>
      <c r="U7" s="61"/>
      <c r="V7">
        <f t="shared" si="0"/>
        <v>0</v>
      </c>
    </row>
    <row r="8" spans="3:22">
      <c r="C8" s="41">
        <v>277</v>
      </c>
      <c r="D8" s="1">
        <v>290</v>
      </c>
      <c r="E8" s="1">
        <v>800</v>
      </c>
      <c r="F8" s="22"/>
      <c r="G8" s="22"/>
      <c r="H8" s="22"/>
      <c r="I8" s="22"/>
      <c r="J8" s="22"/>
      <c r="K8" s="22"/>
      <c r="O8" s="45">
        <v>6</v>
      </c>
      <c r="P8" s="61"/>
      <c r="Q8" s="61"/>
      <c r="R8" s="61"/>
      <c r="S8" s="61"/>
      <c r="T8" s="61">
        <v>1</v>
      </c>
      <c r="U8" s="61"/>
      <c r="V8">
        <f t="shared" si="0"/>
        <v>1</v>
      </c>
    </row>
    <row r="9" spans="3:22">
      <c r="C9" s="41">
        <v>221</v>
      </c>
      <c r="D9" s="1">
        <v>230</v>
      </c>
      <c r="E9" s="1">
        <v>800</v>
      </c>
      <c r="F9" s="22">
        <v>12000</v>
      </c>
      <c r="G9" s="22"/>
      <c r="H9" s="22"/>
      <c r="I9" s="22"/>
      <c r="J9" s="22"/>
      <c r="K9" s="22"/>
      <c r="O9" s="45">
        <v>7</v>
      </c>
      <c r="P9" s="61"/>
      <c r="Q9" s="61"/>
      <c r="R9" s="61"/>
      <c r="S9" s="61"/>
      <c r="T9" s="61"/>
      <c r="U9" s="61"/>
      <c r="V9">
        <f t="shared" si="0"/>
        <v>0</v>
      </c>
    </row>
    <row r="10" spans="3:22">
      <c r="C10" s="41">
        <v>259</v>
      </c>
      <c r="D10" s="1">
        <v>272</v>
      </c>
      <c r="E10" s="1">
        <v>800</v>
      </c>
      <c r="F10" s="22"/>
      <c r="G10" s="22"/>
      <c r="H10" s="22"/>
      <c r="I10" s="22"/>
      <c r="J10" s="22"/>
      <c r="K10" s="22"/>
      <c r="O10" s="45">
        <v>8</v>
      </c>
      <c r="P10" s="61"/>
      <c r="Q10" s="61"/>
      <c r="R10" s="61"/>
      <c r="S10" s="61"/>
      <c r="T10" s="61"/>
      <c r="U10" s="61">
        <v>1</v>
      </c>
      <c r="V10">
        <f t="shared" si="0"/>
        <v>1</v>
      </c>
    </row>
    <row r="11" spans="3:22">
      <c r="C11" s="41">
        <v>109</v>
      </c>
      <c r="D11" s="1">
        <v>114</v>
      </c>
      <c r="E11" s="1">
        <v>800</v>
      </c>
      <c r="F11" s="22"/>
      <c r="G11" s="22">
        <v>1000</v>
      </c>
      <c r="H11" s="22">
        <v>1000</v>
      </c>
      <c r="I11" s="22"/>
      <c r="J11" s="22"/>
      <c r="K11" s="22"/>
      <c r="O11" s="45">
        <v>9</v>
      </c>
      <c r="P11" s="61"/>
      <c r="Q11" s="61"/>
      <c r="R11" s="61"/>
      <c r="S11" s="61"/>
      <c r="T11" s="61">
        <v>1</v>
      </c>
      <c r="U11" s="61">
        <v>1</v>
      </c>
      <c r="V11">
        <f t="shared" si="0"/>
        <v>2</v>
      </c>
    </row>
    <row r="12" spans="3:22">
      <c r="C12" s="41">
        <v>130</v>
      </c>
      <c r="D12" s="1">
        <v>137</v>
      </c>
      <c r="E12" s="1">
        <v>800</v>
      </c>
      <c r="F12" s="22"/>
      <c r="G12" s="22">
        <v>800</v>
      </c>
      <c r="H12" s="22"/>
      <c r="I12" s="22"/>
      <c r="J12" s="22"/>
      <c r="K12" s="22">
        <v>2400</v>
      </c>
      <c r="O12" s="45">
        <v>10</v>
      </c>
      <c r="P12" s="61"/>
      <c r="Q12" s="61"/>
      <c r="R12" s="61"/>
      <c r="S12" s="61"/>
      <c r="T12" s="61"/>
      <c r="U12" s="61"/>
      <c r="V12">
        <f t="shared" si="0"/>
        <v>0</v>
      </c>
    </row>
    <row r="13" spans="3:22">
      <c r="C13" s="41">
        <v>7</v>
      </c>
      <c r="D13" s="1">
        <v>7</v>
      </c>
      <c r="E13" s="1">
        <v>800</v>
      </c>
      <c r="F13" s="22"/>
      <c r="G13" s="22"/>
      <c r="H13" s="22"/>
      <c r="I13" s="22"/>
      <c r="J13" s="22"/>
      <c r="K13" s="22"/>
      <c r="O13" s="45">
        <v>11</v>
      </c>
      <c r="P13" s="61"/>
      <c r="Q13" s="61"/>
      <c r="R13" s="61"/>
      <c r="S13" s="61"/>
      <c r="T13" s="61"/>
      <c r="U13" s="61"/>
      <c r="V13">
        <f t="shared" si="0"/>
        <v>0</v>
      </c>
    </row>
    <row r="14" spans="3:22">
      <c r="C14" s="41">
        <v>7</v>
      </c>
      <c r="D14" s="1">
        <v>14</v>
      </c>
      <c r="E14" s="1"/>
      <c r="F14" s="22"/>
      <c r="G14" s="22"/>
      <c r="H14" s="22"/>
      <c r="I14" s="22"/>
      <c r="J14" s="22"/>
      <c r="K14" s="22"/>
      <c r="O14" s="45">
        <v>12</v>
      </c>
      <c r="P14" s="61"/>
      <c r="Q14" s="61"/>
      <c r="R14" s="61"/>
      <c r="S14" s="61"/>
      <c r="T14" s="61"/>
      <c r="U14" s="61"/>
      <c r="V14">
        <f t="shared" si="0"/>
        <v>0</v>
      </c>
    </row>
    <row r="15" spans="3:22">
      <c r="C15" s="41">
        <v>193</v>
      </c>
      <c r="D15" s="1">
        <v>201</v>
      </c>
      <c r="E15" s="1">
        <v>800</v>
      </c>
      <c r="F15" s="22"/>
      <c r="G15" s="22"/>
      <c r="H15" s="22"/>
      <c r="I15" s="22"/>
      <c r="J15" s="22"/>
      <c r="K15" s="22"/>
      <c r="O15" s="45">
        <v>13</v>
      </c>
      <c r="P15" s="61"/>
      <c r="Q15" s="61"/>
      <c r="R15" s="61"/>
      <c r="S15" s="61"/>
      <c r="T15" s="61"/>
      <c r="U15" s="61"/>
      <c r="V15">
        <f t="shared" si="0"/>
        <v>0</v>
      </c>
    </row>
    <row r="16" spans="3:22">
      <c r="C16" s="41">
        <v>178</v>
      </c>
      <c r="D16" s="1">
        <v>186</v>
      </c>
      <c r="E16" s="1">
        <v>800</v>
      </c>
      <c r="F16" s="22"/>
      <c r="G16" s="22"/>
      <c r="H16" s="22"/>
      <c r="I16" s="22"/>
      <c r="J16" s="22"/>
      <c r="K16" s="22"/>
      <c r="O16" s="45">
        <v>15</v>
      </c>
      <c r="P16" s="61"/>
      <c r="Q16" s="61">
        <v>1</v>
      </c>
      <c r="R16" s="61"/>
      <c r="S16" s="61"/>
      <c r="T16" s="61"/>
      <c r="U16" s="61">
        <v>1</v>
      </c>
      <c r="V16">
        <f t="shared" si="0"/>
        <v>2</v>
      </c>
    </row>
    <row r="17" spans="3:22">
      <c r="C17" s="41">
        <v>119</v>
      </c>
      <c r="D17" s="1">
        <v>124</v>
      </c>
      <c r="E17" s="1">
        <v>800</v>
      </c>
      <c r="F17" s="22"/>
      <c r="G17" s="22"/>
      <c r="H17" s="22">
        <v>3000</v>
      </c>
      <c r="I17" s="22"/>
      <c r="J17" s="22"/>
      <c r="K17" s="22"/>
      <c r="O17" s="45">
        <v>16</v>
      </c>
      <c r="P17" s="61"/>
      <c r="Q17" s="61"/>
      <c r="R17" s="61"/>
      <c r="S17" s="61"/>
      <c r="T17" s="61"/>
      <c r="U17" s="61">
        <v>1</v>
      </c>
      <c r="V17">
        <f t="shared" si="0"/>
        <v>1</v>
      </c>
    </row>
    <row r="18" spans="3:22">
      <c r="C18" s="41">
        <v>293</v>
      </c>
      <c r="D18" s="1">
        <v>308</v>
      </c>
      <c r="E18" s="1">
        <v>800</v>
      </c>
      <c r="F18" s="22"/>
      <c r="G18" s="22"/>
      <c r="H18" s="22"/>
      <c r="I18" s="22"/>
      <c r="J18" s="22"/>
      <c r="K18" s="22"/>
      <c r="O18" s="45">
        <v>17</v>
      </c>
      <c r="P18" s="61">
        <v>1</v>
      </c>
      <c r="Q18" s="61"/>
      <c r="R18" s="61">
        <v>1</v>
      </c>
      <c r="S18" s="61"/>
      <c r="T18" s="61"/>
      <c r="U18" s="61">
        <v>1</v>
      </c>
      <c r="V18">
        <f t="shared" si="0"/>
        <v>3</v>
      </c>
    </row>
    <row r="19" spans="3:22">
      <c r="C19" s="41">
        <v>191</v>
      </c>
      <c r="D19" s="1">
        <v>199</v>
      </c>
      <c r="E19" s="1">
        <v>800</v>
      </c>
      <c r="F19" s="22"/>
      <c r="G19" s="22"/>
      <c r="H19" s="22"/>
      <c r="I19" s="22"/>
      <c r="J19" s="22"/>
      <c r="K19" s="22"/>
      <c r="O19" s="45">
        <v>18</v>
      </c>
      <c r="P19" s="61"/>
      <c r="Q19" s="61"/>
      <c r="R19" s="61"/>
      <c r="S19" s="61"/>
      <c r="T19" s="61"/>
      <c r="U19" s="61"/>
      <c r="V19">
        <f t="shared" si="0"/>
        <v>0</v>
      </c>
    </row>
    <row r="20" spans="3:22">
      <c r="C20" s="41">
        <v>249</v>
      </c>
      <c r="D20" s="1">
        <v>260</v>
      </c>
      <c r="E20" s="1">
        <v>800</v>
      </c>
      <c r="F20" s="22"/>
      <c r="G20" s="22"/>
      <c r="H20" s="22"/>
      <c r="I20" s="22"/>
      <c r="J20" s="22"/>
      <c r="K20" s="22"/>
      <c r="O20" s="45">
        <v>19</v>
      </c>
      <c r="P20" s="61"/>
      <c r="Q20" s="61"/>
      <c r="R20" s="61"/>
      <c r="S20" s="61"/>
      <c r="T20" s="61"/>
      <c r="U20" s="61">
        <v>1</v>
      </c>
      <c r="V20">
        <f t="shared" si="0"/>
        <v>1</v>
      </c>
    </row>
    <row r="21" spans="3:22">
      <c r="C21" s="41">
        <v>72</v>
      </c>
      <c r="D21" s="1">
        <v>78</v>
      </c>
      <c r="E21" s="1">
        <v>800</v>
      </c>
      <c r="F21" s="22"/>
      <c r="G21" s="22"/>
      <c r="H21" s="22"/>
      <c r="I21" s="22"/>
      <c r="J21" s="22"/>
      <c r="K21" s="22"/>
      <c r="O21" s="45">
        <v>20</v>
      </c>
      <c r="P21" s="61"/>
      <c r="Q21" s="61"/>
      <c r="R21" s="61"/>
      <c r="S21" s="61"/>
      <c r="T21" s="61"/>
      <c r="U21" s="61"/>
      <c r="V21">
        <f t="shared" si="0"/>
        <v>0</v>
      </c>
    </row>
    <row r="22" spans="3:22">
      <c r="C22" s="41">
        <v>125</v>
      </c>
      <c r="D22" s="1">
        <v>130</v>
      </c>
      <c r="E22" s="1">
        <v>800</v>
      </c>
      <c r="F22" s="22"/>
      <c r="G22" s="22"/>
      <c r="H22" s="22"/>
      <c r="I22" s="22"/>
      <c r="J22" s="22"/>
      <c r="K22" s="22">
        <v>3000</v>
      </c>
      <c r="O22" s="45">
        <v>21</v>
      </c>
      <c r="P22" s="61"/>
      <c r="Q22" s="61"/>
      <c r="R22" s="61"/>
      <c r="S22" s="61"/>
      <c r="T22" s="61"/>
      <c r="U22" s="61"/>
      <c r="V22">
        <f t="shared" si="0"/>
        <v>0</v>
      </c>
    </row>
    <row r="23" spans="3:22">
      <c r="C23" s="41">
        <v>229</v>
      </c>
      <c r="D23" s="1">
        <v>238</v>
      </c>
      <c r="E23" s="1">
        <v>800</v>
      </c>
      <c r="F23" s="22"/>
      <c r="G23" s="22"/>
      <c r="H23" s="22"/>
      <c r="I23" s="22"/>
      <c r="J23" s="22"/>
      <c r="K23" s="22"/>
      <c r="O23" s="45">
        <v>22</v>
      </c>
      <c r="P23" s="61"/>
      <c r="Q23" s="61"/>
      <c r="R23" s="61"/>
      <c r="S23" s="61"/>
      <c r="T23" s="61"/>
      <c r="U23" s="61"/>
      <c r="V23">
        <f t="shared" si="0"/>
        <v>0</v>
      </c>
    </row>
    <row r="24" spans="3:22">
      <c r="C24" s="41">
        <v>296</v>
      </c>
      <c r="D24" s="1">
        <v>311</v>
      </c>
      <c r="E24" s="1">
        <v>800</v>
      </c>
      <c r="F24" s="22"/>
      <c r="G24" s="22"/>
      <c r="H24" s="22"/>
      <c r="I24" s="22"/>
      <c r="J24" s="22"/>
      <c r="K24" s="22"/>
      <c r="O24" s="45">
        <v>23</v>
      </c>
      <c r="P24" s="61">
        <v>1</v>
      </c>
      <c r="Q24" s="61"/>
      <c r="R24" s="61"/>
      <c r="S24" s="61"/>
      <c r="T24" s="61"/>
      <c r="U24" s="61"/>
      <c r="V24">
        <f t="shared" si="0"/>
        <v>1</v>
      </c>
    </row>
    <row r="25" spans="3:22">
      <c r="C25" s="41">
        <v>281</v>
      </c>
      <c r="D25" s="1">
        <v>293</v>
      </c>
      <c r="E25" s="1">
        <v>800</v>
      </c>
      <c r="F25" s="22"/>
      <c r="G25" s="22"/>
      <c r="H25" s="22"/>
      <c r="I25" s="22"/>
      <c r="J25" s="22"/>
      <c r="K25" s="22"/>
      <c r="O25" s="45">
        <v>24</v>
      </c>
      <c r="P25" s="61"/>
      <c r="Q25" s="61"/>
      <c r="R25" s="61"/>
      <c r="S25" s="61"/>
      <c r="T25" s="61"/>
      <c r="U25" s="61"/>
      <c r="V25">
        <f t="shared" si="0"/>
        <v>0</v>
      </c>
    </row>
    <row r="26" spans="3:22">
      <c r="C26" s="41">
        <v>198</v>
      </c>
      <c r="D26" s="1">
        <v>206</v>
      </c>
      <c r="E26" s="1">
        <v>800</v>
      </c>
      <c r="F26" s="22"/>
      <c r="G26" s="22"/>
      <c r="H26" s="22">
        <v>3200</v>
      </c>
      <c r="I26" s="22"/>
      <c r="J26" s="22">
        <v>800</v>
      </c>
      <c r="K26" s="22"/>
      <c r="O26" s="45">
        <v>25</v>
      </c>
      <c r="P26" s="61"/>
      <c r="Q26" s="61"/>
      <c r="R26" s="61">
        <v>1</v>
      </c>
      <c r="S26" s="61"/>
      <c r="T26" s="61">
        <v>1</v>
      </c>
      <c r="U26" s="61">
        <v>1</v>
      </c>
      <c r="V26">
        <f t="shared" si="0"/>
        <v>3</v>
      </c>
    </row>
    <row r="27" spans="3:22">
      <c r="C27" s="41">
        <v>52</v>
      </c>
      <c r="D27" s="1">
        <v>54</v>
      </c>
      <c r="E27" s="1">
        <v>800</v>
      </c>
      <c r="F27" s="22">
        <v>3000</v>
      </c>
      <c r="G27" s="22">
        <v>2000</v>
      </c>
      <c r="H27" s="22">
        <v>800</v>
      </c>
      <c r="I27" s="22"/>
      <c r="J27" s="22">
        <v>1600</v>
      </c>
      <c r="K27" s="22"/>
      <c r="O27" s="45">
        <v>26</v>
      </c>
      <c r="P27" s="61"/>
      <c r="Q27" s="61"/>
      <c r="R27" s="61"/>
      <c r="S27" s="61"/>
      <c r="T27" s="61"/>
      <c r="U27" s="61"/>
      <c r="V27">
        <f t="shared" si="0"/>
        <v>0</v>
      </c>
    </row>
    <row r="28" spans="3:22">
      <c r="C28" s="41">
        <v>51</v>
      </c>
      <c r="D28" s="1">
        <v>53</v>
      </c>
      <c r="E28" s="1">
        <v>800</v>
      </c>
      <c r="F28" s="22">
        <v>3000</v>
      </c>
      <c r="G28" s="22">
        <v>2000</v>
      </c>
      <c r="H28" s="22">
        <v>800</v>
      </c>
      <c r="I28" s="22"/>
      <c r="J28" s="22">
        <v>1600</v>
      </c>
      <c r="K28" s="22"/>
      <c r="O28" s="45">
        <v>27</v>
      </c>
      <c r="P28" s="61"/>
      <c r="Q28" s="61"/>
      <c r="R28" s="61"/>
      <c r="S28" s="61"/>
      <c r="T28" s="61"/>
      <c r="U28" s="61"/>
      <c r="V28">
        <f t="shared" si="0"/>
        <v>0</v>
      </c>
    </row>
    <row r="29" spans="3:22">
      <c r="C29" s="41">
        <v>136</v>
      </c>
      <c r="D29" s="1">
        <v>144</v>
      </c>
      <c r="E29" s="1">
        <v>800</v>
      </c>
      <c r="F29" s="22"/>
      <c r="G29" s="22"/>
      <c r="H29" s="22"/>
      <c r="I29" s="22"/>
      <c r="J29" s="22"/>
      <c r="K29" s="22"/>
      <c r="O29" s="45">
        <v>28</v>
      </c>
      <c r="P29" s="61"/>
      <c r="Q29" s="61">
        <v>1</v>
      </c>
      <c r="R29" s="61"/>
      <c r="S29" s="61">
        <v>1</v>
      </c>
      <c r="T29" s="61"/>
      <c r="U29" s="61"/>
      <c r="V29">
        <f t="shared" si="0"/>
        <v>2</v>
      </c>
    </row>
    <row r="30" spans="3:22">
      <c r="C30" s="41">
        <v>11</v>
      </c>
      <c r="D30" s="1">
        <v>11</v>
      </c>
      <c r="E30" s="1">
        <v>800</v>
      </c>
      <c r="F30" s="22"/>
      <c r="G30" s="22"/>
      <c r="H30" s="22"/>
      <c r="I30" s="22"/>
      <c r="J30" s="22"/>
      <c r="K30" s="22"/>
      <c r="O30" s="45">
        <v>29</v>
      </c>
      <c r="P30" s="61">
        <v>1</v>
      </c>
      <c r="Q30" s="61">
        <v>1</v>
      </c>
      <c r="R30" s="61">
        <v>1</v>
      </c>
      <c r="S30" s="61">
        <v>1</v>
      </c>
      <c r="T30" s="61"/>
      <c r="U30" s="61"/>
      <c r="V30">
        <f t="shared" si="0"/>
        <v>4</v>
      </c>
    </row>
    <row r="31" spans="3:22">
      <c r="C31" s="41">
        <v>114</v>
      </c>
      <c r="D31" s="1">
        <v>119</v>
      </c>
      <c r="E31" s="1">
        <v>800</v>
      </c>
      <c r="F31" s="22"/>
      <c r="G31" s="22"/>
      <c r="H31" s="22"/>
      <c r="I31" s="22"/>
      <c r="J31" s="22"/>
      <c r="K31" s="22"/>
      <c r="O31" s="45">
        <v>30</v>
      </c>
      <c r="P31" s="61"/>
      <c r="Q31" s="61"/>
      <c r="R31" s="61"/>
      <c r="S31" s="61"/>
      <c r="T31" s="61"/>
      <c r="U31" s="61"/>
      <c r="V31">
        <f t="shared" si="0"/>
        <v>0</v>
      </c>
    </row>
    <row r="32" spans="3:22">
      <c r="C32" s="41">
        <v>151</v>
      </c>
      <c r="D32" s="1">
        <v>159</v>
      </c>
      <c r="E32" s="1">
        <v>800</v>
      </c>
      <c r="F32" s="22"/>
      <c r="G32" s="22"/>
      <c r="H32" s="22"/>
      <c r="I32" s="22"/>
      <c r="J32" s="22"/>
      <c r="K32" s="22"/>
      <c r="O32" s="45">
        <v>31</v>
      </c>
      <c r="P32" s="61"/>
      <c r="Q32" s="61"/>
      <c r="R32" s="61"/>
      <c r="S32" s="61">
        <v>1</v>
      </c>
      <c r="T32" s="61">
        <v>1</v>
      </c>
      <c r="U32" s="61"/>
      <c r="V32">
        <f t="shared" si="0"/>
        <v>2</v>
      </c>
    </row>
    <row r="33" spans="3:22">
      <c r="C33" s="41">
        <v>142</v>
      </c>
      <c r="D33" s="1">
        <v>150</v>
      </c>
      <c r="E33" s="1">
        <v>800</v>
      </c>
      <c r="F33" s="22"/>
      <c r="G33" s="22"/>
      <c r="H33" s="22"/>
      <c r="I33" s="22"/>
      <c r="J33" s="22"/>
      <c r="K33" s="22"/>
      <c r="O33" s="45">
        <v>32</v>
      </c>
      <c r="P33" s="61">
        <v>1</v>
      </c>
      <c r="Q33" s="61"/>
      <c r="R33" s="61"/>
      <c r="S33" s="61"/>
      <c r="T33" s="61"/>
      <c r="U33" s="61">
        <v>1</v>
      </c>
      <c r="V33">
        <f t="shared" si="0"/>
        <v>2</v>
      </c>
    </row>
    <row r="34" spans="3:22">
      <c r="C34" s="41">
        <v>245</v>
      </c>
      <c r="D34" s="1">
        <v>256</v>
      </c>
      <c r="E34" s="1">
        <v>800</v>
      </c>
      <c r="F34" s="22"/>
      <c r="G34" s="22"/>
      <c r="H34" s="22"/>
      <c r="I34" s="22"/>
      <c r="J34" s="22"/>
      <c r="K34" s="22">
        <v>9000</v>
      </c>
      <c r="O34" s="45">
        <v>33</v>
      </c>
      <c r="P34" s="61"/>
      <c r="Q34" s="61"/>
      <c r="R34" s="61"/>
      <c r="S34" s="61"/>
      <c r="T34" s="61">
        <v>1</v>
      </c>
      <c r="U34" s="61"/>
      <c r="V34">
        <f t="shared" si="0"/>
        <v>1</v>
      </c>
    </row>
    <row r="35" spans="3:22">
      <c r="C35" s="41">
        <v>188</v>
      </c>
      <c r="D35" s="1">
        <v>196</v>
      </c>
      <c r="E35" s="1">
        <v>800</v>
      </c>
      <c r="F35" s="22"/>
      <c r="G35" s="22"/>
      <c r="H35" s="22"/>
      <c r="I35" s="22"/>
      <c r="J35" s="22"/>
      <c r="K35" s="22"/>
      <c r="O35" s="45">
        <v>34</v>
      </c>
      <c r="P35" s="61"/>
      <c r="Q35" s="61"/>
      <c r="R35" s="61"/>
      <c r="S35" s="61"/>
      <c r="T35" s="61"/>
      <c r="U35" s="61"/>
      <c r="V35">
        <f t="shared" si="0"/>
        <v>0</v>
      </c>
    </row>
    <row r="36" spans="3:22">
      <c r="C36" s="41">
        <v>188</v>
      </c>
      <c r="D36" s="1">
        <v>197</v>
      </c>
      <c r="E36" s="1"/>
      <c r="F36" s="22"/>
      <c r="G36" s="22"/>
      <c r="H36" s="22"/>
      <c r="I36" s="22"/>
      <c r="J36" s="22"/>
      <c r="K36" s="22"/>
      <c r="O36" s="45">
        <v>35</v>
      </c>
      <c r="P36" s="61"/>
      <c r="Q36" s="61"/>
      <c r="R36" s="61"/>
      <c r="S36" s="61"/>
      <c r="T36" s="61"/>
      <c r="U36" s="61"/>
      <c r="V36">
        <f t="shared" si="0"/>
        <v>0</v>
      </c>
    </row>
    <row r="37" spans="3:22">
      <c r="C37" s="41">
        <v>219</v>
      </c>
      <c r="D37" s="1">
        <v>228</v>
      </c>
      <c r="E37" s="1">
        <v>800</v>
      </c>
      <c r="F37" s="22"/>
      <c r="G37" s="22"/>
      <c r="H37" s="22">
        <v>3000</v>
      </c>
      <c r="I37" s="22"/>
      <c r="J37" s="22"/>
      <c r="K37" s="22">
        <v>3000</v>
      </c>
      <c r="O37" s="45">
        <v>36</v>
      </c>
      <c r="P37" s="61"/>
      <c r="Q37" s="61"/>
      <c r="R37" s="61"/>
      <c r="S37" s="61"/>
      <c r="T37" s="61"/>
      <c r="U37" s="61"/>
      <c r="V37">
        <f t="shared" si="0"/>
        <v>0</v>
      </c>
    </row>
    <row r="38" spans="3:22">
      <c r="C38" s="41">
        <v>223</v>
      </c>
      <c r="D38" s="1">
        <v>232</v>
      </c>
      <c r="E38" s="1">
        <v>800</v>
      </c>
      <c r="F38" s="22"/>
      <c r="G38" s="22"/>
      <c r="H38" s="22"/>
      <c r="I38" s="22"/>
      <c r="J38" s="22"/>
      <c r="K38" s="22"/>
      <c r="O38" s="45">
        <v>37</v>
      </c>
      <c r="P38" s="61"/>
      <c r="Q38" s="61"/>
      <c r="R38" s="61"/>
      <c r="S38" s="61"/>
      <c r="T38" s="61"/>
      <c r="U38" s="61"/>
      <c r="V38">
        <f t="shared" si="0"/>
        <v>0</v>
      </c>
    </row>
    <row r="39" spans="3:22">
      <c r="C39" s="41">
        <v>137</v>
      </c>
      <c r="D39" s="1">
        <v>145</v>
      </c>
      <c r="E39" s="1">
        <v>800</v>
      </c>
      <c r="F39" s="22"/>
      <c r="G39" s="22">
        <v>1600</v>
      </c>
      <c r="H39" s="22"/>
      <c r="I39" s="22"/>
      <c r="J39" s="22"/>
      <c r="K39" s="22">
        <v>800</v>
      </c>
      <c r="O39" s="45">
        <v>38</v>
      </c>
      <c r="P39" s="61"/>
      <c r="Q39" s="61"/>
      <c r="R39" s="61"/>
      <c r="S39" s="61"/>
      <c r="T39" s="61"/>
      <c r="U39" s="61">
        <v>1</v>
      </c>
      <c r="V39">
        <f t="shared" si="0"/>
        <v>1</v>
      </c>
    </row>
    <row r="40" spans="3:22">
      <c r="C40" s="41">
        <v>105</v>
      </c>
      <c r="D40" s="1">
        <v>110</v>
      </c>
      <c r="E40" s="1">
        <v>800</v>
      </c>
      <c r="F40" s="22">
        <v>3000</v>
      </c>
      <c r="G40" s="22"/>
      <c r="H40" s="22"/>
      <c r="I40" s="22"/>
      <c r="J40" s="22"/>
      <c r="K40" s="22">
        <v>800</v>
      </c>
      <c r="O40" s="45">
        <v>39</v>
      </c>
      <c r="P40" s="61"/>
      <c r="Q40" s="61"/>
      <c r="R40" s="61"/>
      <c r="S40" s="61"/>
      <c r="T40" s="61"/>
      <c r="U40" s="61"/>
      <c r="V40">
        <f t="shared" si="0"/>
        <v>0</v>
      </c>
    </row>
    <row r="41" spans="3:22">
      <c r="C41" s="41">
        <v>98</v>
      </c>
      <c r="D41" s="1">
        <v>103</v>
      </c>
      <c r="E41" s="1">
        <v>800</v>
      </c>
      <c r="F41" s="22"/>
      <c r="G41" s="22"/>
      <c r="H41" s="22"/>
      <c r="I41" s="22"/>
      <c r="J41" s="22"/>
      <c r="K41" s="22"/>
      <c r="O41" s="45">
        <v>40</v>
      </c>
      <c r="P41" s="61"/>
      <c r="Q41" s="61"/>
      <c r="R41" s="61"/>
      <c r="S41" s="61"/>
      <c r="T41" s="61"/>
      <c r="U41" s="61"/>
      <c r="V41">
        <f t="shared" si="0"/>
        <v>0</v>
      </c>
    </row>
    <row r="42" spans="3:22">
      <c r="C42" s="41">
        <v>274</v>
      </c>
      <c r="D42" s="1">
        <v>287</v>
      </c>
      <c r="E42" s="1">
        <v>800</v>
      </c>
      <c r="F42" s="22"/>
      <c r="G42" s="22"/>
      <c r="H42" s="22">
        <v>1600</v>
      </c>
      <c r="I42" s="22"/>
      <c r="J42" s="22"/>
      <c r="K42" s="22">
        <v>26800</v>
      </c>
      <c r="O42" s="45">
        <v>41</v>
      </c>
      <c r="P42" s="61"/>
      <c r="Q42" s="61"/>
      <c r="R42" s="61"/>
      <c r="S42" s="61"/>
      <c r="T42" s="61"/>
      <c r="U42" s="61"/>
      <c r="V42">
        <f t="shared" si="0"/>
        <v>0</v>
      </c>
    </row>
    <row r="43" spans="3:22">
      <c r="C43" s="41">
        <v>274</v>
      </c>
      <c r="D43" s="1">
        <v>295</v>
      </c>
      <c r="E43" s="1"/>
      <c r="F43" s="22"/>
      <c r="G43" s="22"/>
      <c r="H43" s="22"/>
      <c r="I43" s="22"/>
      <c r="J43" s="22"/>
      <c r="K43" s="22"/>
      <c r="O43" s="45">
        <v>42</v>
      </c>
      <c r="P43" s="61">
        <v>1</v>
      </c>
      <c r="Q43" s="61">
        <v>1</v>
      </c>
      <c r="R43" s="61"/>
      <c r="S43" s="61">
        <v>1</v>
      </c>
      <c r="T43" s="61"/>
      <c r="U43" s="61">
        <v>1</v>
      </c>
      <c r="V43">
        <f t="shared" si="0"/>
        <v>4</v>
      </c>
    </row>
    <row r="44" spans="3:22">
      <c r="C44" s="41">
        <v>175</v>
      </c>
      <c r="D44" s="1">
        <v>183</v>
      </c>
      <c r="E44" s="1">
        <v>800</v>
      </c>
      <c r="F44" s="22"/>
      <c r="G44" s="22"/>
      <c r="H44" s="22"/>
      <c r="I44" s="22"/>
      <c r="J44" s="22">
        <v>21600</v>
      </c>
      <c r="K44" s="22"/>
      <c r="O44" s="45">
        <v>43</v>
      </c>
      <c r="P44" s="61"/>
      <c r="Q44" s="61"/>
      <c r="R44" s="61"/>
      <c r="S44" s="61"/>
      <c r="T44" s="61"/>
      <c r="U44" s="61">
        <v>1</v>
      </c>
      <c r="V44">
        <f t="shared" si="0"/>
        <v>1</v>
      </c>
    </row>
    <row r="45" spans="3:22">
      <c r="C45" s="41">
        <v>175</v>
      </c>
      <c r="D45" s="1">
        <v>187</v>
      </c>
      <c r="E45" s="1"/>
      <c r="F45" s="22"/>
      <c r="G45" s="22"/>
      <c r="H45" s="22"/>
      <c r="I45" s="22"/>
      <c r="J45" s="22"/>
      <c r="K45" s="22"/>
      <c r="O45" s="45">
        <v>44</v>
      </c>
      <c r="P45" s="61"/>
      <c r="Q45" s="61"/>
      <c r="R45" s="61"/>
      <c r="S45" s="61"/>
      <c r="T45" s="61"/>
      <c r="U45" s="61"/>
      <c r="V45">
        <f t="shared" si="0"/>
        <v>0</v>
      </c>
    </row>
    <row r="46" spans="3:22">
      <c r="C46" s="41">
        <v>303</v>
      </c>
      <c r="D46" s="1">
        <v>318</v>
      </c>
      <c r="E46" s="1">
        <v>800</v>
      </c>
      <c r="F46" s="22"/>
      <c r="G46" s="22"/>
      <c r="H46" s="22"/>
      <c r="I46" s="22"/>
      <c r="J46" s="22"/>
      <c r="K46" s="22"/>
      <c r="O46" s="45">
        <v>45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>
        <f t="shared" si="0"/>
        <v>6</v>
      </c>
    </row>
    <row r="47" spans="3:22">
      <c r="C47" s="41">
        <v>303</v>
      </c>
      <c r="D47" s="1">
        <v>319</v>
      </c>
      <c r="E47" s="1"/>
      <c r="F47" s="22"/>
      <c r="G47" s="22"/>
      <c r="H47" s="22"/>
      <c r="I47" s="22"/>
      <c r="J47" s="22"/>
      <c r="K47" s="22"/>
      <c r="O47" s="45">
        <v>46</v>
      </c>
      <c r="P47" s="61"/>
      <c r="Q47" s="61"/>
      <c r="R47" s="61"/>
      <c r="S47" s="61"/>
      <c r="T47" s="61"/>
      <c r="U47" s="61"/>
      <c r="V47">
        <f t="shared" si="0"/>
        <v>0</v>
      </c>
    </row>
    <row r="48" spans="3:22">
      <c r="C48" s="41">
        <v>90</v>
      </c>
      <c r="D48" s="1">
        <v>95</v>
      </c>
      <c r="E48" s="1">
        <v>800</v>
      </c>
      <c r="F48" s="22"/>
      <c r="G48" s="22"/>
      <c r="H48" s="22"/>
      <c r="I48" s="22">
        <v>4800</v>
      </c>
      <c r="J48" s="22"/>
      <c r="K48" s="22"/>
      <c r="O48" s="45">
        <v>47</v>
      </c>
      <c r="P48" s="61"/>
      <c r="Q48" s="61"/>
      <c r="R48" s="61"/>
      <c r="S48" s="61"/>
      <c r="T48" s="61"/>
      <c r="U48" s="61"/>
      <c r="V48">
        <f t="shared" si="0"/>
        <v>0</v>
      </c>
    </row>
    <row r="49" spans="3:22">
      <c r="C49" s="41">
        <v>206</v>
      </c>
      <c r="D49" s="1">
        <v>216</v>
      </c>
      <c r="E49" s="1">
        <v>800</v>
      </c>
      <c r="F49" s="22"/>
      <c r="G49" s="22"/>
      <c r="H49" s="22"/>
      <c r="I49" s="22"/>
      <c r="J49" s="22"/>
      <c r="K49" s="22"/>
      <c r="O49" s="45">
        <v>48</v>
      </c>
      <c r="P49" s="61"/>
      <c r="Q49" s="61"/>
      <c r="R49" s="61"/>
      <c r="S49" s="61"/>
      <c r="T49" s="61"/>
      <c r="U49" s="61"/>
      <c r="V49">
        <f t="shared" si="0"/>
        <v>0</v>
      </c>
    </row>
    <row r="50" spans="3:22">
      <c r="C50" s="41">
        <v>101</v>
      </c>
      <c r="D50" s="1">
        <v>106</v>
      </c>
      <c r="E50" s="1">
        <v>800</v>
      </c>
      <c r="F50" s="22">
        <v>7000</v>
      </c>
      <c r="G50" s="22"/>
      <c r="H50" s="22"/>
      <c r="I50" s="22"/>
      <c r="J50" s="22"/>
      <c r="K50" s="22"/>
      <c r="O50" s="45">
        <v>49</v>
      </c>
      <c r="P50" s="61"/>
      <c r="Q50" s="61"/>
      <c r="R50" s="61"/>
      <c r="S50" s="61"/>
      <c r="T50" s="61">
        <v>1</v>
      </c>
      <c r="U50" s="61">
        <v>1</v>
      </c>
      <c r="V50">
        <f t="shared" si="0"/>
        <v>2</v>
      </c>
    </row>
    <row r="51" spans="3:22">
      <c r="C51" s="41">
        <v>86</v>
      </c>
      <c r="D51" s="1">
        <v>91</v>
      </c>
      <c r="E51" s="1">
        <v>800</v>
      </c>
      <c r="F51" s="22"/>
      <c r="G51" s="22">
        <v>2000</v>
      </c>
      <c r="H51" s="22"/>
      <c r="I51" s="22">
        <v>1000</v>
      </c>
      <c r="J51" s="22"/>
      <c r="K51" s="22">
        <v>1600</v>
      </c>
      <c r="O51" s="45">
        <v>50</v>
      </c>
      <c r="P51" s="61"/>
      <c r="Q51" s="61"/>
      <c r="R51" s="61">
        <v>1</v>
      </c>
      <c r="S51" s="61"/>
      <c r="T51" s="61"/>
      <c r="U51" s="61"/>
      <c r="V51">
        <f t="shared" si="0"/>
        <v>1</v>
      </c>
    </row>
    <row r="52" spans="3:22">
      <c r="C52" s="41">
        <v>43</v>
      </c>
      <c r="D52" s="1">
        <v>43</v>
      </c>
      <c r="E52" s="1">
        <v>800</v>
      </c>
      <c r="F52" s="22"/>
      <c r="G52" s="22"/>
      <c r="H52" s="22"/>
      <c r="I52" s="22"/>
      <c r="J52" s="22"/>
      <c r="K52" s="22">
        <v>2000</v>
      </c>
      <c r="O52" s="45">
        <v>51</v>
      </c>
      <c r="P52" s="61">
        <v>1</v>
      </c>
      <c r="Q52" s="61">
        <v>1</v>
      </c>
      <c r="R52" s="61">
        <v>1</v>
      </c>
      <c r="S52" s="61"/>
      <c r="T52" s="61">
        <v>1</v>
      </c>
      <c r="U52" s="61"/>
      <c r="V52">
        <f t="shared" si="0"/>
        <v>4</v>
      </c>
    </row>
    <row r="53" spans="3:22">
      <c r="C53" s="41">
        <v>25</v>
      </c>
      <c r="D53" s="1">
        <v>25</v>
      </c>
      <c r="E53" s="1">
        <v>800</v>
      </c>
      <c r="F53" s="22"/>
      <c r="G53" s="22"/>
      <c r="H53" s="22">
        <v>3000</v>
      </c>
      <c r="I53" s="22"/>
      <c r="J53" s="22">
        <v>3000</v>
      </c>
      <c r="K53" s="22">
        <v>800</v>
      </c>
      <c r="O53" s="45">
        <v>52</v>
      </c>
      <c r="P53" s="61">
        <v>1</v>
      </c>
      <c r="Q53" s="61">
        <v>1</v>
      </c>
      <c r="R53" s="61">
        <v>1</v>
      </c>
      <c r="S53" s="61"/>
      <c r="T53" s="61">
        <v>1</v>
      </c>
      <c r="U53" s="61"/>
      <c r="V53">
        <f t="shared" si="0"/>
        <v>4</v>
      </c>
    </row>
    <row r="54" spans="3:22">
      <c r="C54" s="41">
        <v>138</v>
      </c>
      <c r="D54" s="1">
        <v>146</v>
      </c>
      <c r="E54" s="1">
        <v>800</v>
      </c>
      <c r="F54" s="22"/>
      <c r="G54" s="22">
        <v>3000</v>
      </c>
      <c r="H54" s="22"/>
      <c r="I54" s="22"/>
      <c r="J54" s="22"/>
      <c r="K54" s="22">
        <v>2900</v>
      </c>
      <c r="O54" s="45">
        <v>53</v>
      </c>
      <c r="P54" s="61"/>
      <c r="Q54" s="61"/>
      <c r="R54" s="61"/>
      <c r="S54" s="61"/>
      <c r="T54" s="61"/>
      <c r="U54" s="61"/>
      <c r="V54">
        <f t="shared" si="0"/>
        <v>0</v>
      </c>
    </row>
    <row r="55" spans="3:22">
      <c r="C55" s="41">
        <v>228</v>
      </c>
      <c r="D55" s="1">
        <v>237</v>
      </c>
      <c r="E55" s="1">
        <v>800</v>
      </c>
      <c r="F55" s="22"/>
      <c r="G55" s="22"/>
      <c r="H55" s="22"/>
      <c r="I55" s="22"/>
      <c r="J55" s="22"/>
      <c r="K55" s="22"/>
      <c r="O55" s="45">
        <v>54</v>
      </c>
      <c r="P55" s="61"/>
      <c r="Q55" s="61"/>
      <c r="R55" s="61"/>
      <c r="S55" s="61"/>
      <c r="T55" s="61"/>
      <c r="U55" s="61"/>
      <c r="V55">
        <f t="shared" si="0"/>
        <v>0</v>
      </c>
    </row>
    <row r="56" spans="3:22">
      <c r="C56" s="41">
        <v>37</v>
      </c>
      <c r="D56" s="1">
        <v>37</v>
      </c>
      <c r="E56" s="1">
        <v>800</v>
      </c>
      <c r="F56" s="22"/>
      <c r="G56" s="22"/>
      <c r="H56" s="22"/>
      <c r="I56" s="22"/>
      <c r="J56" s="22"/>
      <c r="K56" s="22"/>
      <c r="O56" s="45">
        <v>55</v>
      </c>
      <c r="P56" s="61"/>
      <c r="Q56" s="61"/>
      <c r="R56" s="61">
        <v>1</v>
      </c>
      <c r="S56" s="61"/>
      <c r="T56" s="61"/>
      <c r="U56" s="61"/>
      <c r="V56">
        <f t="shared" si="0"/>
        <v>1</v>
      </c>
    </row>
    <row r="57" spans="3:22">
      <c r="C57" s="41">
        <v>126</v>
      </c>
      <c r="D57" s="1">
        <v>131</v>
      </c>
      <c r="E57" s="1">
        <v>800</v>
      </c>
      <c r="F57" s="22"/>
      <c r="G57" s="22"/>
      <c r="H57" s="22">
        <v>2400</v>
      </c>
      <c r="I57" s="22"/>
      <c r="J57" s="22"/>
      <c r="K57" s="22"/>
      <c r="O57" s="45">
        <v>56</v>
      </c>
      <c r="P57" s="61"/>
      <c r="Q57" s="61"/>
      <c r="R57" s="61"/>
      <c r="S57" s="61"/>
      <c r="T57" s="61"/>
      <c r="U57" s="61"/>
      <c r="V57">
        <f t="shared" si="0"/>
        <v>0</v>
      </c>
    </row>
    <row r="58" spans="3:22">
      <c r="C58" s="41">
        <v>58</v>
      </c>
      <c r="D58" s="1">
        <v>60</v>
      </c>
      <c r="E58" s="1">
        <v>800</v>
      </c>
      <c r="F58" s="22"/>
      <c r="G58" s="22"/>
      <c r="H58" s="22">
        <v>2400</v>
      </c>
      <c r="I58" s="22"/>
      <c r="J58" s="22"/>
      <c r="K58" s="22">
        <v>5600</v>
      </c>
      <c r="O58" s="45">
        <v>57</v>
      </c>
      <c r="P58" s="61"/>
      <c r="Q58" s="61"/>
      <c r="R58" s="61"/>
      <c r="S58" s="61"/>
      <c r="T58" s="61"/>
      <c r="U58" s="61"/>
      <c r="V58">
        <f t="shared" si="0"/>
        <v>0</v>
      </c>
    </row>
    <row r="59" spans="3:22">
      <c r="C59" s="41">
        <v>117</v>
      </c>
      <c r="D59" s="1">
        <v>122</v>
      </c>
      <c r="E59" s="1">
        <v>800</v>
      </c>
      <c r="F59" s="22"/>
      <c r="G59" s="22"/>
      <c r="H59" s="22"/>
      <c r="I59" s="22"/>
      <c r="J59" s="22"/>
      <c r="K59" s="22"/>
      <c r="O59" s="45">
        <v>58</v>
      </c>
      <c r="P59" s="61"/>
      <c r="Q59" s="61"/>
      <c r="R59" s="61">
        <v>1</v>
      </c>
      <c r="S59" s="61"/>
      <c r="T59" s="61"/>
      <c r="U59" s="61">
        <v>1</v>
      </c>
      <c r="V59">
        <f t="shared" si="0"/>
        <v>2</v>
      </c>
    </row>
    <row r="60" spans="3:22">
      <c r="C60" s="41">
        <v>61</v>
      </c>
      <c r="D60" s="1">
        <v>63</v>
      </c>
      <c r="E60" s="1">
        <v>800</v>
      </c>
      <c r="F60" s="22"/>
      <c r="G60" s="22"/>
      <c r="H60" s="22"/>
      <c r="I60" s="22"/>
      <c r="J60" s="22"/>
      <c r="K60" s="22"/>
      <c r="O60" s="45">
        <v>59</v>
      </c>
      <c r="P60" s="61">
        <v>1</v>
      </c>
      <c r="Q60" s="61"/>
      <c r="R60" s="61"/>
      <c r="S60" s="61"/>
      <c r="T60" s="61"/>
      <c r="U60" s="61"/>
      <c r="V60">
        <f t="shared" si="0"/>
        <v>1</v>
      </c>
    </row>
    <row r="61" spans="3:22">
      <c r="C61" s="41">
        <v>294</v>
      </c>
      <c r="D61" s="1">
        <v>309</v>
      </c>
      <c r="E61" s="1">
        <v>800</v>
      </c>
      <c r="F61" s="22">
        <v>9600</v>
      </c>
      <c r="G61" s="22"/>
      <c r="H61" s="22"/>
      <c r="I61" s="22"/>
      <c r="J61" s="22"/>
      <c r="K61" s="22"/>
      <c r="O61" s="45">
        <v>60</v>
      </c>
      <c r="P61" s="61"/>
      <c r="Q61" s="61"/>
      <c r="R61" s="61"/>
      <c r="S61" s="61"/>
      <c r="T61" s="61"/>
      <c r="U61" s="61"/>
      <c r="V61">
        <f t="shared" si="0"/>
        <v>0</v>
      </c>
    </row>
    <row r="62" spans="3:22">
      <c r="C62" s="41">
        <v>286</v>
      </c>
      <c r="D62" s="1">
        <v>298</v>
      </c>
      <c r="E62" s="1">
        <v>800</v>
      </c>
      <c r="F62" s="22"/>
      <c r="G62" s="22">
        <v>8000</v>
      </c>
      <c r="H62" s="22"/>
      <c r="I62" s="22"/>
      <c r="J62" s="22"/>
      <c r="K62" s="22">
        <v>4000</v>
      </c>
      <c r="O62" s="45">
        <v>61</v>
      </c>
      <c r="P62" s="61"/>
      <c r="Q62" s="61"/>
      <c r="R62" s="61"/>
      <c r="S62" s="61"/>
      <c r="T62" s="61"/>
      <c r="U62" s="61"/>
      <c r="V62">
        <f t="shared" si="0"/>
        <v>0</v>
      </c>
    </row>
    <row r="63" spans="3:22">
      <c r="C63" s="41">
        <v>64</v>
      </c>
      <c r="D63" s="1">
        <v>66</v>
      </c>
      <c r="E63" s="1">
        <v>800</v>
      </c>
      <c r="F63" s="22">
        <v>3000</v>
      </c>
      <c r="G63" s="22"/>
      <c r="H63" s="22">
        <v>1600</v>
      </c>
      <c r="I63" s="22"/>
      <c r="J63" s="22"/>
      <c r="K63" s="22">
        <v>1600</v>
      </c>
      <c r="O63" s="45">
        <v>62</v>
      </c>
      <c r="P63" s="61"/>
      <c r="Q63" s="61"/>
      <c r="R63" s="61">
        <v>1</v>
      </c>
      <c r="S63" s="61"/>
      <c r="T63" s="61"/>
      <c r="U63" s="61"/>
      <c r="V63">
        <f t="shared" si="0"/>
        <v>1</v>
      </c>
    </row>
    <row r="64" spans="3:22">
      <c r="C64" s="41">
        <v>94</v>
      </c>
      <c r="D64" s="1">
        <v>99</v>
      </c>
      <c r="E64" s="1">
        <v>800</v>
      </c>
      <c r="F64" s="22"/>
      <c r="G64" s="22"/>
      <c r="H64" s="22"/>
      <c r="I64" s="22"/>
      <c r="J64" s="22"/>
      <c r="K64" s="22"/>
      <c r="O64" s="45">
        <v>63</v>
      </c>
      <c r="P64" s="61"/>
      <c r="Q64" s="61"/>
      <c r="R64" s="61"/>
      <c r="S64" s="61"/>
      <c r="T64" s="61"/>
      <c r="U64" s="61">
        <v>1</v>
      </c>
      <c r="V64">
        <f t="shared" si="0"/>
        <v>1</v>
      </c>
    </row>
    <row r="65" spans="3:22">
      <c r="C65" s="41">
        <v>39</v>
      </c>
      <c r="D65" s="1">
        <v>39</v>
      </c>
      <c r="E65" s="1">
        <v>800</v>
      </c>
      <c r="F65" s="22"/>
      <c r="G65" s="22"/>
      <c r="H65" s="22"/>
      <c r="I65" s="22"/>
      <c r="J65" s="22"/>
      <c r="K65" s="22"/>
      <c r="O65" s="45">
        <v>64</v>
      </c>
      <c r="P65" s="61">
        <v>1</v>
      </c>
      <c r="Q65" s="61"/>
      <c r="R65" s="61">
        <v>1</v>
      </c>
      <c r="S65" s="61"/>
      <c r="T65" s="61"/>
      <c r="U65" s="61">
        <v>1</v>
      </c>
      <c r="V65">
        <f t="shared" si="0"/>
        <v>3</v>
      </c>
    </row>
    <row r="66" spans="3:22">
      <c r="C66" s="41">
        <v>276</v>
      </c>
      <c r="D66" s="1">
        <v>289</v>
      </c>
      <c r="E66" s="1">
        <v>800</v>
      </c>
      <c r="F66" s="22"/>
      <c r="G66" s="22"/>
      <c r="H66" s="22"/>
      <c r="I66" s="22"/>
      <c r="J66" s="22"/>
      <c r="K66" s="22">
        <v>21600</v>
      </c>
      <c r="O66" s="45">
        <v>65</v>
      </c>
      <c r="P66" s="61"/>
      <c r="Q66" s="61"/>
      <c r="R66" s="61"/>
      <c r="S66" s="61"/>
      <c r="T66" s="61"/>
      <c r="U66" s="61"/>
      <c r="V66">
        <f t="shared" si="0"/>
        <v>0</v>
      </c>
    </row>
    <row r="67" spans="3:22">
      <c r="C67" s="41">
        <v>148</v>
      </c>
      <c r="D67" s="1">
        <v>156</v>
      </c>
      <c r="E67" s="1">
        <v>800</v>
      </c>
      <c r="F67" s="22"/>
      <c r="G67" s="22">
        <v>1800</v>
      </c>
      <c r="H67" s="22">
        <v>1800</v>
      </c>
      <c r="I67" s="22">
        <v>1800</v>
      </c>
      <c r="J67" s="22"/>
      <c r="K67" s="22"/>
      <c r="O67" s="45">
        <v>66</v>
      </c>
      <c r="P67" s="61"/>
      <c r="Q67" s="61"/>
      <c r="R67" s="61"/>
      <c r="S67" s="61"/>
      <c r="T67" s="61"/>
      <c r="U67" s="61"/>
      <c r="V67">
        <f t="shared" si="0"/>
        <v>0</v>
      </c>
    </row>
    <row r="68" spans="3:22">
      <c r="C68" s="41">
        <v>308</v>
      </c>
      <c r="D68" s="1">
        <v>323</v>
      </c>
      <c r="E68" s="1">
        <v>800</v>
      </c>
      <c r="F68" s="22"/>
      <c r="G68" s="22"/>
      <c r="H68" s="22"/>
      <c r="I68" s="22"/>
      <c r="J68" s="22"/>
      <c r="K68" s="22"/>
      <c r="O68" s="45">
        <v>67</v>
      </c>
      <c r="P68" s="61"/>
      <c r="Q68" s="61"/>
      <c r="R68" s="61"/>
      <c r="S68" s="61"/>
      <c r="T68" s="61"/>
      <c r="U68" s="61"/>
      <c r="V68">
        <f t="shared" ref="V68:V131" si="1">COUNTA(P68:U68)</f>
        <v>0</v>
      </c>
    </row>
    <row r="69" spans="3:22">
      <c r="C69" s="41">
        <v>318</v>
      </c>
      <c r="D69" s="1" t="s">
        <v>65</v>
      </c>
      <c r="E69" s="1">
        <v>800</v>
      </c>
      <c r="F69" s="22"/>
      <c r="G69" s="22">
        <v>4800</v>
      </c>
      <c r="H69" s="22"/>
      <c r="I69" s="22">
        <v>4800</v>
      </c>
      <c r="J69" s="22"/>
      <c r="K69" s="22"/>
      <c r="O69" s="45">
        <v>68</v>
      </c>
      <c r="P69" s="61"/>
      <c r="Q69" s="61">
        <v>1</v>
      </c>
      <c r="R69" s="61">
        <v>1</v>
      </c>
      <c r="S69" s="61"/>
      <c r="T69" s="61">
        <v>1</v>
      </c>
      <c r="U69" s="61">
        <v>1</v>
      </c>
      <c r="V69">
        <f t="shared" si="1"/>
        <v>4</v>
      </c>
    </row>
    <row r="70" spans="3:22">
      <c r="C70" s="41">
        <v>236</v>
      </c>
      <c r="D70" s="1">
        <v>245</v>
      </c>
      <c r="E70" s="1">
        <v>800</v>
      </c>
      <c r="F70" s="22"/>
      <c r="G70" s="22"/>
      <c r="H70" s="22"/>
      <c r="I70" s="22"/>
      <c r="J70" s="22">
        <v>25000</v>
      </c>
      <c r="K70" s="22"/>
      <c r="O70" s="45">
        <v>69</v>
      </c>
      <c r="P70" s="61"/>
      <c r="Q70" s="61"/>
      <c r="R70" s="61"/>
      <c r="S70" s="61"/>
      <c r="T70" s="61"/>
      <c r="U70" s="61"/>
      <c r="V70">
        <f t="shared" si="1"/>
        <v>0</v>
      </c>
    </row>
    <row r="71" spans="3:22">
      <c r="C71" s="41">
        <v>226</v>
      </c>
      <c r="D71" s="1">
        <v>235</v>
      </c>
      <c r="E71" s="1">
        <v>800</v>
      </c>
      <c r="F71" s="22"/>
      <c r="G71" s="22"/>
      <c r="H71" s="22"/>
      <c r="I71" s="22"/>
      <c r="J71" s="22"/>
      <c r="K71" s="22"/>
      <c r="O71" s="45">
        <v>71</v>
      </c>
      <c r="P71" s="61"/>
      <c r="Q71" s="61"/>
      <c r="R71" s="61"/>
      <c r="S71" s="61"/>
      <c r="T71" s="61"/>
      <c r="U71" s="61"/>
      <c r="V71">
        <f t="shared" si="1"/>
        <v>0</v>
      </c>
    </row>
    <row r="72" spans="3:22">
      <c r="C72" s="41">
        <v>285</v>
      </c>
      <c r="D72" s="1">
        <v>297</v>
      </c>
      <c r="E72" s="1">
        <v>800</v>
      </c>
      <c r="F72" s="22"/>
      <c r="G72" s="22">
        <v>8000</v>
      </c>
      <c r="H72" s="22"/>
      <c r="I72" s="22"/>
      <c r="J72" s="22"/>
      <c r="K72" s="22">
        <v>4000</v>
      </c>
      <c r="O72" s="45">
        <v>72</v>
      </c>
      <c r="P72" s="61"/>
      <c r="Q72" s="61"/>
      <c r="R72" s="61"/>
      <c r="S72" s="61"/>
      <c r="T72" s="61"/>
      <c r="U72" s="61"/>
      <c r="V72">
        <f t="shared" si="1"/>
        <v>0</v>
      </c>
    </row>
    <row r="73" spans="3:22">
      <c r="C73" s="41">
        <v>24</v>
      </c>
      <c r="D73" s="1">
        <v>24</v>
      </c>
      <c r="E73" s="1">
        <v>800</v>
      </c>
      <c r="F73" s="22"/>
      <c r="G73" s="22"/>
      <c r="H73" s="22"/>
      <c r="I73" s="22"/>
      <c r="J73" s="22"/>
      <c r="K73" s="22"/>
      <c r="O73" s="45">
        <v>73</v>
      </c>
      <c r="P73" s="61"/>
      <c r="Q73" s="61"/>
      <c r="R73" s="61"/>
      <c r="S73" s="61"/>
      <c r="T73" s="61"/>
      <c r="U73" s="61"/>
      <c r="V73">
        <f t="shared" si="1"/>
        <v>0</v>
      </c>
    </row>
    <row r="74" spans="3:22">
      <c r="C74" s="41">
        <v>50</v>
      </c>
      <c r="D74" s="1">
        <v>50</v>
      </c>
      <c r="E74" s="1">
        <v>800</v>
      </c>
      <c r="F74" s="22"/>
      <c r="G74" s="22"/>
      <c r="H74" s="22">
        <v>12000</v>
      </c>
      <c r="I74" s="22"/>
      <c r="J74" s="22"/>
      <c r="K74" s="22"/>
      <c r="O74" s="45">
        <v>74</v>
      </c>
      <c r="P74" s="61">
        <v>1</v>
      </c>
      <c r="Q74" s="61"/>
      <c r="R74" s="61"/>
      <c r="S74" s="61"/>
      <c r="T74" s="61">
        <v>1</v>
      </c>
      <c r="U74" s="61"/>
      <c r="V74">
        <f t="shared" si="1"/>
        <v>2</v>
      </c>
    </row>
    <row r="75" spans="3:22">
      <c r="C75" s="41">
        <v>122</v>
      </c>
      <c r="D75" s="1">
        <v>127</v>
      </c>
      <c r="E75" s="1">
        <v>800</v>
      </c>
      <c r="F75" s="22"/>
      <c r="G75" s="22">
        <v>2000</v>
      </c>
      <c r="H75" s="22"/>
      <c r="I75" s="22">
        <v>2000</v>
      </c>
      <c r="J75" s="22"/>
      <c r="K75" s="22"/>
      <c r="O75" s="45">
        <v>76</v>
      </c>
      <c r="P75" s="61"/>
      <c r="Q75" s="61">
        <v>1</v>
      </c>
      <c r="R75" s="61"/>
      <c r="S75" s="61">
        <v>1</v>
      </c>
      <c r="T75" s="61"/>
      <c r="U75" s="61"/>
      <c r="V75">
        <f t="shared" si="1"/>
        <v>2</v>
      </c>
    </row>
    <row r="76" spans="3:22">
      <c r="C76" s="41">
        <v>301</v>
      </c>
      <c r="D76" s="1">
        <v>316</v>
      </c>
      <c r="E76" s="1">
        <v>800</v>
      </c>
      <c r="F76" s="22"/>
      <c r="G76" s="22"/>
      <c r="H76" s="22"/>
      <c r="I76" s="22"/>
      <c r="J76" s="22"/>
      <c r="K76" s="22"/>
      <c r="O76" s="45">
        <v>77</v>
      </c>
      <c r="P76" s="61"/>
      <c r="Q76" s="61"/>
      <c r="R76" s="61"/>
      <c r="S76" s="61"/>
      <c r="T76" s="61"/>
      <c r="U76" s="61"/>
      <c r="V76">
        <f t="shared" si="1"/>
        <v>0</v>
      </c>
    </row>
    <row r="77" spans="3:22">
      <c r="C77" s="41">
        <v>18</v>
      </c>
      <c r="D77" s="1">
        <v>18</v>
      </c>
      <c r="E77" s="1">
        <v>800</v>
      </c>
      <c r="F77" s="22"/>
      <c r="G77" s="22"/>
      <c r="H77" s="22"/>
      <c r="I77" s="22"/>
      <c r="J77" s="22"/>
      <c r="K77" s="22"/>
      <c r="O77" s="45">
        <v>78</v>
      </c>
      <c r="P77" s="61"/>
      <c r="Q77" s="61"/>
      <c r="R77" s="61"/>
      <c r="S77" s="61"/>
      <c r="T77" s="61"/>
      <c r="U77" s="61"/>
      <c r="V77">
        <f t="shared" si="1"/>
        <v>0</v>
      </c>
    </row>
    <row r="78" spans="3:22">
      <c r="C78" s="41">
        <v>155</v>
      </c>
      <c r="D78" s="1">
        <v>163</v>
      </c>
      <c r="E78" s="1">
        <v>800</v>
      </c>
      <c r="F78" s="22"/>
      <c r="G78" s="22">
        <v>600</v>
      </c>
      <c r="H78" s="22">
        <v>1600</v>
      </c>
      <c r="I78" s="22"/>
      <c r="J78" s="22">
        <v>1600</v>
      </c>
      <c r="K78" s="22"/>
      <c r="O78" s="45">
        <v>79</v>
      </c>
      <c r="P78" s="61"/>
      <c r="Q78" s="61">
        <v>1</v>
      </c>
      <c r="R78" s="61"/>
      <c r="S78" s="61">
        <v>1</v>
      </c>
      <c r="T78" s="61"/>
      <c r="U78" s="61"/>
      <c r="V78">
        <f t="shared" si="1"/>
        <v>2</v>
      </c>
    </row>
    <row r="79" spans="3:22">
      <c r="C79" s="41">
        <v>44</v>
      </c>
      <c r="D79" s="1">
        <v>44</v>
      </c>
      <c r="E79" s="1">
        <v>800</v>
      </c>
      <c r="F79" s="22"/>
      <c r="G79" s="22"/>
      <c r="H79" s="22"/>
      <c r="I79" s="22"/>
      <c r="J79" s="22"/>
      <c r="K79" s="22"/>
      <c r="O79" s="45">
        <v>80</v>
      </c>
      <c r="P79" s="61"/>
      <c r="Q79" s="61"/>
      <c r="R79" s="61"/>
      <c r="S79" s="61"/>
      <c r="T79" s="61"/>
      <c r="U79" s="61">
        <v>1</v>
      </c>
      <c r="V79">
        <f t="shared" si="1"/>
        <v>1</v>
      </c>
    </row>
    <row r="80" spans="3:22">
      <c r="C80" s="41">
        <v>132</v>
      </c>
      <c r="D80" s="1">
        <v>139</v>
      </c>
      <c r="E80" s="1">
        <v>800</v>
      </c>
      <c r="F80" s="22"/>
      <c r="G80" s="22"/>
      <c r="H80" s="22"/>
      <c r="I80" s="22"/>
      <c r="J80" s="22"/>
      <c r="K80" s="22"/>
      <c r="O80" s="45">
        <v>81</v>
      </c>
      <c r="P80" s="61"/>
      <c r="Q80" s="61"/>
      <c r="R80" s="61">
        <v>1</v>
      </c>
      <c r="S80" s="61"/>
      <c r="T80" s="61"/>
      <c r="U80" s="61"/>
      <c r="V80">
        <f t="shared" si="1"/>
        <v>1</v>
      </c>
    </row>
    <row r="81" spans="3:22">
      <c r="C81" s="41">
        <v>159</v>
      </c>
      <c r="D81" s="1">
        <v>167</v>
      </c>
      <c r="E81" s="1">
        <v>800</v>
      </c>
      <c r="F81" s="22"/>
      <c r="G81" s="22">
        <v>12000</v>
      </c>
      <c r="H81" s="22"/>
      <c r="I81" s="22"/>
      <c r="J81" s="22"/>
      <c r="K81" s="22"/>
      <c r="O81" s="45">
        <v>82</v>
      </c>
      <c r="P81" s="61">
        <v>1</v>
      </c>
      <c r="Q81" s="61"/>
      <c r="R81" s="61">
        <v>1</v>
      </c>
      <c r="S81" s="61"/>
      <c r="T81" s="61"/>
      <c r="U81" s="61"/>
      <c r="V81">
        <f t="shared" si="1"/>
        <v>2</v>
      </c>
    </row>
    <row r="82" spans="3:22">
      <c r="C82" s="41">
        <v>181</v>
      </c>
      <c r="D82" s="1">
        <v>189</v>
      </c>
      <c r="E82" s="1">
        <v>800</v>
      </c>
      <c r="F82" s="22"/>
      <c r="G82" s="22"/>
      <c r="H82" s="22"/>
      <c r="I82" s="22"/>
      <c r="J82" s="22">
        <v>7000</v>
      </c>
      <c r="K82" s="22"/>
      <c r="O82" s="45">
        <v>83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>
        <f t="shared" si="1"/>
        <v>6</v>
      </c>
    </row>
    <row r="83" spans="3:22">
      <c r="C83" s="41">
        <v>284</v>
      </c>
      <c r="D83" s="1">
        <v>296</v>
      </c>
      <c r="E83" s="1">
        <v>800</v>
      </c>
      <c r="F83" s="22"/>
      <c r="G83" s="22"/>
      <c r="H83" s="22">
        <v>6000</v>
      </c>
      <c r="I83" s="22"/>
      <c r="J83" s="22"/>
      <c r="K83" s="22"/>
      <c r="O83" s="45">
        <v>84</v>
      </c>
      <c r="P83" s="61"/>
      <c r="Q83" s="61"/>
      <c r="R83" s="61"/>
      <c r="S83" s="61"/>
      <c r="T83" s="61"/>
      <c r="U83" s="61">
        <v>1</v>
      </c>
      <c r="V83">
        <f t="shared" si="1"/>
        <v>1</v>
      </c>
    </row>
    <row r="84" spans="3:22">
      <c r="C84" s="41">
        <v>264</v>
      </c>
      <c r="D84" s="1">
        <v>277</v>
      </c>
      <c r="E84" s="1">
        <v>800</v>
      </c>
      <c r="F84" s="22">
        <v>4000</v>
      </c>
      <c r="G84" s="22"/>
      <c r="H84" s="22">
        <v>2000</v>
      </c>
      <c r="I84" s="22"/>
      <c r="J84" s="22"/>
      <c r="K84" s="22"/>
      <c r="O84" s="45">
        <v>85</v>
      </c>
      <c r="P84" s="61"/>
      <c r="Q84" s="61"/>
      <c r="R84" s="61"/>
      <c r="S84" s="61">
        <v>1</v>
      </c>
      <c r="T84" s="61"/>
      <c r="U84" s="61"/>
      <c r="V84">
        <f t="shared" si="1"/>
        <v>1</v>
      </c>
    </row>
    <row r="85" spans="3:22">
      <c r="C85" s="41">
        <v>32</v>
      </c>
      <c r="D85" s="1">
        <v>32</v>
      </c>
      <c r="E85" s="1">
        <v>800</v>
      </c>
      <c r="F85" s="22">
        <v>2400</v>
      </c>
      <c r="G85" s="22"/>
      <c r="H85" s="22"/>
      <c r="I85" s="22"/>
      <c r="J85" s="22"/>
      <c r="K85" s="22">
        <v>2400</v>
      </c>
      <c r="O85" s="45">
        <v>86</v>
      </c>
      <c r="P85" s="61"/>
      <c r="Q85" s="61">
        <v>1</v>
      </c>
      <c r="R85" s="61"/>
      <c r="S85" s="61">
        <v>1</v>
      </c>
      <c r="T85" s="61"/>
      <c r="U85" s="61">
        <v>1</v>
      </c>
      <c r="V85">
        <f t="shared" si="1"/>
        <v>3</v>
      </c>
    </row>
    <row r="86" spans="3:22">
      <c r="C86" s="41">
        <v>49</v>
      </c>
      <c r="D86" s="1">
        <v>49</v>
      </c>
      <c r="E86" s="1">
        <v>800</v>
      </c>
      <c r="F86" s="22"/>
      <c r="G86" s="22"/>
      <c r="H86" s="22"/>
      <c r="I86" s="22"/>
      <c r="J86" s="22">
        <v>4800</v>
      </c>
      <c r="K86" s="22">
        <v>10200</v>
      </c>
      <c r="O86" s="45">
        <v>87</v>
      </c>
      <c r="P86" s="61"/>
      <c r="Q86" s="61"/>
      <c r="R86" s="61"/>
      <c r="S86" s="61"/>
      <c r="T86" s="61"/>
      <c r="U86" s="61"/>
      <c r="V86">
        <f t="shared" si="1"/>
        <v>0</v>
      </c>
    </row>
    <row r="87" spans="3:22">
      <c r="C87" s="41">
        <v>234</v>
      </c>
      <c r="D87" s="1">
        <v>243</v>
      </c>
      <c r="E87" s="1"/>
      <c r="F87" s="22"/>
      <c r="G87" s="22">
        <v>4800</v>
      </c>
      <c r="H87" s="22"/>
      <c r="I87" s="22"/>
      <c r="J87" s="22"/>
      <c r="K87" s="22"/>
      <c r="O87" s="45">
        <v>88</v>
      </c>
      <c r="P87" s="61">
        <v>1</v>
      </c>
      <c r="Q87" s="61"/>
      <c r="R87" s="61"/>
      <c r="S87" s="61"/>
      <c r="T87" s="61"/>
      <c r="U87" s="61"/>
      <c r="V87">
        <f t="shared" si="1"/>
        <v>1</v>
      </c>
    </row>
    <row r="88" spans="3:22">
      <c r="C88" s="41">
        <v>234</v>
      </c>
      <c r="D88" s="1">
        <v>244</v>
      </c>
      <c r="E88" s="1"/>
      <c r="F88" s="22"/>
      <c r="G88" s="22"/>
      <c r="H88" s="22"/>
      <c r="I88" s="22"/>
      <c r="J88" s="22"/>
      <c r="K88" s="22"/>
      <c r="O88" s="45">
        <v>89</v>
      </c>
      <c r="P88" s="61"/>
      <c r="Q88" s="61"/>
      <c r="R88" s="61"/>
      <c r="S88" s="61"/>
      <c r="T88" s="61"/>
      <c r="U88" s="61"/>
      <c r="V88">
        <f t="shared" si="1"/>
        <v>0</v>
      </c>
    </row>
    <row r="89" spans="3:22">
      <c r="C89" s="41">
        <v>234</v>
      </c>
      <c r="D89" s="1" t="s">
        <v>85</v>
      </c>
      <c r="E89" s="1">
        <v>800</v>
      </c>
      <c r="F89" s="22"/>
      <c r="G89" s="22"/>
      <c r="H89" s="22"/>
      <c r="I89" s="22"/>
      <c r="J89" s="22"/>
      <c r="K89" s="22"/>
      <c r="O89" s="45">
        <v>90</v>
      </c>
      <c r="P89" s="61"/>
      <c r="Q89" s="61"/>
      <c r="R89" s="61"/>
      <c r="S89" s="61">
        <v>1</v>
      </c>
      <c r="T89" s="61"/>
      <c r="U89" s="61"/>
      <c r="V89">
        <f t="shared" si="1"/>
        <v>1</v>
      </c>
    </row>
    <row r="90" spans="3:22">
      <c r="C90" s="41">
        <v>254</v>
      </c>
      <c r="D90" s="1">
        <v>267</v>
      </c>
      <c r="E90" s="1">
        <v>800</v>
      </c>
      <c r="F90" s="22"/>
      <c r="G90" s="22"/>
      <c r="H90" s="22"/>
      <c r="I90" s="22"/>
      <c r="J90" s="22"/>
      <c r="K90" s="22"/>
      <c r="O90" s="45">
        <v>91</v>
      </c>
      <c r="P90" s="61"/>
      <c r="Q90" s="61"/>
      <c r="R90" s="61"/>
      <c r="S90" s="61"/>
      <c r="T90" s="61"/>
      <c r="U90" s="61"/>
      <c r="V90">
        <f t="shared" si="1"/>
        <v>0</v>
      </c>
    </row>
    <row r="91" spans="3:22">
      <c r="C91" s="41">
        <v>230</v>
      </c>
      <c r="D91" s="1">
        <v>239</v>
      </c>
      <c r="E91" s="1">
        <v>800</v>
      </c>
      <c r="F91" s="22"/>
      <c r="G91" s="22"/>
      <c r="H91" s="22"/>
      <c r="I91" s="22"/>
      <c r="J91" s="22"/>
      <c r="K91" s="22"/>
      <c r="O91" s="45">
        <v>93</v>
      </c>
      <c r="P91" s="61"/>
      <c r="Q91" s="61"/>
      <c r="R91" s="61"/>
      <c r="S91" s="61"/>
      <c r="T91" s="61"/>
      <c r="U91" s="61"/>
      <c r="V91">
        <f t="shared" si="1"/>
        <v>0</v>
      </c>
    </row>
    <row r="92" spans="3:22">
      <c r="C92" s="41">
        <v>230</v>
      </c>
      <c r="D92" s="1">
        <v>257</v>
      </c>
      <c r="E92" s="1"/>
      <c r="F92" s="22"/>
      <c r="G92" s="22"/>
      <c r="H92" s="22"/>
      <c r="I92" s="22"/>
      <c r="J92" s="22">
        <v>3500</v>
      </c>
      <c r="K92" s="22"/>
      <c r="O92" s="45">
        <v>94</v>
      </c>
      <c r="P92" s="61"/>
      <c r="Q92" s="61"/>
      <c r="R92" s="61"/>
      <c r="S92" s="61"/>
      <c r="T92" s="61"/>
      <c r="U92" s="61"/>
      <c r="V92">
        <f t="shared" si="1"/>
        <v>0</v>
      </c>
    </row>
    <row r="93" spans="3:22">
      <c r="C93" s="41">
        <v>4</v>
      </c>
      <c r="D93" s="1">
        <v>4</v>
      </c>
      <c r="E93" s="1">
        <v>800</v>
      </c>
      <c r="F93" s="22"/>
      <c r="G93" s="22"/>
      <c r="H93" s="22"/>
      <c r="I93" s="22"/>
      <c r="J93" s="22">
        <v>5000</v>
      </c>
      <c r="K93" s="22"/>
      <c r="O93" s="45">
        <v>95</v>
      </c>
      <c r="P93" s="61"/>
      <c r="Q93" s="61"/>
      <c r="R93" s="61"/>
      <c r="S93" s="61"/>
      <c r="T93" s="61"/>
      <c r="U93" s="61">
        <v>1</v>
      </c>
      <c r="V93">
        <f t="shared" si="1"/>
        <v>1</v>
      </c>
    </row>
    <row r="94" spans="3:22">
      <c r="C94" s="41">
        <v>213</v>
      </c>
      <c r="D94" s="1">
        <v>222</v>
      </c>
      <c r="E94" s="1">
        <v>800</v>
      </c>
      <c r="F94" s="22"/>
      <c r="G94" s="22"/>
      <c r="H94" s="22"/>
      <c r="I94" s="22"/>
      <c r="J94" s="22"/>
      <c r="K94" s="22"/>
      <c r="O94" s="45">
        <v>96</v>
      </c>
      <c r="P94" s="61">
        <v>1</v>
      </c>
      <c r="Q94" s="61"/>
      <c r="R94" s="61"/>
      <c r="S94" s="61">
        <v>1</v>
      </c>
      <c r="T94" s="61"/>
      <c r="U94" s="61">
        <v>1</v>
      </c>
      <c r="V94">
        <f t="shared" si="1"/>
        <v>3</v>
      </c>
    </row>
    <row r="95" spans="3:22">
      <c r="C95" s="41">
        <v>127</v>
      </c>
      <c r="D95" s="1">
        <v>132</v>
      </c>
      <c r="E95" s="1">
        <v>800</v>
      </c>
      <c r="F95" s="22"/>
      <c r="G95" s="22">
        <v>1600</v>
      </c>
      <c r="H95" s="22"/>
      <c r="I95" s="22"/>
      <c r="J95" s="22"/>
      <c r="K95" s="22"/>
      <c r="O95" s="45">
        <v>98</v>
      </c>
      <c r="P95" s="61"/>
      <c r="Q95" s="61"/>
      <c r="R95" s="61"/>
      <c r="S95" s="61"/>
      <c r="T95" s="61"/>
      <c r="U95" s="61"/>
      <c r="V95">
        <f t="shared" si="1"/>
        <v>0</v>
      </c>
    </row>
    <row r="96" spans="3:22">
      <c r="C96" s="41">
        <v>66</v>
      </c>
      <c r="D96" s="1">
        <v>68</v>
      </c>
      <c r="E96" s="1">
        <v>800</v>
      </c>
      <c r="F96" s="22"/>
      <c r="G96" s="22"/>
      <c r="H96" s="22"/>
      <c r="I96" s="22"/>
      <c r="J96" s="22"/>
      <c r="K96" s="22"/>
      <c r="O96" s="45">
        <v>99</v>
      </c>
      <c r="P96" s="61"/>
      <c r="Q96" s="61"/>
      <c r="R96" s="61"/>
      <c r="S96" s="61"/>
      <c r="T96" s="61"/>
      <c r="U96" s="61"/>
      <c r="V96">
        <f t="shared" si="1"/>
        <v>0</v>
      </c>
    </row>
    <row r="97" spans="3:22">
      <c r="C97" s="41">
        <v>36</v>
      </c>
      <c r="D97" s="1">
        <v>36</v>
      </c>
      <c r="E97" s="1">
        <v>800</v>
      </c>
      <c r="F97" s="22"/>
      <c r="G97" s="22"/>
      <c r="H97" s="22"/>
      <c r="I97" s="22"/>
      <c r="J97" s="22"/>
      <c r="K97" s="22"/>
      <c r="O97" s="45">
        <v>100</v>
      </c>
      <c r="P97" s="61">
        <v>1</v>
      </c>
      <c r="Q97" s="61"/>
      <c r="R97" s="61"/>
      <c r="S97" s="61"/>
      <c r="T97" s="61"/>
      <c r="U97" s="61"/>
      <c r="V97">
        <f t="shared" si="1"/>
        <v>1</v>
      </c>
    </row>
    <row r="98" spans="3:22">
      <c r="C98" s="41">
        <v>38</v>
      </c>
      <c r="D98" s="1">
        <v>255</v>
      </c>
      <c r="E98" s="1"/>
      <c r="F98" s="22"/>
      <c r="G98" s="22"/>
      <c r="H98" s="22"/>
      <c r="I98" s="22"/>
      <c r="J98" s="22"/>
      <c r="K98" s="22">
        <v>1600</v>
      </c>
      <c r="O98" s="45">
        <v>101</v>
      </c>
      <c r="P98" s="61">
        <v>1</v>
      </c>
      <c r="Q98" s="61"/>
      <c r="R98" s="61"/>
      <c r="S98" s="61"/>
      <c r="T98" s="61"/>
      <c r="U98" s="61"/>
      <c r="V98">
        <f t="shared" si="1"/>
        <v>1</v>
      </c>
    </row>
    <row r="99" spans="3:22">
      <c r="C99" s="41">
        <v>38</v>
      </c>
      <c r="D99" s="1">
        <v>38</v>
      </c>
      <c r="E99" s="1">
        <v>800</v>
      </c>
      <c r="F99" s="22"/>
      <c r="G99" s="22"/>
      <c r="H99" s="22"/>
      <c r="I99" s="22"/>
      <c r="J99" s="22"/>
      <c r="K99" s="22"/>
      <c r="O99" s="45">
        <v>102</v>
      </c>
      <c r="P99" s="61">
        <v>1</v>
      </c>
      <c r="Q99" s="61">
        <v>1</v>
      </c>
      <c r="R99" s="61">
        <v>1</v>
      </c>
      <c r="S99" s="61">
        <v>1</v>
      </c>
      <c r="T99" s="61"/>
      <c r="U99" s="61">
        <v>1</v>
      </c>
      <c r="V99">
        <f t="shared" si="1"/>
        <v>5</v>
      </c>
    </row>
    <row r="100" spans="3:22">
      <c r="C100" s="41">
        <v>12</v>
      </c>
      <c r="D100" s="1">
        <v>12</v>
      </c>
      <c r="E100" s="1">
        <v>800</v>
      </c>
      <c r="F100" s="22"/>
      <c r="G100" s="22"/>
      <c r="H100" s="22"/>
      <c r="I100" s="22"/>
      <c r="J100" s="22"/>
      <c r="K100" s="22"/>
      <c r="O100" s="45">
        <v>103</v>
      </c>
      <c r="P100" s="61">
        <v>1</v>
      </c>
      <c r="Q100" s="61"/>
      <c r="R100" s="61">
        <v>1</v>
      </c>
      <c r="S100" s="61"/>
      <c r="T100" s="61"/>
      <c r="U100" s="61"/>
      <c r="V100">
        <f t="shared" si="1"/>
        <v>2</v>
      </c>
    </row>
    <row r="101" spans="3:22">
      <c r="C101" s="41">
        <v>63</v>
      </c>
      <c r="D101" s="1">
        <v>65</v>
      </c>
      <c r="E101" s="1">
        <v>800</v>
      </c>
      <c r="F101" s="22"/>
      <c r="G101" s="22"/>
      <c r="H101" s="22"/>
      <c r="I101" s="22"/>
      <c r="J101" s="22"/>
      <c r="K101" s="22">
        <v>800</v>
      </c>
      <c r="O101" s="45">
        <v>104</v>
      </c>
      <c r="P101" s="61"/>
      <c r="Q101" s="61"/>
      <c r="R101" s="61"/>
      <c r="S101" s="61"/>
      <c r="T101" s="61"/>
      <c r="U101" s="61"/>
      <c r="V101">
        <f t="shared" si="1"/>
        <v>0</v>
      </c>
    </row>
    <row r="102" spans="3:22">
      <c r="C102" s="41">
        <v>16</v>
      </c>
      <c r="D102" s="1">
        <v>16</v>
      </c>
      <c r="E102" s="1">
        <v>800</v>
      </c>
      <c r="F102" s="22"/>
      <c r="G102" s="22"/>
      <c r="H102" s="22"/>
      <c r="I102" s="22"/>
      <c r="J102" s="22"/>
      <c r="K102" s="22">
        <v>12000</v>
      </c>
      <c r="O102" s="45">
        <v>105</v>
      </c>
      <c r="P102" s="61">
        <v>1</v>
      </c>
      <c r="Q102" s="61"/>
      <c r="R102" s="61"/>
      <c r="S102" s="61"/>
      <c r="T102" s="61"/>
      <c r="U102" s="61">
        <v>1</v>
      </c>
      <c r="V102">
        <f t="shared" si="1"/>
        <v>2</v>
      </c>
    </row>
    <row r="103" spans="3:22">
      <c r="C103" s="41">
        <v>121</v>
      </c>
      <c r="D103" s="1">
        <v>126</v>
      </c>
      <c r="E103" s="1">
        <v>800</v>
      </c>
      <c r="F103" s="22">
        <v>3000</v>
      </c>
      <c r="G103" s="22"/>
      <c r="H103" s="22"/>
      <c r="I103" s="22">
        <v>3200</v>
      </c>
      <c r="J103" s="22"/>
      <c r="K103" s="22"/>
      <c r="O103" s="45">
        <v>106</v>
      </c>
      <c r="P103" s="61"/>
      <c r="Q103" s="61"/>
      <c r="R103" s="61"/>
      <c r="S103" s="61"/>
      <c r="T103" s="61"/>
      <c r="U103" s="61"/>
      <c r="V103">
        <f t="shared" si="1"/>
        <v>0</v>
      </c>
    </row>
    <row r="104" spans="3:22">
      <c r="C104" s="41">
        <v>156</v>
      </c>
      <c r="D104" s="1">
        <v>164</v>
      </c>
      <c r="E104" s="1">
        <v>800</v>
      </c>
      <c r="F104" s="22"/>
      <c r="G104" s="22">
        <v>5000</v>
      </c>
      <c r="H104" s="22">
        <v>1000</v>
      </c>
      <c r="I104" s="22">
        <v>1000</v>
      </c>
      <c r="J104" s="22">
        <v>1000</v>
      </c>
      <c r="K104" s="22">
        <v>1000</v>
      </c>
      <c r="O104" s="45">
        <v>107</v>
      </c>
      <c r="P104" s="61"/>
      <c r="Q104" s="61">
        <v>1</v>
      </c>
      <c r="R104" s="61">
        <v>1</v>
      </c>
      <c r="S104" s="61">
        <v>1</v>
      </c>
      <c r="T104" s="61"/>
      <c r="U104" s="61">
        <v>1</v>
      </c>
      <c r="V104">
        <f t="shared" si="1"/>
        <v>4</v>
      </c>
    </row>
    <row r="105" spans="3:22">
      <c r="C105" s="41">
        <v>5</v>
      </c>
      <c r="D105" s="1">
        <v>5</v>
      </c>
      <c r="E105" s="1">
        <v>800</v>
      </c>
      <c r="F105" s="22"/>
      <c r="G105" s="22"/>
      <c r="H105" s="22"/>
      <c r="I105" s="22"/>
      <c r="J105" s="22"/>
      <c r="K105" s="22"/>
      <c r="O105" s="45">
        <v>108</v>
      </c>
      <c r="P105" s="61"/>
      <c r="Q105" s="61">
        <v>1</v>
      </c>
      <c r="R105" s="61">
        <v>1</v>
      </c>
      <c r="S105" s="61"/>
      <c r="T105" s="61"/>
      <c r="U105" s="61">
        <v>1</v>
      </c>
      <c r="V105">
        <f t="shared" si="1"/>
        <v>3</v>
      </c>
    </row>
    <row r="106" spans="3:22">
      <c r="C106" s="41">
        <v>214</v>
      </c>
      <c r="D106" s="1">
        <v>223</v>
      </c>
      <c r="E106" s="1">
        <v>800</v>
      </c>
      <c r="F106" s="22"/>
      <c r="G106" s="22">
        <v>3000</v>
      </c>
      <c r="H106" s="22"/>
      <c r="I106" s="22"/>
      <c r="J106" s="22"/>
      <c r="K106" s="22">
        <v>2000</v>
      </c>
      <c r="O106" s="45">
        <v>109</v>
      </c>
      <c r="P106" s="61"/>
      <c r="Q106" s="61">
        <v>1</v>
      </c>
      <c r="R106" s="61">
        <v>1</v>
      </c>
      <c r="S106" s="61"/>
      <c r="T106" s="61"/>
      <c r="U106" s="61"/>
      <c r="V106">
        <f t="shared" si="1"/>
        <v>2</v>
      </c>
    </row>
    <row r="107" spans="3:22">
      <c r="C107" s="41">
        <v>279</v>
      </c>
      <c r="D107" s="1">
        <v>291</v>
      </c>
      <c r="E107" s="1">
        <v>800</v>
      </c>
      <c r="F107" s="22"/>
      <c r="G107" s="22"/>
      <c r="H107" s="22"/>
      <c r="I107" s="22"/>
      <c r="J107" s="22"/>
      <c r="K107" s="22"/>
      <c r="O107" s="45">
        <v>110</v>
      </c>
      <c r="P107" s="61"/>
      <c r="Q107" s="61"/>
      <c r="R107" s="61"/>
      <c r="S107" s="61"/>
      <c r="T107" s="61"/>
      <c r="U107" s="61"/>
      <c r="V107">
        <f t="shared" si="1"/>
        <v>0</v>
      </c>
    </row>
    <row r="108" spans="3:22">
      <c r="C108" s="41">
        <v>197</v>
      </c>
      <c r="D108" s="1">
        <v>205</v>
      </c>
      <c r="E108" s="1">
        <v>800</v>
      </c>
      <c r="F108" s="22"/>
      <c r="G108" s="22"/>
      <c r="H108" s="22"/>
      <c r="I108" s="22"/>
      <c r="J108" s="22"/>
      <c r="K108" s="22"/>
      <c r="O108" s="45">
        <v>112</v>
      </c>
      <c r="P108" s="61"/>
      <c r="Q108" s="61">
        <v>1</v>
      </c>
      <c r="R108" s="61"/>
      <c r="S108" s="61"/>
      <c r="T108" s="61"/>
      <c r="U108" s="61">
        <v>1</v>
      </c>
      <c r="V108">
        <f t="shared" si="1"/>
        <v>2</v>
      </c>
    </row>
    <row r="109" spans="3:22">
      <c r="C109" s="41">
        <v>295</v>
      </c>
      <c r="D109" s="1">
        <v>310</v>
      </c>
      <c r="E109" s="1">
        <v>800</v>
      </c>
      <c r="F109" s="22"/>
      <c r="G109" s="22"/>
      <c r="H109" s="22"/>
      <c r="I109" s="22"/>
      <c r="J109" s="22"/>
      <c r="K109" s="22"/>
      <c r="O109" s="45">
        <v>113</v>
      </c>
      <c r="P109" s="61">
        <v>1</v>
      </c>
      <c r="Q109" s="61"/>
      <c r="R109" s="61"/>
      <c r="S109" s="61">
        <v>1</v>
      </c>
      <c r="T109" s="61"/>
      <c r="U109" s="61">
        <v>1</v>
      </c>
      <c r="V109">
        <f t="shared" si="1"/>
        <v>3</v>
      </c>
    </row>
    <row r="110" spans="3:22">
      <c r="C110" s="41">
        <v>196</v>
      </c>
      <c r="D110" s="1">
        <v>204</v>
      </c>
      <c r="E110" s="1">
        <v>800</v>
      </c>
      <c r="F110" s="22"/>
      <c r="G110" s="22"/>
      <c r="H110" s="22">
        <v>4800</v>
      </c>
      <c r="I110" s="22"/>
      <c r="J110" s="22"/>
      <c r="K110" s="22"/>
      <c r="O110" s="45">
        <v>114</v>
      </c>
      <c r="P110" s="61"/>
      <c r="Q110" s="61"/>
      <c r="R110" s="61"/>
      <c r="S110" s="61"/>
      <c r="T110" s="61"/>
      <c r="U110" s="61"/>
      <c r="V110">
        <f t="shared" si="1"/>
        <v>0</v>
      </c>
    </row>
    <row r="111" spans="3:22">
      <c r="C111" s="41">
        <v>124</v>
      </c>
      <c r="D111" s="1">
        <v>129</v>
      </c>
      <c r="E111" s="1">
        <v>800</v>
      </c>
      <c r="F111" s="22"/>
      <c r="G111" s="22"/>
      <c r="H111" s="22"/>
      <c r="I111" s="22"/>
      <c r="J111" s="22"/>
      <c r="K111" s="22"/>
      <c r="O111" s="45">
        <v>116</v>
      </c>
      <c r="P111" s="61"/>
      <c r="Q111" s="61"/>
      <c r="R111" s="61">
        <v>1</v>
      </c>
      <c r="S111" s="61"/>
      <c r="T111" s="61"/>
      <c r="U111" s="61"/>
      <c r="V111">
        <f t="shared" si="1"/>
        <v>1</v>
      </c>
    </row>
    <row r="112" spans="3:22">
      <c r="C112" s="41">
        <v>250</v>
      </c>
      <c r="D112" s="1">
        <v>261</v>
      </c>
      <c r="E112" s="1">
        <v>800</v>
      </c>
      <c r="F112" s="22"/>
      <c r="G112" s="22"/>
      <c r="H112" s="22">
        <v>1000</v>
      </c>
      <c r="I112" s="22">
        <v>1000</v>
      </c>
      <c r="J112" s="22">
        <v>1000</v>
      </c>
      <c r="K112" s="22"/>
      <c r="O112" s="45">
        <v>117</v>
      </c>
      <c r="P112" s="61"/>
      <c r="Q112" s="61"/>
      <c r="R112" s="61"/>
      <c r="S112" s="61"/>
      <c r="T112" s="61"/>
      <c r="U112" s="61"/>
      <c r="V112">
        <f t="shared" si="1"/>
        <v>0</v>
      </c>
    </row>
    <row r="113" spans="3:22">
      <c r="C113" s="41">
        <v>153</v>
      </c>
      <c r="D113" s="1">
        <v>161</v>
      </c>
      <c r="E113" s="1">
        <v>800</v>
      </c>
      <c r="F113" s="22"/>
      <c r="G113" s="22"/>
      <c r="H113" s="22"/>
      <c r="I113" s="22">
        <v>7200</v>
      </c>
      <c r="J113" s="22"/>
      <c r="K113" s="22"/>
      <c r="O113" s="45">
        <v>118</v>
      </c>
      <c r="P113" s="61"/>
      <c r="Q113" s="61"/>
      <c r="R113" s="61"/>
      <c r="S113" s="61"/>
      <c r="T113" s="61"/>
      <c r="U113" s="61"/>
      <c r="V113">
        <f t="shared" si="1"/>
        <v>0</v>
      </c>
    </row>
    <row r="114" spans="3:22">
      <c r="C114" s="41">
        <v>106</v>
      </c>
      <c r="D114" s="1">
        <v>111</v>
      </c>
      <c r="E114" s="1">
        <v>800</v>
      </c>
      <c r="F114" s="22"/>
      <c r="G114" s="22"/>
      <c r="H114" s="22"/>
      <c r="I114" s="22"/>
      <c r="J114" s="22"/>
      <c r="K114" s="22"/>
      <c r="O114" s="45">
        <v>119</v>
      </c>
      <c r="P114" s="61"/>
      <c r="Q114" s="61"/>
      <c r="R114" s="61">
        <v>1</v>
      </c>
      <c r="S114" s="61"/>
      <c r="T114" s="61"/>
      <c r="U114" s="61"/>
      <c r="V114">
        <f t="shared" si="1"/>
        <v>1</v>
      </c>
    </row>
    <row r="115" spans="3:22">
      <c r="C115" s="41">
        <v>222</v>
      </c>
      <c r="D115" s="1">
        <v>231</v>
      </c>
      <c r="E115" s="1">
        <v>800</v>
      </c>
      <c r="F115" s="22"/>
      <c r="G115" s="22">
        <v>3200</v>
      </c>
      <c r="H115" s="22"/>
      <c r="I115" s="22"/>
      <c r="J115" s="22">
        <v>4000</v>
      </c>
      <c r="K115" s="22"/>
      <c r="O115" s="45">
        <v>120</v>
      </c>
      <c r="P115" s="61">
        <v>1</v>
      </c>
      <c r="Q115" s="61">
        <v>1</v>
      </c>
      <c r="R115" s="61">
        <v>1</v>
      </c>
      <c r="S115" s="61"/>
      <c r="T115" s="61"/>
      <c r="U115" s="61">
        <v>1</v>
      </c>
      <c r="V115">
        <f t="shared" si="1"/>
        <v>4</v>
      </c>
    </row>
    <row r="116" spans="3:22">
      <c r="C116" s="41">
        <v>208</v>
      </c>
      <c r="D116" s="1">
        <v>218</v>
      </c>
      <c r="E116" s="1">
        <v>800</v>
      </c>
      <c r="F116" s="22"/>
      <c r="G116" s="22"/>
      <c r="H116" s="22"/>
      <c r="I116" s="22"/>
      <c r="J116" s="22"/>
      <c r="K116" s="22"/>
      <c r="O116" s="45">
        <v>121</v>
      </c>
      <c r="P116" s="61">
        <v>1</v>
      </c>
      <c r="Q116" s="61"/>
      <c r="R116" s="61"/>
      <c r="S116" s="61">
        <v>1</v>
      </c>
      <c r="T116" s="61"/>
      <c r="U116" s="61"/>
      <c r="V116">
        <f t="shared" si="1"/>
        <v>2</v>
      </c>
    </row>
    <row r="117" spans="3:22">
      <c r="C117" s="41">
        <v>207</v>
      </c>
      <c r="D117" s="1">
        <v>217</v>
      </c>
      <c r="E117" s="1">
        <v>800</v>
      </c>
      <c r="F117" s="22"/>
      <c r="G117" s="22"/>
      <c r="H117" s="22"/>
      <c r="I117" s="22"/>
      <c r="J117" s="22"/>
      <c r="K117" s="22"/>
      <c r="O117" s="45">
        <v>122</v>
      </c>
      <c r="P117" s="61"/>
      <c r="Q117" s="61">
        <v>1</v>
      </c>
      <c r="R117" s="61"/>
      <c r="S117" s="61">
        <v>1</v>
      </c>
      <c r="T117" s="61"/>
      <c r="U117" s="61"/>
      <c r="V117">
        <f t="shared" si="1"/>
        <v>2</v>
      </c>
    </row>
    <row r="118" spans="3:22">
      <c r="C118" s="41">
        <v>231</v>
      </c>
      <c r="D118" s="1">
        <v>240</v>
      </c>
      <c r="E118" s="1">
        <v>800</v>
      </c>
      <c r="F118" s="22"/>
      <c r="G118" s="22">
        <v>5000</v>
      </c>
      <c r="H118" s="22"/>
      <c r="I118" s="22">
        <v>1000</v>
      </c>
      <c r="J118" s="22"/>
      <c r="K118" s="22"/>
      <c r="O118" s="45">
        <v>123</v>
      </c>
      <c r="P118" s="61"/>
      <c r="Q118" s="61"/>
      <c r="R118" s="61"/>
      <c r="S118" s="61"/>
      <c r="T118" s="61"/>
      <c r="U118" s="61"/>
      <c r="V118">
        <f t="shared" si="1"/>
        <v>0</v>
      </c>
    </row>
    <row r="119" spans="3:22">
      <c r="C119" s="41">
        <v>76</v>
      </c>
      <c r="D119" s="1">
        <v>82</v>
      </c>
      <c r="E119" s="1">
        <v>800</v>
      </c>
      <c r="F119" s="22"/>
      <c r="G119" s="22">
        <v>2400</v>
      </c>
      <c r="H119" s="22"/>
      <c r="I119" s="22">
        <v>2400</v>
      </c>
      <c r="J119" s="22"/>
      <c r="K119" s="22"/>
      <c r="O119" s="45">
        <v>124</v>
      </c>
      <c r="P119" s="61"/>
      <c r="Q119" s="61"/>
      <c r="R119" s="61"/>
      <c r="S119" s="61"/>
      <c r="T119" s="61"/>
      <c r="U119" s="61"/>
      <c r="V119">
        <f t="shared" si="1"/>
        <v>0</v>
      </c>
    </row>
    <row r="120" spans="3:22">
      <c r="C120" s="41">
        <v>82</v>
      </c>
      <c r="D120" s="1">
        <v>87</v>
      </c>
      <c r="E120" s="1">
        <v>800</v>
      </c>
      <c r="F120" s="22">
        <v>3000</v>
      </c>
      <c r="G120" s="22"/>
      <c r="H120" s="22">
        <v>3000</v>
      </c>
      <c r="I120" s="22"/>
      <c r="J120" s="22"/>
      <c r="K120" s="22"/>
      <c r="O120" s="45">
        <v>125</v>
      </c>
      <c r="P120" s="61"/>
      <c r="Q120" s="61"/>
      <c r="R120" s="61"/>
      <c r="S120" s="61"/>
      <c r="T120" s="61"/>
      <c r="U120" s="61">
        <v>1</v>
      </c>
      <c r="V120">
        <f t="shared" si="1"/>
        <v>1</v>
      </c>
    </row>
    <row r="121" spans="3:22">
      <c r="C121" s="41">
        <v>8</v>
      </c>
      <c r="D121" s="1">
        <v>8</v>
      </c>
      <c r="E121" s="1">
        <v>800</v>
      </c>
      <c r="F121" s="22"/>
      <c r="G121" s="22"/>
      <c r="H121" s="22"/>
      <c r="I121" s="22"/>
      <c r="J121" s="22"/>
      <c r="K121" s="22">
        <v>4000</v>
      </c>
      <c r="O121" s="45">
        <v>126</v>
      </c>
      <c r="P121" s="61"/>
      <c r="Q121" s="61"/>
      <c r="R121" s="61">
        <v>1</v>
      </c>
      <c r="S121" s="61"/>
      <c r="T121" s="61"/>
      <c r="U121" s="61"/>
      <c r="V121">
        <f t="shared" si="1"/>
        <v>1</v>
      </c>
    </row>
    <row r="122" spans="3:22">
      <c r="C122" s="41">
        <v>149</v>
      </c>
      <c r="D122" s="1">
        <v>157</v>
      </c>
      <c r="E122" s="1">
        <v>800</v>
      </c>
      <c r="F122" s="22"/>
      <c r="G122" s="22"/>
      <c r="H122" s="22">
        <v>1000</v>
      </c>
      <c r="I122" s="22"/>
      <c r="J122" s="22">
        <v>1000</v>
      </c>
      <c r="K122" s="22"/>
      <c r="O122" s="45">
        <v>127</v>
      </c>
      <c r="P122" s="61"/>
      <c r="Q122" s="61">
        <v>1</v>
      </c>
      <c r="R122" s="61"/>
      <c r="S122" s="61"/>
      <c r="T122" s="61"/>
      <c r="U122" s="61"/>
      <c r="V122">
        <f t="shared" si="1"/>
        <v>1</v>
      </c>
    </row>
    <row r="123" spans="3:22">
      <c r="C123" s="41">
        <v>30</v>
      </c>
      <c r="D123" s="1">
        <v>30</v>
      </c>
      <c r="E123" s="1">
        <v>800</v>
      </c>
      <c r="F123" s="22"/>
      <c r="G123" s="22"/>
      <c r="H123" s="22"/>
      <c r="I123" s="22"/>
      <c r="J123" s="22"/>
      <c r="K123" s="22"/>
      <c r="O123" s="45">
        <v>128</v>
      </c>
      <c r="P123" s="61">
        <v>1</v>
      </c>
      <c r="Q123" s="61"/>
      <c r="R123" s="61"/>
      <c r="S123" s="61"/>
      <c r="T123" s="61"/>
      <c r="U123" s="61"/>
      <c r="V123">
        <f t="shared" si="1"/>
        <v>1</v>
      </c>
    </row>
    <row r="124" spans="3:22">
      <c r="C124" s="41">
        <v>269</v>
      </c>
      <c r="D124" s="1">
        <v>282</v>
      </c>
      <c r="E124" s="1">
        <v>800</v>
      </c>
      <c r="F124" s="22"/>
      <c r="G124" s="22"/>
      <c r="H124" s="22"/>
      <c r="I124" s="22"/>
      <c r="J124" s="22"/>
      <c r="K124" s="22"/>
      <c r="O124" s="45">
        <v>129</v>
      </c>
      <c r="P124" s="61"/>
      <c r="Q124" s="61">
        <v>1</v>
      </c>
      <c r="R124" s="61"/>
      <c r="S124" s="61">
        <v>1</v>
      </c>
      <c r="T124" s="61"/>
      <c r="U124" s="61"/>
      <c r="V124">
        <f t="shared" si="1"/>
        <v>2</v>
      </c>
    </row>
    <row r="125" spans="3:22">
      <c r="C125" s="41">
        <v>271</v>
      </c>
      <c r="D125" s="1">
        <v>284</v>
      </c>
      <c r="E125" s="1">
        <v>800</v>
      </c>
      <c r="F125" s="22"/>
      <c r="G125" s="22"/>
      <c r="H125" s="22"/>
      <c r="I125" s="22"/>
      <c r="J125" s="22"/>
      <c r="K125" s="22">
        <v>5000</v>
      </c>
      <c r="O125" s="45">
        <v>130</v>
      </c>
      <c r="P125" s="61"/>
      <c r="Q125" s="61">
        <v>1</v>
      </c>
      <c r="R125" s="61"/>
      <c r="S125" s="61"/>
      <c r="T125" s="61"/>
      <c r="U125" s="61">
        <v>1</v>
      </c>
      <c r="V125">
        <f t="shared" si="1"/>
        <v>2</v>
      </c>
    </row>
    <row r="126" spans="3:22">
      <c r="C126" s="41">
        <v>265</v>
      </c>
      <c r="D126" s="1">
        <v>278</v>
      </c>
      <c r="E126" s="1">
        <v>800</v>
      </c>
      <c r="F126" s="22"/>
      <c r="G126" s="22"/>
      <c r="H126" s="22">
        <v>3000</v>
      </c>
      <c r="I126" s="22"/>
      <c r="J126" s="22"/>
      <c r="K126" s="22"/>
      <c r="O126" s="45">
        <v>131</v>
      </c>
      <c r="P126" s="61"/>
      <c r="Q126" s="61"/>
      <c r="R126" s="61"/>
      <c r="S126" s="61">
        <v>1</v>
      </c>
      <c r="T126" s="61"/>
      <c r="U126" s="61"/>
      <c r="V126">
        <f t="shared" si="1"/>
        <v>1</v>
      </c>
    </row>
    <row r="127" spans="3:22">
      <c r="C127" s="41">
        <v>173</v>
      </c>
      <c r="D127" s="1">
        <v>181</v>
      </c>
      <c r="E127" s="1">
        <v>800</v>
      </c>
      <c r="F127" s="22"/>
      <c r="G127" s="22"/>
      <c r="H127" s="22"/>
      <c r="I127" s="22"/>
      <c r="J127" s="22"/>
      <c r="K127" s="22"/>
      <c r="O127" s="45">
        <v>132</v>
      </c>
      <c r="P127" s="61"/>
      <c r="Q127" s="61"/>
      <c r="R127" s="61"/>
      <c r="S127" s="61"/>
      <c r="T127" s="61"/>
      <c r="U127" s="61"/>
      <c r="V127">
        <f t="shared" si="1"/>
        <v>0</v>
      </c>
    </row>
    <row r="128" spans="3:22">
      <c r="C128" s="41">
        <v>305</v>
      </c>
      <c r="D128" s="1">
        <v>320</v>
      </c>
      <c r="E128" s="1">
        <v>800</v>
      </c>
      <c r="F128" s="22"/>
      <c r="G128" s="22"/>
      <c r="H128" s="22"/>
      <c r="I128" s="22"/>
      <c r="J128" s="22"/>
      <c r="K128" s="22"/>
      <c r="O128" s="45">
        <v>133</v>
      </c>
      <c r="P128" s="61"/>
      <c r="Q128" s="61">
        <v>1</v>
      </c>
      <c r="R128" s="61">
        <v>1</v>
      </c>
      <c r="S128" s="61">
        <v>1</v>
      </c>
      <c r="T128" s="61">
        <v>1</v>
      </c>
      <c r="U128" s="61">
        <v>1</v>
      </c>
      <c r="V128">
        <f t="shared" si="1"/>
        <v>5</v>
      </c>
    </row>
    <row r="129" spans="3:22">
      <c r="C129" s="41">
        <v>69</v>
      </c>
      <c r="D129" s="1">
        <v>75</v>
      </c>
      <c r="E129" s="1">
        <v>800</v>
      </c>
      <c r="F129" s="22"/>
      <c r="G129" s="22"/>
      <c r="H129" s="22"/>
      <c r="I129" s="22"/>
      <c r="J129" s="22"/>
      <c r="K129" s="22"/>
      <c r="O129" s="45">
        <v>134</v>
      </c>
      <c r="P129" s="61">
        <v>1</v>
      </c>
      <c r="Q129" s="61">
        <v>1</v>
      </c>
      <c r="R129" s="61"/>
      <c r="S129" s="61"/>
      <c r="T129" s="61"/>
      <c r="U129" s="61"/>
      <c r="V129">
        <f t="shared" si="1"/>
        <v>2</v>
      </c>
    </row>
    <row r="130" spans="3:22">
      <c r="C130" s="41">
        <v>69</v>
      </c>
      <c r="D130" s="1">
        <v>76</v>
      </c>
      <c r="E130" s="1"/>
      <c r="F130" s="22"/>
      <c r="G130" s="22"/>
      <c r="H130" s="22"/>
      <c r="I130" s="22"/>
      <c r="J130" s="22"/>
      <c r="K130" s="22"/>
      <c r="O130" s="45">
        <v>135</v>
      </c>
      <c r="P130" s="61"/>
      <c r="Q130" s="61"/>
      <c r="R130" s="61">
        <v>1</v>
      </c>
      <c r="S130" s="61"/>
      <c r="T130" s="61"/>
      <c r="U130" s="61">
        <v>1</v>
      </c>
      <c r="V130">
        <f t="shared" si="1"/>
        <v>2</v>
      </c>
    </row>
    <row r="131" spans="3:22">
      <c r="C131" s="41">
        <v>1</v>
      </c>
      <c r="D131" s="1">
        <v>1</v>
      </c>
      <c r="E131" s="1">
        <v>800</v>
      </c>
      <c r="F131" s="22"/>
      <c r="G131" s="22">
        <v>4200</v>
      </c>
      <c r="H131" s="22"/>
      <c r="I131" s="22"/>
      <c r="J131" s="22"/>
      <c r="K131" s="22"/>
      <c r="O131" s="45">
        <v>136</v>
      </c>
      <c r="P131" s="61"/>
      <c r="Q131" s="61"/>
      <c r="R131" s="61"/>
      <c r="S131" s="61"/>
      <c r="T131" s="61"/>
      <c r="U131" s="61"/>
      <c r="V131">
        <f t="shared" si="1"/>
        <v>0</v>
      </c>
    </row>
    <row r="132" spans="3:22">
      <c r="C132" s="41">
        <v>302</v>
      </c>
      <c r="D132" s="1">
        <v>317</v>
      </c>
      <c r="E132" s="1">
        <v>800</v>
      </c>
      <c r="F132" s="22"/>
      <c r="G132" s="22"/>
      <c r="H132" s="22"/>
      <c r="I132" s="22"/>
      <c r="J132" s="22"/>
      <c r="K132" s="22"/>
      <c r="O132" s="45">
        <v>137</v>
      </c>
      <c r="P132" s="61"/>
      <c r="Q132" s="61">
        <v>1</v>
      </c>
      <c r="R132" s="61"/>
      <c r="S132" s="61"/>
      <c r="T132" s="61"/>
      <c r="U132" s="61">
        <v>1</v>
      </c>
      <c r="V132">
        <f t="shared" ref="V132:V195" si="2">COUNTA(P132:U132)</f>
        <v>2</v>
      </c>
    </row>
    <row r="133" spans="3:22">
      <c r="C133" s="41">
        <v>123</v>
      </c>
      <c r="D133" s="1">
        <v>128</v>
      </c>
      <c r="E133" s="1">
        <v>800</v>
      </c>
      <c r="F133" s="22"/>
      <c r="G133" s="22"/>
      <c r="H133" s="22"/>
      <c r="I133" s="22"/>
      <c r="J133" s="22"/>
      <c r="K133" s="22"/>
      <c r="O133" s="45">
        <v>138</v>
      </c>
      <c r="P133" s="61"/>
      <c r="Q133" s="61">
        <v>1</v>
      </c>
      <c r="R133" s="61"/>
      <c r="S133" s="61"/>
      <c r="T133" s="61"/>
      <c r="U133" s="61">
        <v>1</v>
      </c>
      <c r="V133">
        <f t="shared" si="2"/>
        <v>2</v>
      </c>
    </row>
    <row r="134" spans="3:22">
      <c r="C134" s="41">
        <v>163</v>
      </c>
      <c r="D134" s="1">
        <v>171</v>
      </c>
      <c r="E134" s="1">
        <v>800</v>
      </c>
      <c r="F134" s="22"/>
      <c r="G134" s="22"/>
      <c r="H134" s="22"/>
      <c r="I134" s="22"/>
      <c r="J134" s="22"/>
      <c r="K134" s="22"/>
      <c r="O134" s="45">
        <v>139</v>
      </c>
      <c r="P134" s="61"/>
      <c r="Q134" s="61"/>
      <c r="R134" s="61"/>
      <c r="S134" s="61"/>
      <c r="T134" s="61">
        <v>1</v>
      </c>
      <c r="U134" s="61"/>
      <c r="V134">
        <f t="shared" si="2"/>
        <v>1</v>
      </c>
    </row>
    <row r="135" spans="3:22">
      <c r="C135" s="41">
        <v>110</v>
      </c>
      <c r="D135" s="1">
        <v>115</v>
      </c>
      <c r="E135" s="1">
        <v>800</v>
      </c>
      <c r="F135" s="22"/>
      <c r="G135" s="22"/>
      <c r="H135" s="22"/>
      <c r="I135" s="22"/>
      <c r="J135" s="22"/>
      <c r="K135" s="22"/>
      <c r="O135" s="45">
        <v>142</v>
      </c>
      <c r="P135" s="61"/>
      <c r="Q135" s="61"/>
      <c r="R135" s="61"/>
      <c r="S135" s="61"/>
      <c r="T135" s="61"/>
      <c r="U135" s="61"/>
      <c r="V135">
        <f t="shared" si="2"/>
        <v>0</v>
      </c>
    </row>
    <row r="136" spans="3:22">
      <c r="C136" s="41">
        <v>112</v>
      </c>
      <c r="D136" s="1">
        <v>117</v>
      </c>
      <c r="E136" s="1">
        <v>800</v>
      </c>
      <c r="F136" s="22"/>
      <c r="G136" s="22">
        <v>4800</v>
      </c>
      <c r="H136" s="22"/>
      <c r="I136" s="22"/>
      <c r="J136" s="22"/>
      <c r="K136" s="22">
        <v>4800</v>
      </c>
      <c r="O136" s="45">
        <v>143</v>
      </c>
      <c r="P136" s="61"/>
      <c r="Q136" s="61"/>
      <c r="R136" s="61"/>
      <c r="S136" s="61"/>
      <c r="T136" s="61"/>
      <c r="U136" s="61">
        <v>1</v>
      </c>
      <c r="V136">
        <f t="shared" si="2"/>
        <v>1</v>
      </c>
    </row>
    <row r="137" spans="3:22">
      <c r="C137" s="41">
        <v>190</v>
      </c>
      <c r="D137" s="1">
        <v>198</v>
      </c>
      <c r="E137" s="1">
        <v>800</v>
      </c>
      <c r="F137" s="22"/>
      <c r="G137" s="22"/>
      <c r="H137" s="22"/>
      <c r="I137" s="22"/>
      <c r="J137" s="22"/>
      <c r="K137" s="22">
        <v>800</v>
      </c>
      <c r="O137" s="45">
        <v>144</v>
      </c>
      <c r="P137" s="61"/>
      <c r="Q137" s="61"/>
      <c r="R137" s="61"/>
      <c r="S137" s="61"/>
      <c r="T137" s="61"/>
      <c r="U137" s="61"/>
      <c r="V137">
        <f t="shared" si="2"/>
        <v>0</v>
      </c>
    </row>
    <row r="138" spans="3:22">
      <c r="C138" s="41">
        <v>83</v>
      </c>
      <c r="D138" s="1">
        <v>88</v>
      </c>
      <c r="E138" s="1">
        <v>800</v>
      </c>
      <c r="F138" s="22">
        <v>2800</v>
      </c>
      <c r="G138" s="22">
        <v>800</v>
      </c>
      <c r="H138" s="22">
        <v>800</v>
      </c>
      <c r="I138" s="22">
        <v>800</v>
      </c>
      <c r="J138" s="22">
        <v>800</v>
      </c>
      <c r="K138" s="22">
        <v>800</v>
      </c>
      <c r="O138" s="45">
        <v>146</v>
      </c>
      <c r="P138" s="61"/>
      <c r="Q138" s="61"/>
      <c r="R138" s="61"/>
      <c r="S138" s="61"/>
      <c r="T138" s="61"/>
      <c r="U138" s="61">
        <v>1</v>
      </c>
      <c r="V138">
        <f t="shared" si="2"/>
        <v>1</v>
      </c>
    </row>
    <row r="139" spans="3:22">
      <c r="C139" s="41">
        <v>133</v>
      </c>
      <c r="D139" s="1">
        <v>140</v>
      </c>
      <c r="E139" s="1">
        <v>800</v>
      </c>
      <c r="F139" s="22"/>
      <c r="G139" s="22">
        <v>1000</v>
      </c>
      <c r="H139" s="22">
        <v>1000</v>
      </c>
      <c r="I139" s="22">
        <v>1000</v>
      </c>
      <c r="J139" s="22">
        <v>1000</v>
      </c>
      <c r="K139" s="22">
        <v>1000</v>
      </c>
      <c r="O139" s="45">
        <v>147</v>
      </c>
      <c r="P139" s="61"/>
      <c r="Q139" s="61"/>
      <c r="R139" s="61"/>
      <c r="S139" s="61"/>
      <c r="T139" s="61"/>
      <c r="U139" s="61"/>
      <c r="V139">
        <f t="shared" si="2"/>
        <v>0</v>
      </c>
    </row>
    <row r="140" spans="3:22">
      <c r="C140" s="41">
        <v>202</v>
      </c>
      <c r="D140" s="1">
        <v>212</v>
      </c>
      <c r="E140" s="1">
        <v>800</v>
      </c>
      <c r="F140" s="22"/>
      <c r="G140" s="22"/>
      <c r="H140" s="22"/>
      <c r="I140" s="22"/>
      <c r="J140" s="22"/>
      <c r="K140" s="22"/>
      <c r="O140" s="45">
        <v>148</v>
      </c>
      <c r="P140" s="61"/>
      <c r="Q140" s="61">
        <v>1</v>
      </c>
      <c r="R140" s="61">
        <v>1</v>
      </c>
      <c r="S140" s="61">
        <v>1</v>
      </c>
      <c r="T140" s="61"/>
      <c r="U140" s="61"/>
      <c r="V140">
        <f t="shared" si="2"/>
        <v>3</v>
      </c>
    </row>
    <row r="141" spans="3:22">
      <c r="C141" s="41">
        <v>192</v>
      </c>
      <c r="D141" s="1">
        <v>200</v>
      </c>
      <c r="E141" s="1">
        <v>800</v>
      </c>
      <c r="F141" s="22"/>
      <c r="G141" s="22"/>
      <c r="H141" s="22"/>
      <c r="I141" s="22"/>
      <c r="J141" s="22"/>
      <c r="K141" s="22"/>
      <c r="O141" s="45">
        <v>149</v>
      </c>
      <c r="P141" s="61"/>
      <c r="Q141" s="61"/>
      <c r="R141" s="61">
        <v>1</v>
      </c>
      <c r="S141" s="61"/>
      <c r="T141" s="61">
        <v>1</v>
      </c>
      <c r="U141" s="61"/>
      <c r="V141">
        <f t="shared" si="2"/>
        <v>2</v>
      </c>
    </row>
    <row r="142" spans="3:22">
      <c r="C142" s="41">
        <v>289</v>
      </c>
      <c r="D142" s="1">
        <v>301</v>
      </c>
      <c r="E142" s="1">
        <v>800</v>
      </c>
      <c r="F142" s="22"/>
      <c r="G142" s="22"/>
      <c r="H142" s="22"/>
      <c r="I142" s="22"/>
      <c r="J142" s="22"/>
      <c r="K142" s="22"/>
      <c r="O142" s="45">
        <v>150</v>
      </c>
      <c r="P142" s="61"/>
      <c r="Q142" s="61"/>
      <c r="R142" s="61"/>
      <c r="S142" s="61"/>
      <c r="T142" s="61"/>
      <c r="U142" s="61"/>
      <c r="V142">
        <f t="shared" si="2"/>
        <v>0</v>
      </c>
    </row>
    <row r="143" spans="3:22">
      <c r="C143" s="41">
        <v>143</v>
      </c>
      <c r="D143" s="1">
        <v>151</v>
      </c>
      <c r="E143" s="1">
        <v>800</v>
      </c>
      <c r="F143" s="22"/>
      <c r="G143" s="22"/>
      <c r="H143" s="22"/>
      <c r="I143" s="22"/>
      <c r="J143" s="22"/>
      <c r="K143" s="22">
        <v>4800</v>
      </c>
      <c r="O143" s="45">
        <v>151</v>
      </c>
      <c r="P143" s="61"/>
      <c r="Q143" s="61"/>
      <c r="R143" s="61"/>
      <c r="S143" s="61"/>
      <c r="T143" s="61"/>
      <c r="U143" s="61"/>
      <c r="V143">
        <f t="shared" si="2"/>
        <v>0</v>
      </c>
    </row>
    <row r="144" spans="3:22">
      <c r="C144" s="41">
        <v>62</v>
      </c>
      <c r="D144" s="1">
        <v>64</v>
      </c>
      <c r="E144" s="1">
        <v>800</v>
      </c>
      <c r="F144" s="29"/>
      <c r="G144" s="29"/>
      <c r="H144" s="29">
        <v>3200</v>
      </c>
      <c r="I144" s="29"/>
      <c r="J144" s="29"/>
      <c r="K144" s="29"/>
      <c r="O144" s="45">
        <v>152</v>
      </c>
      <c r="P144" s="61"/>
      <c r="Q144" s="61"/>
      <c r="R144" s="61"/>
      <c r="S144" s="61"/>
      <c r="T144" s="61"/>
      <c r="U144" s="61"/>
      <c r="V144">
        <f t="shared" si="2"/>
        <v>0</v>
      </c>
    </row>
    <row r="145" spans="3:22">
      <c r="C145" s="41">
        <v>225</v>
      </c>
      <c r="D145" s="1">
        <v>234</v>
      </c>
      <c r="E145" s="1">
        <v>800</v>
      </c>
      <c r="F145" s="29"/>
      <c r="G145" s="29"/>
      <c r="H145" s="29"/>
      <c r="I145" s="29"/>
      <c r="J145" s="29"/>
      <c r="K145" s="29"/>
      <c r="O145" s="45">
        <v>153</v>
      </c>
      <c r="P145" s="61"/>
      <c r="Q145" s="61"/>
      <c r="R145" s="61"/>
      <c r="S145" s="61">
        <v>1</v>
      </c>
      <c r="T145" s="61"/>
      <c r="U145" s="61"/>
      <c r="V145">
        <f t="shared" si="2"/>
        <v>1</v>
      </c>
    </row>
    <row r="146" spans="3:22">
      <c r="C146" s="41">
        <v>266</v>
      </c>
      <c r="D146" s="1">
        <v>279</v>
      </c>
      <c r="E146" s="1">
        <v>800</v>
      </c>
      <c r="F146" s="29"/>
      <c r="G146" s="29"/>
      <c r="H146" s="29"/>
      <c r="I146" s="29"/>
      <c r="J146" s="29"/>
      <c r="K146" s="29"/>
      <c r="O146" s="45">
        <v>154</v>
      </c>
      <c r="P146" s="61"/>
      <c r="Q146" s="61"/>
      <c r="R146" s="61"/>
      <c r="S146" s="61">
        <v>1</v>
      </c>
      <c r="T146" s="61">
        <v>1</v>
      </c>
      <c r="U146" s="61">
        <v>1</v>
      </c>
      <c r="V146">
        <f t="shared" si="2"/>
        <v>3</v>
      </c>
    </row>
    <row r="147" spans="3:22">
      <c r="C147" s="41">
        <v>157</v>
      </c>
      <c r="D147" s="1">
        <v>165</v>
      </c>
      <c r="E147" s="1">
        <v>800</v>
      </c>
      <c r="F147" s="29">
        <v>1000</v>
      </c>
      <c r="G147" s="29"/>
      <c r="H147" s="29"/>
      <c r="I147" s="29"/>
      <c r="J147" s="29"/>
      <c r="K147" s="29"/>
      <c r="O147" s="45">
        <v>155</v>
      </c>
      <c r="P147" s="61"/>
      <c r="Q147" s="61">
        <v>1</v>
      </c>
      <c r="R147" s="61">
        <v>1</v>
      </c>
      <c r="S147" s="61"/>
      <c r="T147" s="61">
        <v>1</v>
      </c>
      <c r="U147" s="61"/>
      <c r="V147">
        <f t="shared" si="2"/>
        <v>3</v>
      </c>
    </row>
    <row r="148" spans="3:22">
      <c r="C148" s="41">
        <v>194</v>
      </c>
      <c r="D148" s="1">
        <v>202</v>
      </c>
      <c r="E148" s="1">
        <v>800</v>
      </c>
      <c r="F148" s="29"/>
      <c r="G148" s="29">
        <v>5000</v>
      </c>
      <c r="H148" s="29"/>
      <c r="I148" s="29"/>
      <c r="J148" s="29"/>
      <c r="K148" s="29"/>
      <c r="O148" s="45">
        <v>156</v>
      </c>
      <c r="P148" s="61"/>
      <c r="Q148" s="61">
        <v>1</v>
      </c>
      <c r="R148" s="61">
        <v>1</v>
      </c>
      <c r="S148" s="61">
        <v>1</v>
      </c>
      <c r="T148" s="61">
        <v>1</v>
      </c>
      <c r="U148" s="61">
        <v>1</v>
      </c>
      <c r="V148">
        <f t="shared" si="2"/>
        <v>5</v>
      </c>
    </row>
    <row r="149" spans="3:22">
      <c r="C149" s="41">
        <v>65</v>
      </c>
      <c r="D149" s="1">
        <v>67</v>
      </c>
      <c r="E149" s="1">
        <v>800</v>
      </c>
      <c r="F149" s="29"/>
      <c r="G149" s="29"/>
      <c r="H149" s="29"/>
      <c r="I149" s="29"/>
      <c r="J149" s="29"/>
      <c r="K149" s="29"/>
      <c r="O149" s="45">
        <v>157</v>
      </c>
      <c r="P149" s="61">
        <v>1</v>
      </c>
      <c r="Q149" s="61"/>
      <c r="R149" s="61"/>
      <c r="S149" s="61"/>
      <c r="T149" s="61"/>
      <c r="U149" s="61"/>
      <c r="V149">
        <f t="shared" si="2"/>
        <v>1</v>
      </c>
    </row>
    <row r="150" spans="3:22">
      <c r="C150" s="41">
        <v>216</v>
      </c>
      <c r="D150" s="1">
        <v>225</v>
      </c>
      <c r="E150" s="1">
        <v>800</v>
      </c>
      <c r="F150" s="29"/>
      <c r="G150" s="29">
        <v>5200</v>
      </c>
      <c r="H150" s="29"/>
      <c r="I150" s="29"/>
      <c r="J150" s="29"/>
      <c r="K150" s="29"/>
      <c r="O150" s="45">
        <v>158</v>
      </c>
      <c r="P150" s="61"/>
      <c r="Q150" s="61"/>
      <c r="R150" s="61"/>
      <c r="S150" s="61"/>
      <c r="T150" s="61"/>
      <c r="U150" s="61"/>
      <c r="V150">
        <f t="shared" si="2"/>
        <v>0</v>
      </c>
    </row>
    <row r="151" spans="3:22">
      <c r="C151" s="41">
        <v>216</v>
      </c>
      <c r="D151" s="1">
        <v>226</v>
      </c>
      <c r="E151" s="1"/>
      <c r="F151" s="29"/>
      <c r="G151" s="29"/>
      <c r="H151" s="29"/>
      <c r="I151" s="29"/>
      <c r="J151" s="29"/>
      <c r="K151" s="29"/>
      <c r="O151" s="45">
        <v>159</v>
      </c>
      <c r="P151" s="61"/>
      <c r="Q151" s="61">
        <v>1</v>
      </c>
      <c r="R151" s="61"/>
      <c r="S151" s="61"/>
      <c r="T151" s="61"/>
      <c r="U151" s="61"/>
      <c r="V151">
        <f t="shared" si="2"/>
        <v>1</v>
      </c>
    </row>
    <row r="152" spans="3:22">
      <c r="C152" s="41">
        <v>56</v>
      </c>
      <c r="D152" s="1">
        <v>58</v>
      </c>
      <c r="E152" s="1">
        <v>800</v>
      </c>
      <c r="F152" s="29"/>
      <c r="G152" s="29"/>
      <c r="H152" s="29"/>
      <c r="I152" s="29"/>
      <c r="J152" s="29"/>
      <c r="K152" s="29"/>
      <c r="O152" s="45">
        <v>160</v>
      </c>
      <c r="P152" s="61"/>
      <c r="Q152" s="61"/>
      <c r="R152" s="61"/>
      <c r="S152" s="61"/>
      <c r="T152" s="61"/>
      <c r="U152" s="61"/>
      <c r="V152">
        <f t="shared" si="2"/>
        <v>0</v>
      </c>
    </row>
    <row r="153" spans="3:22">
      <c r="C153" s="41">
        <v>150</v>
      </c>
      <c r="D153" s="1">
        <v>158</v>
      </c>
      <c r="E153" s="1">
        <v>800</v>
      </c>
      <c r="F153" s="29"/>
      <c r="G153" s="29"/>
      <c r="H153" s="29"/>
      <c r="I153" s="29"/>
      <c r="J153" s="29"/>
      <c r="K153" s="29"/>
      <c r="O153" s="45">
        <v>161</v>
      </c>
      <c r="P153" s="61"/>
      <c r="Q153" s="61"/>
      <c r="R153" s="61"/>
      <c r="S153" s="61"/>
      <c r="T153" s="61"/>
      <c r="U153" s="61"/>
      <c r="V153">
        <f t="shared" si="2"/>
        <v>0</v>
      </c>
    </row>
    <row r="154" spans="3:22">
      <c r="C154" s="41">
        <v>243</v>
      </c>
      <c r="D154" s="1">
        <v>254</v>
      </c>
      <c r="E154" s="1">
        <v>800</v>
      </c>
      <c r="F154" s="29">
        <v>5000</v>
      </c>
      <c r="G154" s="29">
        <v>4800</v>
      </c>
      <c r="H154" s="29"/>
      <c r="I154" s="29"/>
      <c r="J154" s="29"/>
      <c r="K154" s="29">
        <v>4800</v>
      </c>
      <c r="O154" s="45">
        <v>162</v>
      </c>
      <c r="P154" s="61"/>
      <c r="Q154" s="61"/>
      <c r="R154" s="61"/>
      <c r="S154" s="61"/>
      <c r="T154" s="61">
        <v>1</v>
      </c>
      <c r="U154" s="61"/>
      <c r="V154">
        <f t="shared" si="2"/>
        <v>1</v>
      </c>
    </row>
    <row r="155" spans="3:22">
      <c r="C155" s="41">
        <v>220</v>
      </c>
      <c r="D155" s="1">
        <v>229</v>
      </c>
      <c r="E155" s="1">
        <v>800</v>
      </c>
      <c r="F155" s="29"/>
      <c r="G155" s="29"/>
      <c r="H155" s="29"/>
      <c r="I155" s="29"/>
      <c r="J155" s="29"/>
      <c r="K155" s="29"/>
      <c r="O155" s="45">
        <v>163</v>
      </c>
      <c r="P155" s="61"/>
      <c r="Q155" s="61"/>
      <c r="R155" s="61"/>
      <c r="S155" s="61"/>
      <c r="T155" s="61"/>
      <c r="U155" s="61"/>
      <c r="V155">
        <f t="shared" si="2"/>
        <v>0</v>
      </c>
    </row>
    <row r="156" spans="3:22">
      <c r="C156" s="41">
        <v>3</v>
      </c>
      <c r="D156" s="1">
        <v>3</v>
      </c>
      <c r="E156" s="1">
        <v>800</v>
      </c>
      <c r="F156" s="29"/>
      <c r="G156" s="29"/>
      <c r="H156" s="29"/>
      <c r="I156" s="29"/>
      <c r="J156" s="29"/>
      <c r="K156" s="29"/>
      <c r="O156" s="45">
        <v>164</v>
      </c>
      <c r="P156" s="61"/>
      <c r="Q156" s="61"/>
      <c r="R156" s="61"/>
      <c r="S156" s="61"/>
      <c r="T156" s="61"/>
      <c r="U156" s="61"/>
      <c r="V156">
        <f t="shared" si="2"/>
        <v>0</v>
      </c>
    </row>
    <row r="157" spans="3:22">
      <c r="C157" s="41">
        <v>158</v>
      </c>
      <c r="D157" s="1">
        <v>166</v>
      </c>
      <c r="E157" s="1">
        <v>800</v>
      </c>
      <c r="F157" s="29"/>
      <c r="G157" s="29"/>
      <c r="H157" s="29"/>
      <c r="I157" s="29"/>
      <c r="J157" s="29"/>
      <c r="K157" s="29"/>
      <c r="O157" s="45">
        <v>165</v>
      </c>
      <c r="P157" s="61"/>
      <c r="Q157" s="61"/>
      <c r="R157" s="61"/>
      <c r="S157" s="61"/>
      <c r="T157" s="61"/>
      <c r="U157" s="61"/>
      <c r="V157">
        <f t="shared" si="2"/>
        <v>0</v>
      </c>
    </row>
    <row r="158" spans="3:22">
      <c r="C158" s="41">
        <v>139</v>
      </c>
      <c r="D158" s="1">
        <v>149</v>
      </c>
      <c r="E158" s="1"/>
      <c r="F158" s="29"/>
      <c r="G158" s="29"/>
      <c r="H158" s="29"/>
      <c r="I158" s="29"/>
      <c r="J158" s="29">
        <v>4800</v>
      </c>
      <c r="K158" s="29"/>
      <c r="O158" s="45">
        <v>166</v>
      </c>
      <c r="P158" s="61"/>
      <c r="Q158" s="61"/>
      <c r="R158" s="61"/>
      <c r="S158" s="61"/>
      <c r="T158" s="61"/>
      <c r="U158" s="61"/>
      <c r="V158">
        <f t="shared" si="2"/>
        <v>0</v>
      </c>
    </row>
    <row r="159" spans="3:22">
      <c r="C159" s="41">
        <v>139</v>
      </c>
      <c r="D159" s="1">
        <v>147</v>
      </c>
      <c r="E159" s="1"/>
      <c r="F159" s="29"/>
      <c r="G159" s="29"/>
      <c r="H159" s="29"/>
      <c r="I159" s="29"/>
      <c r="J159" s="29"/>
      <c r="K159" s="29"/>
      <c r="O159" s="45">
        <v>167</v>
      </c>
      <c r="P159" s="61"/>
      <c r="Q159" s="61"/>
      <c r="R159" s="61"/>
      <c r="S159" s="61"/>
      <c r="T159" s="61"/>
      <c r="U159" s="61"/>
      <c r="V159">
        <f t="shared" si="2"/>
        <v>0</v>
      </c>
    </row>
    <row r="160" spans="3:22">
      <c r="C160" s="41">
        <v>139</v>
      </c>
      <c r="D160" s="1">
        <v>148</v>
      </c>
      <c r="E160" s="1">
        <v>800</v>
      </c>
      <c r="F160" s="29"/>
      <c r="G160" s="29"/>
      <c r="H160" s="29"/>
      <c r="I160" s="29"/>
      <c r="J160" s="29"/>
      <c r="K160" s="29"/>
      <c r="O160" s="45">
        <v>168</v>
      </c>
      <c r="P160" s="61"/>
      <c r="Q160" s="61">
        <v>1</v>
      </c>
      <c r="R160" s="61"/>
      <c r="S160" s="61">
        <v>1</v>
      </c>
      <c r="T160" s="61">
        <v>1</v>
      </c>
      <c r="U160" s="61"/>
      <c r="V160">
        <f t="shared" si="2"/>
        <v>3</v>
      </c>
    </row>
    <row r="161" spans="3:22">
      <c r="C161" s="41">
        <v>261</v>
      </c>
      <c r="D161" s="1">
        <v>274</v>
      </c>
      <c r="E161" s="1"/>
      <c r="F161" s="29">
        <v>2400</v>
      </c>
      <c r="G161" s="29"/>
      <c r="H161" s="29"/>
      <c r="I161" s="29">
        <v>2400</v>
      </c>
      <c r="J161" s="29"/>
      <c r="K161" s="29"/>
      <c r="O161" s="45">
        <v>169</v>
      </c>
      <c r="P161" s="61"/>
      <c r="Q161" s="61"/>
      <c r="R161" s="61">
        <v>1</v>
      </c>
      <c r="S161" s="61"/>
      <c r="T161" s="61">
        <v>1</v>
      </c>
      <c r="U161" s="61"/>
      <c r="V161">
        <f t="shared" si="2"/>
        <v>2</v>
      </c>
    </row>
    <row r="162" spans="3:22">
      <c r="C162" s="41">
        <v>261</v>
      </c>
      <c r="D162" s="1">
        <v>275</v>
      </c>
      <c r="E162" s="1">
        <v>800</v>
      </c>
      <c r="F162" s="29"/>
      <c r="G162" s="29"/>
      <c r="H162" s="29"/>
      <c r="I162" s="29"/>
      <c r="J162" s="29"/>
      <c r="K162" s="29"/>
      <c r="O162" s="45">
        <v>170</v>
      </c>
      <c r="P162" s="61">
        <v>1</v>
      </c>
      <c r="Q162" s="61"/>
      <c r="R162" s="61">
        <v>1</v>
      </c>
      <c r="S162" s="61"/>
      <c r="T162" s="61"/>
      <c r="U162" s="61">
        <v>1</v>
      </c>
      <c r="V162">
        <f t="shared" si="2"/>
        <v>3</v>
      </c>
    </row>
    <row r="163" spans="3:22">
      <c r="C163" s="41">
        <v>288</v>
      </c>
      <c r="D163" s="1">
        <v>300</v>
      </c>
      <c r="E163" s="1">
        <v>800</v>
      </c>
      <c r="F163" s="29"/>
      <c r="G163" s="29"/>
      <c r="H163" s="29"/>
      <c r="I163" s="29"/>
      <c r="J163" s="29"/>
      <c r="K163" s="29"/>
      <c r="O163" s="45">
        <v>172</v>
      </c>
      <c r="P163" s="61"/>
      <c r="Q163" s="61"/>
      <c r="R163" s="61"/>
      <c r="S163" s="61"/>
      <c r="T163" s="61"/>
      <c r="U163" s="61"/>
      <c r="V163">
        <f t="shared" si="2"/>
        <v>0</v>
      </c>
    </row>
    <row r="164" spans="3:22">
      <c r="C164" s="41">
        <v>166</v>
      </c>
      <c r="D164" s="1">
        <v>174</v>
      </c>
      <c r="E164" s="1">
        <v>800</v>
      </c>
      <c r="F164" s="29"/>
      <c r="G164" s="29"/>
      <c r="H164" s="29"/>
      <c r="I164" s="29"/>
      <c r="J164" s="29"/>
      <c r="K164" s="29"/>
      <c r="O164" s="45">
        <v>173</v>
      </c>
      <c r="P164" s="61"/>
      <c r="Q164" s="61"/>
      <c r="R164" s="61"/>
      <c r="S164" s="61"/>
      <c r="T164" s="61"/>
      <c r="U164" s="61"/>
      <c r="V164">
        <f t="shared" si="2"/>
        <v>0</v>
      </c>
    </row>
    <row r="165" spans="3:22">
      <c r="C165" s="41">
        <v>118</v>
      </c>
      <c r="D165" s="1">
        <v>123</v>
      </c>
      <c r="E165" s="1">
        <v>800</v>
      </c>
      <c r="F165" s="29"/>
      <c r="G165" s="29"/>
      <c r="H165" s="29"/>
      <c r="I165" s="29"/>
      <c r="J165" s="29"/>
      <c r="K165" s="29"/>
      <c r="O165" s="45">
        <v>174</v>
      </c>
      <c r="P165" s="61">
        <v>1</v>
      </c>
      <c r="Q165" s="61"/>
      <c r="R165" s="61"/>
      <c r="S165" s="61"/>
      <c r="T165" s="61">
        <v>1</v>
      </c>
      <c r="U165" s="61"/>
      <c r="V165">
        <f t="shared" si="2"/>
        <v>2</v>
      </c>
    </row>
    <row r="166" spans="3:22">
      <c r="C166" s="41">
        <v>199</v>
      </c>
      <c r="D166" s="1">
        <v>207</v>
      </c>
      <c r="E166" s="1">
        <v>800</v>
      </c>
      <c r="F166" s="29"/>
      <c r="G166" s="29"/>
      <c r="H166" s="29"/>
      <c r="I166" s="29"/>
      <c r="J166" s="29"/>
      <c r="K166" s="29"/>
      <c r="O166" s="45">
        <v>175</v>
      </c>
      <c r="P166" s="61"/>
      <c r="Q166" s="61"/>
      <c r="R166" s="61"/>
      <c r="S166" s="61"/>
      <c r="T166" s="61">
        <v>1</v>
      </c>
      <c r="U166" s="61"/>
      <c r="V166">
        <f t="shared" si="2"/>
        <v>1</v>
      </c>
    </row>
    <row r="167" spans="3:22">
      <c r="C167" s="41">
        <v>199</v>
      </c>
      <c r="D167" s="1">
        <v>208</v>
      </c>
      <c r="E167" s="1"/>
      <c r="F167" s="29"/>
      <c r="G167" s="29"/>
      <c r="H167" s="29"/>
      <c r="I167" s="29"/>
      <c r="J167" s="29"/>
      <c r="K167" s="29"/>
      <c r="O167" s="45">
        <v>176</v>
      </c>
      <c r="P167" s="61">
        <v>1</v>
      </c>
      <c r="Q167" s="61">
        <v>1</v>
      </c>
      <c r="R167" s="61"/>
      <c r="S167" s="61"/>
      <c r="T167" s="61">
        <v>1</v>
      </c>
      <c r="U167" s="61">
        <v>1</v>
      </c>
      <c r="V167">
        <f t="shared" si="2"/>
        <v>4</v>
      </c>
    </row>
    <row r="168" spans="3:22">
      <c r="C168" s="41">
        <v>164</v>
      </c>
      <c r="D168" s="1">
        <v>172</v>
      </c>
      <c r="E168" s="1">
        <v>800</v>
      </c>
      <c r="F168" s="29"/>
      <c r="G168" s="29"/>
      <c r="H168" s="29"/>
      <c r="I168" s="29"/>
      <c r="J168" s="29"/>
      <c r="K168" s="29"/>
      <c r="O168" s="45">
        <v>177</v>
      </c>
      <c r="P168" s="61"/>
      <c r="Q168" s="61"/>
      <c r="R168" s="61"/>
      <c r="S168" s="61"/>
      <c r="T168" s="61"/>
      <c r="U168" s="61"/>
      <c r="V168">
        <f t="shared" si="2"/>
        <v>0</v>
      </c>
    </row>
    <row r="169" spans="3:22">
      <c r="C169" s="41">
        <v>34</v>
      </c>
      <c r="D169" s="1">
        <v>34</v>
      </c>
      <c r="E169" s="1">
        <v>800</v>
      </c>
      <c r="F169" s="29"/>
      <c r="G169" s="29"/>
      <c r="H169" s="29"/>
      <c r="I169" s="29"/>
      <c r="J169" s="29"/>
      <c r="K169" s="29"/>
      <c r="O169" s="45">
        <v>178</v>
      </c>
      <c r="P169" s="61"/>
      <c r="Q169" s="61"/>
      <c r="R169" s="61"/>
      <c r="S169" s="61"/>
      <c r="T169" s="61"/>
      <c r="U169" s="61"/>
      <c r="V169">
        <f t="shared" si="2"/>
        <v>0</v>
      </c>
    </row>
    <row r="170" spans="3:22">
      <c r="C170" s="41">
        <v>13</v>
      </c>
      <c r="D170" s="1">
        <v>13</v>
      </c>
      <c r="E170" s="1">
        <v>800</v>
      </c>
      <c r="F170" s="29"/>
      <c r="G170" s="29"/>
      <c r="H170" s="29"/>
      <c r="I170" s="29"/>
      <c r="J170" s="29"/>
      <c r="K170" s="29"/>
      <c r="O170" s="45">
        <v>180</v>
      </c>
      <c r="P170" s="61"/>
      <c r="Q170" s="61"/>
      <c r="R170" s="61"/>
      <c r="S170" s="61"/>
      <c r="T170" s="61">
        <v>1</v>
      </c>
      <c r="U170" s="61"/>
      <c r="V170">
        <f t="shared" si="2"/>
        <v>1</v>
      </c>
    </row>
    <row r="171" spans="3:22">
      <c r="C171" s="41">
        <v>273</v>
      </c>
      <c r="D171" s="1">
        <v>286</v>
      </c>
      <c r="E171" s="1">
        <v>800</v>
      </c>
      <c r="F171" s="29"/>
      <c r="G171" s="29"/>
      <c r="H171" s="29"/>
      <c r="I171" s="29"/>
      <c r="J171" s="29"/>
      <c r="K171" s="29">
        <v>8000</v>
      </c>
      <c r="O171" s="45">
        <v>181</v>
      </c>
      <c r="P171" s="61"/>
      <c r="Q171" s="61"/>
      <c r="R171" s="61"/>
      <c r="S171" s="61"/>
      <c r="T171" s="61">
        <v>1</v>
      </c>
      <c r="U171" s="61"/>
      <c r="V171">
        <f t="shared" si="2"/>
        <v>1</v>
      </c>
    </row>
    <row r="172" spans="3:22">
      <c r="C172" s="41">
        <v>87</v>
      </c>
      <c r="D172" s="1">
        <v>92</v>
      </c>
      <c r="E172" s="1">
        <v>800</v>
      </c>
      <c r="F172" s="29"/>
      <c r="G172" s="29"/>
      <c r="H172" s="29"/>
      <c r="I172" s="29"/>
      <c r="J172" s="29"/>
      <c r="K172" s="29"/>
      <c r="O172" s="45">
        <v>182</v>
      </c>
      <c r="P172" s="61"/>
      <c r="Q172" s="61"/>
      <c r="R172" s="61"/>
      <c r="S172" s="61"/>
      <c r="T172" s="61">
        <v>1</v>
      </c>
      <c r="U172" s="61"/>
      <c r="V172">
        <f t="shared" si="2"/>
        <v>1</v>
      </c>
    </row>
    <row r="173" spans="3:22">
      <c r="C173" s="41">
        <v>154</v>
      </c>
      <c r="D173" s="1">
        <v>162</v>
      </c>
      <c r="E173" s="1">
        <v>800</v>
      </c>
      <c r="F173" s="29"/>
      <c r="G173" s="29"/>
      <c r="H173" s="29"/>
      <c r="I173" s="29">
        <v>2400</v>
      </c>
      <c r="J173" s="29">
        <v>800</v>
      </c>
      <c r="K173" s="29">
        <v>1600</v>
      </c>
      <c r="O173" s="45">
        <v>183</v>
      </c>
      <c r="P173" s="61">
        <v>1</v>
      </c>
      <c r="Q173" s="61"/>
      <c r="R173" s="61"/>
      <c r="S173" s="61"/>
      <c r="T173" s="61"/>
      <c r="U173" s="61"/>
      <c r="V173">
        <f t="shared" si="2"/>
        <v>1</v>
      </c>
    </row>
    <row r="174" spans="3:22">
      <c r="C174" s="41">
        <v>270</v>
      </c>
      <c r="D174" s="1">
        <v>283</v>
      </c>
      <c r="E174" s="1">
        <v>800</v>
      </c>
      <c r="F174" s="29"/>
      <c r="G174" s="29"/>
      <c r="H174" s="29"/>
      <c r="I174" s="29"/>
      <c r="J174" s="29"/>
      <c r="K174" s="29"/>
      <c r="O174" s="45">
        <v>185</v>
      </c>
      <c r="P174" s="61"/>
      <c r="Q174" s="61"/>
      <c r="R174" s="61"/>
      <c r="S174" s="61"/>
      <c r="T174" s="61"/>
      <c r="U174" s="61"/>
      <c r="V174">
        <f t="shared" si="2"/>
        <v>0</v>
      </c>
    </row>
    <row r="175" spans="3:22">
      <c r="C175" s="41">
        <v>9</v>
      </c>
      <c r="D175" s="1">
        <v>9</v>
      </c>
      <c r="E175" s="1">
        <v>800</v>
      </c>
      <c r="F175" s="29"/>
      <c r="G175" s="29"/>
      <c r="H175" s="29"/>
      <c r="I175" s="29"/>
      <c r="J175" s="29">
        <v>9000</v>
      </c>
      <c r="K175" s="29">
        <v>1600</v>
      </c>
      <c r="O175" s="45">
        <v>186</v>
      </c>
      <c r="P175" s="61"/>
      <c r="Q175" s="61"/>
      <c r="R175" s="61"/>
      <c r="S175" s="61">
        <v>1</v>
      </c>
      <c r="T175" s="61"/>
      <c r="U175" s="61"/>
      <c r="V175">
        <f t="shared" si="2"/>
        <v>1</v>
      </c>
    </row>
    <row r="176" spans="3:22">
      <c r="C176" s="41">
        <v>129</v>
      </c>
      <c r="D176" s="1">
        <v>136</v>
      </c>
      <c r="E176" s="1">
        <v>800</v>
      </c>
      <c r="F176" s="29"/>
      <c r="G176" s="29">
        <v>3000</v>
      </c>
      <c r="H176" s="29"/>
      <c r="I176" s="29">
        <v>3000</v>
      </c>
      <c r="J176" s="29"/>
      <c r="K176" s="29"/>
      <c r="O176" s="45">
        <v>187</v>
      </c>
      <c r="P176" s="61"/>
      <c r="Q176" s="61"/>
      <c r="R176" s="61"/>
      <c r="S176" s="61">
        <v>1</v>
      </c>
      <c r="T176" s="61"/>
      <c r="U176" s="61"/>
      <c r="V176">
        <f t="shared" si="2"/>
        <v>1</v>
      </c>
    </row>
    <row r="177" spans="3:22">
      <c r="C177" s="41">
        <v>42</v>
      </c>
      <c r="D177" s="1">
        <v>42</v>
      </c>
      <c r="E177" s="1">
        <v>800</v>
      </c>
      <c r="F177" s="29">
        <v>5000</v>
      </c>
      <c r="G177" s="29">
        <v>1400</v>
      </c>
      <c r="H177" s="29"/>
      <c r="I177" s="29">
        <v>1600</v>
      </c>
      <c r="J177" s="29"/>
      <c r="K177" s="29">
        <v>1600</v>
      </c>
      <c r="O177" s="45">
        <v>188</v>
      </c>
      <c r="P177" s="61"/>
      <c r="Q177" s="61"/>
      <c r="R177" s="61"/>
      <c r="S177" s="61"/>
      <c r="T177" s="61"/>
      <c r="U177" s="61"/>
      <c r="V177">
        <f t="shared" si="2"/>
        <v>0</v>
      </c>
    </row>
    <row r="178" spans="3:22">
      <c r="C178" s="41">
        <v>96</v>
      </c>
      <c r="D178" s="1">
        <v>101</v>
      </c>
      <c r="E178" s="1"/>
      <c r="F178" s="29">
        <v>9000</v>
      </c>
      <c r="G178" s="29"/>
      <c r="H178" s="29"/>
      <c r="I178" s="29">
        <v>2000</v>
      </c>
      <c r="J178" s="29"/>
      <c r="K178" s="29">
        <v>2000</v>
      </c>
      <c r="O178" s="45">
        <v>190</v>
      </c>
      <c r="P178" s="61"/>
      <c r="Q178" s="61"/>
      <c r="R178" s="61"/>
      <c r="S178" s="61"/>
      <c r="T178" s="61"/>
      <c r="U178" s="61">
        <v>1</v>
      </c>
      <c r="V178">
        <f t="shared" si="2"/>
        <v>1</v>
      </c>
    </row>
    <row r="179" spans="3:22">
      <c r="C179" s="41">
        <v>96</v>
      </c>
      <c r="D179" s="1">
        <v>102</v>
      </c>
      <c r="E179" s="1">
        <v>800</v>
      </c>
      <c r="F179" s="29"/>
      <c r="G179" s="29"/>
      <c r="H179" s="29"/>
      <c r="I179" s="29"/>
      <c r="J179" s="29"/>
      <c r="K179" s="29"/>
      <c r="O179" s="45">
        <v>191</v>
      </c>
      <c r="P179" s="61"/>
      <c r="Q179" s="61"/>
      <c r="R179" s="61"/>
      <c r="S179" s="61"/>
      <c r="T179" s="61"/>
      <c r="U179" s="61"/>
      <c r="V179">
        <f t="shared" si="2"/>
        <v>0</v>
      </c>
    </row>
    <row r="180" spans="3:22">
      <c r="C180" s="41">
        <v>292</v>
      </c>
      <c r="D180" s="1">
        <v>305</v>
      </c>
      <c r="E180" s="1">
        <v>800</v>
      </c>
      <c r="F180" s="29"/>
      <c r="G180" s="29"/>
      <c r="H180" s="29"/>
      <c r="I180" s="29"/>
      <c r="J180" s="29"/>
      <c r="K180" s="29"/>
      <c r="O180" s="45">
        <v>192</v>
      </c>
      <c r="P180" s="61"/>
      <c r="Q180" s="61"/>
      <c r="R180" s="61"/>
      <c r="S180" s="61"/>
      <c r="T180" s="61"/>
      <c r="U180" s="61"/>
      <c r="V180">
        <f t="shared" si="2"/>
        <v>0</v>
      </c>
    </row>
    <row r="181" spans="3:22">
      <c r="C181" s="41">
        <v>209</v>
      </c>
      <c r="D181" s="1">
        <v>219</v>
      </c>
      <c r="E181" s="1">
        <v>800</v>
      </c>
      <c r="F181" s="29"/>
      <c r="G181" s="29"/>
      <c r="H181" s="29"/>
      <c r="I181" s="29"/>
      <c r="J181" s="29">
        <v>2000</v>
      </c>
      <c r="K181" s="29">
        <v>3000</v>
      </c>
      <c r="O181" s="45">
        <v>193</v>
      </c>
      <c r="P181" s="61"/>
      <c r="Q181" s="61"/>
      <c r="R181" s="61"/>
      <c r="S181" s="61"/>
      <c r="T181" s="61"/>
      <c r="U181" s="61"/>
      <c r="V181">
        <f t="shared" si="2"/>
        <v>0</v>
      </c>
    </row>
    <row r="182" spans="3:22">
      <c r="C182" s="41">
        <v>257</v>
      </c>
      <c r="D182" s="1">
        <v>270</v>
      </c>
      <c r="E182" s="1">
        <v>800</v>
      </c>
      <c r="F182" s="29"/>
      <c r="G182" s="29"/>
      <c r="H182" s="29"/>
      <c r="I182" s="29"/>
      <c r="J182" s="29"/>
      <c r="K182" s="29"/>
      <c r="O182" s="45">
        <v>194</v>
      </c>
      <c r="P182" s="61"/>
      <c r="Q182" s="61">
        <v>1</v>
      </c>
      <c r="R182" s="61"/>
      <c r="S182" s="61"/>
      <c r="T182" s="61"/>
      <c r="U182" s="61"/>
      <c r="V182">
        <f t="shared" si="2"/>
        <v>1</v>
      </c>
    </row>
    <row r="183" spans="3:22">
      <c r="C183" s="41">
        <v>212</v>
      </c>
      <c r="D183" s="1">
        <v>221</v>
      </c>
      <c r="E183" s="1">
        <v>800</v>
      </c>
      <c r="F183" s="29">
        <v>600</v>
      </c>
      <c r="G183" s="29"/>
      <c r="H183" s="29">
        <v>1600</v>
      </c>
      <c r="I183" s="29">
        <v>800</v>
      </c>
      <c r="J183" s="29"/>
      <c r="K183" s="29"/>
      <c r="O183" s="45">
        <v>196</v>
      </c>
      <c r="P183" s="61"/>
      <c r="Q183" s="61"/>
      <c r="R183" s="61">
        <v>1</v>
      </c>
      <c r="S183" s="61"/>
      <c r="T183" s="61"/>
      <c r="U183" s="61"/>
      <c r="V183">
        <f t="shared" si="2"/>
        <v>1</v>
      </c>
    </row>
    <row r="184" spans="3:22">
      <c r="C184" s="41">
        <v>320</v>
      </c>
      <c r="D184" s="1"/>
      <c r="E184" s="1">
        <v>800</v>
      </c>
      <c r="F184" s="29"/>
      <c r="G184" s="29"/>
      <c r="H184" s="29"/>
      <c r="I184" s="29">
        <v>13200</v>
      </c>
      <c r="J184" s="29"/>
      <c r="K184" s="29"/>
      <c r="O184" s="45">
        <v>197</v>
      </c>
      <c r="P184" s="61"/>
      <c r="Q184" s="61"/>
      <c r="R184" s="61"/>
      <c r="S184" s="61"/>
      <c r="T184" s="61"/>
      <c r="U184" s="61"/>
      <c r="V184">
        <f t="shared" si="2"/>
        <v>0</v>
      </c>
    </row>
    <row r="185" spans="3:22">
      <c r="C185" s="41">
        <v>186</v>
      </c>
      <c r="D185" s="1">
        <v>194</v>
      </c>
      <c r="E185" s="1">
        <v>800</v>
      </c>
      <c r="F185" s="29"/>
      <c r="G185" s="29"/>
      <c r="H185" s="29"/>
      <c r="I185" s="29">
        <v>5000</v>
      </c>
      <c r="J185" s="29"/>
      <c r="K185" s="29"/>
      <c r="O185" s="45">
        <v>198</v>
      </c>
      <c r="P185" s="61"/>
      <c r="Q185" s="61"/>
      <c r="R185" s="61">
        <v>1</v>
      </c>
      <c r="S185" s="61"/>
      <c r="T185" s="61">
        <v>1</v>
      </c>
      <c r="U185" s="61"/>
      <c r="V185">
        <f t="shared" si="2"/>
        <v>2</v>
      </c>
    </row>
    <row r="186" spans="3:22">
      <c r="C186" s="41">
        <v>187</v>
      </c>
      <c r="D186" s="1">
        <v>195</v>
      </c>
      <c r="E186" s="1">
        <v>800</v>
      </c>
      <c r="F186" s="29"/>
      <c r="G186" s="29"/>
      <c r="H186" s="29"/>
      <c r="I186" s="29">
        <v>5000</v>
      </c>
      <c r="J186" s="29"/>
      <c r="K186" s="29"/>
      <c r="O186" s="45">
        <v>199</v>
      </c>
      <c r="P186" s="61"/>
      <c r="Q186" s="61"/>
      <c r="R186" s="61"/>
      <c r="S186" s="61"/>
      <c r="T186" s="61"/>
      <c r="U186" s="61"/>
      <c r="V186">
        <f t="shared" si="2"/>
        <v>0</v>
      </c>
    </row>
    <row r="187" spans="3:22">
      <c r="C187" s="41">
        <v>211</v>
      </c>
      <c r="D187" s="1">
        <v>220</v>
      </c>
      <c r="E187" s="1">
        <v>800</v>
      </c>
      <c r="F187" s="29"/>
      <c r="G187" s="29"/>
      <c r="H187" s="29"/>
      <c r="I187" s="29"/>
      <c r="J187" s="29"/>
      <c r="K187" s="29"/>
      <c r="O187" s="45">
        <v>201</v>
      </c>
      <c r="P187" s="61">
        <v>1</v>
      </c>
      <c r="Q187" s="61"/>
      <c r="R187" s="61"/>
      <c r="S187" s="61"/>
      <c r="T187" s="61">
        <v>1</v>
      </c>
      <c r="U187" s="61"/>
      <c r="V187">
        <f t="shared" si="2"/>
        <v>2</v>
      </c>
    </row>
    <row r="188" spans="3:22">
      <c r="C188" s="41">
        <v>242</v>
      </c>
      <c r="D188" s="1">
        <v>253</v>
      </c>
      <c r="E188" s="1">
        <v>800</v>
      </c>
      <c r="F188" s="29"/>
      <c r="G188" s="29"/>
      <c r="H188" s="29"/>
      <c r="I188" s="29"/>
      <c r="J188" s="29"/>
      <c r="K188" s="29"/>
      <c r="O188" s="45">
        <v>202</v>
      </c>
      <c r="P188" s="61"/>
      <c r="Q188" s="61"/>
      <c r="R188" s="61"/>
      <c r="S188" s="61"/>
      <c r="T188" s="61"/>
      <c r="U188" s="61"/>
      <c r="V188">
        <f t="shared" si="2"/>
        <v>0</v>
      </c>
    </row>
    <row r="189" spans="3:22">
      <c r="C189" s="41">
        <v>218</v>
      </c>
      <c r="D189" s="10">
        <v>227</v>
      </c>
      <c r="E189" s="10">
        <v>800</v>
      </c>
      <c r="F189" s="29"/>
      <c r="G189" s="29"/>
      <c r="H189" s="29">
        <v>1000</v>
      </c>
      <c r="I189" s="29"/>
      <c r="J189" s="29"/>
      <c r="K189" s="29">
        <v>5000</v>
      </c>
      <c r="O189" s="45">
        <v>203</v>
      </c>
      <c r="P189" s="61">
        <v>1</v>
      </c>
      <c r="Q189" s="61"/>
      <c r="R189" s="61"/>
      <c r="S189" s="61"/>
      <c r="T189" s="61">
        <v>1</v>
      </c>
      <c r="U189" s="61"/>
      <c r="V189">
        <f t="shared" si="2"/>
        <v>2</v>
      </c>
    </row>
    <row r="190" spans="3:22">
      <c r="C190" s="41">
        <v>120</v>
      </c>
      <c r="D190" s="1">
        <v>125</v>
      </c>
      <c r="E190" s="1">
        <v>800</v>
      </c>
      <c r="F190" s="29">
        <v>5000</v>
      </c>
      <c r="G190" s="29">
        <v>6600</v>
      </c>
      <c r="H190" s="29">
        <v>2000</v>
      </c>
      <c r="I190" s="29"/>
      <c r="J190" s="29"/>
      <c r="K190" s="29">
        <v>1200</v>
      </c>
      <c r="O190" s="45">
        <v>204</v>
      </c>
      <c r="P190" s="61"/>
      <c r="Q190" s="61"/>
      <c r="R190" s="61"/>
      <c r="S190" s="61"/>
      <c r="T190" s="61"/>
      <c r="U190" s="61"/>
      <c r="V190">
        <f t="shared" si="2"/>
        <v>0</v>
      </c>
    </row>
    <row r="191" spans="3:22">
      <c r="C191" s="41">
        <v>287</v>
      </c>
      <c r="D191" s="1">
        <v>299</v>
      </c>
      <c r="E191" s="1">
        <v>800</v>
      </c>
      <c r="F191" s="29"/>
      <c r="G191" s="29"/>
      <c r="H191" s="29"/>
      <c r="I191" s="29"/>
      <c r="J191" s="29"/>
      <c r="K191" s="29"/>
      <c r="O191" s="45">
        <v>205</v>
      </c>
      <c r="P191" s="61"/>
      <c r="Q191" s="61"/>
      <c r="R191" s="61"/>
      <c r="S191" s="61"/>
      <c r="T191" s="61"/>
      <c r="U191" s="61"/>
      <c r="V191">
        <f t="shared" si="2"/>
        <v>0</v>
      </c>
    </row>
    <row r="192" spans="3:22">
      <c r="C192" s="41">
        <v>170</v>
      </c>
      <c r="D192" s="1">
        <v>178</v>
      </c>
      <c r="E192" s="1"/>
      <c r="F192" s="29">
        <v>2400</v>
      </c>
      <c r="G192" s="29"/>
      <c r="H192" s="29">
        <v>2400</v>
      </c>
      <c r="I192" s="29"/>
      <c r="J192" s="29"/>
      <c r="K192" s="29">
        <v>2400</v>
      </c>
      <c r="O192" s="45">
        <v>206</v>
      </c>
      <c r="P192" s="61"/>
      <c r="Q192" s="61"/>
      <c r="R192" s="61"/>
      <c r="S192" s="61"/>
      <c r="T192" s="61"/>
      <c r="U192" s="61"/>
      <c r="V192">
        <f t="shared" si="2"/>
        <v>0</v>
      </c>
    </row>
    <row r="193" spans="3:22">
      <c r="C193" s="41">
        <v>170</v>
      </c>
      <c r="D193" s="1">
        <v>179</v>
      </c>
      <c r="E193" s="1">
        <v>800</v>
      </c>
      <c r="F193" s="29"/>
      <c r="G193" s="29"/>
      <c r="H193" s="29"/>
      <c r="I193" s="29"/>
      <c r="J193" s="29"/>
      <c r="K193" s="29"/>
      <c r="O193" s="45">
        <v>207</v>
      </c>
      <c r="P193" s="61"/>
      <c r="Q193" s="61"/>
      <c r="R193" s="61"/>
      <c r="S193" s="61"/>
      <c r="T193" s="61"/>
      <c r="U193" s="61"/>
      <c r="V193">
        <f t="shared" si="2"/>
        <v>0</v>
      </c>
    </row>
    <row r="194" spans="3:22">
      <c r="C194" s="41">
        <v>290</v>
      </c>
      <c r="D194" s="1">
        <v>303</v>
      </c>
      <c r="E194" s="1">
        <v>800</v>
      </c>
      <c r="F194" s="29"/>
      <c r="G194" s="29"/>
      <c r="H194" s="29"/>
      <c r="I194" s="29"/>
      <c r="J194" s="29">
        <v>5000</v>
      </c>
      <c r="K194" s="29"/>
      <c r="O194" s="45">
        <v>208</v>
      </c>
      <c r="P194" s="61"/>
      <c r="Q194" s="61"/>
      <c r="R194" s="61"/>
      <c r="S194" s="61"/>
      <c r="T194" s="61"/>
      <c r="U194" s="61"/>
      <c r="V194">
        <f t="shared" si="2"/>
        <v>0</v>
      </c>
    </row>
    <row r="195" spans="3:22">
      <c r="C195" s="41">
        <v>81</v>
      </c>
      <c r="D195" s="1">
        <v>86</v>
      </c>
      <c r="E195" s="1">
        <v>800</v>
      </c>
      <c r="F195" s="29"/>
      <c r="G195" s="29"/>
      <c r="H195" s="29">
        <v>3200</v>
      </c>
      <c r="I195" s="29"/>
      <c r="J195" s="29"/>
      <c r="K195" s="29"/>
      <c r="O195" s="45">
        <v>209</v>
      </c>
      <c r="P195" s="61"/>
      <c r="Q195" s="61"/>
      <c r="R195" s="61"/>
      <c r="S195" s="61"/>
      <c r="T195" s="61">
        <v>1</v>
      </c>
      <c r="U195" s="61">
        <v>1</v>
      </c>
      <c r="V195">
        <f t="shared" si="2"/>
        <v>2</v>
      </c>
    </row>
    <row r="196" spans="3:22">
      <c r="C196" s="41">
        <v>31</v>
      </c>
      <c r="D196" s="1">
        <v>31</v>
      </c>
      <c r="E196" s="1">
        <v>800</v>
      </c>
      <c r="F196" s="29"/>
      <c r="G196" s="29"/>
      <c r="H196" s="29"/>
      <c r="I196" s="29">
        <v>2400</v>
      </c>
      <c r="J196" s="29">
        <v>2400</v>
      </c>
      <c r="K196" s="29"/>
      <c r="O196" s="45">
        <v>210</v>
      </c>
      <c r="P196" s="61"/>
      <c r="Q196" s="61"/>
      <c r="R196" s="61"/>
      <c r="S196" s="61"/>
      <c r="T196" s="61"/>
      <c r="U196" s="61"/>
      <c r="V196">
        <f t="shared" ref="V196:V259" si="3">COUNTA(P196:U196)</f>
        <v>0</v>
      </c>
    </row>
    <row r="197" spans="3:22">
      <c r="C197" s="41">
        <v>104</v>
      </c>
      <c r="D197" s="1">
        <v>109</v>
      </c>
      <c r="E197" s="1">
        <v>800</v>
      </c>
      <c r="F197" s="29"/>
      <c r="G197" s="29"/>
      <c r="H197" s="29"/>
      <c r="I197" s="29"/>
      <c r="J197" s="29"/>
      <c r="K197" s="29"/>
      <c r="O197" s="45">
        <v>211</v>
      </c>
      <c r="P197" s="61"/>
      <c r="Q197" s="61"/>
      <c r="R197" s="61"/>
      <c r="S197" s="61"/>
      <c r="T197" s="61"/>
      <c r="U197" s="61"/>
      <c r="V197">
        <f t="shared" si="3"/>
        <v>0</v>
      </c>
    </row>
    <row r="198" spans="3:22">
      <c r="C198" s="41">
        <v>85</v>
      </c>
      <c r="D198" s="1">
        <v>90</v>
      </c>
      <c r="E198" s="1">
        <v>800</v>
      </c>
      <c r="F198" s="29"/>
      <c r="G198" s="29"/>
      <c r="H198" s="29"/>
      <c r="I198" s="29">
        <v>4800</v>
      </c>
      <c r="J198" s="29"/>
      <c r="K198" s="29"/>
      <c r="O198" s="45">
        <v>212</v>
      </c>
      <c r="P198" s="61">
        <v>1</v>
      </c>
      <c r="Q198" s="61"/>
      <c r="R198" s="61">
        <v>1</v>
      </c>
      <c r="S198" s="61">
        <v>1</v>
      </c>
      <c r="T198" s="61"/>
      <c r="U198" s="61"/>
      <c r="V198">
        <f t="shared" si="3"/>
        <v>3</v>
      </c>
    </row>
    <row r="199" spans="3:22">
      <c r="C199" s="41">
        <v>300</v>
      </c>
      <c r="D199" s="1">
        <v>315</v>
      </c>
      <c r="E199" s="1">
        <v>800</v>
      </c>
      <c r="F199" s="29"/>
      <c r="G199" s="29"/>
      <c r="H199" s="29"/>
      <c r="I199" s="29"/>
      <c r="J199" s="29"/>
      <c r="K199" s="29"/>
      <c r="O199" s="45">
        <v>213</v>
      </c>
      <c r="P199" s="61"/>
      <c r="Q199" s="61"/>
      <c r="R199" s="61"/>
      <c r="S199" s="61"/>
      <c r="T199" s="61"/>
      <c r="U199" s="61"/>
      <c r="V199">
        <f t="shared" si="3"/>
        <v>0</v>
      </c>
    </row>
    <row r="200" spans="3:22">
      <c r="C200" s="41">
        <v>47</v>
      </c>
      <c r="D200" s="1">
        <v>47</v>
      </c>
      <c r="E200" s="1">
        <v>800</v>
      </c>
      <c r="F200" s="29"/>
      <c r="G200" s="29"/>
      <c r="H200" s="29"/>
      <c r="I200" s="29"/>
      <c r="J200" s="29"/>
      <c r="K200" s="29"/>
      <c r="O200" s="45">
        <v>214</v>
      </c>
      <c r="P200" s="61"/>
      <c r="Q200" s="61">
        <v>1</v>
      </c>
      <c r="R200" s="61"/>
      <c r="S200" s="61"/>
      <c r="T200" s="61"/>
      <c r="U200" s="61">
        <v>1</v>
      </c>
      <c r="V200">
        <f t="shared" si="3"/>
        <v>2</v>
      </c>
    </row>
    <row r="201" spans="3:22">
      <c r="C201" s="41">
        <v>282</v>
      </c>
      <c r="D201" s="1">
        <v>294</v>
      </c>
      <c r="E201" s="1">
        <v>800</v>
      </c>
      <c r="F201" s="29"/>
      <c r="G201" s="29"/>
      <c r="H201" s="29"/>
      <c r="I201" s="29"/>
      <c r="J201" s="29"/>
      <c r="K201" s="29"/>
      <c r="O201" s="45">
        <v>215</v>
      </c>
      <c r="P201" s="61"/>
      <c r="Q201" s="61">
        <v>1</v>
      </c>
      <c r="R201" s="61"/>
      <c r="S201" s="61"/>
      <c r="T201" s="61"/>
      <c r="U201" s="61"/>
      <c r="V201">
        <f t="shared" si="3"/>
        <v>1</v>
      </c>
    </row>
    <row r="202" spans="3:22">
      <c r="C202" s="41">
        <v>204</v>
      </c>
      <c r="D202" s="1">
        <v>214</v>
      </c>
      <c r="E202" s="1">
        <v>800</v>
      </c>
      <c r="F202" s="29"/>
      <c r="G202" s="29"/>
      <c r="H202" s="29"/>
      <c r="I202" s="29"/>
      <c r="J202" s="29"/>
      <c r="K202" s="29"/>
      <c r="O202" s="45">
        <v>216</v>
      </c>
      <c r="P202" s="61"/>
      <c r="Q202" s="61">
        <v>1</v>
      </c>
      <c r="R202" s="61"/>
      <c r="S202" s="61"/>
      <c r="T202" s="61"/>
      <c r="U202" s="61"/>
      <c r="V202">
        <f t="shared" si="3"/>
        <v>1</v>
      </c>
    </row>
    <row r="203" spans="3:22">
      <c r="C203" s="41">
        <v>291</v>
      </c>
      <c r="D203" s="1">
        <v>304</v>
      </c>
      <c r="E203" s="1">
        <v>800</v>
      </c>
      <c r="F203" s="29"/>
      <c r="G203" s="29"/>
      <c r="H203" s="29"/>
      <c r="I203" s="29"/>
      <c r="J203" s="29"/>
      <c r="K203" s="29"/>
      <c r="O203" s="45">
        <v>218</v>
      </c>
      <c r="P203" s="61"/>
      <c r="Q203" s="61"/>
      <c r="R203" s="61">
        <v>1</v>
      </c>
      <c r="S203" s="61"/>
      <c r="T203" s="61"/>
      <c r="U203" s="61">
        <v>1</v>
      </c>
      <c r="V203">
        <f t="shared" si="3"/>
        <v>2</v>
      </c>
    </row>
    <row r="204" spans="3:22">
      <c r="C204" s="41">
        <v>89</v>
      </c>
      <c r="D204" s="1">
        <v>94</v>
      </c>
      <c r="E204" s="1">
        <v>800</v>
      </c>
      <c r="F204" s="29"/>
      <c r="G204" s="29"/>
      <c r="H204" s="29"/>
      <c r="I204" s="29"/>
      <c r="J204" s="29"/>
      <c r="K204" s="29"/>
      <c r="O204" s="45">
        <v>219</v>
      </c>
      <c r="P204" s="61"/>
      <c r="Q204" s="61"/>
      <c r="R204" s="61">
        <v>1</v>
      </c>
      <c r="S204" s="61"/>
      <c r="T204" s="61"/>
      <c r="U204" s="61">
        <v>1</v>
      </c>
      <c r="V204">
        <f t="shared" si="3"/>
        <v>2</v>
      </c>
    </row>
    <row r="205" spans="3:22">
      <c r="C205" s="41">
        <v>26</v>
      </c>
      <c r="D205" s="1">
        <v>26</v>
      </c>
      <c r="E205" s="1">
        <v>800</v>
      </c>
      <c r="F205" s="29"/>
      <c r="G205" s="29"/>
      <c r="H205" s="29"/>
      <c r="I205" s="29"/>
      <c r="J205" s="29"/>
      <c r="K205" s="29"/>
      <c r="O205" s="45">
        <v>220</v>
      </c>
      <c r="P205" s="61"/>
      <c r="Q205" s="61"/>
      <c r="R205" s="61"/>
      <c r="S205" s="61"/>
      <c r="T205" s="61"/>
      <c r="U205" s="61"/>
      <c r="V205">
        <f t="shared" si="3"/>
        <v>0</v>
      </c>
    </row>
    <row r="206" spans="3:22">
      <c r="C206" s="41">
        <v>71</v>
      </c>
      <c r="D206" s="1">
        <v>77</v>
      </c>
      <c r="E206" s="1">
        <v>800</v>
      </c>
      <c r="F206" s="29"/>
      <c r="G206" s="29"/>
      <c r="H206" s="29"/>
      <c r="I206" s="29"/>
      <c r="J206" s="29"/>
      <c r="K206" s="29"/>
      <c r="O206" s="45">
        <v>221</v>
      </c>
      <c r="P206" s="61">
        <v>1</v>
      </c>
      <c r="Q206" s="61"/>
      <c r="R206" s="61"/>
      <c r="S206" s="61"/>
      <c r="T206" s="61"/>
      <c r="U206" s="61"/>
      <c r="V206">
        <f t="shared" si="3"/>
        <v>1</v>
      </c>
    </row>
    <row r="207" spans="3:22">
      <c r="C207" s="41">
        <v>6</v>
      </c>
      <c r="D207" s="1">
        <v>6</v>
      </c>
      <c r="E207" s="1">
        <v>800</v>
      </c>
      <c r="F207" s="29"/>
      <c r="G207" s="29"/>
      <c r="H207" s="29"/>
      <c r="I207" s="29"/>
      <c r="J207" s="29">
        <v>4000</v>
      </c>
      <c r="K207" s="29"/>
      <c r="O207" s="45">
        <v>222</v>
      </c>
      <c r="P207" s="61"/>
      <c r="Q207" s="61">
        <v>1</v>
      </c>
      <c r="R207" s="61"/>
      <c r="S207" s="61"/>
      <c r="T207" s="61">
        <v>1</v>
      </c>
      <c r="U207" s="61"/>
      <c r="V207">
        <f t="shared" si="3"/>
        <v>2</v>
      </c>
    </row>
    <row r="208" spans="3:22">
      <c r="C208" s="41">
        <v>80</v>
      </c>
      <c r="D208" s="1">
        <v>85</v>
      </c>
      <c r="E208" s="1">
        <v>800</v>
      </c>
      <c r="F208" s="29"/>
      <c r="G208" s="29"/>
      <c r="H208" s="29"/>
      <c r="I208" s="29"/>
      <c r="J208" s="29"/>
      <c r="K208" s="29">
        <v>4000</v>
      </c>
      <c r="O208" s="45">
        <v>223</v>
      </c>
      <c r="P208" s="61"/>
      <c r="Q208" s="61"/>
      <c r="R208" s="61"/>
      <c r="S208" s="61"/>
      <c r="T208" s="61"/>
      <c r="U208" s="61"/>
      <c r="V208">
        <f t="shared" si="3"/>
        <v>0</v>
      </c>
    </row>
    <row r="209" spans="3:22">
      <c r="C209" s="41">
        <v>201</v>
      </c>
      <c r="D209" s="1">
        <v>209</v>
      </c>
      <c r="E209" s="1">
        <v>800</v>
      </c>
      <c r="F209" s="29">
        <v>4000</v>
      </c>
      <c r="G209" s="29"/>
      <c r="H209" s="29"/>
      <c r="I209" s="29"/>
      <c r="J209" s="29">
        <v>3200</v>
      </c>
      <c r="K209" s="29"/>
      <c r="O209" s="45">
        <v>224</v>
      </c>
      <c r="P209" s="61"/>
      <c r="Q209" s="61"/>
      <c r="R209" s="61"/>
      <c r="S209" s="61"/>
      <c r="T209" s="61"/>
      <c r="U209" s="61"/>
      <c r="V209">
        <f t="shared" si="3"/>
        <v>0</v>
      </c>
    </row>
    <row r="210" spans="3:22">
      <c r="C210" s="41">
        <v>147</v>
      </c>
      <c r="D210" s="1">
        <v>155</v>
      </c>
      <c r="E210" s="1">
        <v>800</v>
      </c>
      <c r="F210" s="29"/>
      <c r="G210" s="29"/>
      <c r="H210" s="29"/>
      <c r="I210" s="29"/>
      <c r="J210" s="29"/>
      <c r="K210" s="29"/>
      <c r="O210" s="45">
        <v>225</v>
      </c>
      <c r="P210" s="61"/>
      <c r="Q210" s="61"/>
      <c r="R210" s="61"/>
      <c r="S210" s="61"/>
      <c r="T210" s="61"/>
      <c r="U210" s="61"/>
      <c r="V210">
        <f t="shared" si="3"/>
        <v>0</v>
      </c>
    </row>
    <row r="211" spans="3:22">
      <c r="C211" s="41">
        <v>29</v>
      </c>
      <c r="D211" s="1">
        <v>29</v>
      </c>
      <c r="E211" s="1">
        <v>800</v>
      </c>
      <c r="F211" s="29"/>
      <c r="G211" s="29"/>
      <c r="H211" s="29"/>
      <c r="I211" s="29"/>
      <c r="J211" s="29"/>
      <c r="K211" s="29"/>
      <c r="O211" s="45">
        <v>226</v>
      </c>
      <c r="P211" s="61"/>
      <c r="Q211" s="61"/>
      <c r="R211" s="61"/>
      <c r="S211" s="61"/>
      <c r="T211" s="61"/>
      <c r="U211" s="61"/>
      <c r="V211">
        <f t="shared" si="3"/>
        <v>0</v>
      </c>
    </row>
    <row r="212" spans="3:22">
      <c r="C212" s="41">
        <v>33</v>
      </c>
      <c r="D212" s="1">
        <v>33</v>
      </c>
      <c r="E212" s="1">
        <v>800</v>
      </c>
      <c r="F212" s="29"/>
      <c r="G212" s="29"/>
      <c r="H212" s="29"/>
      <c r="I212" s="29"/>
      <c r="J212" s="29">
        <v>10050</v>
      </c>
      <c r="K212" s="29"/>
      <c r="O212" s="45">
        <v>227</v>
      </c>
      <c r="P212" s="61"/>
      <c r="Q212" s="61">
        <v>1</v>
      </c>
      <c r="R212" s="61">
        <v>1</v>
      </c>
      <c r="S212" s="61"/>
      <c r="T212" s="61"/>
      <c r="U212" s="61"/>
      <c r="V212">
        <f t="shared" si="3"/>
        <v>2</v>
      </c>
    </row>
    <row r="213" spans="3:22">
      <c r="C213" s="41">
        <v>169</v>
      </c>
      <c r="D213" s="1">
        <v>177</v>
      </c>
      <c r="E213" s="1">
        <v>800</v>
      </c>
      <c r="F213" s="29"/>
      <c r="G213" s="29"/>
      <c r="H213" s="29">
        <v>5400</v>
      </c>
      <c r="I213" s="29"/>
      <c r="J213" s="29">
        <v>2400</v>
      </c>
      <c r="K213" s="29"/>
      <c r="O213" s="45">
        <v>228</v>
      </c>
      <c r="P213" s="61"/>
      <c r="Q213" s="61"/>
      <c r="R213" s="61"/>
      <c r="S213" s="61"/>
      <c r="T213" s="61"/>
      <c r="U213" s="61"/>
      <c r="V213">
        <f t="shared" si="3"/>
        <v>0</v>
      </c>
    </row>
    <row r="214" spans="3:22">
      <c r="C214" s="41">
        <v>185</v>
      </c>
      <c r="D214" s="1">
        <v>193</v>
      </c>
      <c r="E214" s="1">
        <v>800</v>
      </c>
      <c r="F214" s="29"/>
      <c r="G214" s="29"/>
      <c r="H214" s="29"/>
      <c r="I214" s="29"/>
      <c r="J214" s="29"/>
      <c r="K214" s="29"/>
      <c r="O214" s="45">
        <v>229</v>
      </c>
      <c r="P214" s="61"/>
      <c r="Q214" s="61"/>
      <c r="R214" s="61"/>
      <c r="S214" s="61"/>
      <c r="T214" s="61"/>
      <c r="U214" s="61"/>
      <c r="V214">
        <f t="shared" si="3"/>
        <v>0</v>
      </c>
    </row>
    <row r="215" spans="3:22">
      <c r="C215" s="41">
        <v>176</v>
      </c>
      <c r="D215" s="1">
        <v>184</v>
      </c>
      <c r="E215" s="1">
        <v>800</v>
      </c>
      <c r="F215" s="29">
        <v>5000</v>
      </c>
      <c r="G215" s="29">
        <v>3000</v>
      </c>
      <c r="H215" s="29"/>
      <c r="I215" s="29"/>
      <c r="J215" s="29">
        <v>3000</v>
      </c>
      <c r="K215" s="29">
        <v>3500</v>
      </c>
      <c r="O215" s="45">
        <v>230</v>
      </c>
      <c r="P215" s="61"/>
      <c r="Q215" s="61"/>
      <c r="R215" s="61"/>
      <c r="S215" s="61"/>
      <c r="T215" s="61">
        <v>1</v>
      </c>
      <c r="U215" s="61"/>
      <c r="V215">
        <f t="shared" si="3"/>
        <v>1</v>
      </c>
    </row>
    <row r="216" spans="3:22">
      <c r="C216" s="41">
        <v>307</v>
      </c>
      <c r="D216" s="1">
        <v>322</v>
      </c>
      <c r="E216" s="1">
        <v>800</v>
      </c>
      <c r="F216" s="29"/>
      <c r="G216" s="29"/>
      <c r="H216" s="29"/>
      <c r="I216" s="29"/>
      <c r="J216" s="29">
        <v>8000</v>
      </c>
      <c r="K216" s="29"/>
      <c r="O216" s="45">
        <v>231</v>
      </c>
      <c r="P216" s="61"/>
      <c r="Q216" s="61">
        <v>1</v>
      </c>
      <c r="R216" s="61"/>
      <c r="S216" s="61">
        <v>1</v>
      </c>
      <c r="T216" s="61"/>
      <c r="U216" s="61"/>
      <c r="V216">
        <f t="shared" si="3"/>
        <v>2</v>
      </c>
    </row>
    <row r="217" spans="3:22">
      <c r="C217" s="41">
        <v>177</v>
      </c>
      <c r="D217" s="1">
        <v>185</v>
      </c>
      <c r="E217" s="1">
        <v>800</v>
      </c>
      <c r="F217" s="29"/>
      <c r="G217" s="29"/>
      <c r="H217" s="29"/>
      <c r="I217" s="29"/>
      <c r="J217" s="29"/>
      <c r="K217" s="29"/>
      <c r="O217" s="45">
        <v>232</v>
      </c>
      <c r="P217" s="61"/>
      <c r="Q217" s="61"/>
      <c r="R217" s="61"/>
      <c r="S217" s="61"/>
      <c r="T217" s="61"/>
      <c r="U217" s="61"/>
      <c r="V217">
        <f t="shared" si="3"/>
        <v>0</v>
      </c>
    </row>
    <row r="218" spans="3:22">
      <c r="C218" s="41">
        <v>160</v>
      </c>
      <c r="D218" s="1">
        <v>168</v>
      </c>
      <c r="E218" s="1">
        <v>800</v>
      </c>
      <c r="F218" s="29"/>
      <c r="G218" s="29"/>
      <c r="H218" s="29"/>
      <c r="I218" s="29"/>
      <c r="J218" s="29"/>
      <c r="K218" s="29"/>
      <c r="O218" s="45">
        <v>233</v>
      </c>
      <c r="P218" s="61"/>
      <c r="Q218" s="61"/>
      <c r="R218" s="61"/>
      <c r="S218" s="61"/>
      <c r="T218" s="61"/>
      <c r="U218" s="61">
        <v>1</v>
      </c>
      <c r="V218">
        <f t="shared" si="3"/>
        <v>1</v>
      </c>
    </row>
    <row r="219" spans="3:22">
      <c r="C219" s="41">
        <v>53</v>
      </c>
      <c r="D219" s="1">
        <v>55</v>
      </c>
      <c r="E219" s="1">
        <v>800</v>
      </c>
      <c r="F219" s="29"/>
      <c r="G219" s="29"/>
      <c r="H219" s="29"/>
      <c r="I219" s="29"/>
      <c r="J219" s="29"/>
      <c r="K219" s="29"/>
      <c r="O219" s="45">
        <v>234</v>
      </c>
      <c r="P219" s="61"/>
      <c r="Q219" s="61">
        <v>1</v>
      </c>
      <c r="R219" s="61"/>
      <c r="S219" s="61"/>
      <c r="T219" s="61"/>
      <c r="U219" s="61"/>
      <c r="V219">
        <f t="shared" si="3"/>
        <v>1</v>
      </c>
    </row>
    <row r="220" spans="3:22">
      <c r="C220" s="41">
        <v>102</v>
      </c>
      <c r="D220" s="1">
        <v>107</v>
      </c>
      <c r="E220" s="1">
        <v>800</v>
      </c>
      <c r="F220" s="29">
        <v>800</v>
      </c>
      <c r="G220" s="29">
        <v>800</v>
      </c>
      <c r="H220" s="29">
        <v>800</v>
      </c>
      <c r="I220" s="29">
        <v>800</v>
      </c>
      <c r="J220" s="29"/>
      <c r="K220" s="29">
        <v>800</v>
      </c>
      <c r="O220" s="45">
        <v>236</v>
      </c>
      <c r="P220" s="61"/>
      <c r="Q220" s="61"/>
      <c r="R220" s="61"/>
      <c r="S220" s="61"/>
      <c r="T220" s="61">
        <v>1</v>
      </c>
      <c r="U220" s="61"/>
      <c r="V220">
        <f t="shared" si="3"/>
        <v>1</v>
      </c>
    </row>
    <row r="221" spans="3:22">
      <c r="C221" s="41">
        <v>174</v>
      </c>
      <c r="D221" s="1">
        <v>182</v>
      </c>
      <c r="E221" s="1">
        <v>800</v>
      </c>
      <c r="F221" s="29">
        <v>1000</v>
      </c>
      <c r="G221" s="29"/>
      <c r="H221" s="29"/>
      <c r="I221" s="29"/>
      <c r="J221" s="29">
        <v>3000</v>
      </c>
      <c r="K221" s="29"/>
      <c r="O221" s="45">
        <v>237</v>
      </c>
      <c r="P221" s="61">
        <v>1</v>
      </c>
      <c r="Q221" s="61"/>
      <c r="R221" s="61">
        <v>1</v>
      </c>
      <c r="S221" s="61"/>
      <c r="T221" s="61"/>
      <c r="U221" s="61"/>
      <c r="V221">
        <f t="shared" si="3"/>
        <v>2</v>
      </c>
    </row>
    <row r="222" spans="3:22">
      <c r="C222" s="41">
        <v>165</v>
      </c>
      <c r="D222" s="1">
        <v>173</v>
      </c>
      <c r="E222" s="1">
        <v>800</v>
      </c>
      <c r="F222" s="29"/>
      <c r="G222" s="29"/>
      <c r="H222" s="29"/>
      <c r="I222" s="29"/>
      <c r="J222" s="29"/>
      <c r="K222" s="29"/>
      <c r="O222" s="45">
        <v>238</v>
      </c>
      <c r="P222" s="61"/>
      <c r="Q222" s="61"/>
      <c r="R222" s="61"/>
      <c r="S222" s="61"/>
      <c r="T222" s="61"/>
      <c r="U222" s="61"/>
      <c r="V222">
        <f t="shared" si="3"/>
        <v>0</v>
      </c>
    </row>
    <row r="223" spans="3:22">
      <c r="C223" s="41">
        <v>251</v>
      </c>
      <c r="D223" s="1">
        <v>262</v>
      </c>
      <c r="E223" s="1">
        <v>800</v>
      </c>
      <c r="F223" s="29"/>
      <c r="G223" s="29"/>
      <c r="H223" s="29"/>
      <c r="I223" s="29"/>
      <c r="J223" s="29"/>
      <c r="K223" s="29"/>
      <c r="O223" s="45">
        <v>239</v>
      </c>
      <c r="P223" s="61"/>
      <c r="Q223" s="61"/>
      <c r="R223" s="61"/>
      <c r="S223" s="61"/>
      <c r="T223" s="61"/>
      <c r="U223" s="61"/>
      <c r="V223">
        <f t="shared" si="3"/>
        <v>0</v>
      </c>
    </row>
    <row r="224" spans="3:22">
      <c r="C224" s="41">
        <v>315</v>
      </c>
      <c r="D224" s="1" t="s">
        <v>210</v>
      </c>
      <c r="E224" s="1">
        <v>800</v>
      </c>
      <c r="F224" s="29"/>
      <c r="G224" s="29"/>
      <c r="H224" s="29"/>
      <c r="I224" s="29"/>
      <c r="J224" s="29"/>
      <c r="K224" s="29"/>
      <c r="O224" s="45">
        <v>240</v>
      </c>
      <c r="P224" s="61"/>
      <c r="Q224" s="61"/>
      <c r="R224" s="61"/>
      <c r="S224" s="61"/>
      <c r="T224" s="61"/>
      <c r="U224" s="61"/>
      <c r="V224">
        <f t="shared" si="3"/>
        <v>0</v>
      </c>
    </row>
    <row r="225" spans="3:22">
      <c r="C225" s="41">
        <v>312</v>
      </c>
      <c r="D225" s="1" t="s">
        <v>212</v>
      </c>
      <c r="E225" s="1">
        <v>800</v>
      </c>
      <c r="F225" s="29">
        <v>2000</v>
      </c>
      <c r="G225" s="29"/>
      <c r="H225" s="29"/>
      <c r="I225" s="29">
        <v>2000</v>
      </c>
      <c r="J225" s="29"/>
      <c r="K225" s="29">
        <v>2000</v>
      </c>
      <c r="O225" s="45">
        <v>241</v>
      </c>
      <c r="P225" s="61">
        <v>1</v>
      </c>
      <c r="Q225" s="61">
        <v>1</v>
      </c>
      <c r="R225" s="61">
        <v>1</v>
      </c>
      <c r="S225" s="61"/>
      <c r="T225" s="61"/>
      <c r="U225" s="61">
        <v>1</v>
      </c>
      <c r="V225">
        <f t="shared" si="3"/>
        <v>4</v>
      </c>
    </row>
    <row r="226" spans="3:22">
      <c r="C226" s="41">
        <v>314</v>
      </c>
      <c r="D226" s="1" t="s">
        <v>214</v>
      </c>
      <c r="E226" s="1">
        <v>800</v>
      </c>
      <c r="F226" s="29"/>
      <c r="G226" s="29"/>
      <c r="H226" s="29"/>
      <c r="I226" s="29"/>
      <c r="J226" s="29"/>
      <c r="K226" s="29"/>
      <c r="O226" s="45">
        <v>242</v>
      </c>
      <c r="P226" s="61"/>
      <c r="Q226" s="61"/>
      <c r="R226" s="61"/>
      <c r="S226" s="61"/>
      <c r="T226" s="61"/>
      <c r="U226" s="61"/>
      <c r="V226">
        <f t="shared" si="3"/>
        <v>0</v>
      </c>
    </row>
    <row r="227" spans="3:22">
      <c r="C227" s="41" t="e">
        <v>#N/A</v>
      </c>
      <c r="D227" s="1">
        <v>203</v>
      </c>
      <c r="E227" s="1">
        <v>800</v>
      </c>
      <c r="F227" s="29"/>
      <c r="G227" s="29"/>
      <c r="H227" s="29"/>
      <c r="I227" s="29"/>
      <c r="J227" s="29"/>
      <c r="K227" s="29">
        <v>4000</v>
      </c>
      <c r="O227" s="45">
        <v>243</v>
      </c>
      <c r="P227" s="61">
        <v>1</v>
      </c>
      <c r="Q227" s="61">
        <v>1</v>
      </c>
      <c r="R227" s="61"/>
      <c r="S227" s="61"/>
      <c r="T227" s="61"/>
      <c r="U227" s="61">
        <v>1</v>
      </c>
      <c r="V227">
        <f t="shared" si="3"/>
        <v>3</v>
      </c>
    </row>
    <row r="228" spans="3:22">
      <c r="C228" s="41">
        <v>144</v>
      </c>
      <c r="D228" s="1">
        <v>152</v>
      </c>
      <c r="E228" s="1"/>
      <c r="F228" s="29"/>
      <c r="G228" s="29"/>
      <c r="H228" s="29"/>
      <c r="I228" s="29"/>
      <c r="J228" s="29"/>
      <c r="K228" s="29"/>
      <c r="O228" s="45">
        <v>245</v>
      </c>
      <c r="P228" s="61"/>
      <c r="Q228" s="61"/>
      <c r="R228" s="61"/>
      <c r="S228" s="61"/>
      <c r="T228" s="61"/>
      <c r="U228" s="61">
        <v>1</v>
      </c>
      <c r="V228">
        <f t="shared" si="3"/>
        <v>1</v>
      </c>
    </row>
    <row r="229" spans="3:22">
      <c r="C229" s="41">
        <v>144</v>
      </c>
      <c r="D229" s="1">
        <v>153</v>
      </c>
      <c r="E229" s="1">
        <v>800</v>
      </c>
      <c r="F229" s="29"/>
      <c r="G229" s="29"/>
      <c r="H229" s="29"/>
      <c r="I229" s="29"/>
      <c r="J229" s="29"/>
      <c r="K229" s="29"/>
      <c r="O229" s="45">
        <v>247</v>
      </c>
      <c r="P229" s="61"/>
      <c r="Q229" s="61"/>
      <c r="R229" s="61"/>
      <c r="S229" s="61"/>
      <c r="T229" s="61"/>
      <c r="U229" s="61"/>
      <c r="V229">
        <f t="shared" si="3"/>
        <v>0</v>
      </c>
    </row>
    <row r="230" spans="3:22">
      <c r="C230" s="41">
        <v>74</v>
      </c>
      <c r="D230" s="1">
        <v>80</v>
      </c>
      <c r="E230" s="1"/>
      <c r="F230" s="29">
        <v>6000</v>
      </c>
      <c r="G230" s="29"/>
      <c r="H230" s="29"/>
      <c r="I230" s="29"/>
      <c r="J230" s="29">
        <v>2400</v>
      </c>
      <c r="K230" s="29"/>
      <c r="O230" s="45">
        <v>248</v>
      </c>
      <c r="P230" s="61"/>
      <c r="Q230" s="61"/>
      <c r="R230" s="61"/>
      <c r="S230" s="61"/>
      <c r="T230" s="61"/>
      <c r="U230" s="61">
        <v>1</v>
      </c>
      <c r="V230">
        <f t="shared" si="3"/>
        <v>1</v>
      </c>
    </row>
    <row r="231" spans="3:22">
      <c r="C231" s="41">
        <v>74</v>
      </c>
      <c r="D231" s="1">
        <v>81</v>
      </c>
      <c r="E231" s="1">
        <v>800</v>
      </c>
      <c r="F231" s="29"/>
      <c r="G231" s="29"/>
      <c r="H231" s="29"/>
      <c r="I231" s="29"/>
      <c r="J231" s="29"/>
      <c r="K231" s="29"/>
      <c r="O231" s="45">
        <v>249</v>
      </c>
      <c r="P231" s="61"/>
      <c r="Q231" s="61"/>
      <c r="R231" s="61"/>
      <c r="S231" s="61"/>
      <c r="T231" s="61"/>
      <c r="U231" s="61"/>
      <c r="V231">
        <f t="shared" si="3"/>
        <v>0</v>
      </c>
    </row>
    <row r="232" spans="3:22">
      <c r="C232" s="41">
        <v>68</v>
      </c>
      <c r="D232" s="1">
        <v>70</v>
      </c>
      <c r="E232" s="1">
        <v>800</v>
      </c>
      <c r="F232" s="29"/>
      <c r="G232" s="29">
        <v>1600</v>
      </c>
      <c r="H232" s="29">
        <v>800</v>
      </c>
      <c r="I232" s="29"/>
      <c r="J232" s="29">
        <v>800</v>
      </c>
      <c r="K232" s="29">
        <v>800</v>
      </c>
      <c r="O232" s="45">
        <v>250</v>
      </c>
      <c r="P232" s="61"/>
      <c r="Q232" s="61"/>
      <c r="R232" s="61">
        <v>1</v>
      </c>
      <c r="S232" s="61">
        <v>1</v>
      </c>
      <c r="T232" s="61">
        <v>1</v>
      </c>
      <c r="U232" s="61"/>
      <c r="V232">
        <f t="shared" si="3"/>
        <v>3</v>
      </c>
    </row>
    <row r="233" spans="3:22">
      <c r="C233" s="41">
        <v>224</v>
      </c>
      <c r="D233" s="1">
        <v>233</v>
      </c>
      <c r="E233" s="1">
        <v>800</v>
      </c>
      <c r="F233" s="29"/>
      <c r="G233" s="29"/>
      <c r="H233" s="29"/>
      <c r="I233" s="29"/>
      <c r="J233" s="29"/>
      <c r="K233" s="29"/>
      <c r="O233" s="45">
        <v>251</v>
      </c>
      <c r="P233" s="61"/>
      <c r="Q233" s="61"/>
      <c r="R233" s="61"/>
      <c r="S233" s="61"/>
      <c r="T233" s="61"/>
      <c r="U233" s="61"/>
      <c r="V233">
        <f t="shared" si="3"/>
        <v>0</v>
      </c>
    </row>
    <row r="234" spans="3:22">
      <c r="C234" s="41">
        <v>134</v>
      </c>
      <c r="D234" s="1">
        <v>141</v>
      </c>
      <c r="E234" s="1">
        <v>800</v>
      </c>
      <c r="F234" s="29">
        <v>12000</v>
      </c>
      <c r="G234" s="29">
        <v>4800</v>
      </c>
      <c r="H234" s="29"/>
      <c r="I234" s="29"/>
      <c r="J234" s="29"/>
      <c r="K234" s="29"/>
      <c r="O234" s="45">
        <v>252</v>
      </c>
      <c r="P234" s="61"/>
      <c r="Q234" s="61">
        <v>1</v>
      </c>
      <c r="R234" s="61">
        <v>1</v>
      </c>
      <c r="S234" s="61"/>
      <c r="T234" s="61">
        <v>1</v>
      </c>
      <c r="U234" s="61"/>
      <c r="V234">
        <f t="shared" si="3"/>
        <v>3</v>
      </c>
    </row>
    <row r="235" spans="3:22">
      <c r="C235" s="41">
        <v>267</v>
      </c>
      <c r="D235" s="1">
        <v>280</v>
      </c>
      <c r="E235" s="1">
        <v>800</v>
      </c>
      <c r="F235" s="29"/>
      <c r="G235" s="29">
        <v>4000</v>
      </c>
      <c r="H235" s="29">
        <v>2000</v>
      </c>
      <c r="I235" s="29">
        <v>2000</v>
      </c>
      <c r="J235" s="29"/>
      <c r="K235" s="29"/>
      <c r="O235" s="45">
        <v>254</v>
      </c>
      <c r="P235" s="61"/>
      <c r="Q235" s="61"/>
      <c r="R235" s="61"/>
      <c r="S235" s="61"/>
      <c r="T235" s="61"/>
      <c r="U235" s="61"/>
      <c r="V235">
        <f t="shared" si="3"/>
        <v>0</v>
      </c>
    </row>
    <row r="236" spans="3:22">
      <c r="C236" s="41">
        <v>258</v>
      </c>
      <c r="D236" s="1">
        <v>271</v>
      </c>
      <c r="E236" s="1">
        <v>800</v>
      </c>
      <c r="F236" s="29"/>
      <c r="G236" s="29"/>
      <c r="H236" s="29"/>
      <c r="I236" s="29"/>
      <c r="J236" s="29"/>
      <c r="K236" s="29">
        <v>4800</v>
      </c>
      <c r="O236" s="45">
        <v>255</v>
      </c>
      <c r="P236" s="61"/>
      <c r="Q236" s="61"/>
      <c r="R236" s="61">
        <v>1</v>
      </c>
      <c r="S236" s="61"/>
      <c r="T236" s="61">
        <v>1</v>
      </c>
      <c r="U236" s="61"/>
      <c r="V236">
        <f t="shared" si="3"/>
        <v>2</v>
      </c>
    </row>
    <row r="237" spans="3:22">
      <c r="C237" s="41">
        <v>299</v>
      </c>
      <c r="D237" s="1">
        <v>314</v>
      </c>
      <c r="E237" s="1">
        <v>800</v>
      </c>
      <c r="F237" s="29"/>
      <c r="G237" s="29"/>
      <c r="H237" s="29"/>
      <c r="I237" s="29"/>
      <c r="J237" s="29"/>
      <c r="K237" s="29"/>
      <c r="O237" s="45">
        <v>256</v>
      </c>
      <c r="P237" s="61"/>
      <c r="Q237" s="61"/>
      <c r="R237" s="61"/>
      <c r="S237" s="61"/>
      <c r="T237" s="61"/>
      <c r="U237" s="61"/>
      <c r="V237">
        <f t="shared" si="3"/>
        <v>0</v>
      </c>
    </row>
    <row r="238" spans="3:22">
      <c r="C238" s="41">
        <v>210</v>
      </c>
      <c r="D238" s="1">
        <v>219</v>
      </c>
      <c r="E238" s="1">
        <v>800</v>
      </c>
      <c r="F238" s="29"/>
      <c r="G238" s="29"/>
      <c r="H238" s="29"/>
      <c r="I238" s="29"/>
      <c r="J238" s="29"/>
      <c r="K238" s="29"/>
      <c r="O238" s="45">
        <v>257</v>
      </c>
      <c r="P238" s="61"/>
      <c r="Q238" s="61"/>
      <c r="R238" s="61"/>
      <c r="S238" s="61"/>
      <c r="T238" s="61"/>
      <c r="U238" s="61"/>
      <c r="V238">
        <f t="shared" si="3"/>
        <v>0</v>
      </c>
    </row>
    <row r="239" spans="3:22">
      <c r="C239" s="41">
        <v>239</v>
      </c>
      <c r="D239" s="1">
        <v>250</v>
      </c>
      <c r="E239" s="1">
        <v>800</v>
      </c>
      <c r="F239" s="29"/>
      <c r="G239" s="29"/>
      <c r="H239" s="29"/>
      <c r="I239" s="29"/>
      <c r="J239" s="29"/>
      <c r="K239" s="29"/>
      <c r="O239" s="45">
        <v>258</v>
      </c>
      <c r="P239" s="61"/>
      <c r="Q239" s="61"/>
      <c r="R239" s="61"/>
      <c r="S239" s="61"/>
      <c r="T239" s="61"/>
      <c r="U239" s="61">
        <v>1</v>
      </c>
      <c r="V239">
        <f t="shared" si="3"/>
        <v>1</v>
      </c>
    </row>
    <row r="240" spans="3:22">
      <c r="C240" s="41">
        <v>238</v>
      </c>
      <c r="D240" s="1">
        <v>249</v>
      </c>
      <c r="E240" s="1">
        <v>800</v>
      </c>
      <c r="F240" s="29"/>
      <c r="G240" s="29"/>
      <c r="H240" s="29"/>
      <c r="I240" s="29"/>
      <c r="J240" s="29"/>
      <c r="K240" s="29"/>
      <c r="O240" s="45">
        <v>259</v>
      </c>
      <c r="P240" s="61"/>
      <c r="Q240" s="61"/>
      <c r="R240" s="61"/>
      <c r="S240" s="61"/>
      <c r="T240" s="61"/>
      <c r="U240" s="61"/>
      <c r="V240">
        <f t="shared" si="3"/>
        <v>0</v>
      </c>
    </row>
    <row r="241" spans="3:22">
      <c r="C241" s="41">
        <v>297</v>
      </c>
      <c r="D241" s="1">
        <v>312</v>
      </c>
      <c r="E241" s="1">
        <v>800</v>
      </c>
      <c r="F241" s="29"/>
      <c r="G241" s="29"/>
      <c r="H241" s="29"/>
      <c r="I241" s="29"/>
      <c r="J241" s="29"/>
      <c r="K241" s="29"/>
      <c r="O241" s="45">
        <v>260</v>
      </c>
      <c r="P241" s="61"/>
      <c r="Q241" s="61">
        <v>1</v>
      </c>
      <c r="R241" s="61"/>
      <c r="S241" s="61"/>
      <c r="T241" s="61">
        <v>1</v>
      </c>
      <c r="U241" s="61">
        <v>1</v>
      </c>
      <c r="V241">
        <f t="shared" si="3"/>
        <v>3</v>
      </c>
    </row>
    <row r="242" spans="3:22">
      <c r="C242" s="41">
        <v>128</v>
      </c>
      <c r="D242" s="1">
        <v>135</v>
      </c>
      <c r="E242" s="1">
        <v>800</v>
      </c>
      <c r="F242" s="29">
        <v>4000</v>
      </c>
      <c r="G242" s="29"/>
      <c r="H242" s="29"/>
      <c r="I242" s="29"/>
      <c r="J242" s="29"/>
      <c r="K242" s="29"/>
      <c r="O242" s="45">
        <v>261</v>
      </c>
      <c r="P242" s="61">
        <v>1</v>
      </c>
      <c r="Q242" s="61"/>
      <c r="R242" s="61"/>
      <c r="S242" s="61">
        <v>1</v>
      </c>
      <c r="T242" s="61"/>
      <c r="U242" s="61"/>
      <c r="V242">
        <f t="shared" si="3"/>
        <v>2</v>
      </c>
    </row>
    <row r="243" spans="3:22">
      <c r="C243" s="41">
        <v>67</v>
      </c>
      <c r="D243" s="1">
        <v>69</v>
      </c>
      <c r="E243" s="1">
        <v>800</v>
      </c>
      <c r="F243" s="29"/>
      <c r="G243" s="29"/>
      <c r="H243" s="29"/>
      <c r="I243" s="29"/>
      <c r="J243" s="29"/>
      <c r="K243" s="29"/>
      <c r="O243" s="45">
        <v>263</v>
      </c>
      <c r="P243" s="61"/>
      <c r="Q243" s="61">
        <v>1</v>
      </c>
      <c r="R243" s="61">
        <v>1</v>
      </c>
      <c r="S243" s="61"/>
      <c r="T243" s="61"/>
      <c r="U243" s="61"/>
      <c r="V243">
        <f t="shared" si="3"/>
        <v>2</v>
      </c>
    </row>
    <row r="244" spans="3:22">
      <c r="C244" s="41">
        <v>278</v>
      </c>
      <c r="D244" s="1">
        <v>290</v>
      </c>
      <c r="E244" s="1">
        <v>800</v>
      </c>
      <c r="F244" s="29"/>
      <c r="G244" s="29"/>
      <c r="H244" s="29"/>
      <c r="I244" s="29"/>
      <c r="J244" s="29"/>
      <c r="K244" s="29"/>
      <c r="O244" s="45">
        <v>264</v>
      </c>
      <c r="P244" s="61">
        <v>1</v>
      </c>
      <c r="Q244" s="61"/>
      <c r="R244" s="61">
        <v>1</v>
      </c>
      <c r="S244" s="61"/>
      <c r="T244" s="61"/>
      <c r="U244" s="61"/>
      <c r="V244">
        <f t="shared" si="3"/>
        <v>2</v>
      </c>
    </row>
    <row r="245" spans="3:22">
      <c r="C245" s="41">
        <v>280</v>
      </c>
      <c r="D245" s="1">
        <v>292</v>
      </c>
      <c r="E245" s="1">
        <v>800</v>
      </c>
      <c r="F245" s="29"/>
      <c r="G245" s="29"/>
      <c r="H245" s="29"/>
      <c r="I245" s="29"/>
      <c r="J245" s="29"/>
      <c r="K245" s="29"/>
      <c r="O245" s="45">
        <v>265</v>
      </c>
      <c r="P245" s="61"/>
      <c r="Q245" s="61"/>
      <c r="R245" s="61">
        <v>1</v>
      </c>
      <c r="S245" s="61"/>
      <c r="T245" s="61"/>
      <c r="U245" s="61"/>
      <c r="V245">
        <f t="shared" si="3"/>
        <v>1</v>
      </c>
    </row>
    <row r="246" spans="3:22">
      <c r="C246" s="41">
        <v>215</v>
      </c>
      <c r="D246" s="1">
        <v>224</v>
      </c>
      <c r="E246" s="1">
        <v>800</v>
      </c>
      <c r="F246" s="29"/>
      <c r="G246" s="29">
        <v>7000</v>
      </c>
      <c r="H246" s="29"/>
      <c r="I246" s="29"/>
      <c r="J246" s="29"/>
      <c r="K246" s="29"/>
      <c r="O246" s="45">
        <v>266</v>
      </c>
      <c r="P246" s="61"/>
      <c r="Q246" s="61"/>
      <c r="R246" s="61"/>
      <c r="S246" s="61"/>
      <c r="T246" s="61"/>
      <c r="U246" s="61"/>
      <c r="V246">
        <f t="shared" si="3"/>
        <v>0</v>
      </c>
    </row>
    <row r="247" spans="3:22">
      <c r="C247" s="41">
        <v>241</v>
      </c>
      <c r="D247" s="1">
        <v>252</v>
      </c>
      <c r="E247" s="1">
        <v>800</v>
      </c>
      <c r="F247" s="29">
        <v>3000</v>
      </c>
      <c r="G247" s="29">
        <v>800</v>
      </c>
      <c r="H247" s="29">
        <v>800</v>
      </c>
      <c r="I247" s="29"/>
      <c r="J247" s="29"/>
      <c r="K247" s="29">
        <v>2400</v>
      </c>
      <c r="O247" s="45">
        <v>267</v>
      </c>
      <c r="P247" s="61"/>
      <c r="Q247" s="61">
        <v>1</v>
      </c>
      <c r="R247" s="61">
        <v>1</v>
      </c>
      <c r="S247" s="61">
        <v>1</v>
      </c>
      <c r="T247" s="61"/>
      <c r="U247" s="61"/>
      <c r="V247">
        <f t="shared" si="3"/>
        <v>3</v>
      </c>
    </row>
    <row r="248" spans="3:22">
      <c r="C248" s="41">
        <v>161</v>
      </c>
      <c r="D248" s="1">
        <v>169</v>
      </c>
      <c r="E248" s="1">
        <v>800</v>
      </c>
      <c r="F248" s="29"/>
      <c r="G248" s="29"/>
      <c r="H248" s="29"/>
      <c r="I248" s="29"/>
      <c r="J248" s="29"/>
      <c r="K248" s="29"/>
      <c r="O248" s="45">
        <v>268</v>
      </c>
      <c r="P248" s="61">
        <v>1</v>
      </c>
      <c r="Q248" s="61"/>
      <c r="R248" s="61"/>
      <c r="S248" s="61">
        <v>1</v>
      </c>
      <c r="T248" s="61"/>
      <c r="U248" s="61">
        <v>1</v>
      </c>
      <c r="V248">
        <f t="shared" si="3"/>
        <v>3</v>
      </c>
    </row>
    <row r="249" spans="3:22">
      <c r="C249" s="41">
        <v>272</v>
      </c>
      <c r="D249" s="1">
        <v>285</v>
      </c>
      <c r="E249" s="1">
        <v>800</v>
      </c>
      <c r="F249" s="29"/>
      <c r="G249" s="29"/>
      <c r="H249" s="29"/>
      <c r="I249" s="29"/>
      <c r="J249" s="29"/>
      <c r="K249" s="29"/>
      <c r="O249" s="45">
        <v>269</v>
      </c>
      <c r="P249" s="61"/>
      <c r="Q249" s="61"/>
      <c r="R249" s="61"/>
      <c r="S249" s="61"/>
      <c r="T249" s="61"/>
      <c r="U249" s="61"/>
      <c r="V249">
        <f t="shared" si="3"/>
        <v>0</v>
      </c>
    </row>
    <row r="250" spans="3:22">
      <c r="C250" s="41">
        <v>19</v>
      </c>
      <c r="D250" s="1">
        <v>19</v>
      </c>
      <c r="E250" s="1">
        <v>800</v>
      </c>
      <c r="F250" s="29"/>
      <c r="G250" s="29"/>
      <c r="H250" s="29"/>
      <c r="I250" s="29"/>
      <c r="J250" s="29"/>
      <c r="K250" s="29">
        <v>4000</v>
      </c>
      <c r="O250" s="45">
        <v>270</v>
      </c>
      <c r="P250" s="61"/>
      <c r="Q250" s="61"/>
      <c r="R250" s="61"/>
      <c r="S250" s="61"/>
      <c r="T250" s="61"/>
      <c r="U250" s="61"/>
      <c r="V250">
        <f t="shared" si="3"/>
        <v>0</v>
      </c>
    </row>
    <row r="251" spans="3:22">
      <c r="C251" s="41">
        <v>310</v>
      </c>
      <c r="D251" s="1" t="s">
        <v>238</v>
      </c>
      <c r="E251" s="1">
        <v>800</v>
      </c>
      <c r="F251" s="29">
        <v>5000</v>
      </c>
      <c r="G251" s="29"/>
      <c r="H251" s="29">
        <v>5000</v>
      </c>
      <c r="I251" s="29">
        <v>4950</v>
      </c>
      <c r="J251" s="29">
        <v>5000</v>
      </c>
      <c r="K251" s="29"/>
      <c r="O251" s="45">
        <v>271</v>
      </c>
      <c r="P251" s="61"/>
      <c r="Q251" s="61"/>
      <c r="R251" s="61"/>
      <c r="S251" s="61"/>
      <c r="T251" s="61"/>
      <c r="U251" s="61">
        <v>1</v>
      </c>
      <c r="V251">
        <f t="shared" si="3"/>
        <v>1</v>
      </c>
    </row>
    <row r="252" spans="3:22">
      <c r="C252" s="41">
        <v>205</v>
      </c>
      <c r="D252" s="1">
        <v>215</v>
      </c>
      <c r="E252" s="1">
        <v>800</v>
      </c>
      <c r="F252" s="29"/>
      <c r="G252" s="29"/>
      <c r="H252" s="29"/>
      <c r="I252" s="29"/>
      <c r="J252" s="29"/>
      <c r="K252" s="29"/>
      <c r="O252" s="45">
        <v>272</v>
      </c>
      <c r="P252" s="61"/>
      <c r="Q252" s="61"/>
      <c r="R252" s="61"/>
      <c r="S252" s="61"/>
      <c r="T252" s="61"/>
      <c r="U252" s="61"/>
      <c r="V252">
        <f t="shared" si="3"/>
        <v>0</v>
      </c>
    </row>
    <row r="253" spans="3:22">
      <c r="C253" s="41">
        <v>107</v>
      </c>
      <c r="D253" s="1">
        <v>112</v>
      </c>
      <c r="E253" s="1">
        <v>800</v>
      </c>
      <c r="F253" s="29"/>
      <c r="G253" s="29">
        <v>2000</v>
      </c>
      <c r="H253" s="29">
        <v>3600</v>
      </c>
      <c r="I253" s="29">
        <v>1600</v>
      </c>
      <c r="J253" s="29"/>
      <c r="K253" s="29">
        <v>800</v>
      </c>
      <c r="O253" s="45">
        <v>273</v>
      </c>
      <c r="P253" s="61"/>
      <c r="Q253" s="61"/>
      <c r="R253" s="61"/>
      <c r="S253" s="61"/>
      <c r="T253" s="61"/>
      <c r="U253" s="61">
        <v>1</v>
      </c>
      <c r="V253">
        <f t="shared" si="3"/>
        <v>1</v>
      </c>
    </row>
    <row r="254" spans="3:22">
      <c r="C254" s="41">
        <v>48</v>
      </c>
      <c r="D254" s="1">
        <v>48</v>
      </c>
      <c r="E254" s="1">
        <v>800</v>
      </c>
      <c r="F254" s="29"/>
      <c r="G254" s="29"/>
      <c r="H254" s="29"/>
      <c r="I254" s="29"/>
      <c r="J254" s="29"/>
      <c r="K254" s="29"/>
      <c r="O254" s="45">
        <v>274</v>
      </c>
      <c r="P254" s="61"/>
      <c r="Q254" s="61"/>
      <c r="R254" s="61">
        <v>1</v>
      </c>
      <c r="S254" s="61"/>
      <c r="T254" s="61"/>
      <c r="U254" s="61">
        <v>1</v>
      </c>
      <c r="V254">
        <f t="shared" si="3"/>
        <v>2</v>
      </c>
    </row>
    <row r="255" spans="3:22">
      <c r="C255" s="41">
        <v>237</v>
      </c>
      <c r="D255" s="1">
        <v>248</v>
      </c>
      <c r="E255" s="1">
        <v>800</v>
      </c>
      <c r="F255" s="29">
        <v>31000</v>
      </c>
      <c r="G255" s="29"/>
      <c r="H255" s="29">
        <v>2000</v>
      </c>
      <c r="I255" s="29"/>
      <c r="J255" s="29"/>
      <c r="K255" s="29"/>
      <c r="O255" s="45">
        <v>275</v>
      </c>
      <c r="P255" s="61"/>
      <c r="Q255" s="61"/>
      <c r="R255" s="61"/>
      <c r="S255" s="61"/>
      <c r="T255" s="61"/>
      <c r="U255" s="61">
        <v>1</v>
      </c>
      <c r="V255">
        <f t="shared" si="3"/>
        <v>1</v>
      </c>
    </row>
    <row r="256" spans="3:22">
      <c r="C256" s="41">
        <v>263</v>
      </c>
      <c r="D256" s="1">
        <v>276</v>
      </c>
      <c r="E256" s="1">
        <v>800</v>
      </c>
      <c r="F256" s="29"/>
      <c r="G256" s="29">
        <v>2600</v>
      </c>
      <c r="H256" s="29">
        <v>800</v>
      </c>
      <c r="I256" s="29"/>
      <c r="J256" s="29"/>
      <c r="K256" s="29"/>
      <c r="O256" s="45">
        <v>276</v>
      </c>
      <c r="P256" s="61"/>
      <c r="Q256" s="61"/>
      <c r="R256" s="61"/>
      <c r="S256" s="61"/>
      <c r="T256" s="61"/>
      <c r="U256" s="61">
        <v>1</v>
      </c>
      <c r="V256">
        <f t="shared" si="3"/>
        <v>1</v>
      </c>
    </row>
    <row r="257" spans="3:22">
      <c r="C257" s="41">
        <v>100</v>
      </c>
      <c r="D257" s="1">
        <v>105</v>
      </c>
      <c r="E257" s="1">
        <v>800</v>
      </c>
      <c r="F257" s="29">
        <v>5050.3</v>
      </c>
      <c r="G257" s="29"/>
      <c r="H257" s="29"/>
      <c r="I257" s="29"/>
      <c r="J257" s="29"/>
      <c r="K257" s="29"/>
      <c r="O257" s="45">
        <v>277</v>
      </c>
      <c r="P257" s="61"/>
      <c r="Q257" s="61"/>
      <c r="R257" s="61"/>
      <c r="S257" s="61"/>
      <c r="T257" s="61"/>
      <c r="U257" s="61"/>
      <c r="V257">
        <f t="shared" si="3"/>
        <v>0</v>
      </c>
    </row>
    <row r="258" spans="3:22">
      <c r="C258" s="41">
        <v>131</v>
      </c>
      <c r="D258" s="1">
        <v>138</v>
      </c>
      <c r="E258" s="1">
        <v>800</v>
      </c>
      <c r="F258" s="29"/>
      <c r="G258" s="29"/>
      <c r="H258" s="29"/>
      <c r="I258" s="29">
        <v>14400</v>
      </c>
      <c r="J258" s="29"/>
      <c r="K258" s="29"/>
      <c r="O258" s="45">
        <v>278</v>
      </c>
      <c r="P258" s="61"/>
      <c r="Q258" s="61"/>
      <c r="R258" s="61"/>
      <c r="S258" s="61"/>
      <c r="T258" s="61"/>
      <c r="U258" s="61"/>
      <c r="V258">
        <f t="shared" si="3"/>
        <v>0</v>
      </c>
    </row>
    <row r="259" spans="3:22">
      <c r="C259" s="41">
        <v>183</v>
      </c>
      <c r="D259" s="1">
        <v>191</v>
      </c>
      <c r="E259" s="1">
        <v>800</v>
      </c>
      <c r="F259" s="29">
        <v>20000</v>
      </c>
      <c r="G259" s="29"/>
      <c r="H259" s="29"/>
      <c r="I259" s="29"/>
      <c r="J259" s="29"/>
      <c r="K259" s="29"/>
      <c r="O259" s="45">
        <v>279</v>
      </c>
      <c r="P259" s="61"/>
      <c r="Q259" s="61"/>
      <c r="R259" s="61"/>
      <c r="S259" s="61"/>
      <c r="T259" s="61"/>
      <c r="U259" s="61"/>
      <c r="V259">
        <f t="shared" si="3"/>
        <v>0</v>
      </c>
    </row>
    <row r="260" spans="3:22">
      <c r="C260" s="41">
        <v>183</v>
      </c>
      <c r="D260" s="1">
        <v>192</v>
      </c>
      <c r="E260" s="1"/>
      <c r="F260" s="29"/>
      <c r="G260" s="29"/>
      <c r="H260" s="29"/>
      <c r="I260" s="29"/>
      <c r="J260" s="29"/>
      <c r="K260" s="29"/>
      <c r="O260" s="45">
        <v>280</v>
      </c>
      <c r="P260" s="61"/>
      <c r="Q260" s="61"/>
      <c r="R260" s="61"/>
      <c r="S260" s="61"/>
      <c r="T260" s="61"/>
      <c r="U260" s="61"/>
      <c r="V260">
        <f t="shared" ref="V260:V298" si="4">COUNTA(P260:U260)</f>
        <v>0</v>
      </c>
    </row>
    <row r="261" spans="3:22">
      <c r="C261" s="41">
        <v>21</v>
      </c>
      <c r="D261" s="1">
        <v>21</v>
      </c>
      <c r="E261" s="1">
        <v>800</v>
      </c>
      <c r="F261" s="29"/>
      <c r="G261" s="29"/>
      <c r="H261" s="29"/>
      <c r="I261" s="29"/>
      <c r="J261" s="29"/>
      <c r="K261" s="29"/>
      <c r="O261" s="45">
        <v>281</v>
      </c>
      <c r="P261" s="61"/>
      <c r="Q261" s="61"/>
      <c r="R261" s="61"/>
      <c r="S261" s="61"/>
      <c r="T261" s="61"/>
      <c r="U261" s="61"/>
      <c r="V261">
        <f t="shared" si="4"/>
        <v>0</v>
      </c>
    </row>
    <row r="262" spans="3:22">
      <c r="C262" s="41">
        <v>298</v>
      </c>
      <c r="D262" s="1">
        <v>313</v>
      </c>
      <c r="E262" s="1">
        <v>800</v>
      </c>
      <c r="F262" s="29"/>
      <c r="G262" s="29">
        <v>4800</v>
      </c>
      <c r="H262" s="29"/>
      <c r="I262" s="29"/>
      <c r="J262" s="29"/>
      <c r="K262" s="29"/>
      <c r="O262" s="45">
        <v>282</v>
      </c>
      <c r="P262" s="61"/>
      <c r="Q262" s="61"/>
      <c r="R262" s="61"/>
      <c r="S262" s="61"/>
      <c r="T262" s="61"/>
      <c r="U262" s="61"/>
      <c r="V262">
        <f t="shared" si="4"/>
        <v>0</v>
      </c>
    </row>
    <row r="263" spans="3:22">
      <c r="C263" s="41">
        <v>91</v>
      </c>
      <c r="D263" s="1">
        <v>96</v>
      </c>
      <c r="E263" s="1">
        <v>800</v>
      </c>
      <c r="F263" s="29"/>
      <c r="G263" s="29"/>
      <c r="H263" s="29"/>
      <c r="I263" s="29"/>
      <c r="J263" s="29"/>
      <c r="K263" s="29"/>
      <c r="O263" s="45">
        <v>284</v>
      </c>
      <c r="P263" s="61"/>
      <c r="Q263" s="61"/>
      <c r="R263" s="61">
        <v>1</v>
      </c>
      <c r="S263" s="61"/>
      <c r="T263" s="61"/>
      <c r="U263" s="61"/>
      <c r="V263">
        <f t="shared" si="4"/>
        <v>1</v>
      </c>
    </row>
    <row r="264" spans="3:22">
      <c r="C264" s="41">
        <v>54</v>
      </c>
      <c r="D264" s="1">
        <v>56</v>
      </c>
      <c r="E264" s="1">
        <v>800</v>
      </c>
      <c r="F264" s="29"/>
      <c r="G264" s="29"/>
      <c r="H264" s="29"/>
      <c r="I264" s="29"/>
      <c r="J264" s="29"/>
      <c r="K264" s="29"/>
      <c r="O264" s="45">
        <v>285</v>
      </c>
      <c r="P264" s="61"/>
      <c r="Q264" s="61">
        <v>1</v>
      </c>
      <c r="R264" s="61"/>
      <c r="S264" s="61"/>
      <c r="T264" s="61"/>
      <c r="U264" s="61">
        <v>1</v>
      </c>
      <c r="V264">
        <f t="shared" si="4"/>
        <v>2</v>
      </c>
    </row>
    <row r="265" spans="3:22">
      <c r="C265" s="41">
        <v>317</v>
      </c>
      <c r="D265" s="1" t="s">
        <v>252</v>
      </c>
      <c r="E265" s="1">
        <v>800</v>
      </c>
      <c r="F265" s="29"/>
      <c r="G265" s="29"/>
      <c r="H265" s="29"/>
      <c r="I265" s="29"/>
      <c r="J265" s="29"/>
      <c r="K265" s="29"/>
      <c r="O265" s="45">
        <v>286</v>
      </c>
      <c r="P265" s="61"/>
      <c r="Q265" s="61">
        <v>1</v>
      </c>
      <c r="R265" s="61"/>
      <c r="S265" s="61"/>
      <c r="T265" s="61"/>
      <c r="U265" s="61">
        <v>1</v>
      </c>
      <c r="V265">
        <f t="shared" si="4"/>
        <v>2</v>
      </c>
    </row>
    <row r="266" spans="3:22">
      <c r="C266" s="41">
        <v>268</v>
      </c>
      <c r="D266" s="1">
        <v>281</v>
      </c>
      <c r="E266" s="1">
        <v>800</v>
      </c>
      <c r="F266" s="29">
        <v>3000</v>
      </c>
      <c r="G266" s="29"/>
      <c r="H266" s="29"/>
      <c r="I266" s="29">
        <v>3000</v>
      </c>
      <c r="J266" s="29"/>
      <c r="K266" s="29">
        <v>3000</v>
      </c>
      <c r="O266" s="45">
        <v>287</v>
      </c>
      <c r="P266" s="61"/>
      <c r="Q266" s="61"/>
      <c r="R266" s="61"/>
      <c r="S266" s="61"/>
      <c r="T266" s="61"/>
      <c r="U266" s="61"/>
      <c r="V266">
        <f t="shared" si="4"/>
        <v>0</v>
      </c>
    </row>
    <row r="267" spans="3:22">
      <c r="C267" s="41">
        <v>172</v>
      </c>
      <c r="D267" s="1">
        <v>180</v>
      </c>
      <c r="E267" s="1">
        <v>800</v>
      </c>
      <c r="F267" s="29"/>
      <c r="G267" s="29"/>
      <c r="H267" s="29"/>
      <c r="I267" s="29"/>
      <c r="J267" s="29"/>
      <c r="K267" s="29"/>
      <c r="O267" s="45">
        <v>288</v>
      </c>
      <c r="P267" s="61"/>
      <c r="Q267" s="61"/>
      <c r="R267" s="61"/>
      <c r="S267" s="61"/>
      <c r="T267" s="61"/>
      <c r="U267" s="61"/>
      <c r="V267">
        <f t="shared" si="4"/>
        <v>0</v>
      </c>
    </row>
    <row r="268" spans="3:22">
      <c r="C268" s="41">
        <v>116</v>
      </c>
      <c r="D268" s="1">
        <v>121</v>
      </c>
      <c r="E268" s="1">
        <v>800</v>
      </c>
      <c r="F268" s="29"/>
      <c r="G268" s="29"/>
      <c r="H268" s="29">
        <v>10000</v>
      </c>
      <c r="I268" s="29"/>
      <c r="J268" s="29"/>
      <c r="K268" s="29"/>
      <c r="O268" s="45">
        <v>289</v>
      </c>
      <c r="P268" s="61"/>
      <c r="Q268" s="61"/>
      <c r="R268" s="61"/>
      <c r="S268" s="61"/>
      <c r="T268" s="61"/>
      <c r="U268" s="61"/>
      <c r="V268">
        <f t="shared" si="4"/>
        <v>0</v>
      </c>
    </row>
    <row r="269" spans="3:22">
      <c r="C269" s="41">
        <v>57</v>
      </c>
      <c r="D269" s="1">
        <v>59</v>
      </c>
      <c r="E269" s="1">
        <v>800</v>
      </c>
      <c r="F269" s="29"/>
      <c r="G269" s="29"/>
      <c r="H269" s="29"/>
      <c r="I269" s="29"/>
      <c r="J269" s="29"/>
      <c r="K269" s="29"/>
      <c r="O269" s="45">
        <v>290</v>
      </c>
      <c r="P269" s="61"/>
      <c r="Q269" s="61"/>
      <c r="R269" s="61"/>
      <c r="S269" s="61"/>
      <c r="T269" s="61">
        <v>1</v>
      </c>
      <c r="U269" s="61"/>
      <c r="V269">
        <f t="shared" si="4"/>
        <v>1</v>
      </c>
    </row>
    <row r="270" spans="3:22">
      <c r="C270" s="41">
        <v>46</v>
      </c>
      <c r="D270" s="1">
        <v>46</v>
      </c>
      <c r="E270" s="1">
        <v>800</v>
      </c>
      <c r="F270" s="29"/>
      <c r="G270" s="29"/>
      <c r="H270" s="29"/>
      <c r="I270" s="29"/>
      <c r="J270" s="29"/>
      <c r="K270" s="29"/>
      <c r="O270" s="45">
        <v>291</v>
      </c>
      <c r="P270" s="61"/>
      <c r="Q270" s="61"/>
      <c r="R270" s="61"/>
      <c r="S270" s="61"/>
      <c r="T270" s="61"/>
      <c r="U270" s="61"/>
      <c r="V270">
        <f t="shared" si="4"/>
        <v>0</v>
      </c>
    </row>
    <row r="271" spans="3:22">
      <c r="C271" s="41">
        <v>73</v>
      </c>
      <c r="D271" s="1">
        <v>79</v>
      </c>
      <c r="E271" s="1">
        <v>800</v>
      </c>
      <c r="F271" s="29"/>
      <c r="G271" s="29"/>
      <c r="H271" s="29"/>
      <c r="I271" s="29"/>
      <c r="J271" s="29"/>
      <c r="K271" s="29"/>
      <c r="O271" s="45">
        <v>292</v>
      </c>
      <c r="P271" s="61"/>
      <c r="Q271" s="61"/>
      <c r="R271" s="61"/>
      <c r="S271" s="61"/>
      <c r="T271" s="61"/>
      <c r="U271" s="61"/>
      <c r="V271">
        <f t="shared" si="4"/>
        <v>0</v>
      </c>
    </row>
    <row r="272" spans="3:22">
      <c r="C272" s="41">
        <v>162</v>
      </c>
      <c r="D272" s="1">
        <v>170</v>
      </c>
      <c r="E272" s="1">
        <v>800</v>
      </c>
      <c r="F272" s="29"/>
      <c r="G272" s="29"/>
      <c r="H272" s="29"/>
      <c r="I272" s="29"/>
      <c r="J272" s="29">
        <v>12000</v>
      </c>
      <c r="K272" s="29"/>
      <c r="O272" s="45">
        <v>293</v>
      </c>
      <c r="P272" s="61"/>
      <c r="Q272" s="61"/>
      <c r="R272" s="61"/>
      <c r="S272" s="61"/>
      <c r="T272" s="61"/>
      <c r="U272" s="61"/>
      <c r="V272">
        <f t="shared" si="4"/>
        <v>0</v>
      </c>
    </row>
    <row r="273" spans="3:22">
      <c r="C273" s="41">
        <v>252</v>
      </c>
      <c r="D273" s="1">
        <v>263</v>
      </c>
      <c r="E273" s="1">
        <v>800</v>
      </c>
      <c r="F273" s="29"/>
      <c r="G273" s="29">
        <v>800</v>
      </c>
      <c r="H273" s="29">
        <v>1600</v>
      </c>
      <c r="I273" s="29"/>
      <c r="J273" s="29">
        <v>1600</v>
      </c>
      <c r="K273" s="29"/>
      <c r="O273" s="45">
        <v>294</v>
      </c>
      <c r="P273" s="61">
        <v>1</v>
      </c>
      <c r="Q273" s="61"/>
      <c r="R273" s="61"/>
      <c r="S273" s="61"/>
      <c r="T273" s="61"/>
      <c r="U273" s="61"/>
      <c r="V273">
        <f t="shared" si="4"/>
        <v>1</v>
      </c>
    </row>
    <row r="274" spans="3:22">
      <c r="C274" s="41">
        <v>252</v>
      </c>
      <c r="D274" s="1">
        <v>264</v>
      </c>
      <c r="E274" s="1"/>
      <c r="F274" s="29"/>
      <c r="G274" s="29"/>
      <c r="H274" s="29"/>
      <c r="I274" s="29"/>
      <c r="J274" s="29"/>
      <c r="K274" s="29"/>
      <c r="O274" s="45">
        <v>295</v>
      </c>
      <c r="P274" s="61"/>
      <c r="Q274" s="61"/>
      <c r="R274" s="61"/>
      <c r="S274" s="61"/>
      <c r="T274" s="61"/>
      <c r="U274" s="61"/>
      <c r="V274">
        <f t="shared" si="4"/>
        <v>0</v>
      </c>
    </row>
    <row r="275" spans="3:22">
      <c r="C275" s="41">
        <v>45</v>
      </c>
      <c r="D275" s="1">
        <v>45</v>
      </c>
      <c r="E275" s="1">
        <v>800</v>
      </c>
      <c r="F275" s="29">
        <v>800</v>
      </c>
      <c r="G275" s="29">
        <v>800</v>
      </c>
      <c r="H275" s="29">
        <v>800</v>
      </c>
      <c r="I275" s="29">
        <v>800</v>
      </c>
      <c r="J275" s="29">
        <v>800</v>
      </c>
      <c r="K275" s="29">
        <v>800</v>
      </c>
      <c r="O275" s="45">
        <v>296</v>
      </c>
      <c r="P275" s="61"/>
      <c r="Q275" s="61"/>
      <c r="R275" s="61"/>
      <c r="S275" s="61"/>
      <c r="T275" s="61"/>
      <c r="U275" s="61"/>
      <c r="V275">
        <f t="shared" si="4"/>
        <v>0</v>
      </c>
    </row>
    <row r="276" spans="3:22">
      <c r="C276" s="41">
        <v>319</v>
      </c>
      <c r="D276" s="1" t="s">
        <v>263</v>
      </c>
      <c r="E276" s="1">
        <v>800</v>
      </c>
      <c r="F276" s="29"/>
      <c r="G276" s="29">
        <v>2000</v>
      </c>
      <c r="H276" s="29"/>
      <c r="I276" s="29">
        <v>4000</v>
      </c>
      <c r="J276" s="29">
        <v>4000</v>
      </c>
      <c r="K276" s="29"/>
      <c r="O276" s="45">
        <v>297</v>
      </c>
      <c r="P276" s="61"/>
      <c r="Q276" s="61"/>
      <c r="R276" s="61"/>
      <c r="S276" s="61"/>
      <c r="T276" s="61"/>
      <c r="U276" s="61"/>
      <c r="V276">
        <f t="shared" si="4"/>
        <v>0</v>
      </c>
    </row>
    <row r="277" spans="3:22">
      <c r="C277" s="41">
        <v>93</v>
      </c>
      <c r="D277" s="1">
        <v>98</v>
      </c>
      <c r="E277" s="1">
        <v>800</v>
      </c>
      <c r="F277" s="29"/>
      <c r="G277" s="29"/>
      <c r="H277" s="29"/>
      <c r="I277" s="29"/>
      <c r="J277" s="29"/>
      <c r="K277" s="29"/>
      <c r="O277" s="45">
        <v>298</v>
      </c>
      <c r="P277" s="61"/>
      <c r="Q277" s="61">
        <v>1</v>
      </c>
      <c r="R277" s="61"/>
      <c r="S277" s="61"/>
      <c r="T277" s="61"/>
      <c r="U277" s="61"/>
      <c r="V277">
        <f t="shared" si="4"/>
        <v>1</v>
      </c>
    </row>
    <row r="278" spans="3:22">
      <c r="C278" s="41">
        <v>255</v>
      </c>
      <c r="D278" s="1">
        <v>268</v>
      </c>
      <c r="E278" s="1">
        <v>800</v>
      </c>
      <c r="F278" s="29"/>
      <c r="G278" s="29"/>
      <c r="H278" s="29">
        <v>3200</v>
      </c>
      <c r="I278" s="29"/>
      <c r="J278" s="29">
        <v>3200</v>
      </c>
      <c r="K278" s="29"/>
      <c r="O278" s="45">
        <v>299</v>
      </c>
      <c r="P278" s="61"/>
      <c r="Q278" s="61"/>
      <c r="R278" s="61"/>
      <c r="S278" s="61"/>
      <c r="T278" s="61"/>
      <c r="U278" s="61"/>
      <c r="V278">
        <f t="shared" si="4"/>
        <v>0</v>
      </c>
    </row>
    <row r="279" spans="3:22">
      <c r="C279" s="41">
        <v>167</v>
      </c>
      <c r="D279" s="1">
        <v>175</v>
      </c>
      <c r="E279" s="1">
        <v>800</v>
      </c>
      <c r="F279" s="29"/>
      <c r="G279" s="29"/>
      <c r="H279" s="29"/>
      <c r="I279" s="29"/>
      <c r="J279" s="29"/>
      <c r="K279" s="29"/>
      <c r="O279" s="45">
        <v>300</v>
      </c>
      <c r="P279" s="61"/>
      <c r="Q279" s="61"/>
      <c r="R279" s="61"/>
      <c r="S279" s="61"/>
      <c r="T279" s="61"/>
      <c r="U279" s="61"/>
      <c r="V279">
        <f t="shared" si="4"/>
        <v>0</v>
      </c>
    </row>
    <row r="280" spans="3:22">
      <c r="C280" s="41">
        <v>99</v>
      </c>
      <c r="D280" s="1">
        <v>104</v>
      </c>
      <c r="E280" s="1">
        <v>800</v>
      </c>
      <c r="F280" s="29"/>
      <c r="G280" s="29"/>
      <c r="H280" s="29"/>
      <c r="I280" s="29"/>
      <c r="J280" s="29"/>
      <c r="K280" s="29"/>
      <c r="O280" s="45">
        <v>301</v>
      </c>
      <c r="P280" s="61"/>
      <c r="Q280" s="61"/>
      <c r="R280" s="61"/>
      <c r="S280" s="61"/>
      <c r="T280" s="61"/>
      <c r="U280" s="61"/>
      <c r="V280">
        <f t="shared" si="4"/>
        <v>0</v>
      </c>
    </row>
    <row r="281" spans="3:22">
      <c r="C281" s="41">
        <v>146</v>
      </c>
      <c r="D281" s="1">
        <v>154</v>
      </c>
      <c r="E281" s="1">
        <v>800</v>
      </c>
      <c r="F281" s="29"/>
      <c r="G281" s="29"/>
      <c r="H281" s="29"/>
      <c r="I281" s="29"/>
      <c r="J281" s="29"/>
      <c r="K281" s="29">
        <v>26000</v>
      </c>
      <c r="O281" s="45">
        <v>302</v>
      </c>
      <c r="P281" s="61"/>
      <c r="Q281" s="61"/>
      <c r="R281" s="61"/>
      <c r="S281" s="61"/>
      <c r="T281" s="61"/>
      <c r="U281" s="61"/>
      <c r="V281">
        <f t="shared" si="4"/>
        <v>0</v>
      </c>
    </row>
    <row r="282" spans="3:22">
      <c r="C282" s="41">
        <v>29</v>
      </c>
      <c r="D282" s="1">
        <v>29</v>
      </c>
      <c r="E282" s="1">
        <v>800</v>
      </c>
      <c r="F282" s="29">
        <v>9000</v>
      </c>
      <c r="G282" s="29">
        <v>1600</v>
      </c>
      <c r="H282" s="29">
        <v>800</v>
      </c>
      <c r="I282" s="29">
        <v>1600</v>
      </c>
      <c r="J282" s="29"/>
      <c r="K282" s="29"/>
      <c r="O282" s="45">
        <v>303</v>
      </c>
      <c r="P282" s="61"/>
      <c r="Q282" s="61"/>
      <c r="R282" s="61"/>
      <c r="S282" s="61"/>
      <c r="T282" s="61"/>
      <c r="U282" s="61"/>
      <c r="V282">
        <f t="shared" si="4"/>
        <v>0</v>
      </c>
    </row>
    <row r="283" spans="3:22">
      <c r="C283" s="41">
        <v>28</v>
      </c>
      <c r="D283" s="1">
        <v>28</v>
      </c>
      <c r="E283" s="1">
        <v>800</v>
      </c>
      <c r="F283" s="29"/>
      <c r="G283" s="29">
        <v>4000</v>
      </c>
      <c r="H283" s="29"/>
      <c r="I283" s="29">
        <v>2400</v>
      </c>
      <c r="J283" s="29"/>
      <c r="K283" s="29"/>
      <c r="O283" s="45">
        <v>305</v>
      </c>
      <c r="P283" s="61"/>
      <c r="Q283" s="61"/>
      <c r="R283" s="61"/>
      <c r="S283" s="61"/>
      <c r="T283" s="61"/>
      <c r="U283" s="61"/>
      <c r="V283">
        <f t="shared" si="4"/>
        <v>0</v>
      </c>
    </row>
    <row r="284" spans="3:22">
      <c r="C284" s="41">
        <v>27</v>
      </c>
      <c r="D284" s="1">
        <v>27</v>
      </c>
      <c r="E284" s="1">
        <v>800</v>
      </c>
      <c r="F284" s="29"/>
      <c r="G284" s="29"/>
      <c r="H284" s="29"/>
      <c r="I284" s="29"/>
      <c r="J284" s="29"/>
      <c r="K284" s="29"/>
      <c r="O284" s="45">
        <v>306</v>
      </c>
      <c r="P284" s="61"/>
      <c r="Q284" s="61"/>
      <c r="R284" s="61"/>
      <c r="S284" s="61"/>
      <c r="T284" s="61"/>
      <c r="U284" s="61"/>
      <c r="V284">
        <f t="shared" si="4"/>
        <v>0</v>
      </c>
    </row>
    <row r="285" spans="3:22">
      <c r="C285" s="41">
        <v>135</v>
      </c>
      <c r="D285" s="4">
        <v>142</v>
      </c>
      <c r="E285" s="4">
        <v>800</v>
      </c>
      <c r="F285" s="29"/>
      <c r="G285" s="29"/>
      <c r="H285" s="29">
        <v>8000</v>
      </c>
      <c r="I285" s="29"/>
      <c r="J285" s="29"/>
      <c r="K285" s="29">
        <v>21000</v>
      </c>
      <c r="O285" s="45">
        <v>307</v>
      </c>
      <c r="P285" s="61"/>
      <c r="Q285" s="61"/>
      <c r="R285" s="61"/>
      <c r="S285" s="61"/>
      <c r="T285" s="61">
        <v>1</v>
      </c>
      <c r="U285" s="61"/>
      <c r="V285">
        <f t="shared" si="4"/>
        <v>1</v>
      </c>
    </row>
    <row r="286" spans="3:22">
      <c r="C286" s="41">
        <v>135</v>
      </c>
      <c r="D286" s="4">
        <v>143</v>
      </c>
      <c r="E286" s="4"/>
      <c r="F286" s="29"/>
      <c r="G286" s="29"/>
      <c r="H286" s="29"/>
      <c r="I286" s="29"/>
      <c r="J286" s="29"/>
      <c r="K286" s="29"/>
      <c r="O286" s="45">
        <v>308</v>
      </c>
      <c r="P286" s="61"/>
      <c r="Q286" s="61"/>
      <c r="R286" s="61"/>
      <c r="S286" s="61"/>
      <c r="T286" s="61"/>
      <c r="U286" s="61"/>
      <c r="V286">
        <f t="shared" si="4"/>
        <v>0</v>
      </c>
    </row>
    <row r="287" spans="3:22">
      <c r="C287" s="41">
        <v>135</v>
      </c>
      <c r="D287" s="4" t="s">
        <v>274</v>
      </c>
      <c r="E287" s="4"/>
      <c r="F287" s="29"/>
      <c r="G287" s="29"/>
      <c r="H287" s="29"/>
      <c r="I287" s="29"/>
      <c r="J287" s="29"/>
      <c r="K287" s="29"/>
      <c r="O287" s="45">
        <v>309</v>
      </c>
      <c r="P287" s="61"/>
      <c r="Q287" s="61"/>
      <c r="R287" s="61"/>
      <c r="S287" s="61"/>
      <c r="T287" s="61"/>
      <c r="U287" s="61"/>
      <c r="V287">
        <f t="shared" si="4"/>
        <v>0</v>
      </c>
    </row>
    <row r="288" spans="3:22">
      <c r="C288" s="41">
        <v>59</v>
      </c>
      <c r="D288" s="1">
        <v>61</v>
      </c>
      <c r="E288" s="1">
        <v>800</v>
      </c>
      <c r="F288" s="29">
        <v>2400</v>
      </c>
      <c r="G288" s="29"/>
      <c r="H288" s="29"/>
      <c r="I288" s="29"/>
      <c r="J288" s="29"/>
      <c r="K288" s="29"/>
      <c r="O288" s="45">
        <v>310</v>
      </c>
      <c r="P288" s="61">
        <v>1</v>
      </c>
      <c r="Q288" s="61"/>
      <c r="R288" s="61">
        <v>1</v>
      </c>
      <c r="S288" s="61">
        <v>1</v>
      </c>
      <c r="T288" s="61">
        <v>1</v>
      </c>
      <c r="U288" s="61"/>
      <c r="V288">
        <f t="shared" si="4"/>
        <v>4</v>
      </c>
    </row>
    <row r="289" spans="3:22">
      <c r="C289" s="41">
        <v>60</v>
      </c>
      <c r="D289" s="1">
        <v>62</v>
      </c>
      <c r="E289" s="1">
        <v>800</v>
      </c>
      <c r="F289" s="29"/>
      <c r="G289" s="29"/>
      <c r="H289" s="29"/>
      <c r="I289" s="29"/>
      <c r="J289" s="29"/>
      <c r="K289" s="29"/>
      <c r="O289" s="45">
        <v>312</v>
      </c>
      <c r="P289" s="61">
        <v>1</v>
      </c>
      <c r="Q289" s="61"/>
      <c r="R289" s="61"/>
      <c r="S289" s="61">
        <v>1</v>
      </c>
      <c r="T289" s="61"/>
      <c r="U289" s="61">
        <v>1</v>
      </c>
      <c r="V289">
        <f t="shared" si="4"/>
        <v>3</v>
      </c>
    </row>
    <row r="290" spans="3:22">
      <c r="C290" s="41">
        <v>248</v>
      </c>
      <c r="D290" s="1">
        <v>259</v>
      </c>
      <c r="E290" s="1">
        <v>800</v>
      </c>
      <c r="F290" s="29"/>
      <c r="G290" s="29"/>
      <c r="H290" s="29"/>
      <c r="I290" s="29"/>
      <c r="J290" s="29"/>
      <c r="K290" s="29">
        <v>1700</v>
      </c>
      <c r="O290" s="45">
        <v>314</v>
      </c>
      <c r="P290" s="61"/>
      <c r="Q290" s="61"/>
      <c r="R290" s="61"/>
      <c r="S290" s="61"/>
      <c r="T290" s="61"/>
      <c r="U290" s="61"/>
      <c r="V290">
        <f t="shared" si="4"/>
        <v>0</v>
      </c>
    </row>
    <row r="291" spans="3:22">
      <c r="C291" s="41">
        <v>247</v>
      </c>
      <c r="D291" s="1">
        <v>258</v>
      </c>
      <c r="E291" s="1">
        <v>800</v>
      </c>
      <c r="F291" s="29"/>
      <c r="G291" s="29"/>
      <c r="H291" s="29"/>
      <c r="I291" s="29"/>
      <c r="J291" s="29"/>
      <c r="K291" s="29"/>
      <c r="O291" s="45">
        <v>315</v>
      </c>
      <c r="P291" s="61"/>
      <c r="Q291" s="61"/>
      <c r="R291" s="61"/>
      <c r="S291" s="61"/>
      <c r="T291" s="61"/>
      <c r="U291" s="61"/>
      <c r="V291">
        <f t="shared" si="4"/>
        <v>0</v>
      </c>
    </row>
    <row r="292" spans="3:22">
      <c r="C292" s="41">
        <v>103</v>
      </c>
      <c r="D292" s="1">
        <v>108</v>
      </c>
      <c r="E292" s="1">
        <v>800</v>
      </c>
      <c r="F292" s="29">
        <v>6000</v>
      </c>
      <c r="G292" s="29"/>
      <c r="H292" s="29">
        <v>6000</v>
      </c>
      <c r="I292" s="29"/>
      <c r="J292" s="29"/>
      <c r="K292" s="29"/>
      <c r="O292" s="45">
        <v>316</v>
      </c>
      <c r="P292" s="61">
        <v>1</v>
      </c>
      <c r="Q292" s="61"/>
      <c r="R292" s="61"/>
      <c r="S292" s="61"/>
      <c r="T292" s="61"/>
      <c r="U292" s="61"/>
      <c r="V292">
        <f t="shared" si="4"/>
        <v>1</v>
      </c>
    </row>
    <row r="293" spans="3:22">
      <c r="C293" s="41">
        <v>275</v>
      </c>
      <c r="D293" s="1">
        <v>288</v>
      </c>
      <c r="E293" s="1">
        <v>800</v>
      </c>
      <c r="F293" s="29"/>
      <c r="G293" s="29"/>
      <c r="H293" s="29"/>
      <c r="I293" s="29"/>
      <c r="J293" s="29"/>
      <c r="K293" s="29">
        <v>16000</v>
      </c>
      <c r="O293" s="45">
        <v>317</v>
      </c>
      <c r="P293" s="61"/>
      <c r="Q293" s="61"/>
      <c r="R293" s="61"/>
      <c r="S293" s="61"/>
      <c r="T293" s="61"/>
      <c r="U293" s="61"/>
      <c r="V293">
        <f t="shared" si="4"/>
        <v>0</v>
      </c>
    </row>
    <row r="294" spans="3:22">
      <c r="C294" s="41">
        <v>22</v>
      </c>
      <c r="D294" s="1">
        <v>22</v>
      </c>
      <c r="E294" s="1">
        <v>800</v>
      </c>
      <c r="F294" s="29"/>
      <c r="G294" s="29"/>
      <c r="H294" s="29"/>
      <c r="I294" s="29"/>
      <c r="J294" s="29"/>
      <c r="K294" s="29"/>
      <c r="O294" s="45">
        <v>318</v>
      </c>
      <c r="P294" s="61"/>
      <c r="Q294" s="61">
        <v>1</v>
      </c>
      <c r="R294" s="61"/>
      <c r="S294" s="61">
        <v>1</v>
      </c>
      <c r="T294" s="61"/>
      <c r="U294" s="61"/>
      <c r="V294">
        <f t="shared" si="4"/>
        <v>2</v>
      </c>
    </row>
    <row r="295" spans="3:22">
      <c r="C295" s="41">
        <v>20</v>
      </c>
      <c r="D295" s="1">
        <v>20</v>
      </c>
      <c r="E295" s="1">
        <v>800</v>
      </c>
      <c r="F295" s="29"/>
      <c r="G295" s="29"/>
      <c r="H295" s="29"/>
      <c r="I295" s="29"/>
      <c r="J295" s="29"/>
      <c r="K295" s="29"/>
      <c r="O295" s="45">
        <v>319</v>
      </c>
      <c r="P295" s="61"/>
      <c r="Q295" s="61">
        <v>1</v>
      </c>
      <c r="R295" s="61"/>
      <c r="S295" s="61">
        <v>1</v>
      </c>
      <c r="T295" s="61">
        <v>1</v>
      </c>
      <c r="U295" s="61"/>
      <c r="V295">
        <f t="shared" si="4"/>
        <v>3</v>
      </c>
    </row>
    <row r="296" spans="3:22">
      <c r="C296" s="41">
        <v>233</v>
      </c>
      <c r="D296" s="1">
        <v>242</v>
      </c>
      <c r="E296" s="1">
        <v>800</v>
      </c>
      <c r="F296" s="29"/>
      <c r="G296" s="29"/>
      <c r="H296" s="29"/>
      <c r="I296" s="29"/>
      <c r="J296" s="29"/>
      <c r="K296" s="29">
        <v>7000</v>
      </c>
      <c r="O296" s="45">
        <v>320</v>
      </c>
      <c r="P296" s="61"/>
      <c r="Q296" s="61"/>
      <c r="R296" s="61"/>
      <c r="S296" s="61">
        <v>1</v>
      </c>
      <c r="T296" s="61"/>
      <c r="U296" s="61"/>
      <c r="V296">
        <f t="shared" si="4"/>
        <v>1</v>
      </c>
    </row>
    <row r="297" spans="3:22">
      <c r="C297" s="41">
        <v>256</v>
      </c>
      <c r="D297" s="1">
        <v>269</v>
      </c>
      <c r="E297" s="1">
        <v>800</v>
      </c>
      <c r="F297" s="29"/>
      <c r="G297" s="29"/>
      <c r="H297" s="29"/>
      <c r="I297" s="29"/>
      <c r="J297" s="29"/>
      <c r="K297" s="29"/>
      <c r="O297" s="45" t="s">
        <v>680</v>
      </c>
      <c r="P297" s="61"/>
      <c r="Q297" s="61"/>
      <c r="R297" s="61"/>
      <c r="S297" s="61"/>
      <c r="T297" s="61"/>
      <c r="U297" s="61">
        <v>1</v>
      </c>
      <c r="V297">
        <f t="shared" si="4"/>
        <v>1</v>
      </c>
    </row>
    <row r="298" spans="3:22">
      <c r="C298" s="41">
        <v>113</v>
      </c>
      <c r="D298" s="1">
        <v>118</v>
      </c>
      <c r="E298" s="1">
        <v>800</v>
      </c>
      <c r="F298" s="29">
        <v>6000</v>
      </c>
      <c r="G298" s="29"/>
      <c r="H298" s="29"/>
      <c r="I298" s="29"/>
      <c r="J298" s="29"/>
      <c r="K298" s="29"/>
      <c r="O298" s="45" t="s">
        <v>619</v>
      </c>
      <c r="P298" s="61">
        <v>44</v>
      </c>
      <c r="Q298" s="61">
        <v>52</v>
      </c>
      <c r="R298" s="61">
        <v>50</v>
      </c>
      <c r="S298" s="61">
        <v>38</v>
      </c>
      <c r="T298" s="61">
        <v>43</v>
      </c>
      <c r="U298" s="61">
        <v>64</v>
      </c>
      <c r="V298">
        <f t="shared" si="4"/>
        <v>6</v>
      </c>
    </row>
    <row r="299" spans="3:22">
      <c r="C299" s="41">
        <v>113</v>
      </c>
      <c r="D299" s="1">
        <v>120</v>
      </c>
      <c r="E299" s="1"/>
      <c r="F299" s="29"/>
      <c r="G299" s="29"/>
      <c r="H299" s="29"/>
      <c r="I299" s="29"/>
      <c r="J299" s="29"/>
      <c r="K299" s="29"/>
    </row>
    <row r="300" spans="3:22">
      <c r="C300" s="41">
        <v>113</v>
      </c>
      <c r="D300" s="1">
        <v>116</v>
      </c>
      <c r="E300" s="1"/>
      <c r="F300" s="29"/>
      <c r="G300" s="29"/>
      <c r="H300" s="29"/>
      <c r="I300" s="29">
        <v>3000</v>
      </c>
      <c r="J300" s="29"/>
      <c r="K300" s="29">
        <v>3000</v>
      </c>
    </row>
    <row r="301" spans="3:22">
      <c r="C301" s="41">
        <v>180</v>
      </c>
      <c r="D301" s="1">
        <v>188</v>
      </c>
      <c r="E301" s="1">
        <v>800</v>
      </c>
      <c r="F301" s="29"/>
      <c r="G301" s="29"/>
      <c r="H301" s="29"/>
      <c r="I301" s="29"/>
      <c r="J301" s="29">
        <v>4800</v>
      </c>
      <c r="K301" s="29"/>
    </row>
    <row r="302" spans="3:22">
      <c r="C302" s="41">
        <v>2</v>
      </c>
      <c r="D302" s="1">
        <v>2</v>
      </c>
      <c r="E302" s="1">
        <v>800</v>
      </c>
      <c r="F302" s="29"/>
      <c r="G302" s="29"/>
      <c r="H302" s="29"/>
      <c r="I302" s="29"/>
      <c r="J302" s="29"/>
      <c r="K302" s="29"/>
    </row>
    <row r="303" spans="3:22">
      <c r="C303" s="41">
        <v>23</v>
      </c>
      <c r="D303" s="1">
        <v>23</v>
      </c>
      <c r="E303" s="1">
        <v>800</v>
      </c>
      <c r="F303" s="29">
        <v>11600</v>
      </c>
      <c r="G303" s="29"/>
      <c r="H303" s="29"/>
      <c r="I303" s="29"/>
      <c r="J303" s="29"/>
      <c r="K303" s="29"/>
    </row>
    <row r="304" spans="3:22">
      <c r="C304" s="41">
        <v>168</v>
      </c>
      <c r="D304" s="1">
        <v>176</v>
      </c>
      <c r="E304" s="1">
        <v>800</v>
      </c>
      <c r="F304" s="29"/>
      <c r="G304" s="29">
        <v>2000</v>
      </c>
      <c r="H304" s="29"/>
      <c r="I304" s="29">
        <v>2000</v>
      </c>
      <c r="J304" s="29">
        <v>2000</v>
      </c>
      <c r="K304" s="29"/>
    </row>
    <row r="305" spans="3:11">
      <c r="C305" s="41">
        <v>84</v>
      </c>
      <c r="D305" s="1">
        <v>89</v>
      </c>
      <c r="E305" s="1">
        <v>800</v>
      </c>
      <c r="F305" s="29"/>
      <c r="G305" s="29"/>
      <c r="H305" s="29"/>
      <c r="I305" s="29"/>
      <c r="J305" s="29"/>
      <c r="K305" s="29">
        <v>4800</v>
      </c>
    </row>
    <row r="306" spans="3:11">
      <c r="C306" s="41">
        <v>88</v>
      </c>
      <c r="D306" s="1">
        <v>97</v>
      </c>
      <c r="E306" s="1">
        <v>800</v>
      </c>
      <c r="F306" s="29">
        <v>8000</v>
      </c>
      <c r="G306" s="29"/>
      <c r="H306" s="29"/>
      <c r="I306" s="29"/>
      <c r="J306" s="29"/>
      <c r="K306" s="29"/>
    </row>
    <row r="307" spans="3:11">
      <c r="C307" s="41">
        <v>88</v>
      </c>
      <c r="D307" s="1">
        <v>93</v>
      </c>
      <c r="E307" s="1">
        <v>800</v>
      </c>
      <c r="F307" s="29"/>
      <c r="G307" s="29"/>
      <c r="H307" s="29"/>
      <c r="I307" s="29"/>
      <c r="J307" s="29"/>
      <c r="K307" s="29"/>
    </row>
    <row r="308" spans="3:11">
      <c r="C308" s="41">
        <v>78</v>
      </c>
      <c r="D308" s="1">
        <v>83</v>
      </c>
      <c r="E308" s="1">
        <v>800</v>
      </c>
      <c r="F308" s="29"/>
      <c r="G308" s="29"/>
      <c r="H308" s="29"/>
      <c r="I308" s="29"/>
      <c r="J308" s="29"/>
      <c r="K308" s="29"/>
    </row>
    <row r="309" spans="3:11">
      <c r="C309" s="41">
        <v>77</v>
      </c>
      <c r="D309" s="1">
        <v>83</v>
      </c>
      <c r="E309" s="1">
        <v>800</v>
      </c>
      <c r="F309" s="29"/>
      <c r="G309" s="29"/>
      <c r="H309" s="29"/>
      <c r="I309" s="29"/>
      <c r="J309" s="29"/>
      <c r="K309" s="29"/>
    </row>
    <row r="310" spans="3:11">
      <c r="C310" s="41">
        <v>306</v>
      </c>
      <c r="D310" s="1">
        <v>321</v>
      </c>
      <c r="E310" s="1">
        <v>800</v>
      </c>
      <c r="F310" s="29"/>
      <c r="G310" s="29"/>
      <c r="H310" s="29"/>
      <c r="I310" s="29"/>
      <c r="J310" s="29"/>
      <c r="K310" s="29"/>
    </row>
    <row r="311" spans="3:11">
      <c r="C311" s="41">
        <v>182</v>
      </c>
      <c r="D311" s="1">
        <v>190</v>
      </c>
      <c r="E311" s="1">
        <v>800</v>
      </c>
      <c r="F311" s="29"/>
      <c r="G311" s="29"/>
      <c r="H311" s="29"/>
      <c r="I311" s="29"/>
      <c r="J311" s="29">
        <v>9200</v>
      </c>
      <c r="K311" s="29"/>
    </row>
    <row r="312" spans="3:11">
      <c r="C312" s="41">
        <v>95</v>
      </c>
      <c r="D312" s="1">
        <v>100</v>
      </c>
      <c r="E312" s="1">
        <v>800</v>
      </c>
      <c r="F312" s="29"/>
      <c r="G312" s="29"/>
      <c r="H312" s="29"/>
      <c r="I312" s="29"/>
      <c r="J312" s="29"/>
      <c r="K312" s="29">
        <v>9000</v>
      </c>
    </row>
    <row r="313" spans="3:11">
      <c r="C313" s="41">
        <v>108</v>
      </c>
      <c r="D313" s="1">
        <v>113</v>
      </c>
      <c r="E313" s="1">
        <v>800</v>
      </c>
      <c r="F313" s="29"/>
      <c r="G313" s="29">
        <v>4000</v>
      </c>
      <c r="H313" s="29">
        <v>2400</v>
      </c>
      <c r="I313" s="29"/>
      <c r="J313" s="29"/>
      <c r="K313" s="29">
        <v>2400</v>
      </c>
    </row>
    <row r="314" spans="3:11">
      <c r="C314" s="41">
        <v>41</v>
      </c>
      <c r="D314" s="1">
        <v>41</v>
      </c>
      <c r="E314" s="1">
        <v>800</v>
      </c>
      <c r="F314" s="29"/>
      <c r="G314" s="29"/>
      <c r="H314" s="29"/>
      <c r="I314" s="29"/>
      <c r="J314" s="29"/>
      <c r="K314" s="29"/>
    </row>
    <row r="315" spans="3:11">
      <c r="C315" s="41">
        <v>152</v>
      </c>
      <c r="D315" s="1">
        <v>160</v>
      </c>
      <c r="E315" s="1">
        <v>800</v>
      </c>
      <c r="F315" s="29"/>
      <c r="G315" s="29"/>
      <c r="H315" s="29"/>
      <c r="I315" s="29"/>
      <c r="J315" s="29"/>
      <c r="K315" s="29"/>
    </row>
    <row r="316" spans="3:11">
      <c r="C316" s="41">
        <v>227</v>
      </c>
      <c r="D316" s="1">
        <v>236</v>
      </c>
      <c r="E316" s="1">
        <v>800</v>
      </c>
      <c r="F316" s="29"/>
      <c r="G316" s="29">
        <v>3800</v>
      </c>
      <c r="H316" s="29">
        <v>4800</v>
      </c>
      <c r="I316" s="29"/>
      <c r="J316" s="29"/>
      <c r="K316" s="29"/>
    </row>
    <row r="317" spans="3:11">
      <c r="C317" s="41">
        <v>15</v>
      </c>
      <c r="D317" s="1">
        <v>15</v>
      </c>
      <c r="E317" s="1">
        <v>800</v>
      </c>
      <c r="F317" s="29"/>
      <c r="G317" s="29">
        <v>4000</v>
      </c>
      <c r="H317" s="29"/>
      <c r="I317" s="29"/>
      <c r="J317" s="29"/>
      <c r="K317" s="29">
        <v>4800</v>
      </c>
    </row>
    <row r="318" spans="3:11">
      <c r="C318" s="41">
        <v>240</v>
      </c>
      <c r="D318" s="1">
        <v>251</v>
      </c>
      <c r="E318" s="1">
        <v>800</v>
      </c>
      <c r="F318" s="29"/>
      <c r="G318" s="29"/>
      <c r="H318" s="29"/>
      <c r="I318" s="29"/>
      <c r="J318" s="29"/>
      <c r="K318" s="29"/>
    </row>
    <row r="319" spans="3:11">
      <c r="C319" s="41">
        <v>10</v>
      </c>
      <c r="D319" s="1">
        <v>10</v>
      </c>
      <c r="E319" s="1">
        <v>800</v>
      </c>
      <c r="F319" s="29"/>
      <c r="G319" s="29"/>
      <c r="H319" s="29"/>
      <c r="I319" s="29"/>
      <c r="J319" s="29"/>
      <c r="K319" s="29"/>
    </row>
    <row r="320" spans="3:11">
      <c r="C320" s="41">
        <v>55</v>
      </c>
      <c r="D320" s="1">
        <v>57</v>
      </c>
      <c r="E320" s="1">
        <v>800</v>
      </c>
      <c r="F320" s="29"/>
      <c r="G320" s="29"/>
      <c r="H320" s="29">
        <v>3200</v>
      </c>
      <c r="I320" s="29"/>
      <c r="J320" s="29"/>
      <c r="K320" s="29"/>
    </row>
    <row r="321" spans="3:11">
      <c r="C321" s="41">
        <v>309</v>
      </c>
      <c r="D321" s="1">
        <v>324</v>
      </c>
      <c r="E321" s="1">
        <v>800</v>
      </c>
      <c r="F321" s="29"/>
      <c r="G321" s="29"/>
      <c r="H321" s="29"/>
      <c r="I321" s="29"/>
      <c r="J321" s="29"/>
      <c r="K321" s="29"/>
    </row>
    <row r="322" spans="3:11">
      <c r="C322" s="41">
        <v>17</v>
      </c>
      <c r="D322" s="1">
        <v>17</v>
      </c>
      <c r="E322" s="1">
        <v>800</v>
      </c>
      <c r="F322" s="29">
        <v>3000</v>
      </c>
      <c r="G322" s="29"/>
      <c r="H322" s="29">
        <v>2000</v>
      </c>
      <c r="I322" s="29"/>
      <c r="J322" s="29"/>
      <c r="K322" s="29">
        <v>2000</v>
      </c>
    </row>
    <row r="323" spans="3:11">
      <c r="C323" s="41">
        <v>40</v>
      </c>
      <c r="D323" s="1">
        <v>40</v>
      </c>
      <c r="E323" s="1">
        <v>800</v>
      </c>
      <c r="F323" s="29"/>
      <c r="G323" s="29"/>
      <c r="H323" s="29"/>
      <c r="I323" s="29"/>
      <c r="J323" s="29"/>
      <c r="K323" s="29"/>
    </row>
    <row r="327" spans="3:11">
      <c r="C327" s="44" t="s">
        <v>639</v>
      </c>
      <c r="D327" t="s">
        <v>638</v>
      </c>
    </row>
    <row r="329" spans="3:11">
      <c r="C329" s="44" t="s">
        <v>617</v>
      </c>
      <c r="D329" t="s">
        <v>687</v>
      </c>
    </row>
    <row r="330" spans="3:11">
      <c r="C330">
        <v>29</v>
      </c>
      <c r="D330" s="61">
        <v>2</v>
      </c>
    </row>
    <row r="331" spans="3:11">
      <c r="C331">
        <v>88</v>
      </c>
      <c r="D331" s="61">
        <v>2</v>
      </c>
    </row>
    <row r="332" spans="3:11">
      <c r="C332">
        <v>282</v>
      </c>
      <c r="D332" s="61">
        <v>1</v>
      </c>
    </row>
    <row r="333" spans="3:11">
      <c r="C333">
        <v>212</v>
      </c>
      <c r="D333" s="61">
        <v>1</v>
      </c>
    </row>
    <row r="334" spans="3:11">
      <c r="C334">
        <v>173</v>
      </c>
      <c r="D334" s="61">
        <v>1</v>
      </c>
    </row>
    <row r="335" spans="3:11">
      <c r="C335">
        <v>4</v>
      </c>
      <c r="D335" s="61">
        <v>1</v>
      </c>
    </row>
    <row r="336" spans="3:11">
      <c r="C336">
        <v>248</v>
      </c>
      <c r="D336" s="61">
        <v>1</v>
      </c>
    </row>
    <row r="337" spans="3:4">
      <c r="C337">
        <v>5</v>
      </c>
      <c r="D337" s="61">
        <v>1</v>
      </c>
    </row>
    <row r="338" spans="3:4">
      <c r="C338">
        <v>318</v>
      </c>
      <c r="D338" s="61">
        <v>1</v>
      </c>
    </row>
    <row r="339" spans="3:4">
      <c r="C339">
        <v>6</v>
      </c>
      <c r="D339" s="61">
        <v>1</v>
      </c>
    </row>
    <row r="340" spans="3:4">
      <c r="C340">
        <v>194</v>
      </c>
      <c r="D340" s="61">
        <v>1</v>
      </c>
    </row>
    <row r="341" spans="3:4">
      <c r="C341">
        <v>7</v>
      </c>
      <c r="D341" s="61">
        <v>1</v>
      </c>
    </row>
    <row r="342" spans="3:4">
      <c r="C342">
        <v>229</v>
      </c>
      <c r="D342" s="61">
        <v>1</v>
      </c>
    </row>
    <row r="343" spans="3:4">
      <c r="C343">
        <v>8</v>
      </c>
      <c r="D343" s="61">
        <v>1</v>
      </c>
    </row>
    <row r="344" spans="3:4">
      <c r="C344">
        <v>266</v>
      </c>
      <c r="D344" s="61">
        <v>1</v>
      </c>
    </row>
    <row r="345" spans="3:4">
      <c r="C345">
        <v>9</v>
      </c>
      <c r="D345" s="61">
        <v>1</v>
      </c>
    </row>
    <row r="346" spans="3:4">
      <c r="C346">
        <v>299</v>
      </c>
      <c r="D346" s="61">
        <v>1</v>
      </c>
    </row>
    <row r="347" spans="3:4">
      <c r="C347">
        <v>10</v>
      </c>
      <c r="D347" s="61">
        <v>1</v>
      </c>
    </row>
    <row r="348" spans="3:4">
      <c r="C348">
        <v>164</v>
      </c>
      <c r="D348" s="61">
        <v>1</v>
      </c>
    </row>
    <row r="349" spans="3:4">
      <c r="C349">
        <v>11</v>
      </c>
      <c r="D349" s="61">
        <v>1</v>
      </c>
    </row>
    <row r="350" spans="3:4">
      <c r="C350">
        <v>182</v>
      </c>
      <c r="D350" s="61">
        <v>1</v>
      </c>
    </row>
    <row r="351" spans="3:4">
      <c r="C351">
        <v>12</v>
      </c>
      <c r="D351" s="61">
        <v>1</v>
      </c>
    </row>
    <row r="352" spans="3:4">
      <c r="C352">
        <v>204</v>
      </c>
      <c r="D352" s="61">
        <v>1</v>
      </c>
    </row>
    <row r="353" spans="3:4">
      <c r="C353">
        <v>13</v>
      </c>
      <c r="D353" s="61">
        <v>1</v>
      </c>
    </row>
    <row r="354" spans="3:4">
      <c r="C354">
        <v>221</v>
      </c>
      <c r="D354" s="61">
        <v>1</v>
      </c>
    </row>
    <row r="355" spans="3:4">
      <c r="C355">
        <v>15</v>
      </c>
      <c r="D355" s="61">
        <v>1</v>
      </c>
    </row>
    <row r="356" spans="3:4">
      <c r="C356">
        <v>238</v>
      </c>
      <c r="D356" s="61">
        <v>1</v>
      </c>
    </row>
    <row r="357" spans="3:4">
      <c r="C357">
        <v>16</v>
      </c>
      <c r="D357" s="61">
        <v>1</v>
      </c>
    </row>
    <row r="358" spans="3:4">
      <c r="C358">
        <v>257</v>
      </c>
      <c r="D358" s="61">
        <v>1</v>
      </c>
    </row>
    <row r="359" spans="3:4">
      <c r="C359">
        <v>17</v>
      </c>
      <c r="D359" s="61">
        <v>1</v>
      </c>
    </row>
    <row r="360" spans="3:4">
      <c r="C360">
        <v>274</v>
      </c>
      <c r="D360" s="61">
        <v>1</v>
      </c>
    </row>
    <row r="361" spans="3:4">
      <c r="C361">
        <v>18</v>
      </c>
      <c r="D361" s="61">
        <v>1</v>
      </c>
    </row>
    <row r="362" spans="3:4">
      <c r="C362">
        <v>291</v>
      </c>
      <c r="D362" s="61">
        <v>1</v>
      </c>
    </row>
    <row r="363" spans="3:4">
      <c r="C363">
        <v>19</v>
      </c>
      <c r="D363" s="61">
        <v>1</v>
      </c>
    </row>
    <row r="364" spans="3:4">
      <c r="C364">
        <v>308</v>
      </c>
      <c r="D364" s="61">
        <v>1</v>
      </c>
    </row>
    <row r="365" spans="3:4">
      <c r="C365">
        <v>20</v>
      </c>
      <c r="D365" s="61">
        <v>1</v>
      </c>
    </row>
    <row r="366" spans="3:4">
      <c r="C366">
        <v>160</v>
      </c>
      <c r="D366" s="61">
        <v>1</v>
      </c>
    </row>
    <row r="367" spans="3:4">
      <c r="C367">
        <v>21</v>
      </c>
      <c r="D367" s="61">
        <v>1</v>
      </c>
    </row>
    <row r="368" spans="3:4">
      <c r="C368">
        <v>168</v>
      </c>
      <c r="D368" s="61">
        <v>1</v>
      </c>
    </row>
    <row r="369" spans="3:4">
      <c r="C369">
        <v>22</v>
      </c>
      <c r="D369" s="61">
        <v>1</v>
      </c>
    </row>
    <row r="370" spans="3:4">
      <c r="C370">
        <v>177</v>
      </c>
      <c r="D370" s="61">
        <v>1</v>
      </c>
    </row>
    <row r="371" spans="3:4">
      <c r="C371">
        <v>23</v>
      </c>
      <c r="D371" s="61">
        <v>1</v>
      </c>
    </row>
    <row r="372" spans="3:4">
      <c r="C372">
        <v>190</v>
      </c>
      <c r="D372" s="61">
        <v>1</v>
      </c>
    </row>
    <row r="373" spans="3:4">
      <c r="C373">
        <v>24</v>
      </c>
      <c r="D373" s="61">
        <v>1</v>
      </c>
    </row>
    <row r="374" spans="3:4">
      <c r="C374">
        <v>199</v>
      </c>
      <c r="D374" s="61">
        <v>1</v>
      </c>
    </row>
    <row r="375" spans="3:4">
      <c r="C375">
        <v>25</v>
      </c>
      <c r="D375" s="61">
        <v>1</v>
      </c>
    </row>
    <row r="376" spans="3:4">
      <c r="C376">
        <v>208</v>
      </c>
      <c r="D376" s="61">
        <v>1</v>
      </c>
    </row>
    <row r="377" spans="3:4">
      <c r="C377">
        <v>26</v>
      </c>
      <c r="D377" s="61">
        <v>1</v>
      </c>
    </row>
    <row r="378" spans="3:4">
      <c r="C378">
        <v>216</v>
      </c>
      <c r="D378" s="61">
        <v>1</v>
      </c>
    </row>
    <row r="379" spans="3:4">
      <c r="C379">
        <v>27</v>
      </c>
      <c r="D379" s="61">
        <v>1</v>
      </c>
    </row>
    <row r="380" spans="3:4">
      <c r="C380">
        <v>225</v>
      </c>
      <c r="D380" s="61">
        <v>1</v>
      </c>
    </row>
    <row r="381" spans="3:4">
      <c r="C381">
        <v>28</v>
      </c>
      <c r="D381" s="61">
        <v>1</v>
      </c>
    </row>
    <row r="382" spans="3:4">
      <c r="C382">
        <v>233</v>
      </c>
      <c r="D382" s="61">
        <v>1</v>
      </c>
    </row>
    <row r="383" spans="3:4">
      <c r="C383">
        <v>2</v>
      </c>
      <c r="D383" s="61">
        <v>1</v>
      </c>
    </row>
    <row r="384" spans="3:4">
      <c r="C384">
        <v>242</v>
      </c>
      <c r="D384" s="61">
        <v>1</v>
      </c>
    </row>
    <row r="385" spans="3:4">
      <c r="C385">
        <v>30</v>
      </c>
      <c r="D385" s="61">
        <v>1</v>
      </c>
    </row>
    <row r="386" spans="3:4">
      <c r="C386">
        <v>252</v>
      </c>
      <c r="D386" s="61">
        <v>1</v>
      </c>
    </row>
    <row r="387" spans="3:4">
      <c r="C387">
        <v>31</v>
      </c>
      <c r="D387" s="61">
        <v>1</v>
      </c>
    </row>
    <row r="388" spans="3:4">
      <c r="C388">
        <v>261</v>
      </c>
      <c r="D388" s="61">
        <v>1</v>
      </c>
    </row>
    <row r="389" spans="3:4">
      <c r="C389">
        <v>32</v>
      </c>
      <c r="D389" s="61">
        <v>1</v>
      </c>
    </row>
    <row r="390" spans="3:4">
      <c r="C390">
        <v>270</v>
      </c>
      <c r="D390" s="61">
        <v>1</v>
      </c>
    </row>
    <row r="391" spans="3:4">
      <c r="C391">
        <v>33</v>
      </c>
      <c r="D391" s="61">
        <v>1</v>
      </c>
    </row>
    <row r="392" spans="3:4">
      <c r="C392">
        <v>278</v>
      </c>
      <c r="D392" s="61">
        <v>1</v>
      </c>
    </row>
    <row r="393" spans="3:4">
      <c r="C393">
        <v>34</v>
      </c>
      <c r="D393" s="61">
        <v>1</v>
      </c>
    </row>
    <row r="394" spans="3:4">
      <c r="C394">
        <v>287</v>
      </c>
      <c r="D394" s="61">
        <v>1</v>
      </c>
    </row>
    <row r="395" spans="3:4">
      <c r="C395">
        <v>35</v>
      </c>
      <c r="D395" s="61">
        <v>1</v>
      </c>
    </row>
    <row r="396" spans="3:4">
      <c r="C396">
        <v>295</v>
      </c>
      <c r="D396" s="61">
        <v>1</v>
      </c>
    </row>
    <row r="397" spans="3:4">
      <c r="C397">
        <v>36</v>
      </c>
      <c r="D397" s="61">
        <v>1</v>
      </c>
    </row>
    <row r="398" spans="3:4">
      <c r="C398">
        <v>303</v>
      </c>
      <c r="D398" s="61">
        <v>1</v>
      </c>
    </row>
    <row r="399" spans="3:4">
      <c r="C399">
        <v>37</v>
      </c>
      <c r="D399" s="61">
        <v>1</v>
      </c>
    </row>
    <row r="400" spans="3:4">
      <c r="C400">
        <v>314</v>
      </c>
      <c r="D400" s="61">
        <v>1</v>
      </c>
    </row>
    <row r="401" spans="3:4">
      <c r="C401">
        <v>38</v>
      </c>
      <c r="D401" s="61">
        <v>1</v>
      </c>
    </row>
    <row r="402" spans="3:4">
      <c r="C402">
        <v>1</v>
      </c>
      <c r="D402" s="61">
        <v>1</v>
      </c>
    </row>
    <row r="403" spans="3:4">
      <c r="C403">
        <v>39</v>
      </c>
      <c r="D403" s="61">
        <v>1</v>
      </c>
    </row>
    <row r="404" spans="3:4">
      <c r="C404">
        <v>162</v>
      </c>
      <c r="D404" s="61">
        <v>1</v>
      </c>
    </row>
    <row r="405" spans="3:4">
      <c r="C405">
        <v>40</v>
      </c>
      <c r="D405" s="61">
        <v>1</v>
      </c>
    </row>
    <row r="406" spans="3:4">
      <c r="C406">
        <v>166</v>
      </c>
      <c r="D406" s="61">
        <v>1</v>
      </c>
    </row>
    <row r="407" spans="3:4">
      <c r="C407">
        <v>41</v>
      </c>
      <c r="D407" s="61">
        <v>1</v>
      </c>
    </row>
    <row r="408" spans="3:4">
      <c r="C408">
        <v>170</v>
      </c>
      <c r="D408" s="61">
        <v>1</v>
      </c>
    </row>
    <row r="409" spans="3:4">
      <c r="C409">
        <v>42</v>
      </c>
      <c r="D409" s="61">
        <v>1</v>
      </c>
    </row>
    <row r="410" spans="3:4">
      <c r="C410">
        <v>175</v>
      </c>
      <c r="D410" s="61">
        <v>1</v>
      </c>
    </row>
    <row r="411" spans="3:4">
      <c r="C411">
        <v>43</v>
      </c>
      <c r="D411" s="61">
        <v>1</v>
      </c>
    </row>
    <row r="412" spans="3:4">
      <c r="C412">
        <v>180</v>
      </c>
      <c r="D412" s="61">
        <v>1</v>
      </c>
    </row>
    <row r="413" spans="3:4">
      <c r="C413">
        <v>44</v>
      </c>
      <c r="D413" s="61">
        <v>1</v>
      </c>
    </row>
    <row r="414" spans="3:4">
      <c r="C414">
        <v>187</v>
      </c>
      <c r="D414" s="61">
        <v>1</v>
      </c>
    </row>
    <row r="415" spans="3:4">
      <c r="C415">
        <v>45</v>
      </c>
      <c r="D415" s="61">
        <v>1</v>
      </c>
    </row>
    <row r="416" spans="3:4">
      <c r="C416">
        <v>192</v>
      </c>
      <c r="D416" s="61">
        <v>1</v>
      </c>
    </row>
    <row r="417" spans="3:4">
      <c r="C417">
        <v>46</v>
      </c>
      <c r="D417" s="61">
        <v>1</v>
      </c>
    </row>
    <row r="418" spans="3:4">
      <c r="C418">
        <v>197</v>
      </c>
      <c r="D418" s="61">
        <v>1</v>
      </c>
    </row>
    <row r="419" spans="3:4">
      <c r="C419">
        <v>47</v>
      </c>
      <c r="D419" s="61">
        <v>1</v>
      </c>
    </row>
    <row r="420" spans="3:4">
      <c r="C420">
        <v>202</v>
      </c>
      <c r="D420" s="61">
        <v>1</v>
      </c>
    </row>
    <row r="421" spans="3:4">
      <c r="C421">
        <v>48</v>
      </c>
      <c r="D421" s="61">
        <v>1</v>
      </c>
    </row>
    <row r="422" spans="3:4">
      <c r="C422">
        <v>206</v>
      </c>
      <c r="D422" s="61">
        <v>1</v>
      </c>
    </row>
    <row r="423" spans="3:4">
      <c r="C423">
        <v>49</v>
      </c>
      <c r="D423" s="61">
        <v>1</v>
      </c>
    </row>
    <row r="424" spans="3:4">
      <c r="C424">
        <v>210</v>
      </c>
      <c r="D424" s="61">
        <v>1</v>
      </c>
    </row>
    <row r="425" spans="3:4">
      <c r="C425">
        <v>50</v>
      </c>
      <c r="D425" s="61">
        <v>1</v>
      </c>
    </row>
    <row r="426" spans="3:4">
      <c r="C426">
        <v>214</v>
      </c>
      <c r="D426" s="61">
        <v>1</v>
      </c>
    </row>
    <row r="427" spans="3:4">
      <c r="C427">
        <v>51</v>
      </c>
      <c r="D427" s="61">
        <v>1</v>
      </c>
    </row>
    <row r="428" spans="3:4">
      <c r="C428">
        <v>219</v>
      </c>
      <c r="D428" s="61">
        <v>1</v>
      </c>
    </row>
    <row r="429" spans="3:4">
      <c r="C429">
        <v>52</v>
      </c>
      <c r="D429" s="61">
        <v>1</v>
      </c>
    </row>
    <row r="430" spans="3:4">
      <c r="C430">
        <v>223</v>
      </c>
      <c r="D430" s="61">
        <v>1</v>
      </c>
    </row>
    <row r="431" spans="3:4">
      <c r="C431">
        <v>53</v>
      </c>
      <c r="D431" s="61">
        <v>1</v>
      </c>
    </row>
    <row r="432" spans="3:4">
      <c r="C432">
        <v>227</v>
      </c>
      <c r="D432" s="61">
        <v>1</v>
      </c>
    </row>
    <row r="433" spans="3:4">
      <c r="C433">
        <v>54</v>
      </c>
      <c r="D433" s="61">
        <v>1</v>
      </c>
    </row>
    <row r="434" spans="3:4">
      <c r="C434">
        <v>231</v>
      </c>
      <c r="D434" s="61">
        <v>1</v>
      </c>
    </row>
    <row r="435" spans="3:4">
      <c r="C435">
        <v>55</v>
      </c>
      <c r="D435" s="61">
        <v>1</v>
      </c>
    </row>
    <row r="436" spans="3:4">
      <c r="C436">
        <v>236</v>
      </c>
      <c r="D436" s="61">
        <v>1</v>
      </c>
    </row>
    <row r="437" spans="3:4">
      <c r="C437">
        <v>56</v>
      </c>
      <c r="D437" s="61">
        <v>1</v>
      </c>
    </row>
    <row r="438" spans="3:4">
      <c r="C438">
        <v>240</v>
      </c>
      <c r="D438" s="61">
        <v>1</v>
      </c>
    </row>
    <row r="439" spans="3:4">
      <c r="C439">
        <v>57</v>
      </c>
      <c r="D439" s="61">
        <v>1</v>
      </c>
    </row>
    <row r="440" spans="3:4">
      <c r="C440">
        <v>245</v>
      </c>
      <c r="D440" s="61">
        <v>1</v>
      </c>
    </row>
    <row r="441" spans="3:4">
      <c r="C441">
        <v>58</v>
      </c>
      <c r="D441" s="61">
        <v>1</v>
      </c>
    </row>
    <row r="442" spans="3:4">
      <c r="C442">
        <v>250</v>
      </c>
      <c r="D442" s="61">
        <v>1</v>
      </c>
    </row>
    <row r="443" spans="3:4">
      <c r="C443">
        <v>59</v>
      </c>
      <c r="D443" s="61">
        <v>1</v>
      </c>
    </row>
    <row r="444" spans="3:4">
      <c r="C444">
        <v>255</v>
      </c>
      <c r="D444" s="61">
        <v>1</v>
      </c>
    </row>
    <row r="445" spans="3:4">
      <c r="C445">
        <v>60</v>
      </c>
      <c r="D445" s="61">
        <v>1</v>
      </c>
    </row>
    <row r="446" spans="3:4">
      <c r="C446">
        <v>259</v>
      </c>
      <c r="D446" s="61">
        <v>1</v>
      </c>
    </row>
    <row r="447" spans="3:4">
      <c r="C447">
        <v>61</v>
      </c>
      <c r="D447" s="61">
        <v>1</v>
      </c>
    </row>
    <row r="448" spans="3:4">
      <c r="C448">
        <v>264</v>
      </c>
      <c r="D448" s="61">
        <v>1</v>
      </c>
    </row>
    <row r="449" spans="3:4">
      <c r="C449">
        <v>62</v>
      </c>
      <c r="D449" s="61">
        <v>1</v>
      </c>
    </row>
    <row r="450" spans="3:4">
      <c r="C450">
        <v>268</v>
      </c>
      <c r="D450" s="61">
        <v>1</v>
      </c>
    </row>
    <row r="451" spans="3:4">
      <c r="C451">
        <v>63</v>
      </c>
      <c r="D451" s="61">
        <v>1</v>
      </c>
    </row>
    <row r="452" spans="3:4">
      <c r="C452">
        <v>272</v>
      </c>
      <c r="D452" s="61">
        <v>1</v>
      </c>
    </row>
    <row r="453" spans="3:4">
      <c r="C453">
        <v>64</v>
      </c>
      <c r="D453" s="61">
        <v>1</v>
      </c>
    </row>
    <row r="454" spans="3:4">
      <c r="C454">
        <v>276</v>
      </c>
      <c r="D454" s="61">
        <v>1</v>
      </c>
    </row>
    <row r="455" spans="3:4">
      <c r="C455">
        <v>65</v>
      </c>
      <c r="D455" s="61">
        <v>1</v>
      </c>
    </row>
    <row r="456" spans="3:4">
      <c r="C456">
        <v>280</v>
      </c>
      <c r="D456" s="61">
        <v>1</v>
      </c>
    </row>
    <row r="457" spans="3:4">
      <c r="C457">
        <v>66</v>
      </c>
      <c r="D457" s="61">
        <v>1</v>
      </c>
    </row>
    <row r="458" spans="3:4">
      <c r="C458">
        <v>285</v>
      </c>
      <c r="D458" s="61">
        <v>1</v>
      </c>
    </row>
    <row r="459" spans="3:4">
      <c r="C459">
        <v>67</v>
      </c>
      <c r="D459" s="61">
        <v>1</v>
      </c>
    </row>
    <row r="460" spans="3:4">
      <c r="C460">
        <v>289</v>
      </c>
      <c r="D460" s="61">
        <v>1</v>
      </c>
    </row>
    <row r="461" spans="3:4">
      <c r="C461">
        <v>68</v>
      </c>
      <c r="D461" s="61">
        <v>1</v>
      </c>
    </row>
    <row r="462" spans="3:4">
      <c r="C462">
        <v>293</v>
      </c>
      <c r="D462" s="61">
        <v>1</v>
      </c>
    </row>
    <row r="463" spans="3:4">
      <c r="C463">
        <v>69</v>
      </c>
      <c r="D463" s="61">
        <v>1</v>
      </c>
    </row>
    <row r="464" spans="3:4">
      <c r="C464">
        <v>297</v>
      </c>
      <c r="D464" s="61">
        <v>1</v>
      </c>
    </row>
    <row r="465" spans="3:4">
      <c r="C465">
        <v>71</v>
      </c>
      <c r="D465" s="61">
        <v>1</v>
      </c>
    </row>
    <row r="466" spans="3:4">
      <c r="C466">
        <v>301</v>
      </c>
      <c r="D466" s="61">
        <v>1</v>
      </c>
    </row>
    <row r="467" spans="3:4">
      <c r="C467">
        <v>72</v>
      </c>
      <c r="D467" s="61">
        <v>1</v>
      </c>
    </row>
    <row r="468" spans="3:4">
      <c r="C468">
        <v>306</v>
      </c>
      <c r="D468" s="61">
        <v>1</v>
      </c>
    </row>
    <row r="469" spans="3:4">
      <c r="C469">
        <v>73</v>
      </c>
      <c r="D469" s="61">
        <v>1</v>
      </c>
    </row>
    <row r="470" spans="3:4">
      <c r="C470">
        <v>310</v>
      </c>
      <c r="D470" s="61">
        <v>1</v>
      </c>
    </row>
    <row r="471" spans="3:4">
      <c r="C471">
        <v>74</v>
      </c>
      <c r="D471" s="61">
        <v>1</v>
      </c>
    </row>
    <row r="472" spans="3:4">
      <c r="C472">
        <v>316</v>
      </c>
      <c r="D472" s="61">
        <v>1</v>
      </c>
    </row>
    <row r="473" spans="3:4">
      <c r="C473">
        <v>76</v>
      </c>
      <c r="D473" s="61">
        <v>1</v>
      </c>
    </row>
    <row r="474" spans="3:4">
      <c r="C474">
        <v>320</v>
      </c>
      <c r="D474" s="61">
        <v>1</v>
      </c>
    </row>
    <row r="475" spans="3:4">
      <c r="C475">
        <v>77</v>
      </c>
      <c r="D475" s="61">
        <v>1</v>
      </c>
    </row>
    <row r="476" spans="3:4">
      <c r="C476">
        <v>159</v>
      </c>
      <c r="D476" s="61">
        <v>1</v>
      </c>
    </row>
    <row r="477" spans="3:4">
      <c r="C477">
        <v>78</v>
      </c>
      <c r="D477" s="61">
        <v>1</v>
      </c>
    </row>
    <row r="478" spans="3:4">
      <c r="C478">
        <v>161</v>
      </c>
      <c r="D478" s="61">
        <v>1</v>
      </c>
    </row>
    <row r="479" spans="3:4">
      <c r="C479">
        <v>79</v>
      </c>
      <c r="D479" s="61">
        <v>1</v>
      </c>
    </row>
    <row r="480" spans="3:4">
      <c r="C480">
        <v>163</v>
      </c>
      <c r="D480" s="61">
        <v>1</v>
      </c>
    </row>
    <row r="481" spans="3:4">
      <c r="C481">
        <v>80</v>
      </c>
      <c r="D481" s="61">
        <v>1</v>
      </c>
    </row>
    <row r="482" spans="3:4">
      <c r="C482">
        <v>165</v>
      </c>
      <c r="D482" s="61">
        <v>1</v>
      </c>
    </row>
    <row r="483" spans="3:4">
      <c r="C483">
        <v>81</v>
      </c>
      <c r="D483" s="61">
        <v>1</v>
      </c>
    </row>
    <row r="484" spans="3:4">
      <c r="C484">
        <v>167</v>
      </c>
      <c r="D484" s="61">
        <v>1</v>
      </c>
    </row>
    <row r="485" spans="3:4">
      <c r="C485">
        <v>82</v>
      </c>
      <c r="D485" s="61">
        <v>1</v>
      </c>
    </row>
    <row r="486" spans="3:4">
      <c r="C486">
        <v>169</v>
      </c>
      <c r="D486" s="61">
        <v>1</v>
      </c>
    </row>
    <row r="487" spans="3:4">
      <c r="C487">
        <v>83</v>
      </c>
      <c r="D487" s="61">
        <v>1</v>
      </c>
    </row>
    <row r="488" spans="3:4">
      <c r="C488">
        <v>172</v>
      </c>
      <c r="D488" s="61">
        <v>1</v>
      </c>
    </row>
    <row r="489" spans="3:4">
      <c r="C489">
        <v>84</v>
      </c>
      <c r="D489" s="61">
        <v>1</v>
      </c>
    </row>
    <row r="490" spans="3:4">
      <c r="C490">
        <v>174</v>
      </c>
      <c r="D490" s="61">
        <v>1</v>
      </c>
    </row>
    <row r="491" spans="3:4">
      <c r="C491">
        <v>85</v>
      </c>
      <c r="D491" s="61">
        <v>1</v>
      </c>
    </row>
    <row r="492" spans="3:4">
      <c r="C492">
        <v>176</v>
      </c>
      <c r="D492" s="61">
        <v>1</v>
      </c>
    </row>
    <row r="493" spans="3:4">
      <c r="C493">
        <v>86</v>
      </c>
      <c r="D493" s="61">
        <v>1</v>
      </c>
    </row>
    <row r="494" spans="3:4">
      <c r="C494">
        <v>178</v>
      </c>
      <c r="D494" s="61">
        <v>1</v>
      </c>
    </row>
    <row r="495" spans="3:4">
      <c r="C495">
        <v>87</v>
      </c>
      <c r="D495" s="61">
        <v>1</v>
      </c>
    </row>
    <row r="496" spans="3:4">
      <c r="C496">
        <v>181</v>
      </c>
      <c r="D496" s="61">
        <v>1</v>
      </c>
    </row>
    <row r="497" spans="3:4">
      <c r="C497">
        <v>183</v>
      </c>
      <c r="D497" s="61">
        <v>1</v>
      </c>
    </row>
    <row r="498" spans="3:4">
      <c r="C498">
        <v>3</v>
      </c>
      <c r="D498" s="61">
        <v>1</v>
      </c>
    </row>
    <row r="499" spans="3:4">
      <c r="C499">
        <v>185</v>
      </c>
      <c r="D499" s="61">
        <v>1</v>
      </c>
    </row>
    <row r="500" spans="3:4">
      <c r="C500">
        <v>186</v>
      </c>
      <c r="D500" s="61">
        <v>1</v>
      </c>
    </row>
    <row r="501" spans="3:4">
      <c r="C501">
        <v>89</v>
      </c>
      <c r="D501" s="61">
        <v>1</v>
      </c>
    </row>
    <row r="502" spans="3:4">
      <c r="C502">
        <v>188</v>
      </c>
      <c r="D502" s="61">
        <v>1</v>
      </c>
    </row>
    <row r="503" spans="3:4">
      <c r="C503">
        <v>90</v>
      </c>
      <c r="D503" s="61">
        <v>1</v>
      </c>
    </row>
    <row r="504" spans="3:4">
      <c r="C504">
        <v>191</v>
      </c>
      <c r="D504" s="61">
        <v>1</v>
      </c>
    </row>
    <row r="505" spans="3:4">
      <c r="C505">
        <v>91</v>
      </c>
      <c r="D505" s="61">
        <v>1</v>
      </c>
    </row>
    <row r="506" spans="3:4">
      <c r="C506">
        <v>193</v>
      </c>
      <c r="D506" s="61">
        <v>1</v>
      </c>
    </row>
    <row r="507" spans="3:4">
      <c r="C507">
        <v>93</v>
      </c>
      <c r="D507" s="61">
        <v>1</v>
      </c>
    </row>
    <row r="508" spans="3:4">
      <c r="C508">
        <v>196</v>
      </c>
      <c r="D508" s="61">
        <v>1</v>
      </c>
    </row>
    <row r="509" spans="3:4">
      <c r="C509">
        <v>94</v>
      </c>
      <c r="D509" s="61">
        <v>1</v>
      </c>
    </row>
    <row r="510" spans="3:4">
      <c r="C510">
        <v>198</v>
      </c>
      <c r="D510" s="61">
        <v>1</v>
      </c>
    </row>
    <row r="511" spans="3:4">
      <c r="C511">
        <v>95</v>
      </c>
      <c r="D511" s="61">
        <v>1</v>
      </c>
    </row>
    <row r="512" spans="3:4">
      <c r="C512">
        <v>201</v>
      </c>
      <c r="D512" s="61">
        <v>1</v>
      </c>
    </row>
    <row r="513" spans="3:4">
      <c r="C513">
        <v>96</v>
      </c>
      <c r="D513" s="61">
        <v>1</v>
      </c>
    </row>
    <row r="514" spans="3:4">
      <c r="C514">
        <v>203</v>
      </c>
      <c r="D514" s="61">
        <v>1</v>
      </c>
    </row>
    <row r="515" spans="3:4">
      <c r="C515">
        <v>98</v>
      </c>
      <c r="D515" s="61">
        <v>1</v>
      </c>
    </row>
    <row r="516" spans="3:4">
      <c r="C516">
        <v>205</v>
      </c>
      <c r="D516" s="61">
        <v>1</v>
      </c>
    </row>
    <row r="517" spans="3:4">
      <c r="C517">
        <v>99</v>
      </c>
      <c r="D517" s="61">
        <v>1</v>
      </c>
    </row>
    <row r="518" spans="3:4">
      <c r="C518">
        <v>207</v>
      </c>
      <c r="D518" s="61">
        <v>1</v>
      </c>
    </row>
    <row r="519" spans="3:4">
      <c r="C519">
        <v>100</v>
      </c>
      <c r="D519" s="61">
        <v>1</v>
      </c>
    </row>
    <row r="520" spans="3:4">
      <c r="C520">
        <v>209</v>
      </c>
      <c r="D520" s="61">
        <v>1</v>
      </c>
    </row>
    <row r="521" spans="3:4">
      <c r="C521">
        <v>101</v>
      </c>
      <c r="D521" s="61">
        <v>1</v>
      </c>
    </row>
    <row r="522" spans="3:4">
      <c r="C522">
        <v>211</v>
      </c>
      <c r="D522" s="61">
        <v>1</v>
      </c>
    </row>
    <row r="523" spans="3:4">
      <c r="C523">
        <v>102</v>
      </c>
      <c r="D523" s="61">
        <v>1</v>
      </c>
    </row>
    <row r="524" spans="3:4">
      <c r="C524">
        <v>213</v>
      </c>
      <c r="D524" s="61">
        <v>1</v>
      </c>
    </row>
    <row r="525" spans="3:4">
      <c r="C525">
        <v>103</v>
      </c>
      <c r="D525" s="61">
        <v>1</v>
      </c>
    </row>
    <row r="526" spans="3:4">
      <c r="C526">
        <v>215</v>
      </c>
      <c r="D526" s="61">
        <v>1</v>
      </c>
    </row>
    <row r="527" spans="3:4">
      <c r="C527">
        <v>104</v>
      </c>
      <c r="D527" s="61">
        <v>1</v>
      </c>
    </row>
    <row r="528" spans="3:4">
      <c r="C528">
        <v>218</v>
      </c>
      <c r="D528" s="61">
        <v>1</v>
      </c>
    </row>
    <row r="529" spans="3:4">
      <c r="C529">
        <v>105</v>
      </c>
      <c r="D529" s="61">
        <v>1</v>
      </c>
    </row>
    <row r="530" spans="3:4">
      <c r="C530">
        <v>220</v>
      </c>
      <c r="D530" s="61">
        <v>1</v>
      </c>
    </row>
    <row r="531" spans="3:4">
      <c r="C531">
        <v>106</v>
      </c>
      <c r="D531" s="61">
        <v>1</v>
      </c>
    </row>
    <row r="532" spans="3:4">
      <c r="C532">
        <v>222</v>
      </c>
      <c r="D532" s="61">
        <v>1</v>
      </c>
    </row>
    <row r="533" spans="3:4">
      <c r="C533">
        <v>107</v>
      </c>
      <c r="D533" s="61">
        <v>1</v>
      </c>
    </row>
    <row r="534" spans="3:4">
      <c r="C534">
        <v>224</v>
      </c>
      <c r="D534" s="61">
        <v>1</v>
      </c>
    </row>
    <row r="535" spans="3:4">
      <c r="C535">
        <v>108</v>
      </c>
      <c r="D535" s="61">
        <v>1</v>
      </c>
    </row>
    <row r="536" spans="3:4">
      <c r="C536">
        <v>226</v>
      </c>
      <c r="D536" s="61">
        <v>1</v>
      </c>
    </row>
    <row r="537" spans="3:4">
      <c r="C537">
        <v>109</v>
      </c>
      <c r="D537" s="61">
        <v>1</v>
      </c>
    </row>
    <row r="538" spans="3:4">
      <c r="C538">
        <v>228</v>
      </c>
      <c r="D538" s="61">
        <v>1</v>
      </c>
    </row>
    <row r="539" spans="3:4">
      <c r="C539">
        <v>110</v>
      </c>
      <c r="D539" s="61">
        <v>1</v>
      </c>
    </row>
    <row r="540" spans="3:4">
      <c r="C540">
        <v>230</v>
      </c>
      <c r="D540" s="61">
        <v>1</v>
      </c>
    </row>
    <row r="541" spans="3:4">
      <c r="C541">
        <v>112</v>
      </c>
      <c r="D541" s="61">
        <v>1</v>
      </c>
    </row>
    <row r="542" spans="3:4">
      <c r="C542">
        <v>232</v>
      </c>
      <c r="D542" s="61">
        <v>1</v>
      </c>
    </row>
    <row r="543" spans="3:4">
      <c r="C543">
        <v>113</v>
      </c>
      <c r="D543" s="61">
        <v>1</v>
      </c>
    </row>
    <row r="544" spans="3:4">
      <c r="C544">
        <v>234</v>
      </c>
      <c r="D544" s="61">
        <v>1</v>
      </c>
    </row>
    <row r="545" spans="3:4">
      <c r="C545">
        <v>114</v>
      </c>
      <c r="D545" s="61">
        <v>1</v>
      </c>
    </row>
    <row r="546" spans="3:4">
      <c r="C546">
        <v>237</v>
      </c>
      <c r="D546" s="61">
        <v>1</v>
      </c>
    </row>
    <row r="547" spans="3:4">
      <c r="C547">
        <v>116</v>
      </c>
      <c r="D547" s="61">
        <v>1</v>
      </c>
    </row>
    <row r="548" spans="3:4">
      <c r="C548">
        <v>239</v>
      </c>
      <c r="D548" s="61">
        <v>1</v>
      </c>
    </row>
    <row r="549" spans="3:4">
      <c r="C549">
        <v>117</v>
      </c>
      <c r="D549" s="61">
        <v>1</v>
      </c>
    </row>
    <row r="550" spans="3:4">
      <c r="C550">
        <v>241</v>
      </c>
      <c r="D550" s="61">
        <v>1</v>
      </c>
    </row>
    <row r="551" spans="3:4">
      <c r="C551">
        <v>118</v>
      </c>
      <c r="D551" s="61">
        <v>1</v>
      </c>
    </row>
    <row r="552" spans="3:4">
      <c r="C552">
        <v>243</v>
      </c>
      <c r="D552" s="61">
        <v>1</v>
      </c>
    </row>
    <row r="553" spans="3:4">
      <c r="C553">
        <v>119</v>
      </c>
      <c r="D553" s="61">
        <v>1</v>
      </c>
    </row>
    <row r="554" spans="3:4">
      <c r="C554">
        <v>247</v>
      </c>
      <c r="D554" s="61">
        <v>1</v>
      </c>
    </row>
    <row r="555" spans="3:4">
      <c r="C555">
        <v>120</v>
      </c>
      <c r="D555" s="61">
        <v>1</v>
      </c>
    </row>
    <row r="556" spans="3:4">
      <c r="C556">
        <v>249</v>
      </c>
      <c r="D556" s="61">
        <v>1</v>
      </c>
    </row>
    <row r="557" spans="3:4">
      <c r="C557">
        <v>121</v>
      </c>
      <c r="D557" s="61">
        <v>1</v>
      </c>
    </row>
    <row r="558" spans="3:4">
      <c r="C558">
        <v>251</v>
      </c>
      <c r="D558" s="61">
        <v>1</v>
      </c>
    </row>
    <row r="559" spans="3:4">
      <c r="C559">
        <v>122</v>
      </c>
      <c r="D559" s="61">
        <v>1</v>
      </c>
    </row>
    <row r="560" spans="3:4">
      <c r="C560">
        <v>254</v>
      </c>
      <c r="D560" s="61">
        <v>1</v>
      </c>
    </row>
    <row r="561" spans="3:4">
      <c r="C561">
        <v>123</v>
      </c>
      <c r="D561" s="61">
        <v>1</v>
      </c>
    </row>
    <row r="562" spans="3:4">
      <c r="C562">
        <v>256</v>
      </c>
      <c r="D562" s="61">
        <v>1</v>
      </c>
    </row>
    <row r="563" spans="3:4">
      <c r="C563">
        <v>124</v>
      </c>
      <c r="D563" s="61">
        <v>1</v>
      </c>
    </row>
    <row r="564" spans="3:4">
      <c r="C564">
        <v>258</v>
      </c>
      <c r="D564" s="61">
        <v>1</v>
      </c>
    </row>
    <row r="565" spans="3:4">
      <c r="C565">
        <v>125</v>
      </c>
      <c r="D565" s="61">
        <v>1</v>
      </c>
    </row>
    <row r="566" spans="3:4">
      <c r="C566">
        <v>260</v>
      </c>
      <c r="D566" s="61">
        <v>1</v>
      </c>
    </row>
    <row r="567" spans="3:4">
      <c r="C567">
        <v>126</v>
      </c>
      <c r="D567" s="61">
        <v>1</v>
      </c>
    </row>
    <row r="568" spans="3:4">
      <c r="C568">
        <v>263</v>
      </c>
      <c r="D568" s="61">
        <v>1</v>
      </c>
    </row>
    <row r="569" spans="3:4">
      <c r="C569">
        <v>127</v>
      </c>
      <c r="D569" s="61">
        <v>1</v>
      </c>
    </row>
    <row r="570" spans="3:4">
      <c r="C570">
        <v>265</v>
      </c>
      <c r="D570" s="61">
        <v>1</v>
      </c>
    </row>
    <row r="571" spans="3:4">
      <c r="C571">
        <v>128</v>
      </c>
      <c r="D571" s="61">
        <v>1</v>
      </c>
    </row>
    <row r="572" spans="3:4">
      <c r="C572">
        <v>267</v>
      </c>
      <c r="D572" s="61">
        <v>1</v>
      </c>
    </row>
    <row r="573" spans="3:4">
      <c r="C573">
        <v>129</v>
      </c>
      <c r="D573" s="61">
        <v>1</v>
      </c>
    </row>
    <row r="574" spans="3:4">
      <c r="C574">
        <v>269</v>
      </c>
      <c r="D574" s="61">
        <v>1</v>
      </c>
    </row>
    <row r="575" spans="3:4">
      <c r="C575">
        <v>130</v>
      </c>
      <c r="D575" s="61">
        <v>1</v>
      </c>
    </row>
    <row r="576" spans="3:4">
      <c r="C576">
        <v>271</v>
      </c>
      <c r="D576" s="61">
        <v>1</v>
      </c>
    </row>
    <row r="577" spans="3:4">
      <c r="C577">
        <v>131</v>
      </c>
      <c r="D577" s="61">
        <v>1</v>
      </c>
    </row>
    <row r="578" spans="3:4">
      <c r="C578">
        <v>273</v>
      </c>
      <c r="D578" s="61">
        <v>1</v>
      </c>
    </row>
    <row r="579" spans="3:4">
      <c r="C579">
        <v>132</v>
      </c>
      <c r="D579" s="61">
        <v>1</v>
      </c>
    </row>
    <row r="580" spans="3:4">
      <c r="C580">
        <v>275</v>
      </c>
      <c r="D580" s="61">
        <v>1</v>
      </c>
    </row>
    <row r="581" spans="3:4">
      <c r="C581">
        <v>133</v>
      </c>
      <c r="D581" s="61">
        <v>1</v>
      </c>
    </row>
    <row r="582" spans="3:4">
      <c r="C582">
        <v>277</v>
      </c>
      <c r="D582" s="61">
        <v>1</v>
      </c>
    </row>
    <row r="583" spans="3:4">
      <c r="C583">
        <v>134</v>
      </c>
      <c r="D583" s="61">
        <v>1</v>
      </c>
    </row>
    <row r="584" spans="3:4">
      <c r="C584">
        <v>279</v>
      </c>
      <c r="D584" s="61">
        <v>1</v>
      </c>
    </row>
    <row r="585" spans="3:4">
      <c r="C585">
        <v>135</v>
      </c>
      <c r="D585" s="61">
        <v>1</v>
      </c>
    </row>
    <row r="586" spans="3:4">
      <c r="C586">
        <v>281</v>
      </c>
      <c r="D586" s="61">
        <v>1</v>
      </c>
    </row>
    <row r="587" spans="3:4">
      <c r="C587">
        <v>136</v>
      </c>
      <c r="D587" s="61">
        <v>1</v>
      </c>
    </row>
    <row r="588" spans="3:4">
      <c r="C588">
        <v>284</v>
      </c>
      <c r="D588" s="61">
        <v>1</v>
      </c>
    </row>
    <row r="589" spans="3:4">
      <c r="C589">
        <v>137</v>
      </c>
      <c r="D589" s="61">
        <v>1</v>
      </c>
    </row>
    <row r="590" spans="3:4">
      <c r="C590">
        <v>286</v>
      </c>
      <c r="D590" s="61">
        <v>1</v>
      </c>
    </row>
    <row r="591" spans="3:4">
      <c r="C591">
        <v>138</v>
      </c>
      <c r="D591" s="61">
        <v>1</v>
      </c>
    </row>
    <row r="592" spans="3:4">
      <c r="C592">
        <v>288</v>
      </c>
      <c r="D592" s="61">
        <v>1</v>
      </c>
    </row>
    <row r="593" spans="3:4">
      <c r="C593">
        <v>139</v>
      </c>
      <c r="D593" s="61">
        <v>1</v>
      </c>
    </row>
    <row r="594" spans="3:4">
      <c r="C594">
        <v>290</v>
      </c>
      <c r="D594" s="61">
        <v>1</v>
      </c>
    </row>
    <row r="595" spans="3:4">
      <c r="C595">
        <v>142</v>
      </c>
      <c r="D595" s="61">
        <v>1</v>
      </c>
    </row>
    <row r="596" spans="3:4">
      <c r="C596">
        <v>292</v>
      </c>
      <c r="D596" s="61">
        <v>1</v>
      </c>
    </row>
    <row r="597" spans="3:4">
      <c r="C597">
        <v>143</v>
      </c>
      <c r="D597" s="61">
        <v>1</v>
      </c>
    </row>
    <row r="598" spans="3:4">
      <c r="C598">
        <v>294</v>
      </c>
      <c r="D598" s="61">
        <v>1</v>
      </c>
    </row>
    <row r="599" spans="3:4">
      <c r="C599">
        <v>144</v>
      </c>
      <c r="D599" s="61">
        <v>1</v>
      </c>
    </row>
    <row r="600" spans="3:4">
      <c r="C600">
        <v>296</v>
      </c>
      <c r="D600" s="61">
        <v>1</v>
      </c>
    </row>
    <row r="601" spans="3:4">
      <c r="C601">
        <v>146</v>
      </c>
      <c r="D601" s="61">
        <v>1</v>
      </c>
    </row>
    <row r="602" spans="3:4">
      <c r="C602">
        <v>298</v>
      </c>
      <c r="D602" s="61">
        <v>1</v>
      </c>
    </row>
    <row r="603" spans="3:4">
      <c r="C603">
        <v>147</v>
      </c>
      <c r="D603" s="61">
        <v>1</v>
      </c>
    </row>
    <row r="604" spans="3:4">
      <c r="C604">
        <v>300</v>
      </c>
      <c r="D604" s="61">
        <v>1</v>
      </c>
    </row>
    <row r="605" spans="3:4">
      <c r="C605">
        <v>148</v>
      </c>
      <c r="D605" s="61">
        <v>1</v>
      </c>
    </row>
    <row r="606" spans="3:4">
      <c r="C606">
        <v>302</v>
      </c>
      <c r="D606" s="61">
        <v>1</v>
      </c>
    </row>
    <row r="607" spans="3:4">
      <c r="C607">
        <v>149</v>
      </c>
      <c r="D607" s="61">
        <v>1</v>
      </c>
    </row>
    <row r="608" spans="3:4">
      <c r="C608">
        <v>305</v>
      </c>
      <c r="D608" s="61">
        <v>1</v>
      </c>
    </row>
    <row r="609" spans="3:4">
      <c r="C609">
        <v>150</v>
      </c>
      <c r="D609" s="61">
        <v>1</v>
      </c>
    </row>
    <row r="610" spans="3:4">
      <c r="C610">
        <v>307</v>
      </c>
      <c r="D610" s="61">
        <v>1</v>
      </c>
    </row>
    <row r="611" spans="3:4">
      <c r="C611">
        <v>151</v>
      </c>
      <c r="D611" s="61">
        <v>1</v>
      </c>
    </row>
    <row r="612" spans="3:4">
      <c r="C612">
        <v>309</v>
      </c>
      <c r="D612" s="61">
        <v>1</v>
      </c>
    </row>
    <row r="613" spans="3:4">
      <c r="C613">
        <v>152</v>
      </c>
      <c r="D613" s="61">
        <v>1</v>
      </c>
    </row>
    <row r="614" spans="3:4">
      <c r="C614">
        <v>312</v>
      </c>
      <c r="D614" s="61">
        <v>1</v>
      </c>
    </row>
    <row r="615" spans="3:4">
      <c r="C615">
        <v>153</v>
      </c>
      <c r="D615" s="61">
        <v>1</v>
      </c>
    </row>
    <row r="616" spans="3:4">
      <c r="C616">
        <v>315</v>
      </c>
      <c r="D616" s="61">
        <v>1</v>
      </c>
    </row>
    <row r="617" spans="3:4">
      <c r="C617">
        <v>154</v>
      </c>
      <c r="D617" s="61">
        <v>1</v>
      </c>
    </row>
    <row r="618" spans="3:4">
      <c r="C618">
        <v>317</v>
      </c>
      <c r="D618" s="61">
        <v>1</v>
      </c>
    </row>
    <row r="619" spans="3:4">
      <c r="C619">
        <v>155</v>
      </c>
      <c r="D619" s="61">
        <v>1</v>
      </c>
    </row>
    <row r="620" spans="3:4">
      <c r="C620">
        <v>319</v>
      </c>
      <c r="D620" s="61">
        <v>1</v>
      </c>
    </row>
    <row r="621" spans="3:4">
      <c r="C621">
        <v>156</v>
      </c>
      <c r="D621" s="61">
        <v>1</v>
      </c>
    </row>
    <row r="622" spans="3:4">
      <c r="C622" t="s">
        <v>680</v>
      </c>
      <c r="D622" s="61">
        <v>1</v>
      </c>
    </row>
    <row r="623" spans="3:4">
      <c r="C623">
        <v>157</v>
      </c>
      <c r="D623" s="61">
        <v>1</v>
      </c>
    </row>
    <row r="624" spans="3:4">
      <c r="C624">
        <v>158</v>
      </c>
      <c r="D624" s="61">
        <v>1</v>
      </c>
    </row>
    <row r="625" spans="3:4">
      <c r="C625" t="s">
        <v>619</v>
      </c>
      <c r="D625" s="61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рабочая таблица</vt:lpstr>
      <vt:lpstr>На что стоит обратить внимание</vt:lpstr>
      <vt:lpstr>план на 2016</vt:lpstr>
      <vt:lpstr>членские взносы</vt:lpstr>
      <vt:lpstr>баланс</vt:lpstr>
      <vt:lpstr>data</vt:lpstr>
      <vt:lpstr>справочник</vt:lpstr>
      <vt:lpstr>Лист6</vt:lpstr>
    </vt:vector>
  </TitlesOfParts>
  <Company>АКБ "Русславбанк"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 С.Н.</dc:creator>
  <cp:lastModifiedBy>Admin</cp:lastModifiedBy>
  <dcterms:created xsi:type="dcterms:W3CDTF">2016-07-18T16:19:30Z</dcterms:created>
  <dcterms:modified xsi:type="dcterms:W3CDTF">2017-07-11T10:29:37Z</dcterms:modified>
</cp:coreProperties>
</file>